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BFagan\Corporate Research\Energy\"/>
    </mc:Choice>
  </mc:AlternateContent>
  <bookViews>
    <workbookView xWindow="0" yWindow="0" windowWidth="25200" windowHeight="11850" activeTab="1"/>
  </bookViews>
  <sheets>
    <sheet name="E&amp;P Comps" sheetId="1" r:id="rId1"/>
    <sheet name="E&amp;P Sensitivity Rankings" sheetId="3" r:id="rId2"/>
    <sheet name="Midstream Comps" sheetId="2" r:id="rId3"/>
    <sheet name="Refining Comps" sheetId="4" r:id="rId4"/>
  </sheets>
  <definedNames>
    <definedName name="_xlnm._FilterDatabase" localSheetId="1" hidden="1">'E&amp;P Sensitivity Rankings'!$C$16:$D$45</definedName>
    <definedName name="_xlnm.Print_Area" localSheetId="0">'E&amp;P Comps'!$B$1:$CQ$79</definedName>
    <definedName name="_xlnm.Print_Area" localSheetId="2">'Midstream Comps'!$B$1:$AH$32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'E&amp;P Sensitivity Rankings'!$F$19</definedName>
    <definedName name="solver_typ" localSheetId="1" hidden="1">1</definedName>
    <definedName name="solver_val" localSheetId="1" hidden="1">0</definedName>
    <definedName name="solver_ver" localSheetId="1" hidden="1">3</definedName>
    <definedName name="SpreadsheetBuilder_1" hidden="1">'E&amp;P Comps'!$F$1:$J$7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B90" i="1"/>
  <c r="G14" i="3" l="1"/>
  <c r="AP78" i="1" l="1"/>
  <c r="AP75" i="1"/>
  <c r="AP53" i="1"/>
  <c r="AP52" i="1"/>
  <c r="AP51" i="1"/>
  <c r="AP43" i="1"/>
  <c r="AP42" i="1"/>
  <c r="AP41" i="1"/>
  <c r="AP26" i="1"/>
  <c r="AP22" i="1"/>
  <c r="AP21" i="1"/>
  <c r="AP17" i="1"/>
  <c r="AP14" i="1"/>
  <c r="AP11" i="1"/>
  <c r="AP12" i="1"/>
  <c r="AP10" i="1"/>
  <c r="AJ79" i="1"/>
  <c r="AJ77" i="1"/>
  <c r="AJ78" i="1"/>
  <c r="AJ75" i="1"/>
  <c r="AJ53" i="1"/>
  <c r="AJ51" i="1"/>
  <c r="AJ52" i="1"/>
  <c r="AJ43" i="1"/>
  <c r="AJ42" i="1"/>
  <c r="AJ41" i="1"/>
  <c r="AJ26" i="1"/>
  <c r="AJ22" i="1"/>
  <c r="AJ21" i="1"/>
  <c r="AJ17" i="1"/>
  <c r="AJ11" i="1"/>
  <c r="AJ10" i="1"/>
  <c r="T75" i="1"/>
  <c r="T53" i="1"/>
  <c r="T52" i="1"/>
  <c r="T51" i="1"/>
  <c r="T43" i="1"/>
  <c r="T42" i="1"/>
  <c r="T41" i="1"/>
  <c r="T23" i="1"/>
  <c r="T22" i="1"/>
  <c r="T21" i="1"/>
  <c r="T17" i="1"/>
  <c r="T11" i="1"/>
  <c r="T10" i="1"/>
  <c r="N53" i="1"/>
  <c r="N52" i="1"/>
  <c r="N51" i="1"/>
  <c r="N43" i="1"/>
  <c r="N41" i="1"/>
  <c r="N25" i="1"/>
  <c r="N22" i="1"/>
  <c r="N21" i="1"/>
  <c r="N17" i="1"/>
  <c r="N11" i="1"/>
  <c r="N10" i="1"/>
  <c r="AD53" i="1"/>
  <c r="AD52" i="1"/>
  <c r="AD51" i="1"/>
  <c r="AD43" i="1"/>
  <c r="AD42" i="1"/>
  <c r="AD41" i="1"/>
  <c r="AD25" i="1"/>
  <c r="AD23" i="1"/>
  <c r="AD22" i="1"/>
  <c r="AD21" i="1"/>
  <c r="AD17" i="1"/>
  <c r="AD14" i="1"/>
  <c r="AD11" i="1"/>
  <c r="AD10" i="1"/>
  <c r="AJ88" i="1" l="1"/>
  <c r="AJ108" i="1" s="1"/>
  <c r="N112" i="1"/>
  <c r="N97" i="1"/>
  <c r="N98" i="1"/>
  <c r="N105" i="1"/>
  <c r="N31" i="1"/>
  <c r="N106" i="1"/>
  <c r="N91" i="1"/>
  <c r="N107" i="1"/>
  <c r="N92" i="1"/>
  <c r="N100" i="1"/>
  <c r="N108" i="1"/>
  <c r="N99" i="1"/>
  <c r="N93" i="1"/>
  <c r="N101" i="1"/>
  <c r="N109" i="1"/>
  <c r="N94" i="1"/>
  <c r="N102" i="1"/>
  <c r="N110" i="1"/>
  <c r="N95" i="1"/>
  <c r="N103" i="1"/>
  <c r="N111" i="1"/>
  <c r="N96" i="1"/>
  <c r="N104" i="1"/>
  <c r="AJ91" i="1" l="1"/>
  <c r="AJ98" i="1"/>
  <c r="AJ102" i="1"/>
  <c r="AJ105" i="1"/>
  <c r="AJ96" i="1"/>
  <c r="AJ107" i="1"/>
  <c r="AJ95" i="1"/>
  <c r="AJ93" i="1"/>
  <c r="AJ103" i="1"/>
  <c r="AJ100" i="1"/>
  <c r="AJ97" i="1"/>
  <c r="AJ112" i="1"/>
  <c r="AJ106" i="1"/>
  <c r="AJ110" i="1"/>
  <c r="AJ94" i="1"/>
  <c r="AJ101" i="1"/>
  <c r="AJ104" i="1"/>
  <c r="AJ111" i="1"/>
  <c r="AJ92" i="1"/>
  <c r="AJ109" i="1"/>
  <c r="AJ99" i="1"/>
  <c r="L53" i="1"/>
  <c r="L52" i="1"/>
  <c r="L51" i="1"/>
  <c r="L43" i="1"/>
  <c r="L42" i="1"/>
  <c r="L77" i="1" s="1"/>
  <c r="L41" i="1"/>
  <c r="L22" i="1"/>
  <c r="L33" i="1" s="1"/>
  <c r="L21" i="1"/>
  <c r="L17" i="1"/>
  <c r="L11" i="1"/>
  <c r="L10" i="1"/>
  <c r="J89" i="1"/>
  <c r="J108" i="1" s="1"/>
  <c r="J53" i="1"/>
  <c r="J52" i="1"/>
  <c r="J51" i="1"/>
  <c r="J43" i="1"/>
  <c r="J42" i="1"/>
  <c r="J41" i="1"/>
  <c r="J25" i="1"/>
  <c r="J23" i="1"/>
  <c r="J22" i="1"/>
  <c r="J21" i="1"/>
  <c r="J17" i="1"/>
  <c r="J14" i="1"/>
  <c r="J11" i="1"/>
  <c r="J10" i="1"/>
  <c r="R89" i="1"/>
  <c r="Q91" i="1"/>
  <c r="BH116" i="1"/>
  <c r="BF116" i="1"/>
  <c r="BD116" i="1"/>
  <c r="BB116" i="1"/>
  <c r="AZ116" i="1"/>
  <c r="AV116" i="1"/>
  <c r="AT116" i="1"/>
  <c r="AS116" i="1"/>
  <c r="AR116" i="1"/>
  <c r="AQ116" i="1"/>
  <c r="AO116" i="1"/>
  <c r="AN116" i="1"/>
  <c r="AM116" i="1"/>
  <c r="AK116" i="1"/>
  <c r="AI116" i="1"/>
  <c r="AG116" i="1"/>
  <c r="AE116" i="1"/>
  <c r="S116" i="1"/>
  <c r="Q116" i="1"/>
  <c r="O116" i="1"/>
  <c r="K116" i="1"/>
  <c r="I116" i="1"/>
  <c r="G116" i="1"/>
  <c r="E116" i="1"/>
  <c r="BH115" i="1"/>
  <c r="BF115" i="1"/>
  <c r="BD115" i="1"/>
  <c r="BB115" i="1"/>
  <c r="AZ115" i="1"/>
  <c r="AV115" i="1"/>
  <c r="AT115" i="1"/>
  <c r="AS115" i="1"/>
  <c r="AR115" i="1"/>
  <c r="AQ115" i="1"/>
  <c r="AO115" i="1"/>
  <c r="AN115" i="1"/>
  <c r="AM115" i="1"/>
  <c r="AK115" i="1"/>
  <c r="AI115" i="1"/>
  <c r="AG115" i="1"/>
  <c r="AE115" i="1"/>
  <c r="S115" i="1"/>
  <c r="Q115" i="1"/>
  <c r="O115" i="1"/>
  <c r="K115" i="1"/>
  <c r="I115" i="1"/>
  <c r="G115" i="1"/>
  <c r="E115" i="1"/>
  <c r="F114" i="1"/>
  <c r="BX91" i="1"/>
  <c r="AG91" i="1"/>
  <c r="Y91" i="1"/>
  <c r="BE89" i="1"/>
  <c r="BI88" i="1"/>
  <c r="CQ87" i="1"/>
  <c r="CO87" i="1"/>
  <c r="CK87" i="1"/>
  <c r="CI87" i="1"/>
  <c r="CE87" i="1"/>
  <c r="CA87" i="1"/>
  <c r="BQ87" i="1"/>
  <c r="BM87" i="1"/>
  <c r="BI87" i="1"/>
  <c r="BG87" i="1"/>
  <c r="BE87" i="1"/>
  <c r="BC87" i="1"/>
  <c r="BA87" i="1"/>
  <c r="AW87" i="1"/>
  <c r="AU87" i="1"/>
  <c r="AJ87" i="1"/>
  <c r="AD87" i="1"/>
  <c r="Z87" i="1"/>
  <c r="X87" i="1"/>
  <c r="P87" i="1"/>
  <c r="N87" i="1"/>
  <c r="L87" i="1"/>
  <c r="F87" i="1"/>
  <c r="D87" i="1"/>
  <c r="N79" i="1"/>
  <c r="BE78" i="1"/>
  <c r="AF78" i="1"/>
  <c r="N78" i="1"/>
  <c r="CK77" i="1"/>
  <c r="BI77" i="1"/>
  <c r="X77" i="1"/>
  <c r="P77" i="1"/>
  <c r="N77" i="1"/>
  <c r="CK75" i="1"/>
  <c r="BI75" i="1"/>
  <c r="BE75" i="1"/>
  <c r="AY75" i="1"/>
  <c r="X75" i="1"/>
  <c r="N75" i="1"/>
  <c r="CQ72" i="1"/>
  <c r="CO72" i="1"/>
  <c r="CK72" i="1"/>
  <c r="CE72" i="1"/>
  <c r="CC72" i="1"/>
  <c r="BY72" i="1"/>
  <c r="BW72" i="1"/>
  <c r="BU72" i="1"/>
  <c r="BS72" i="1"/>
  <c r="BQ72" i="1"/>
  <c r="BO72" i="1"/>
  <c r="BM72" i="1"/>
  <c r="BI72" i="1"/>
  <c r="BG72" i="1"/>
  <c r="BE72" i="1"/>
  <c r="BC72" i="1"/>
  <c r="BA72" i="1"/>
  <c r="AY72" i="1"/>
  <c r="AU72" i="1"/>
  <c r="AJ72" i="1"/>
  <c r="AH72" i="1"/>
  <c r="AF72" i="1"/>
  <c r="Z72" i="1"/>
  <c r="R72" i="1"/>
  <c r="P72" i="1"/>
  <c r="N72" i="1"/>
  <c r="L72" i="1"/>
  <c r="J72" i="1"/>
  <c r="H72" i="1"/>
  <c r="CA71" i="1"/>
  <c r="CA72" i="1" s="1"/>
  <c r="CQ68" i="1"/>
  <c r="CC68" i="1"/>
  <c r="CA68" i="1"/>
  <c r="BM68" i="1"/>
  <c r="AJ68" i="1"/>
  <c r="AH68" i="1"/>
  <c r="AF68" i="1"/>
  <c r="AD68" i="1"/>
  <c r="CQ67" i="1"/>
  <c r="CO67" i="1"/>
  <c r="CK67" i="1"/>
  <c r="CE67" i="1"/>
  <c r="CC67" i="1"/>
  <c r="CA67" i="1"/>
  <c r="BY67" i="1"/>
  <c r="BW67" i="1"/>
  <c r="BU67" i="1"/>
  <c r="BS67" i="1"/>
  <c r="BQ67" i="1"/>
  <c r="BO67" i="1"/>
  <c r="BM67" i="1"/>
  <c r="BI67" i="1"/>
  <c r="BG67" i="1"/>
  <c r="BE67" i="1"/>
  <c r="BC67" i="1"/>
  <c r="BA67" i="1"/>
  <c r="AU67" i="1"/>
  <c r="AJ67" i="1"/>
  <c r="AH67" i="1"/>
  <c r="AF67" i="1"/>
  <c r="Z67" i="1"/>
  <c r="T67" i="1"/>
  <c r="R67" i="1"/>
  <c r="N67" i="1"/>
  <c r="L67" i="1"/>
  <c r="H67" i="1"/>
  <c r="CQ66" i="1"/>
  <c r="CO66" i="1"/>
  <c r="CK66" i="1"/>
  <c r="CI66" i="1"/>
  <c r="CE66" i="1"/>
  <c r="CC66" i="1"/>
  <c r="CA66" i="1"/>
  <c r="BY66" i="1"/>
  <c r="BW66" i="1"/>
  <c r="BU66" i="1"/>
  <c r="BS66" i="1"/>
  <c r="BQ66" i="1"/>
  <c r="BO66" i="1"/>
  <c r="BM66" i="1"/>
  <c r="BI66" i="1"/>
  <c r="BG66" i="1"/>
  <c r="BE66" i="1"/>
  <c r="BC66" i="1"/>
  <c r="BA66" i="1"/>
  <c r="AY66" i="1"/>
  <c r="AW66" i="1"/>
  <c r="AU66" i="1"/>
  <c r="AP66" i="1"/>
  <c r="AL66" i="1"/>
  <c r="AL75" i="1" s="1"/>
  <c r="AJ66" i="1"/>
  <c r="AF66" i="1"/>
  <c r="AD66" i="1"/>
  <c r="X66" i="1"/>
  <c r="T66" i="1"/>
  <c r="R66" i="1"/>
  <c r="N66" i="1"/>
  <c r="L66" i="1"/>
  <c r="H66" i="1"/>
  <c r="D66" i="1"/>
  <c r="BC64" i="1"/>
  <c r="AY64" i="1"/>
  <c r="AY67" i="1" s="1"/>
  <c r="P64" i="1"/>
  <c r="P67" i="1" s="1"/>
  <c r="F64" i="1"/>
  <c r="D64" i="1"/>
  <c r="BU59" i="1"/>
  <c r="BQ59" i="1"/>
  <c r="AH59" i="1"/>
  <c r="AD59" i="1"/>
  <c r="CQ55" i="1"/>
  <c r="CO55" i="1"/>
  <c r="CK55" i="1"/>
  <c r="CI55" i="1"/>
  <c r="CE55" i="1"/>
  <c r="CC55" i="1"/>
  <c r="CA55" i="1"/>
  <c r="BY55" i="1"/>
  <c r="BW55" i="1"/>
  <c r="BU55" i="1"/>
  <c r="BS55" i="1"/>
  <c r="BQ55" i="1"/>
  <c r="BO55" i="1"/>
  <c r="BM55" i="1"/>
  <c r="BI55" i="1"/>
  <c r="BG55" i="1"/>
  <c r="BE55" i="1"/>
  <c r="BC55" i="1"/>
  <c r="BA55" i="1"/>
  <c r="AY55" i="1"/>
  <c r="AW55" i="1"/>
  <c r="AU55" i="1"/>
  <c r="AP55" i="1"/>
  <c r="AL55" i="1"/>
  <c r="AJ55" i="1"/>
  <c r="AF55" i="1"/>
  <c r="AD55" i="1"/>
  <c r="Z55" i="1"/>
  <c r="X55" i="1"/>
  <c r="T55" i="1"/>
  <c r="R55" i="1"/>
  <c r="P55" i="1"/>
  <c r="N55" i="1"/>
  <c r="L55" i="1"/>
  <c r="J55" i="1"/>
  <c r="H55" i="1"/>
  <c r="F55" i="1"/>
  <c r="D55" i="1"/>
  <c r="AW54" i="1"/>
  <c r="AU54" i="1"/>
  <c r="X54" i="1"/>
  <c r="CQ53" i="1"/>
  <c r="CQ54" i="1" s="1"/>
  <c r="CE53" i="1"/>
  <c r="CE54" i="1" s="1"/>
  <c r="BW53" i="1"/>
  <c r="BU53" i="1"/>
  <c r="BM53" i="1"/>
  <c r="BM54" i="1" s="1"/>
  <c r="BI53" i="1"/>
  <c r="BI54" i="1" s="1"/>
  <c r="BI56" i="1" s="1"/>
  <c r="BG53" i="1"/>
  <c r="BG54" i="1" s="1"/>
  <c r="AW53" i="1"/>
  <c r="AU53" i="1"/>
  <c r="AH53" i="1"/>
  <c r="AH54" i="1" s="1"/>
  <c r="AF53" i="1"/>
  <c r="AF54" i="1" s="1"/>
  <c r="X53" i="1"/>
  <c r="R53" i="1"/>
  <c r="CQ52" i="1"/>
  <c r="CE52" i="1"/>
  <c r="BU52" i="1"/>
  <c r="BM52" i="1"/>
  <c r="BI52" i="1"/>
  <c r="BG52" i="1"/>
  <c r="AW52" i="1"/>
  <c r="AU52" i="1"/>
  <c r="AL52" i="1"/>
  <c r="AF52" i="1"/>
  <c r="X52" i="1"/>
  <c r="R52" i="1"/>
  <c r="R54" i="1" s="1"/>
  <c r="P52" i="1"/>
  <c r="CQ51" i="1"/>
  <c r="CO51" i="1"/>
  <c r="CE51" i="1"/>
  <c r="BW51" i="1"/>
  <c r="BU51" i="1"/>
  <c r="BQ51" i="1"/>
  <c r="BM51" i="1"/>
  <c r="BI51" i="1"/>
  <c r="BG51" i="1"/>
  <c r="BE51" i="1"/>
  <c r="BC51" i="1"/>
  <c r="BA51" i="1"/>
  <c r="BA54" i="1" s="1"/>
  <c r="AW51" i="1"/>
  <c r="AU51" i="1"/>
  <c r="AL51" i="1"/>
  <c r="AH51" i="1"/>
  <c r="AF51" i="1"/>
  <c r="X51" i="1"/>
  <c r="R51" i="1"/>
  <c r="P51" i="1"/>
  <c r="CQ48" i="1"/>
  <c r="CO48" i="1"/>
  <c r="CK48" i="1"/>
  <c r="CE48" i="1"/>
  <c r="BW48" i="1"/>
  <c r="BU48" i="1"/>
  <c r="BS48" i="1"/>
  <c r="BM48" i="1"/>
  <c r="BI48" i="1"/>
  <c r="BG48" i="1"/>
  <c r="BA48" i="1"/>
  <c r="AU48" i="1"/>
  <c r="AJ48" i="1"/>
  <c r="AH48" i="1"/>
  <c r="AF48" i="1"/>
  <c r="R48" i="1"/>
  <c r="N48" i="1"/>
  <c r="L48" i="1"/>
  <c r="CE47" i="1"/>
  <c r="CO46" i="1"/>
  <c r="CC46" i="1"/>
  <c r="CA46" i="1"/>
  <c r="BQ46" i="1"/>
  <c r="BE46" i="1"/>
  <c r="BC46" i="1"/>
  <c r="AU46" i="1"/>
  <c r="AJ46" i="1"/>
  <c r="AH46" i="1"/>
  <c r="P46" i="1"/>
  <c r="N46" i="1"/>
  <c r="CQ44" i="1"/>
  <c r="CQ47" i="1" s="1"/>
  <c r="CO44" i="1"/>
  <c r="CO47" i="1" s="1"/>
  <c r="CK44" i="1"/>
  <c r="CK47" i="1" s="1"/>
  <c r="CE44" i="1"/>
  <c r="BW44" i="1"/>
  <c r="BW47" i="1" s="1"/>
  <c r="BU44" i="1"/>
  <c r="BU47" i="1" s="1"/>
  <c r="BS44" i="1"/>
  <c r="BS47" i="1" s="1"/>
  <c r="BM44" i="1"/>
  <c r="BI44" i="1"/>
  <c r="BI47" i="1" s="1"/>
  <c r="BH44" i="1"/>
  <c r="BF44" i="1"/>
  <c r="BE44" i="1"/>
  <c r="BE47" i="1" s="1"/>
  <c r="BD44" i="1"/>
  <c r="AX44" i="1"/>
  <c r="AV44" i="1"/>
  <c r="AU44" i="1"/>
  <c r="AU47" i="1" s="1"/>
  <c r="AT44" i="1"/>
  <c r="AS44" i="1"/>
  <c r="AR44" i="1"/>
  <c r="AQ44" i="1"/>
  <c r="AO44" i="1"/>
  <c r="AN44" i="1"/>
  <c r="AM44" i="1"/>
  <c r="AK44" i="1"/>
  <c r="AI44" i="1"/>
  <c r="AG44" i="1"/>
  <c r="AE44" i="1"/>
  <c r="AC44" i="1"/>
  <c r="AB44" i="1"/>
  <c r="AA44" i="1"/>
  <c r="Y44" i="1"/>
  <c r="X44" i="1"/>
  <c r="W44" i="1"/>
  <c r="V44" i="1"/>
  <c r="U44" i="1"/>
  <c r="S44" i="1"/>
  <c r="Q44" i="1"/>
  <c r="P44" i="1"/>
  <c r="P47" i="1" s="1"/>
  <c r="O44" i="1"/>
  <c r="M44" i="1"/>
  <c r="K44" i="1"/>
  <c r="I44" i="1"/>
  <c r="H44" i="1"/>
  <c r="H47" i="1" s="1"/>
  <c r="G44" i="1"/>
  <c r="F44" i="1"/>
  <c r="E44" i="1"/>
  <c r="CO43" i="1"/>
  <c r="CO68" i="1" s="1"/>
  <c r="CK43" i="1"/>
  <c r="CK51" i="1" s="1"/>
  <c r="CI43" i="1"/>
  <c r="CI44" i="1" s="1"/>
  <c r="CI47" i="1" s="1"/>
  <c r="CC43" i="1"/>
  <c r="CC42" i="1" s="1"/>
  <c r="CA43" i="1"/>
  <c r="CA48" i="1" s="1"/>
  <c r="BY43" i="1"/>
  <c r="BW43" i="1"/>
  <c r="BW68" i="1" s="1"/>
  <c r="BS43" i="1"/>
  <c r="BS68" i="1" s="1"/>
  <c r="BQ43" i="1"/>
  <c r="BQ52" i="1" s="1"/>
  <c r="BO43" i="1"/>
  <c r="BO52" i="1" s="1"/>
  <c r="BE43" i="1"/>
  <c r="BE52" i="1" s="1"/>
  <c r="BC43" i="1"/>
  <c r="BC77" i="1" s="1"/>
  <c r="AY43" i="1"/>
  <c r="AY51" i="1" s="1"/>
  <c r="AL43" i="1"/>
  <c r="AL68" i="1" s="1"/>
  <c r="Z43" i="1"/>
  <c r="Z48" i="1" s="1"/>
  <c r="P43" i="1"/>
  <c r="P53" i="1" s="1"/>
  <c r="P54" i="1" s="1"/>
  <c r="H43" i="1"/>
  <c r="H48" i="1" s="1"/>
  <c r="F43" i="1"/>
  <c r="F53" i="1" s="1"/>
  <c r="D43" i="1"/>
  <c r="D53" i="1" s="1"/>
  <c r="CQ42" i="1"/>
  <c r="CO42" i="1"/>
  <c r="CE42" i="1"/>
  <c r="BW42" i="1"/>
  <c r="BS42" i="1"/>
  <c r="BS77" i="1" s="1"/>
  <c r="BO42" i="1"/>
  <c r="BM42" i="1"/>
  <c r="BI42" i="1"/>
  <c r="BG42" i="1"/>
  <c r="BE42" i="1"/>
  <c r="BA42" i="1"/>
  <c r="BA31" i="1" s="1"/>
  <c r="BA35" i="1" s="1"/>
  <c r="BA37" i="1" s="1"/>
  <c r="AY42" i="1"/>
  <c r="AY77" i="1" s="1"/>
  <c r="AW42" i="1"/>
  <c r="AU42" i="1"/>
  <c r="AL42" i="1"/>
  <c r="AL78" i="1" s="1"/>
  <c r="AH42" i="1"/>
  <c r="AF42" i="1"/>
  <c r="AF87" i="1" s="1"/>
  <c r="Z42" i="1"/>
  <c r="Z77" i="1" s="1"/>
  <c r="X42" i="1"/>
  <c r="P42" i="1"/>
  <c r="N42" i="1"/>
  <c r="H42" i="1"/>
  <c r="F42" i="1"/>
  <c r="D42" i="1"/>
  <c r="CO41" i="1"/>
  <c r="CI41" i="1"/>
  <c r="CE41" i="1"/>
  <c r="CE46" i="1" s="1"/>
  <c r="CC41" i="1"/>
  <c r="BY41" i="1"/>
  <c r="BU41" i="1"/>
  <c r="BS41" i="1"/>
  <c r="BQ41" i="1"/>
  <c r="BI41" i="1"/>
  <c r="BI46" i="1" s="1"/>
  <c r="BG41" i="1"/>
  <c r="BG46" i="1" s="1"/>
  <c r="BE41" i="1"/>
  <c r="BC41" i="1"/>
  <c r="BA41" i="1"/>
  <c r="BA44" i="1" s="1"/>
  <c r="BA47" i="1" s="1"/>
  <c r="AY41" i="1"/>
  <c r="AW41" i="1"/>
  <c r="AU41" i="1"/>
  <c r="AU68" i="1" s="1"/>
  <c r="AP44" i="1"/>
  <c r="AL41" i="1"/>
  <c r="AL44" i="1" s="1"/>
  <c r="AH41" i="1"/>
  <c r="AF41" i="1"/>
  <c r="AF46" i="1" s="1"/>
  <c r="AD44" i="1"/>
  <c r="AD47" i="1" s="1"/>
  <c r="Z41" i="1"/>
  <c r="X41" i="1"/>
  <c r="X68" i="1" s="1"/>
  <c r="R41" i="1"/>
  <c r="R44" i="1" s="1"/>
  <c r="R47" i="1" s="1"/>
  <c r="P41" i="1"/>
  <c r="N68" i="1"/>
  <c r="L46" i="1"/>
  <c r="H41" i="1"/>
  <c r="F41" i="1"/>
  <c r="F68" i="1" s="1"/>
  <c r="D41" i="1"/>
  <c r="BH37" i="1"/>
  <c r="BF37" i="1"/>
  <c r="BD37" i="1"/>
  <c r="BB37" i="1"/>
  <c r="AZ37" i="1"/>
  <c r="AX37" i="1"/>
  <c r="AV37" i="1"/>
  <c r="AT37" i="1"/>
  <c r="AS37" i="1"/>
  <c r="AR37" i="1"/>
  <c r="AQ37" i="1"/>
  <c r="AO37" i="1"/>
  <c r="AN37" i="1"/>
  <c r="AM37" i="1"/>
  <c r="AK37" i="1"/>
  <c r="AJ37" i="1"/>
  <c r="AI37" i="1"/>
  <c r="AH37" i="1"/>
  <c r="AG37" i="1"/>
  <c r="AE37" i="1"/>
  <c r="AC37" i="1"/>
  <c r="AB37" i="1"/>
  <c r="AA37" i="1"/>
  <c r="Y37" i="1"/>
  <c r="W37" i="1"/>
  <c r="V37" i="1"/>
  <c r="U37" i="1"/>
  <c r="S37" i="1"/>
  <c r="R37" i="1"/>
  <c r="Q37" i="1"/>
  <c r="O37" i="1"/>
  <c r="M37" i="1"/>
  <c r="K37" i="1"/>
  <c r="I37" i="1"/>
  <c r="G37" i="1"/>
  <c r="BY36" i="1"/>
  <c r="BI36" i="1"/>
  <c r="BC36" i="1"/>
  <c r="AY36" i="1"/>
  <c r="AU36" i="1"/>
  <c r="AP36" i="1"/>
  <c r="AJ36" i="1"/>
  <c r="AF36" i="1"/>
  <c r="AD36" i="1"/>
  <c r="Z36" i="1"/>
  <c r="X36" i="1"/>
  <c r="X31" i="1" s="1"/>
  <c r="T36" i="1"/>
  <c r="L36" i="1"/>
  <c r="J36" i="1"/>
  <c r="H36" i="1"/>
  <c r="F36" i="1"/>
  <c r="D36" i="1"/>
  <c r="AJ35" i="1"/>
  <c r="AP34" i="1"/>
  <c r="N34" i="1"/>
  <c r="H34" i="1"/>
  <c r="D34" i="1"/>
  <c r="BY33" i="1"/>
  <c r="BI33" i="1"/>
  <c r="BG33" i="1"/>
  <c r="BA33" i="1"/>
  <c r="AU33" i="1"/>
  <c r="AP33" i="1"/>
  <c r="AL33" i="1"/>
  <c r="AF33" i="1"/>
  <c r="AD33" i="1"/>
  <c r="Z33" i="1"/>
  <c r="T33" i="1"/>
  <c r="P33" i="1"/>
  <c r="N33" i="1"/>
  <c r="F33" i="1"/>
  <c r="BI32" i="1"/>
  <c r="AP32" i="1"/>
  <c r="L32" i="1"/>
  <c r="H32" i="1"/>
  <c r="F32" i="1"/>
  <c r="D32" i="1"/>
  <c r="AF31" i="1"/>
  <c r="AD31" i="1"/>
  <c r="AD35" i="1" s="1"/>
  <c r="BC26" i="1"/>
  <c r="CI25" i="1"/>
  <c r="BQ25" i="1"/>
  <c r="BC25" i="1"/>
  <c r="AY25" i="1"/>
  <c r="CA24" i="1"/>
  <c r="CA27" i="1" s="1"/>
  <c r="CQ23" i="1"/>
  <c r="CE23" i="1"/>
  <c r="CC23" i="1"/>
  <c r="CA23" i="1"/>
  <c r="BY23" i="1"/>
  <c r="BS23" i="1"/>
  <c r="BQ23" i="1"/>
  <c r="BM23" i="1"/>
  <c r="BI23" i="1"/>
  <c r="BE23" i="1"/>
  <c r="BC23" i="1"/>
  <c r="AW23" i="1"/>
  <c r="AU23" i="1"/>
  <c r="AP23" i="1"/>
  <c r="AL23" i="1"/>
  <c r="AH23" i="1"/>
  <c r="AF23" i="1"/>
  <c r="AF34" i="1" s="1"/>
  <c r="X23" i="1"/>
  <c r="P23" i="1"/>
  <c r="L23" i="1"/>
  <c r="J34" i="1"/>
  <c r="F23" i="1"/>
  <c r="F34" i="1" s="1"/>
  <c r="CC22" i="1"/>
  <c r="BY22" i="1"/>
  <c r="BS22" i="1"/>
  <c r="BQ22" i="1"/>
  <c r="BG22" i="1"/>
  <c r="BE22" i="1"/>
  <c r="BE33" i="1" s="1"/>
  <c r="BC22" i="1"/>
  <c r="BC33" i="1" s="1"/>
  <c r="AY22" i="1"/>
  <c r="AY33" i="1" s="1"/>
  <c r="AW22" i="1"/>
  <c r="AW16" i="1" s="1"/>
  <c r="AL22" i="1"/>
  <c r="P22" i="1"/>
  <c r="J33" i="1"/>
  <c r="H22" i="1"/>
  <c r="H33" i="1" s="1"/>
  <c r="D22" i="1"/>
  <c r="D24" i="1" s="1"/>
  <c r="D27" i="1" s="1"/>
  <c r="BY21" i="1"/>
  <c r="BQ21" i="1"/>
  <c r="BE21" i="1"/>
  <c r="BC21" i="1"/>
  <c r="AY21" i="1"/>
  <c r="AL21" i="1"/>
  <c r="AH21" i="1"/>
  <c r="AH55" i="1" s="1"/>
  <c r="AH56" i="1" s="1"/>
  <c r="H21" i="1"/>
  <c r="CA20" i="1"/>
  <c r="BQ20" i="1"/>
  <c r="BQ24" i="1" s="1"/>
  <c r="BQ27" i="1" s="1"/>
  <c r="BE20" i="1"/>
  <c r="BE24" i="1" s="1"/>
  <c r="BE27" i="1" s="1"/>
  <c r="AW20" i="1"/>
  <c r="AW24" i="1" s="1"/>
  <c r="AW27" i="1" s="1"/>
  <c r="Z20" i="1"/>
  <c r="Z24" i="1" s="1"/>
  <c r="Z27" i="1" s="1"/>
  <c r="D20" i="1"/>
  <c r="CQ17" i="1"/>
  <c r="CO17" i="1"/>
  <c r="CI17" i="1"/>
  <c r="CE17" i="1"/>
  <c r="CC17" i="1"/>
  <c r="BY17" i="1"/>
  <c r="BW17" i="1"/>
  <c r="BS17" i="1"/>
  <c r="BQ17" i="1"/>
  <c r="BM17" i="1"/>
  <c r="BI17" i="1"/>
  <c r="BG17" i="1"/>
  <c r="BE17" i="1"/>
  <c r="BC17" i="1"/>
  <c r="BA17" i="1"/>
  <c r="AY17" i="1"/>
  <c r="AW17" i="1"/>
  <c r="AL17" i="1"/>
  <c r="Z17" i="1"/>
  <c r="X17" i="1"/>
  <c r="P17" i="1"/>
  <c r="H17" i="1"/>
  <c r="F17" i="1"/>
  <c r="CK16" i="1"/>
  <c r="CA16" i="1"/>
  <c r="BQ16" i="1"/>
  <c r="BA16" i="1"/>
  <c r="AH16" i="1"/>
  <c r="Z16" i="1"/>
  <c r="CU15" i="1"/>
  <c r="CK15" i="1"/>
  <c r="CA15" i="1"/>
  <c r="BQ15" i="1"/>
  <c r="BA15" i="1"/>
  <c r="AH15" i="1"/>
  <c r="Z15" i="1"/>
  <c r="D15" i="1"/>
  <c r="CU14" i="1"/>
  <c r="CI14" i="1"/>
  <c r="CI67" i="1" s="1"/>
  <c r="AW14" i="1"/>
  <c r="AW72" i="1" s="1"/>
  <c r="AP72" i="1"/>
  <c r="AL14" i="1"/>
  <c r="AD67" i="1"/>
  <c r="X14" i="1"/>
  <c r="X67" i="1" s="1"/>
  <c r="T48" i="1"/>
  <c r="F14" i="1"/>
  <c r="F67" i="1" s="1"/>
  <c r="D14" i="1"/>
  <c r="D72" i="1" s="1"/>
  <c r="BU12" i="1"/>
  <c r="BE12" i="1"/>
  <c r="AH12" i="1"/>
  <c r="CQ11" i="1"/>
  <c r="CQ12" i="1" s="1"/>
  <c r="CO11" i="1"/>
  <c r="CO20" i="1" s="1"/>
  <c r="CO24" i="1" s="1"/>
  <c r="CO27" i="1" s="1"/>
  <c r="CK11" i="1"/>
  <c r="CK20" i="1" s="1"/>
  <c r="CK24" i="1" s="1"/>
  <c r="CC11" i="1"/>
  <c r="CC16" i="1" s="1"/>
  <c r="BU11" i="1"/>
  <c r="BU20" i="1" s="1"/>
  <c r="BU24" i="1" s="1"/>
  <c r="BS11" i="1"/>
  <c r="BS16" i="1" s="1"/>
  <c r="BO11" i="1"/>
  <c r="BO16" i="1" s="1"/>
  <c r="BE11" i="1"/>
  <c r="BE16" i="1" s="1"/>
  <c r="BA11" i="1"/>
  <c r="BA20" i="1" s="1"/>
  <c r="BA24" i="1" s="1"/>
  <c r="BA27" i="1" s="1"/>
  <c r="AY11" i="1"/>
  <c r="AY12" i="1" s="1"/>
  <c r="AU11" i="1"/>
  <c r="AU16" i="1" s="1"/>
  <c r="AH11" i="1"/>
  <c r="AH20" i="1" s="1"/>
  <c r="AH24" i="1" s="1"/>
  <c r="AH27" i="1" s="1"/>
  <c r="AD12" i="1"/>
  <c r="X11" i="1"/>
  <c r="X16" i="1" s="1"/>
  <c r="T16" i="1"/>
  <c r="H11" i="1"/>
  <c r="H16" i="1" s="1"/>
  <c r="F11" i="1"/>
  <c r="F16" i="1" s="1"/>
  <c r="CQ10" i="1"/>
  <c r="CQ59" i="1" s="1"/>
  <c r="CQ60" i="1" s="1"/>
  <c r="CQ57" i="1" s="1"/>
  <c r="CO10" i="1"/>
  <c r="CK10" i="1"/>
  <c r="CK59" i="1" s="1"/>
  <c r="CI10" i="1"/>
  <c r="CI11" i="1" s="1"/>
  <c r="CE10" i="1"/>
  <c r="CE11" i="1" s="1"/>
  <c r="CC10" i="1"/>
  <c r="CA10" i="1"/>
  <c r="BY10" i="1"/>
  <c r="BY11" i="1" s="1"/>
  <c r="BW10" i="1"/>
  <c r="BW59" i="1" s="1"/>
  <c r="BU10" i="1"/>
  <c r="BS10" i="1"/>
  <c r="BS59" i="1" s="1"/>
  <c r="BQ10" i="1"/>
  <c r="BQ12" i="1" s="1"/>
  <c r="BO10" i="1"/>
  <c r="BO59" i="1" s="1"/>
  <c r="BM10" i="1"/>
  <c r="BM59" i="1" s="1"/>
  <c r="BI10" i="1"/>
  <c r="BI59" i="1" s="1"/>
  <c r="BI60" i="1" s="1"/>
  <c r="BI57" i="1" s="1"/>
  <c r="BG10" i="1"/>
  <c r="BG59" i="1" s="1"/>
  <c r="BG60" i="1" s="1"/>
  <c r="BG57" i="1" s="1"/>
  <c r="BE10" i="1"/>
  <c r="BE59" i="1" s="1"/>
  <c r="BC10" i="1"/>
  <c r="BC59" i="1" s="1"/>
  <c r="BA10" i="1"/>
  <c r="BA59" i="1" s="1"/>
  <c r="BA60" i="1" s="1"/>
  <c r="BA57" i="1" s="1"/>
  <c r="AY10" i="1"/>
  <c r="AW10" i="1"/>
  <c r="AW12" i="1" s="1"/>
  <c r="AU10" i="1"/>
  <c r="AU59" i="1" s="1"/>
  <c r="AP59" i="1"/>
  <c r="AL10" i="1"/>
  <c r="AL11" i="1" s="1"/>
  <c r="AJ59" i="1"/>
  <c r="AF10" i="1"/>
  <c r="AF59" i="1" s="1"/>
  <c r="Z10" i="1"/>
  <c r="Z12" i="1" s="1"/>
  <c r="X10" i="1"/>
  <c r="X59" i="1" s="1"/>
  <c r="T59" i="1"/>
  <c r="R10" i="1"/>
  <c r="R59" i="1" s="1"/>
  <c r="P10" i="1"/>
  <c r="P59" i="1" s="1"/>
  <c r="P60" i="1" s="1"/>
  <c r="P57" i="1" s="1"/>
  <c r="N59" i="1"/>
  <c r="L59" i="1"/>
  <c r="H10" i="1"/>
  <c r="H59" i="1" s="1"/>
  <c r="F10" i="1"/>
  <c r="D10" i="1"/>
  <c r="J112" i="1" l="1"/>
  <c r="J109" i="1"/>
  <c r="J110" i="1"/>
  <c r="J111" i="1"/>
  <c r="J92" i="1"/>
  <c r="J93" i="1"/>
  <c r="J95" i="1"/>
  <c r="J96" i="1"/>
  <c r="J98" i="1"/>
  <c r="J99" i="1"/>
  <c r="J100" i="1"/>
  <c r="J91" i="1"/>
  <c r="J101" i="1"/>
  <c r="J102" i="1"/>
  <c r="J94" i="1"/>
  <c r="J103" i="1"/>
  <c r="J104" i="1"/>
  <c r="J97" i="1"/>
  <c r="J105" i="1"/>
  <c r="J106" i="1"/>
  <c r="J107" i="1"/>
  <c r="T20" i="1"/>
  <c r="T24" i="1" s="1"/>
  <c r="T27" i="1" s="1"/>
  <c r="N54" i="1"/>
  <c r="N56" i="1" s="1"/>
  <c r="N35" i="1"/>
  <c r="N37" i="1" s="1"/>
  <c r="AD54" i="1"/>
  <c r="AD60" i="1" s="1"/>
  <c r="AD57" i="1" s="1"/>
  <c r="L54" i="1"/>
  <c r="L60" i="1" s="1"/>
  <c r="L57" i="1" s="1"/>
  <c r="J48" i="1"/>
  <c r="J67" i="1"/>
  <c r="J12" i="1"/>
  <c r="J59" i="1"/>
  <c r="BI31" i="1"/>
  <c r="BI35" i="1" s="1"/>
  <c r="BI37" i="1" s="1"/>
  <c r="P31" i="1"/>
  <c r="P35" i="1" s="1"/>
  <c r="P37" i="1" s="1"/>
  <c r="J31" i="1"/>
  <c r="J35" i="1" s="1"/>
  <c r="J37" i="1" s="1"/>
  <c r="AO91" i="1"/>
  <c r="E31" i="1"/>
  <c r="AW31" i="1"/>
  <c r="BP91" i="1"/>
  <c r="AK107" i="1"/>
  <c r="CF91" i="1"/>
  <c r="AU31" i="1"/>
  <c r="AU35" i="1" s="1"/>
  <c r="AU37" i="1" s="1"/>
  <c r="I91" i="1"/>
  <c r="CN91" i="1"/>
  <c r="BG31" i="1"/>
  <c r="BG35" i="1" s="1"/>
  <c r="BG37" i="1" s="1"/>
  <c r="R60" i="1"/>
  <c r="R57" i="1" s="1"/>
  <c r="AF35" i="1"/>
  <c r="AF37" i="1" s="1"/>
  <c r="BY20" i="1"/>
  <c r="BY24" i="1" s="1"/>
  <c r="BY27" i="1" s="1"/>
  <c r="BY16" i="1"/>
  <c r="BY15" i="1"/>
  <c r="BY12" i="1"/>
  <c r="BE31" i="1"/>
  <c r="BE35" i="1" s="1"/>
  <c r="BE37" i="1" s="1"/>
  <c r="CE16" i="1"/>
  <c r="CE15" i="1"/>
  <c r="CE12" i="1"/>
  <c r="CE20" i="1"/>
  <c r="CE24" i="1" s="1"/>
  <c r="CE27" i="1" s="1"/>
  <c r="CI12" i="1"/>
  <c r="CI20" i="1"/>
  <c r="CI24" i="1" s="1"/>
  <c r="CI27" i="1" s="1"/>
  <c r="CI16" i="1"/>
  <c r="CI15" i="1"/>
  <c r="AL20" i="1"/>
  <c r="AL24" i="1" s="1"/>
  <c r="AL27" i="1" s="1"/>
  <c r="AL16" i="1"/>
  <c r="AL12" i="1"/>
  <c r="AY107" i="1"/>
  <c r="AY108" i="1"/>
  <c r="AY100" i="1"/>
  <c r="AY93" i="1"/>
  <c r="AY92" i="1"/>
  <c r="AY91" i="1"/>
  <c r="AY53" i="1"/>
  <c r="AU56" i="1"/>
  <c r="CA59" i="1"/>
  <c r="BY68" i="1"/>
  <c r="BA12" i="1"/>
  <c r="BS12" i="1"/>
  <c r="CK12" i="1"/>
  <c r="AL67" i="1"/>
  <c r="AL72" i="1"/>
  <c r="J15" i="1"/>
  <c r="AD15" i="1"/>
  <c r="AY15" i="1"/>
  <c r="J16" i="1"/>
  <c r="AD16" i="1"/>
  <c r="AY16" i="1"/>
  <c r="CQ20" i="1"/>
  <c r="CQ24" i="1" s="1"/>
  <c r="CQ27" i="1" s="1"/>
  <c r="H111" i="1"/>
  <c r="H108" i="1"/>
  <c r="H98" i="1"/>
  <c r="H93" i="1"/>
  <c r="H96" i="1"/>
  <c r="H68" i="1"/>
  <c r="Z109" i="1"/>
  <c r="Z110" i="1"/>
  <c r="Z100" i="1"/>
  <c r="Z101" i="1"/>
  <c r="Z96" i="1"/>
  <c r="Z94" i="1"/>
  <c r="Z68" i="1"/>
  <c r="AW112" i="1"/>
  <c r="AW109" i="1"/>
  <c r="AW104" i="1"/>
  <c r="AW105" i="1"/>
  <c r="AW110" i="1"/>
  <c r="AW106" i="1"/>
  <c r="AW107" i="1"/>
  <c r="AW108" i="1"/>
  <c r="AW111" i="1"/>
  <c r="AW99" i="1"/>
  <c r="AW100" i="1"/>
  <c r="AW101" i="1"/>
  <c r="AW102" i="1"/>
  <c r="AW97" i="1"/>
  <c r="AW98" i="1"/>
  <c r="AW94" i="1"/>
  <c r="AW95" i="1"/>
  <c r="AW93" i="1"/>
  <c r="AW103" i="1"/>
  <c r="AW96" i="1"/>
  <c r="AW92" i="1"/>
  <c r="AW68" i="1"/>
  <c r="AW91" i="1"/>
  <c r="BS111" i="1"/>
  <c r="BS112" i="1"/>
  <c r="BS106" i="1"/>
  <c r="BS98" i="1"/>
  <c r="BS96" i="1"/>
  <c r="BS101" i="1"/>
  <c r="CQ109" i="1"/>
  <c r="CQ110" i="1"/>
  <c r="CQ111" i="1"/>
  <c r="CQ112" i="1"/>
  <c r="CQ108" i="1"/>
  <c r="CQ107" i="1"/>
  <c r="CQ103" i="1"/>
  <c r="CQ104" i="1"/>
  <c r="CQ105" i="1"/>
  <c r="CQ102" i="1"/>
  <c r="CQ98" i="1"/>
  <c r="CQ106" i="1"/>
  <c r="CQ93" i="1"/>
  <c r="CQ101" i="1"/>
  <c r="CQ94" i="1"/>
  <c r="CQ95" i="1"/>
  <c r="CQ100" i="1"/>
  <c r="CQ99" i="1"/>
  <c r="CQ96" i="1"/>
  <c r="CQ92" i="1"/>
  <c r="CQ97" i="1"/>
  <c r="CQ91" i="1"/>
  <c r="N44" i="1"/>
  <c r="N47" i="1" s="1"/>
  <c r="BQ44" i="1"/>
  <c r="BA46" i="1"/>
  <c r="BY46" i="1"/>
  <c r="AD48" i="1"/>
  <c r="AY48" i="1"/>
  <c r="BQ48" i="1"/>
  <c r="CI48" i="1"/>
  <c r="BS51" i="1"/>
  <c r="BY52" i="1"/>
  <c r="H53" i="1"/>
  <c r="Z53" i="1"/>
  <c r="BS53" i="1"/>
  <c r="BS54" i="1" s="1"/>
  <c r="BS60" i="1" s="1"/>
  <c r="BS57" i="1" s="1"/>
  <c r="CO53" i="1"/>
  <c r="CO54" i="1" s="1"/>
  <c r="CO56" i="1" s="1"/>
  <c r="R56" i="1"/>
  <c r="Z59" i="1"/>
  <c r="BC68" i="1"/>
  <c r="AW67" i="1"/>
  <c r="AF11" i="1"/>
  <c r="BC11" i="1"/>
  <c r="BW11" i="1"/>
  <c r="BE15" i="1"/>
  <c r="CQ15" i="1"/>
  <c r="CQ16" i="1"/>
  <c r="F20" i="1"/>
  <c r="F24" i="1" s="1"/>
  <c r="X20" i="1"/>
  <c r="X24" i="1" s="1"/>
  <c r="X27" i="1" s="1"/>
  <c r="AU20" i="1"/>
  <c r="AU24" i="1" s="1"/>
  <c r="AU27" i="1" s="1"/>
  <c r="CC20" i="1"/>
  <c r="CC24" i="1" s="1"/>
  <c r="CC27" i="1" s="1"/>
  <c r="L31" i="1"/>
  <c r="L35" i="1" s="1"/>
  <c r="L37" i="1" s="1"/>
  <c r="AW33" i="1"/>
  <c r="AH109" i="1"/>
  <c r="AH110" i="1"/>
  <c r="AH111" i="1"/>
  <c r="AH105" i="1"/>
  <c r="AH106" i="1"/>
  <c r="AH107" i="1"/>
  <c r="AH112" i="1"/>
  <c r="AH108" i="1"/>
  <c r="AH100" i="1"/>
  <c r="AH101" i="1"/>
  <c r="AH102" i="1"/>
  <c r="AH104" i="1"/>
  <c r="AH103" i="1"/>
  <c r="AH98" i="1"/>
  <c r="AH95" i="1"/>
  <c r="AH93" i="1"/>
  <c r="AH92" i="1"/>
  <c r="AH97" i="1"/>
  <c r="AH94" i="1"/>
  <c r="AH99" i="1"/>
  <c r="AH96" i="1"/>
  <c r="AH91" i="1"/>
  <c r="BC104" i="1"/>
  <c r="BC101" i="1"/>
  <c r="BC93" i="1"/>
  <c r="BY42" i="1"/>
  <c r="BY108" i="1" s="1"/>
  <c r="CI59" i="1"/>
  <c r="CI53" i="1"/>
  <c r="AW44" i="1"/>
  <c r="AW47" i="1" s="1"/>
  <c r="BG44" i="1"/>
  <c r="BG47" i="1" s="1"/>
  <c r="R46" i="1"/>
  <c r="AL46" i="1"/>
  <c r="P48" i="1"/>
  <c r="BE48" i="1"/>
  <c r="BY51" i="1"/>
  <c r="BY106" i="1" s="1"/>
  <c r="D52" i="1"/>
  <c r="D31" i="1" s="1"/>
  <c r="D35" i="1" s="1"/>
  <c r="D37" i="1" s="1"/>
  <c r="CK52" i="1"/>
  <c r="BE53" i="1"/>
  <c r="BE54" i="1" s="1"/>
  <c r="BE60" i="1" s="1"/>
  <c r="BE57" i="1" s="1"/>
  <c r="BY53" i="1"/>
  <c r="AL59" i="1"/>
  <c r="AL60" i="1" s="1"/>
  <c r="AL57" i="1" s="1"/>
  <c r="CE59" i="1"/>
  <c r="CE60" i="1" s="1"/>
  <c r="CE57" i="1" s="1"/>
  <c r="D67" i="1"/>
  <c r="CI68" i="1"/>
  <c r="CI72" i="1"/>
  <c r="X56" i="1"/>
  <c r="AW56" i="1"/>
  <c r="BO56" i="1"/>
  <c r="CE56" i="1"/>
  <c r="AH60" i="1"/>
  <c r="AH57" i="1" s="1"/>
  <c r="BY59" i="1"/>
  <c r="Z75" i="1"/>
  <c r="AU60" i="1"/>
  <c r="AU57" i="1" s="1"/>
  <c r="BM60" i="1"/>
  <c r="BM57" i="1" s="1"/>
  <c r="CC59" i="1"/>
  <c r="D59" i="1"/>
  <c r="D12" i="1"/>
  <c r="T12" i="1"/>
  <c r="CA12" i="1"/>
  <c r="AL15" i="1"/>
  <c r="H20" i="1"/>
  <c r="H24" i="1" s="1"/>
  <c r="H27" i="1" s="1"/>
  <c r="BO20" i="1"/>
  <c r="BO24" i="1" s="1"/>
  <c r="BO27" i="1" s="1"/>
  <c r="D33" i="1"/>
  <c r="X33" i="1"/>
  <c r="X35" i="1" s="1"/>
  <c r="X37" i="1" s="1"/>
  <c r="AD37" i="1"/>
  <c r="P111" i="1"/>
  <c r="P112" i="1"/>
  <c r="P103" i="1"/>
  <c r="P109" i="1"/>
  <c r="P104" i="1"/>
  <c r="P105" i="1"/>
  <c r="P110" i="1"/>
  <c r="P106" i="1"/>
  <c r="P107" i="1"/>
  <c r="P108" i="1"/>
  <c r="P98" i="1"/>
  <c r="P99" i="1"/>
  <c r="P100" i="1"/>
  <c r="P102" i="1"/>
  <c r="P93" i="1"/>
  <c r="P96" i="1"/>
  <c r="P91" i="1"/>
  <c r="P95" i="1"/>
  <c r="P92" i="1"/>
  <c r="P101" i="1"/>
  <c r="P94" i="1"/>
  <c r="P97" i="1"/>
  <c r="BE112" i="1"/>
  <c r="BE109" i="1"/>
  <c r="BE110" i="1"/>
  <c r="BE104" i="1"/>
  <c r="BE105" i="1"/>
  <c r="BE106" i="1"/>
  <c r="BE111" i="1"/>
  <c r="BE107" i="1"/>
  <c r="BE108" i="1"/>
  <c r="BE99" i="1"/>
  <c r="BE100" i="1"/>
  <c r="BE101" i="1"/>
  <c r="BE103" i="1"/>
  <c r="BE102" i="1"/>
  <c r="BE97" i="1"/>
  <c r="BE94" i="1"/>
  <c r="BE98" i="1"/>
  <c r="BE96" i="1"/>
  <c r="BE93" i="1"/>
  <c r="BE95" i="1"/>
  <c r="BE92" i="1"/>
  <c r="BE91" i="1"/>
  <c r="CE111" i="1"/>
  <c r="CE112" i="1"/>
  <c r="CE109" i="1"/>
  <c r="CE103" i="1"/>
  <c r="CE104" i="1"/>
  <c r="CE105" i="1"/>
  <c r="CE110" i="1"/>
  <c r="CE106" i="1"/>
  <c r="CE107" i="1"/>
  <c r="CE98" i="1"/>
  <c r="CE99" i="1"/>
  <c r="CE100" i="1"/>
  <c r="CE96" i="1"/>
  <c r="CE93" i="1"/>
  <c r="CE91" i="1"/>
  <c r="CE95" i="1"/>
  <c r="CE97" i="1"/>
  <c r="CE108" i="1"/>
  <c r="CE101" i="1"/>
  <c r="CE92" i="1"/>
  <c r="CE102" i="1"/>
  <c r="CE94" i="1"/>
  <c r="CE68" i="1"/>
  <c r="BO111" i="1"/>
  <c r="BO107" i="1"/>
  <c r="BO108" i="1"/>
  <c r="BO93" i="1"/>
  <c r="BO97" i="1"/>
  <c r="BO68" i="1"/>
  <c r="CK109" i="1"/>
  <c r="CK110" i="1"/>
  <c r="CK111" i="1"/>
  <c r="CK112" i="1"/>
  <c r="CK103" i="1"/>
  <c r="CK104" i="1"/>
  <c r="CK108" i="1"/>
  <c r="CK105" i="1"/>
  <c r="CK106" i="1"/>
  <c r="CK107" i="1"/>
  <c r="CK102" i="1"/>
  <c r="CK97" i="1"/>
  <c r="CK100" i="1"/>
  <c r="CK95" i="1"/>
  <c r="CK99" i="1"/>
  <c r="CK98" i="1"/>
  <c r="CK101" i="1"/>
  <c r="CK94" i="1"/>
  <c r="CK92" i="1"/>
  <c r="CK96" i="1"/>
  <c r="CK91" i="1"/>
  <c r="CK68" i="1"/>
  <c r="CK93" i="1"/>
  <c r="J44" i="1"/>
  <c r="J47" i="1" s="1"/>
  <c r="Z44" i="1"/>
  <c r="Z47" i="1" s="1"/>
  <c r="AH44" i="1"/>
  <c r="AH47" i="1" s="1"/>
  <c r="BY44" i="1"/>
  <c r="BY47" i="1" s="1"/>
  <c r="D46" i="1"/>
  <c r="T46" i="1"/>
  <c r="AP46" i="1"/>
  <c r="CI46" i="1"/>
  <c r="AL48" i="1"/>
  <c r="BY48" i="1"/>
  <c r="D51" i="1"/>
  <c r="D110" i="1" s="1"/>
  <c r="T106" i="1"/>
  <c r="AP54" i="1"/>
  <c r="CA51" i="1"/>
  <c r="F52" i="1"/>
  <c r="CO52" i="1"/>
  <c r="CO107" i="1" s="1"/>
  <c r="CA53" i="1"/>
  <c r="BA56" i="1"/>
  <c r="BS56" i="1"/>
  <c r="AW59" i="1"/>
  <c r="AW60" i="1" s="1"/>
  <c r="AW57" i="1" s="1"/>
  <c r="CO59" i="1"/>
  <c r="D68" i="1"/>
  <c r="J68" i="1"/>
  <c r="AY68" i="1"/>
  <c r="AL77" i="1"/>
  <c r="BM56" i="1"/>
  <c r="CO15" i="1"/>
  <c r="CO16" i="1"/>
  <c r="AF111" i="1"/>
  <c r="AF112" i="1"/>
  <c r="AF109" i="1"/>
  <c r="AF103" i="1"/>
  <c r="AF104" i="1"/>
  <c r="AF105" i="1"/>
  <c r="AF106" i="1"/>
  <c r="AF107" i="1"/>
  <c r="AF108" i="1"/>
  <c r="AF98" i="1"/>
  <c r="AF99" i="1"/>
  <c r="AF110" i="1"/>
  <c r="AF100" i="1"/>
  <c r="AF102" i="1"/>
  <c r="AF97" i="1"/>
  <c r="AF93" i="1"/>
  <c r="AF96" i="1"/>
  <c r="AF91" i="1"/>
  <c r="AF101" i="1"/>
  <c r="AF92" i="1"/>
  <c r="AF95" i="1"/>
  <c r="AF94" i="1"/>
  <c r="CC78" i="1"/>
  <c r="CC79" i="1"/>
  <c r="CC77" i="1"/>
  <c r="CC75" i="1"/>
  <c r="X60" i="1"/>
  <c r="X57" i="1" s="1"/>
  <c r="AU12" i="1"/>
  <c r="CC12" i="1"/>
  <c r="D16" i="1"/>
  <c r="AD20" i="1"/>
  <c r="AD24" i="1" s="1"/>
  <c r="AD27" i="1" s="1"/>
  <c r="R107" i="1"/>
  <c r="R111" i="1"/>
  <c r="R112" i="1"/>
  <c r="R102" i="1"/>
  <c r="R95" i="1"/>
  <c r="R99" i="1"/>
  <c r="R68" i="1"/>
  <c r="R94" i="1"/>
  <c r="R91" i="1"/>
  <c r="AL109" i="1"/>
  <c r="AL110" i="1"/>
  <c r="AL111" i="1"/>
  <c r="AL112" i="1"/>
  <c r="AL103" i="1"/>
  <c r="AL105" i="1"/>
  <c r="AL106" i="1"/>
  <c r="AL108" i="1"/>
  <c r="AL104" i="1"/>
  <c r="AL97" i="1"/>
  <c r="AL100" i="1"/>
  <c r="AL102" i="1"/>
  <c r="AL98" i="1"/>
  <c r="AL95" i="1"/>
  <c r="AL96" i="1"/>
  <c r="AL99" i="1"/>
  <c r="AL101" i="1"/>
  <c r="AL94" i="1"/>
  <c r="AL93" i="1"/>
  <c r="AL91" i="1"/>
  <c r="AL107" i="1"/>
  <c r="AL92" i="1"/>
  <c r="BG110" i="1"/>
  <c r="BG111" i="1"/>
  <c r="BG106" i="1"/>
  <c r="BG107" i="1"/>
  <c r="BG108" i="1"/>
  <c r="BG112" i="1"/>
  <c r="BG103" i="1"/>
  <c r="BG101" i="1"/>
  <c r="BG104" i="1"/>
  <c r="BG102" i="1"/>
  <c r="BG105" i="1"/>
  <c r="BG97" i="1"/>
  <c r="BG99" i="1"/>
  <c r="BG93" i="1"/>
  <c r="BG94" i="1"/>
  <c r="BG109" i="1"/>
  <c r="BG98" i="1"/>
  <c r="BG95" i="1"/>
  <c r="BG96" i="1"/>
  <c r="BG100" i="1"/>
  <c r="BG68" i="1"/>
  <c r="BG92" i="1"/>
  <c r="BG91" i="1"/>
  <c r="BM109" i="1"/>
  <c r="BM110" i="1"/>
  <c r="BM111" i="1"/>
  <c r="BM112" i="1"/>
  <c r="BM103" i="1"/>
  <c r="BM104" i="1"/>
  <c r="BM105" i="1"/>
  <c r="BM106" i="1"/>
  <c r="BM107" i="1"/>
  <c r="BM97" i="1"/>
  <c r="BM108" i="1"/>
  <c r="BM100" i="1"/>
  <c r="BM95" i="1"/>
  <c r="BM98" i="1"/>
  <c r="BM102" i="1"/>
  <c r="BM96" i="1"/>
  <c r="BM101" i="1"/>
  <c r="BM94" i="1"/>
  <c r="BM92" i="1"/>
  <c r="BM91" i="1"/>
  <c r="BM99" i="1"/>
  <c r="BM93" i="1"/>
  <c r="BQ53" i="1"/>
  <c r="BQ54" i="1" s="1"/>
  <c r="AY44" i="1"/>
  <c r="AY47" i="1" s="1"/>
  <c r="CA44" i="1"/>
  <c r="CA47" i="1" s="1"/>
  <c r="F46" i="1"/>
  <c r="X46" i="1"/>
  <c r="AL47" i="1"/>
  <c r="D48" i="1"/>
  <c r="AP48" i="1"/>
  <c r="F51" i="1"/>
  <c r="F106" i="1" s="1"/>
  <c r="CC51" i="1"/>
  <c r="CC110" i="1" s="1"/>
  <c r="H52" i="1"/>
  <c r="Z52" i="1"/>
  <c r="Z31" i="1" s="1"/>
  <c r="Z35" i="1" s="1"/>
  <c r="Z37" i="1" s="1"/>
  <c r="AY52" i="1"/>
  <c r="AY31" i="1" s="1"/>
  <c r="AY35" i="1" s="1"/>
  <c r="AY37" i="1" s="1"/>
  <c r="BS52" i="1"/>
  <c r="BS108" i="1" s="1"/>
  <c r="AL53" i="1"/>
  <c r="AL54" i="1" s="1"/>
  <c r="CC53" i="1"/>
  <c r="J54" i="1"/>
  <c r="J56" i="1" s="1"/>
  <c r="L56" i="1"/>
  <c r="AF56" i="1"/>
  <c r="P68" i="1"/>
  <c r="BE68" i="1"/>
  <c r="X72" i="1"/>
  <c r="BS15" i="1"/>
  <c r="BU110" i="1"/>
  <c r="BU111" i="1"/>
  <c r="BU105" i="1"/>
  <c r="BU102" i="1"/>
  <c r="BU97" i="1"/>
  <c r="BU101" i="1"/>
  <c r="BU98" i="1"/>
  <c r="BU94" i="1"/>
  <c r="BU68" i="1"/>
  <c r="Z78" i="1"/>
  <c r="BU16" i="1"/>
  <c r="L109" i="1"/>
  <c r="L110" i="1"/>
  <c r="L111" i="1"/>
  <c r="L112" i="1"/>
  <c r="L107" i="1"/>
  <c r="L108" i="1"/>
  <c r="L104" i="1"/>
  <c r="L105" i="1"/>
  <c r="L102" i="1"/>
  <c r="L106" i="1"/>
  <c r="L98" i="1"/>
  <c r="L103" i="1"/>
  <c r="L101" i="1"/>
  <c r="L97" i="1"/>
  <c r="L94" i="1"/>
  <c r="L99" i="1"/>
  <c r="L95" i="1"/>
  <c r="L96" i="1"/>
  <c r="L100" i="1"/>
  <c r="L93" i="1"/>
  <c r="L91" i="1"/>
  <c r="L68" i="1"/>
  <c r="L92" i="1"/>
  <c r="AF44" i="1"/>
  <c r="AF47" i="1" s="1"/>
  <c r="BC48" i="1"/>
  <c r="BC53" i="1"/>
  <c r="F59" i="1"/>
  <c r="BG11" i="1"/>
  <c r="F12" i="1"/>
  <c r="X12" i="1"/>
  <c r="F137" i="1"/>
  <c r="T72" i="1"/>
  <c r="T15" i="1"/>
  <c r="J20" i="1"/>
  <c r="J24" i="1" s="1"/>
  <c r="J27" i="1" s="1"/>
  <c r="AY20" i="1"/>
  <c r="AY24" i="1" s="1"/>
  <c r="AY27" i="1" s="1"/>
  <c r="P11" i="1"/>
  <c r="BI11" i="1"/>
  <c r="H12" i="1"/>
  <c r="BO12" i="1"/>
  <c r="F15" i="1"/>
  <c r="X15" i="1"/>
  <c r="AU15" i="1"/>
  <c r="CC15" i="1"/>
  <c r="BS20" i="1"/>
  <c r="BS24" i="1" s="1"/>
  <c r="BS27" i="1" s="1"/>
  <c r="D108" i="1"/>
  <c r="D98" i="1"/>
  <c r="T94" i="1"/>
  <c r="T97" i="1"/>
  <c r="T68" i="1"/>
  <c r="AP109" i="1"/>
  <c r="AP110" i="1"/>
  <c r="AP105" i="1"/>
  <c r="AP112" i="1"/>
  <c r="AP106" i="1"/>
  <c r="AP107" i="1"/>
  <c r="AP108" i="1"/>
  <c r="AP104" i="1"/>
  <c r="AP103" i="1"/>
  <c r="AP100" i="1"/>
  <c r="AP101" i="1"/>
  <c r="AP102" i="1"/>
  <c r="AP111" i="1"/>
  <c r="AP99" i="1"/>
  <c r="AP95" i="1"/>
  <c r="AP97" i="1"/>
  <c r="AP68" i="1"/>
  <c r="AP94" i="1"/>
  <c r="AP98" i="1"/>
  <c r="AP92" i="1"/>
  <c r="AP96" i="1"/>
  <c r="AP93" i="1"/>
  <c r="AP91" i="1"/>
  <c r="BI109" i="1"/>
  <c r="BI110" i="1"/>
  <c r="BI111" i="1"/>
  <c r="BI112" i="1"/>
  <c r="BI108" i="1"/>
  <c r="BI104" i="1"/>
  <c r="BI105" i="1"/>
  <c r="BI102" i="1"/>
  <c r="BI107" i="1"/>
  <c r="BI103" i="1"/>
  <c r="BI96" i="1"/>
  <c r="BI99" i="1"/>
  <c r="BI101" i="1"/>
  <c r="BI97" i="1"/>
  <c r="BI94" i="1"/>
  <c r="BI106" i="1"/>
  <c r="BI95" i="1"/>
  <c r="BI98" i="1"/>
  <c r="BI100" i="1"/>
  <c r="BI93" i="1"/>
  <c r="BI68" i="1"/>
  <c r="BI92" i="1"/>
  <c r="BI91" i="1"/>
  <c r="CO109" i="1"/>
  <c r="CO110" i="1"/>
  <c r="CO108" i="1"/>
  <c r="CO106" i="1"/>
  <c r="CO112" i="1"/>
  <c r="CO100" i="1"/>
  <c r="CO101" i="1"/>
  <c r="CO98" i="1"/>
  <c r="CO99" i="1"/>
  <c r="CO92" i="1"/>
  <c r="CO103" i="1"/>
  <c r="CO102" i="1"/>
  <c r="CO94" i="1"/>
  <c r="CO97" i="1"/>
  <c r="CO93" i="1"/>
  <c r="R42" i="1"/>
  <c r="R105" i="1" s="1"/>
  <c r="CI42" i="1"/>
  <c r="CI103" i="1" s="1"/>
  <c r="D44" i="1"/>
  <c r="D47" i="1" s="1"/>
  <c r="L44" i="1"/>
  <c r="L47" i="1" s="1"/>
  <c r="T44" i="1"/>
  <c r="AJ44" i="1"/>
  <c r="BM75" i="1"/>
  <c r="CC44" i="1"/>
  <c r="CC47" i="1" s="1"/>
  <c r="H46" i="1"/>
  <c r="Z46" i="1"/>
  <c r="AW46" i="1"/>
  <c r="BS46" i="1"/>
  <c r="T47" i="1"/>
  <c r="AP47" i="1"/>
  <c r="F48" i="1"/>
  <c r="X48" i="1"/>
  <c r="CC48" i="1"/>
  <c r="H51" i="1"/>
  <c r="Z51" i="1"/>
  <c r="BO51" i="1"/>
  <c r="BO103" i="1" s="1"/>
  <c r="BC52" i="1"/>
  <c r="BC31" i="1" s="1"/>
  <c r="BC35" i="1" s="1"/>
  <c r="BC37" i="1" s="1"/>
  <c r="BE56" i="1"/>
  <c r="CQ56" i="1"/>
  <c r="AP67" i="1"/>
  <c r="F72" i="1"/>
  <c r="BC79" i="1"/>
  <c r="AD98" i="1"/>
  <c r="CO12" i="1"/>
  <c r="BU42" i="1"/>
  <c r="BU103" i="1" s="1"/>
  <c r="CA109" i="1"/>
  <c r="CA110" i="1"/>
  <c r="CA111" i="1"/>
  <c r="CA107" i="1"/>
  <c r="CA108" i="1"/>
  <c r="CA104" i="1"/>
  <c r="CA105" i="1"/>
  <c r="CA102" i="1"/>
  <c r="CA106" i="1"/>
  <c r="CA93" i="1"/>
  <c r="CA101" i="1"/>
  <c r="CA95" i="1"/>
  <c r="CA100" i="1"/>
  <c r="CA99" i="1"/>
  <c r="CA97" i="1"/>
  <c r="CA91" i="1"/>
  <c r="CA92" i="1"/>
  <c r="CA52" i="1"/>
  <c r="CA112" i="1" s="1"/>
  <c r="BU54" i="1"/>
  <c r="BU56" i="1" s="1"/>
  <c r="BU15" i="1"/>
  <c r="BA109" i="1"/>
  <c r="BA110" i="1"/>
  <c r="BA111" i="1"/>
  <c r="BA112" i="1"/>
  <c r="BA108" i="1"/>
  <c r="BA104" i="1"/>
  <c r="BA105" i="1"/>
  <c r="BA106" i="1"/>
  <c r="BA102" i="1"/>
  <c r="BA107" i="1"/>
  <c r="BA103" i="1"/>
  <c r="BA99" i="1"/>
  <c r="BA94" i="1"/>
  <c r="BA95" i="1"/>
  <c r="BA96" i="1"/>
  <c r="BA101" i="1"/>
  <c r="BA100" i="1"/>
  <c r="BA98" i="1"/>
  <c r="BA93" i="1"/>
  <c r="BA92" i="1"/>
  <c r="BA91" i="1"/>
  <c r="BA68" i="1"/>
  <c r="BA97" i="1"/>
  <c r="AY59" i="1"/>
  <c r="AF60" i="1"/>
  <c r="AF57" i="1" s="1"/>
  <c r="R11" i="1"/>
  <c r="AP15" i="1"/>
  <c r="BM11" i="1"/>
  <c r="CU11" i="1" s="1"/>
  <c r="CU16" i="1" s="1"/>
  <c r="H15" i="1"/>
  <c r="AW15" i="1"/>
  <c r="BO15" i="1"/>
  <c r="F112" i="1"/>
  <c r="F104" i="1"/>
  <c r="F109" i="1"/>
  <c r="F101" i="1"/>
  <c r="F92" i="1"/>
  <c r="F94" i="1"/>
  <c r="X111" i="1"/>
  <c r="X112" i="1"/>
  <c r="X103" i="1"/>
  <c r="X110" i="1"/>
  <c r="X104" i="1"/>
  <c r="X105" i="1"/>
  <c r="X106" i="1"/>
  <c r="X109" i="1"/>
  <c r="X107" i="1"/>
  <c r="X108" i="1"/>
  <c r="X98" i="1"/>
  <c r="X99" i="1"/>
  <c r="X100" i="1"/>
  <c r="X102" i="1"/>
  <c r="X101" i="1"/>
  <c r="X93" i="1"/>
  <c r="X97" i="1"/>
  <c r="X96" i="1"/>
  <c r="X91" i="1"/>
  <c r="X94" i="1"/>
  <c r="X92" i="1"/>
  <c r="X95" i="1"/>
  <c r="AU110" i="1"/>
  <c r="AU111" i="1"/>
  <c r="AU112" i="1"/>
  <c r="AU103" i="1"/>
  <c r="AU104" i="1"/>
  <c r="AU109" i="1"/>
  <c r="AU105" i="1"/>
  <c r="AU106" i="1"/>
  <c r="AU107" i="1"/>
  <c r="AU98" i="1"/>
  <c r="AU99" i="1"/>
  <c r="AU101" i="1"/>
  <c r="AU96" i="1"/>
  <c r="AU100" i="1"/>
  <c r="AU97" i="1"/>
  <c r="AU92" i="1"/>
  <c r="AU108" i="1"/>
  <c r="AU95" i="1"/>
  <c r="AU94" i="1"/>
  <c r="AU91" i="1"/>
  <c r="AU93" i="1"/>
  <c r="AU102" i="1"/>
  <c r="BW111" i="1"/>
  <c r="BW112" i="1"/>
  <c r="BW104" i="1"/>
  <c r="BW109" i="1"/>
  <c r="BW105" i="1"/>
  <c r="BW106" i="1"/>
  <c r="BW110" i="1"/>
  <c r="BW108" i="1"/>
  <c r="BW99" i="1"/>
  <c r="BW100" i="1"/>
  <c r="BW96" i="1"/>
  <c r="BW101" i="1"/>
  <c r="BW93" i="1"/>
  <c r="BW102" i="1"/>
  <c r="BW91" i="1"/>
  <c r="BW92" i="1"/>
  <c r="BW95" i="1"/>
  <c r="BC44" i="1"/>
  <c r="BC47" i="1" s="1"/>
  <c r="BO44" i="1"/>
  <c r="BO47" i="1" s="1"/>
  <c r="J46" i="1"/>
  <c r="AD46" i="1"/>
  <c r="AY46" i="1"/>
  <c r="BU46" i="1"/>
  <c r="F47" i="1"/>
  <c r="X47" i="1"/>
  <c r="BM47" i="1"/>
  <c r="AW48" i="1"/>
  <c r="BO48" i="1"/>
  <c r="CI51" i="1"/>
  <c r="CI100" i="1" s="1"/>
  <c r="BW52" i="1"/>
  <c r="BW107" i="1" s="1"/>
  <c r="BO53" i="1"/>
  <c r="BO54" i="1" s="1"/>
  <c r="BO60" i="1" s="1"/>
  <c r="BO57" i="1" s="1"/>
  <c r="CK53" i="1"/>
  <c r="CK54" i="1" s="1"/>
  <c r="CK60" i="1" s="1"/>
  <c r="CK57" i="1" s="1"/>
  <c r="P56" i="1"/>
  <c r="AL56" i="1"/>
  <c r="BG56" i="1"/>
  <c r="BQ68" i="1"/>
  <c r="AD72" i="1"/>
  <c r="BS75" i="1"/>
  <c r="S92" i="1"/>
  <c r="AB92" i="1"/>
  <c r="AK92" i="1"/>
  <c r="AT92" i="1"/>
  <c r="BD92" i="1"/>
  <c r="BP92" i="1"/>
  <c r="CM92" i="1"/>
  <c r="AM93" i="1"/>
  <c r="BB93" i="1"/>
  <c r="O94" i="1"/>
  <c r="AE94" i="1"/>
  <c r="AV94" i="1"/>
  <c r="CD94" i="1"/>
  <c r="BD95" i="1"/>
  <c r="CM95" i="1"/>
  <c r="AG96" i="1"/>
  <c r="AZ97" i="1"/>
  <c r="Q98" i="1"/>
  <c r="BR98" i="1"/>
  <c r="AE99" i="1"/>
  <c r="BV100" i="1"/>
  <c r="AV101" i="1"/>
  <c r="AT102" i="1"/>
  <c r="CH105" i="1"/>
  <c r="AX91" i="1"/>
  <c r="BF91" i="1"/>
  <c r="CG91" i="1"/>
  <c r="K92" i="1"/>
  <c r="AC92" i="1"/>
  <c r="AV92" i="1"/>
  <c r="BR92" i="1"/>
  <c r="CB92" i="1"/>
  <c r="CN92" i="1"/>
  <c r="O93" i="1"/>
  <c r="AB93" i="1"/>
  <c r="AO93" i="1"/>
  <c r="BV93" i="1"/>
  <c r="CL93" i="1"/>
  <c r="AX94" i="1"/>
  <c r="Y95" i="1"/>
  <c r="CN95" i="1"/>
  <c r="BR96" i="1"/>
  <c r="Q97" i="1"/>
  <c r="BT98" i="1"/>
  <c r="K100" i="1"/>
  <c r="BZ100" i="1"/>
  <c r="AZ101" i="1"/>
  <c r="K91" i="1"/>
  <c r="S91" i="1"/>
  <c r="AA91" i="1"/>
  <c r="AI91" i="1"/>
  <c r="AQ91" i="1"/>
  <c r="BR91" i="1"/>
  <c r="BZ91" i="1"/>
  <c r="CH91" i="1"/>
  <c r="CP91" i="1"/>
  <c r="U92" i="1"/>
  <c r="AD92" i="1"/>
  <c r="AN92" i="1"/>
  <c r="BF92" i="1"/>
  <c r="CP92" i="1"/>
  <c r="Q93" i="1"/>
  <c r="AD93" i="1"/>
  <c r="BX93" i="1"/>
  <c r="CN93" i="1"/>
  <c r="CL94" i="1"/>
  <c r="I96" i="1"/>
  <c r="AO96" i="1"/>
  <c r="BZ96" i="1"/>
  <c r="Y97" i="1"/>
  <c r="BP97" i="1"/>
  <c r="AC98" i="1"/>
  <c r="CF98" i="1"/>
  <c r="AT99" i="1"/>
  <c r="W100" i="1"/>
  <c r="CL100" i="1"/>
  <c r="CN112" i="1"/>
  <c r="CF112" i="1"/>
  <c r="BX112" i="1"/>
  <c r="BP112" i="1"/>
  <c r="AO112" i="1"/>
  <c r="AG112" i="1"/>
  <c r="Y112" i="1"/>
  <c r="Q112" i="1"/>
  <c r="I112" i="1"/>
  <c r="CM111" i="1"/>
  <c r="BD111" i="1"/>
  <c r="AV111" i="1"/>
  <c r="AN111" i="1"/>
  <c r="CL110" i="1"/>
  <c r="CD110" i="1"/>
  <c r="BV110" i="1"/>
  <c r="BN110" i="1"/>
  <c r="AM110" i="1"/>
  <c r="AE110" i="1"/>
  <c r="W110" i="1"/>
  <c r="O110" i="1"/>
  <c r="BB109" i="1"/>
  <c r="AT109" i="1"/>
  <c r="V109" i="1"/>
  <c r="CJ108" i="1"/>
  <c r="CM112" i="1"/>
  <c r="BD112" i="1"/>
  <c r="AV112" i="1"/>
  <c r="AN112" i="1"/>
  <c r="CL111" i="1"/>
  <c r="CD111" i="1"/>
  <c r="BV111" i="1"/>
  <c r="BN111" i="1"/>
  <c r="AM111" i="1"/>
  <c r="AE111" i="1"/>
  <c r="W111" i="1"/>
  <c r="O111" i="1"/>
  <c r="BB110" i="1"/>
  <c r="AT110" i="1"/>
  <c r="V110" i="1"/>
  <c r="CJ109" i="1"/>
  <c r="CB109" i="1"/>
  <c r="BT109" i="1"/>
  <c r="AS109" i="1"/>
  <c r="AK109" i="1"/>
  <c r="CL112" i="1"/>
  <c r="CD112" i="1"/>
  <c r="BV112" i="1"/>
  <c r="BN112" i="1"/>
  <c r="AM112" i="1"/>
  <c r="AE112" i="1"/>
  <c r="W112" i="1"/>
  <c r="O112" i="1"/>
  <c r="BB111" i="1"/>
  <c r="AT111" i="1"/>
  <c r="V111" i="1"/>
  <c r="CJ110" i="1"/>
  <c r="CB110" i="1"/>
  <c r="BT110" i="1"/>
  <c r="AS110" i="1"/>
  <c r="AK110" i="1"/>
  <c r="AC110" i="1"/>
  <c r="U110" i="1"/>
  <c r="M110" i="1"/>
  <c r="BH109" i="1"/>
  <c r="AZ109" i="1"/>
  <c r="AR109" i="1"/>
  <c r="AB109" i="1"/>
  <c r="CP108" i="1"/>
  <c r="CH108" i="1"/>
  <c r="BB112" i="1"/>
  <c r="AT112" i="1"/>
  <c r="V112" i="1"/>
  <c r="CJ111" i="1"/>
  <c r="CB111" i="1"/>
  <c r="BT111" i="1"/>
  <c r="AS111" i="1"/>
  <c r="AK111" i="1"/>
  <c r="AC111" i="1"/>
  <c r="U111" i="1"/>
  <c r="M111" i="1"/>
  <c r="BH110" i="1"/>
  <c r="AZ110" i="1"/>
  <c r="AR110" i="1"/>
  <c r="AB110" i="1"/>
  <c r="CP109" i="1"/>
  <c r="CH109" i="1"/>
  <c r="BZ109" i="1"/>
  <c r="BR109" i="1"/>
  <c r="CJ112" i="1"/>
  <c r="CB112" i="1"/>
  <c r="BT112" i="1"/>
  <c r="AS112" i="1"/>
  <c r="AK112" i="1"/>
  <c r="AC112" i="1"/>
  <c r="U112" i="1"/>
  <c r="M112" i="1"/>
  <c r="BH111" i="1"/>
  <c r="AZ111" i="1"/>
  <c r="AR111" i="1"/>
  <c r="AB111" i="1"/>
  <c r="CP110" i="1"/>
  <c r="CH110" i="1"/>
  <c r="BZ110" i="1"/>
  <c r="BR110" i="1"/>
  <c r="AQ110" i="1"/>
  <c r="AI110" i="1"/>
  <c r="AA110" i="1"/>
  <c r="S110" i="1"/>
  <c r="K110" i="1"/>
  <c r="CG109" i="1"/>
  <c r="BF109" i="1"/>
  <c r="AX109" i="1"/>
  <c r="CN108" i="1"/>
  <c r="CF108" i="1"/>
  <c r="BX108" i="1"/>
  <c r="BP108" i="1"/>
  <c r="BH112" i="1"/>
  <c r="AZ112" i="1"/>
  <c r="AR112" i="1"/>
  <c r="AB112" i="1"/>
  <c r="CP111" i="1"/>
  <c r="CH111" i="1"/>
  <c r="BZ111" i="1"/>
  <c r="BR111" i="1"/>
  <c r="AQ111" i="1"/>
  <c r="AI111" i="1"/>
  <c r="AA111" i="1"/>
  <c r="S111" i="1"/>
  <c r="K111" i="1"/>
  <c r="CG110" i="1"/>
  <c r="BF110" i="1"/>
  <c r="AX110" i="1"/>
  <c r="CN109" i="1"/>
  <c r="CF109" i="1"/>
  <c r="BX109" i="1"/>
  <c r="BP109" i="1"/>
  <c r="AO109" i="1"/>
  <c r="AG109" i="1"/>
  <c r="Y109" i="1"/>
  <c r="BZ112" i="1"/>
  <c r="AQ112" i="1"/>
  <c r="K112" i="1"/>
  <c r="CN110" i="1"/>
  <c r="Y110" i="1"/>
  <c r="Q109" i="1"/>
  <c r="CD108" i="1"/>
  <c r="AS108" i="1"/>
  <c r="AK108" i="1"/>
  <c r="AC108" i="1"/>
  <c r="U108" i="1"/>
  <c r="M108" i="1"/>
  <c r="BH107" i="1"/>
  <c r="AZ107" i="1"/>
  <c r="AR107" i="1"/>
  <c r="AB107" i="1"/>
  <c r="CP106" i="1"/>
  <c r="CH106" i="1"/>
  <c r="BZ106" i="1"/>
  <c r="BR106" i="1"/>
  <c r="AQ106" i="1"/>
  <c r="AI106" i="1"/>
  <c r="AA106" i="1"/>
  <c r="S106" i="1"/>
  <c r="K106" i="1"/>
  <c r="CG105" i="1"/>
  <c r="BF105" i="1"/>
  <c r="AX105" i="1"/>
  <c r="CN104" i="1"/>
  <c r="CF104" i="1"/>
  <c r="BX104" i="1"/>
  <c r="BP104" i="1"/>
  <c r="AO104" i="1"/>
  <c r="AG104" i="1"/>
  <c r="Y104" i="1"/>
  <c r="Q104" i="1"/>
  <c r="I104" i="1"/>
  <c r="CM103" i="1"/>
  <c r="BD103" i="1"/>
  <c r="AV103" i="1"/>
  <c r="AN103" i="1"/>
  <c r="BP111" i="1"/>
  <c r="AG111" i="1"/>
  <c r="CM110" i="1"/>
  <c r="BD110" i="1"/>
  <c r="CD109" i="1"/>
  <c r="AE109" i="1"/>
  <c r="BT108" i="1"/>
  <c r="BH108" i="1"/>
  <c r="AZ108" i="1"/>
  <c r="AR108" i="1"/>
  <c r="AB108" i="1"/>
  <c r="CP107" i="1"/>
  <c r="CH107" i="1"/>
  <c r="BZ107" i="1"/>
  <c r="BR107" i="1"/>
  <c r="AQ107" i="1"/>
  <c r="AI107" i="1"/>
  <c r="AA107" i="1"/>
  <c r="S107" i="1"/>
  <c r="K107" i="1"/>
  <c r="CG106" i="1"/>
  <c r="BF106" i="1"/>
  <c r="AX106" i="1"/>
  <c r="CN105" i="1"/>
  <c r="CF105" i="1"/>
  <c r="BX105" i="1"/>
  <c r="BP105" i="1"/>
  <c r="AO105" i="1"/>
  <c r="AG105" i="1"/>
  <c r="Y105" i="1"/>
  <c r="Q105" i="1"/>
  <c r="I105" i="1"/>
  <c r="CM104" i="1"/>
  <c r="BD104" i="1"/>
  <c r="AV104" i="1"/>
  <c r="AN104" i="1"/>
  <c r="CL103" i="1"/>
  <c r="CD103" i="1"/>
  <c r="BV103" i="1"/>
  <c r="BN103" i="1"/>
  <c r="AM103" i="1"/>
  <c r="AE103" i="1"/>
  <c r="W103" i="1"/>
  <c r="O103" i="1"/>
  <c r="BR112" i="1"/>
  <c r="AI112" i="1"/>
  <c r="BF111" i="1"/>
  <c r="CF110" i="1"/>
  <c r="Q110" i="1"/>
  <c r="AV109" i="1"/>
  <c r="AC109" i="1"/>
  <c r="O109" i="1"/>
  <c r="CM108" i="1"/>
  <c r="CB108" i="1"/>
  <c r="AQ108" i="1"/>
  <c r="AI108" i="1"/>
  <c r="AA108" i="1"/>
  <c r="S108" i="1"/>
  <c r="K108" i="1"/>
  <c r="CG107" i="1"/>
  <c r="BF107" i="1"/>
  <c r="AX107" i="1"/>
  <c r="CN106" i="1"/>
  <c r="CF106" i="1"/>
  <c r="BX106" i="1"/>
  <c r="BP106" i="1"/>
  <c r="AO106" i="1"/>
  <c r="AG106" i="1"/>
  <c r="Y106" i="1"/>
  <c r="Q106" i="1"/>
  <c r="I106" i="1"/>
  <c r="CM105" i="1"/>
  <c r="BD105" i="1"/>
  <c r="AV105" i="1"/>
  <c r="AN105" i="1"/>
  <c r="CL104" i="1"/>
  <c r="CD104" i="1"/>
  <c r="BV104" i="1"/>
  <c r="BN104" i="1"/>
  <c r="AM104" i="1"/>
  <c r="AE104" i="1"/>
  <c r="W104" i="1"/>
  <c r="O104" i="1"/>
  <c r="BB103" i="1"/>
  <c r="AT103" i="1"/>
  <c r="V103" i="1"/>
  <c r="CJ102" i="1"/>
  <c r="CB102" i="1"/>
  <c r="BT102" i="1"/>
  <c r="CN111" i="1"/>
  <c r="Y111" i="1"/>
  <c r="AV110" i="1"/>
  <c r="BV109" i="1"/>
  <c r="AA109" i="1"/>
  <c r="M109" i="1"/>
  <c r="CL108" i="1"/>
  <c r="BR108" i="1"/>
  <c r="BF108" i="1"/>
  <c r="AX108" i="1"/>
  <c r="CN107" i="1"/>
  <c r="CF107" i="1"/>
  <c r="BX107" i="1"/>
  <c r="BP107" i="1"/>
  <c r="AO107" i="1"/>
  <c r="AG107" i="1"/>
  <c r="Y107" i="1"/>
  <c r="Q107" i="1"/>
  <c r="I107" i="1"/>
  <c r="CM106" i="1"/>
  <c r="BD106" i="1"/>
  <c r="AV106" i="1"/>
  <c r="AN106" i="1"/>
  <c r="CL105" i="1"/>
  <c r="CD105" i="1"/>
  <c r="BV105" i="1"/>
  <c r="BN105" i="1"/>
  <c r="AM105" i="1"/>
  <c r="AE105" i="1"/>
  <c r="W105" i="1"/>
  <c r="O105" i="1"/>
  <c r="CP112" i="1"/>
  <c r="AA112" i="1"/>
  <c r="CG111" i="1"/>
  <c r="AX111" i="1"/>
  <c r="BX110" i="1"/>
  <c r="AO110" i="1"/>
  <c r="I110" i="1"/>
  <c r="AQ109" i="1"/>
  <c r="K109" i="1"/>
  <c r="BZ108" i="1"/>
  <c r="AO108" i="1"/>
  <c r="AG108" i="1"/>
  <c r="Y108" i="1"/>
  <c r="Q108" i="1"/>
  <c r="I108" i="1"/>
  <c r="CM107" i="1"/>
  <c r="BD107" i="1"/>
  <c r="AV107" i="1"/>
  <c r="AN107" i="1"/>
  <c r="CL106" i="1"/>
  <c r="CD106" i="1"/>
  <c r="BV106" i="1"/>
  <c r="BN106" i="1"/>
  <c r="AM106" i="1"/>
  <c r="AE106" i="1"/>
  <c r="W106" i="1"/>
  <c r="O106" i="1"/>
  <c r="BB105" i="1"/>
  <c r="AT105" i="1"/>
  <c r="V105" i="1"/>
  <c r="CJ104" i="1"/>
  <c r="CB104" i="1"/>
  <c r="BT104" i="1"/>
  <c r="AS104" i="1"/>
  <c r="AK104" i="1"/>
  <c r="AC104" i="1"/>
  <c r="U104" i="1"/>
  <c r="M104" i="1"/>
  <c r="BH103" i="1"/>
  <c r="AZ103" i="1"/>
  <c r="AR103" i="1"/>
  <c r="AB103" i="1"/>
  <c r="BF112" i="1"/>
  <c r="CF111" i="1"/>
  <c r="Q111" i="1"/>
  <c r="AN110" i="1"/>
  <c r="BN109" i="1"/>
  <c r="AN109" i="1"/>
  <c r="W109" i="1"/>
  <c r="I109" i="1"/>
  <c r="BD108" i="1"/>
  <c r="AV108" i="1"/>
  <c r="AN108" i="1"/>
  <c r="CL107" i="1"/>
  <c r="CD107" i="1"/>
  <c r="BV107" i="1"/>
  <c r="BN107" i="1"/>
  <c r="AM107" i="1"/>
  <c r="AE107" i="1"/>
  <c r="W107" i="1"/>
  <c r="O107" i="1"/>
  <c r="BB106" i="1"/>
  <c r="AT106" i="1"/>
  <c r="V106" i="1"/>
  <c r="CJ105" i="1"/>
  <c r="CB105" i="1"/>
  <c r="BT105" i="1"/>
  <c r="AS105" i="1"/>
  <c r="AK105" i="1"/>
  <c r="AC105" i="1"/>
  <c r="U105" i="1"/>
  <c r="M105" i="1"/>
  <c r="BH104" i="1"/>
  <c r="AZ104" i="1"/>
  <c r="AR104" i="1"/>
  <c r="AB104" i="1"/>
  <c r="CP103" i="1"/>
  <c r="CH103" i="1"/>
  <c r="BZ103" i="1"/>
  <c r="BR103" i="1"/>
  <c r="AQ103" i="1"/>
  <c r="AI103" i="1"/>
  <c r="AA103" i="1"/>
  <c r="S103" i="1"/>
  <c r="S112" i="1"/>
  <c r="BP110" i="1"/>
  <c r="AM109" i="1"/>
  <c r="AM108" i="1"/>
  <c r="CJ106" i="1"/>
  <c r="U106" i="1"/>
  <c r="AR105" i="1"/>
  <c r="BR104" i="1"/>
  <c r="AQ104" i="1"/>
  <c r="V104" i="1"/>
  <c r="CN103" i="1"/>
  <c r="AS103" i="1"/>
  <c r="Y103" i="1"/>
  <c r="CM102" i="1"/>
  <c r="CD102" i="1"/>
  <c r="AS102" i="1"/>
  <c r="AK102" i="1"/>
  <c r="AC102" i="1"/>
  <c r="U102" i="1"/>
  <c r="M102" i="1"/>
  <c r="AI109" i="1"/>
  <c r="BV108" i="1"/>
  <c r="AC107" i="1"/>
  <c r="AZ106" i="1"/>
  <c r="BZ105" i="1"/>
  <c r="AQ105" i="1"/>
  <c r="K105" i="1"/>
  <c r="S104" i="1"/>
  <c r="CJ103" i="1"/>
  <c r="BP103" i="1"/>
  <c r="U103" i="1"/>
  <c r="I103" i="1"/>
  <c r="CL102" i="1"/>
  <c r="BH102" i="1"/>
  <c r="AZ102" i="1"/>
  <c r="AR102" i="1"/>
  <c r="AB102" i="1"/>
  <c r="CP101" i="1"/>
  <c r="CH101" i="1"/>
  <c r="BZ101" i="1"/>
  <c r="BR101" i="1"/>
  <c r="AQ101" i="1"/>
  <c r="AI101" i="1"/>
  <c r="AA101" i="1"/>
  <c r="S101" i="1"/>
  <c r="K101" i="1"/>
  <c r="CG100" i="1"/>
  <c r="BF100" i="1"/>
  <c r="AX100" i="1"/>
  <c r="CN99" i="1"/>
  <c r="CF99" i="1"/>
  <c r="BX99" i="1"/>
  <c r="BP99" i="1"/>
  <c r="AO99" i="1"/>
  <c r="AG99" i="1"/>
  <c r="Y99" i="1"/>
  <c r="Q99" i="1"/>
  <c r="I99" i="1"/>
  <c r="CM98" i="1"/>
  <c r="BD98" i="1"/>
  <c r="AV98" i="1"/>
  <c r="AN98" i="1"/>
  <c r="CL97" i="1"/>
  <c r="CD97" i="1"/>
  <c r="BV97" i="1"/>
  <c r="BN97" i="1"/>
  <c r="AG110" i="1"/>
  <c r="U109" i="1"/>
  <c r="BN108" i="1"/>
  <c r="AE108" i="1"/>
  <c r="BB107" i="1"/>
  <c r="V107" i="1"/>
  <c r="CB106" i="1"/>
  <c r="AS106" i="1"/>
  <c r="M106" i="1"/>
  <c r="CP104" i="1"/>
  <c r="CG103" i="1"/>
  <c r="AO103" i="1"/>
  <c r="BR102" i="1"/>
  <c r="AQ102" i="1"/>
  <c r="AI102" i="1"/>
  <c r="AA102" i="1"/>
  <c r="S102" i="1"/>
  <c r="K102" i="1"/>
  <c r="CG101" i="1"/>
  <c r="BF101" i="1"/>
  <c r="AX101" i="1"/>
  <c r="CN100" i="1"/>
  <c r="CF100" i="1"/>
  <c r="BX100" i="1"/>
  <c r="BP100" i="1"/>
  <c r="AO100" i="1"/>
  <c r="AG100" i="1"/>
  <c r="Y100" i="1"/>
  <c r="Q100" i="1"/>
  <c r="I100" i="1"/>
  <c r="CM99" i="1"/>
  <c r="BD99" i="1"/>
  <c r="AV99" i="1"/>
  <c r="AN99" i="1"/>
  <c r="CL98" i="1"/>
  <c r="CD98" i="1"/>
  <c r="BV98" i="1"/>
  <c r="BN98" i="1"/>
  <c r="AM98" i="1"/>
  <c r="AE98" i="1"/>
  <c r="W98" i="1"/>
  <c r="O98" i="1"/>
  <c r="BB97" i="1"/>
  <c r="AT97" i="1"/>
  <c r="V97" i="1"/>
  <c r="CJ96" i="1"/>
  <c r="CB96" i="1"/>
  <c r="BT96" i="1"/>
  <c r="BX111" i="1"/>
  <c r="S109" i="1"/>
  <c r="CJ107" i="1"/>
  <c r="U107" i="1"/>
  <c r="AR106" i="1"/>
  <c r="BR105" i="1"/>
  <c r="AI105" i="1"/>
  <c r="BF104" i="1"/>
  <c r="AI104" i="1"/>
  <c r="CF103" i="1"/>
  <c r="BF103" i="1"/>
  <c r="AK103" i="1"/>
  <c r="BZ102" i="1"/>
  <c r="BF102" i="1"/>
  <c r="AX102" i="1"/>
  <c r="CN101" i="1"/>
  <c r="CF101" i="1"/>
  <c r="BX101" i="1"/>
  <c r="BP101" i="1"/>
  <c r="AO101" i="1"/>
  <c r="AG101" i="1"/>
  <c r="Y101" i="1"/>
  <c r="Q101" i="1"/>
  <c r="I101" i="1"/>
  <c r="CM100" i="1"/>
  <c r="BD100" i="1"/>
  <c r="AV100" i="1"/>
  <c r="AN100" i="1"/>
  <c r="CL99" i="1"/>
  <c r="CD99" i="1"/>
  <c r="BV99" i="1"/>
  <c r="BN99" i="1"/>
  <c r="AM99" i="1"/>
  <c r="CH112" i="1"/>
  <c r="CM109" i="1"/>
  <c r="W108" i="1"/>
  <c r="AT107" i="1"/>
  <c r="BT106" i="1"/>
  <c r="AK106" i="1"/>
  <c r="BH105" i="1"/>
  <c r="AB105" i="1"/>
  <c r="CH104" i="1"/>
  <c r="BB104" i="1"/>
  <c r="K104" i="1"/>
  <c r="CB103" i="1"/>
  <c r="Q103" i="1"/>
  <c r="CH102" i="1"/>
  <c r="BP102" i="1"/>
  <c r="AO102" i="1"/>
  <c r="AG102" i="1"/>
  <c r="Y102" i="1"/>
  <c r="Q102" i="1"/>
  <c r="I102" i="1"/>
  <c r="CG112" i="1"/>
  <c r="AO111" i="1"/>
  <c r="CL109" i="1"/>
  <c r="BB108" i="1"/>
  <c r="V108" i="1"/>
  <c r="CB107" i="1"/>
  <c r="AS107" i="1"/>
  <c r="M107" i="1"/>
  <c r="CP105" i="1"/>
  <c r="AA105" i="1"/>
  <c r="CG104" i="1"/>
  <c r="AG103" i="1"/>
  <c r="M103" i="1"/>
  <c r="CP102" i="1"/>
  <c r="CG102" i="1"/>
  <c r="BX102" i="1"/>
  <c r="BD102" i="1"/>
  <c r="AV102" i="1"/>
  <c r="AN102" i="1"/>
  <c r="CL101" i="1"/>
  <c r="CD101" i="1"/>
  <c r="BV101" i="1"/>
  <c r="BN101" i="1"/>
  <c r="AM101" i="1"/>
  <c r="AE101" i="1"/>
  <c r="W101" i="1"/>
  <c r="O101" i="1"/>
  <c r="BB100" i="1"/>
  <c r="AT100" i="1"/>
  <c r="V100" i="1"/>
  <c r="CJ99" i="1"/>
  <c r="CB99" i="1"/>
  <c r="BT99" i="1"/>
  <c r="AS99" i="1"/>
  <c r="AK99" i="1"/>
  <c r="AC99" i="1"/>
  <c r="U99" i="1"/>
  <c r="M99" i="1"/>
  <c r="BH98" i="1"/>
  <c r="AZ98" i="1"/>
  <c r="AR98" i="1"/>
  <c r="AB98" i="1"/>
  <c r="CP97" i="1"/>
  <c r="CH97" i="1"/>
  <c r="BZ97" i="1"/>
  <c r="BR97" i="1"/>
  <c r="AX112" i="1"/>
  <c r="AT108" i="1"/>
  <c r="BV102" i="1"/>
  <c r="CB101" i="1"/>
  <c r="AS101" i="1"/>
  <c r="AC101" i="1"/>
  <c r="M101" i="1"/>
  <c r="AZ100" i="1"/>
  <c r="CP99" i="1"/>
  <c r="BZ99" i="1"/>
  <c r="AQ99" i="1"/>
  <c r="AB99" i="1"/>
  <c r="O99" i="1"/>
  <c r="CB98" i="1"/>
  <c r="BP98" i="1"/>
  <c r="M98" i="1"/>
  <c r="CM97" i="1"/>
  <c r="AX97" i="1"/>
  <c r="AO97" i="1"/>
  <c r="W97" i="1"/>
  <c r="M97" i="1"/>
  <c r="CP96" i="1"/>
  <c r="CG96" i="1"/>
  <c r="BX96" i="1"/>
  <c r="AM96" i="1"/>
  <c r="AE96" i="1"/>
  <c r="W96" i="1"/>
  <c r="O96" i="1"/>
  <c r="BB95" i="1"/>
  <c r="AT95" i="1"/>
  <c r="V95" i="1"/>
  <c r="CJ94" i="1"/>
  <c r="CB94" i="1"/>
  <c r="BT94" i="1"/>
  <c r="AS94" i="1"/>
  <c r="AK94" i="1"/>
  <c r="AC94" i="1"/>
  <c r="U94" i="1"/>
  <c r="M94" i="1"/>
  <c r="BH93" i="1"/>
  <c r="AZ93" i="1"/>
  <c r="O108" i="1"/>
  <c r="BN102" i="1"/>
  <c r="AE102" i="1"/>
  <c r="BH101" i="1"/>
  <c r="AR101" i="1"/>
  <c r="AB101" i="1"/>
  <c r="CH100" i="1"/>
  <c r="BR100" i="1"/>
  <c r="AI100" i="1"/>
  <c r="S100" i="1"/>
  <c r="BF99" i="1"/>
  <c r="AA99" i="1"/>
  <c r="CN98" i="1"/>
  <c r="BZ98" i="1"/>
  <c r="AX98" i="1"/>
  <c r="AK98" i="1"/>
  <c r="Y98" i="1"/>
  <c r="K98" i="1"/>
  <c r="CJ97" i="1"/>
  <c r="BX97" i="1"/>
  <c r="BH97" i="1"/>
  <c r="AN97" i="1"/>
  <c r="AE97" i="1"/>
  <c r="U97" i="1"/>
  <c r="CF96" i="1"/>
  <c r="BN96" i="1"/>
  <c r="BB96" i="1"/>
  <c r="AT96" i="1"/>
  <c r="V96" i="1"/>
  <c r="CJ95" i="1"/>
  <c r="CB95" i="1"/>
  <c r="BT95" i="1"/>
  <c r="AS95" i="1"/>
  <c r="AK95" i="1"/>
  <c r="AC95" i="1"/>
  <c r="U95" i="1"/>
  <c r="M95" i="1"/>
  <c r="BH94" i="1"/>
  <c r="AZ94" i="1"/>
  <c r="AR94" i="1"/>
  <c r="AB94" i="1"/>
  <c r="CP93" i="1"/>
  <c r="CH93" i="1"/>
  <c r="BZ93" i="1"/>
  <c r="BR93" i="1"/>
  <c r="AQ93" i="1"/>
  <c r="AI93" i="1"/>
  <c r="AA93" i="1"/>
  <c r="S93" i="1"/>
  <c r="K93" i="1"/>
  <c r="CG92" i="1"/>
  <c r="I111" i="1"/>
  <c r="BH106" i="1"/>
  <c r="S105" i="1"/>
  <c r="K103" i="1"/>
  <c r="CM101" i="1"/>
  <c r="BD101" i="1"/>
  <c r="AN101" i="1"/>
  <c r="CD100" i="1"/>
  <c r="BN100" i="1"/>
  <c r="AE100" i="1"/>
  <c r="O100" i="1"/>
  <c r="BB99" i="1"/>
  <c r="AI98" i="1"/>
  <c r="V98" i="1"/>
  <c r="BF97" i="1"/>
  <c r="AV97" i="1"/>
  <c r="AM97" i="1"/>
  <c r="AC97" i="1"/>
  <c r="K97" i="1"/>
  <c r="CN96" i="1"/>
  <c r="BV96" i="1"/>
  <c r="AS96" i="1"/>
  <c r="AK96" i="1"/>
  <c r="AC96" i="1"/>
  <c r="U96" i="1"/>
  <c r="M96" i="1"/>
  <c r="BH95" i="1"/>
  <c r="AZ95" i="1"/>
  <c r="AR95" i="1"/>
  <c r="AB95" i="1"/>
  <c r="CP94" i="1"/>
  <c r="CH94" i="1"/>
  <c r="BZ94" i="1"/>
  <c r="BR94" i="1"/>
  <c r="AQ94" i="1"/>
  <c r="AC106" i="1"/>
  <c r="BZ104" i="1"/>
  <c r="BX103" i="1"/>
  <c r="W102" i="1"/>
  <c r="BB101" i="1"/>
  <c r="V101" i="1"/>
  <c r="CB100" i="1"/>
  <c r="AS100" i="1"/>
  <c r="AC100" i="1"/>
  <c r="M100" i="1"/>
  <c r="AZ99" i="1"/>
  <c r="W99" i="1"/>
  <c r="K99" i="1"/>
  <c r="CJ98" i="1"/>
  <c r="BX98" i="1"/>
  <c r="AT98" i="1"/>
  <c r="U98" i="1"/>
  <c r="I98" i="1"/>
  <c r="CG97" i="1"/>
  <c r="BT97" i="1"/>
  <c r="AK97" i="1"/>
  <c r="AB97" i="1"/>
  <c r="S97" i="1"/>
  <c r="CM96" i="1"/>
  <c r="CD96" i="1"/>
  <c r="BH96" i="1"/>
  <c r="AZ96" i="1"/>
  <c r="AR96" i="1"/>
  <c r="AB96" i="1"/>
  <c r="CP95" i="1"/>
  <c r="CH95" i="1"/>
  <c r="BZ95" i="1"/>
  <c r="BR95" i="1"/>
  <c r="AQ95" i="1"/>
  <c r="AI95" i="1"/>
  <c r="AA95" i="1"/>
  <c r="S95" i="1"/>
  <c r="K95" i="1"/>
  <c r="CG94" i="1"/>
  <c r="BF94" i="1"/>
  <c r="BD109" i="1"/>
  <c r="BT107" i="1"/>
  <c r="AB106" i="1"/>
  <c r="BT103" i="1"/>
  <c r="CN102" i="1"/>
  <c r="BB102" i="1"/>
  <c r="V102" i="1"/>
  <c r="CJ101" i="1"/>
  <c r="BT101" i="1"/>
  <c r="AK101" i="1"/>
  <c r="U101" i="1"/>
  <c r="BH100" i="1"/>
  <c r="AR100" i="1"/>
  <c r="AB100" i="1"/>
  <c r="CH99" i="1"/>
  <c r="BR99" i="1"/>
  <c r="AI99" i="1"/>
  <c r="V99" i="1"/>
  <c r="CH98" i="1"/>
  <c r="BF98" i="1"/>
  <c r="AS98" i="1"/>
  <c r="AG98" i="1"/>
  <c r="S98" i="1"/>
  <c r="CF97" i="1"/>
  <c r="BD97" i="1"/>
  <c r="AS97" i="1"/>
  <c r="AA97" i="1"/>
  <c r="I97" i="1"/>
  <c r="CL96" i="1"/>
  <c r="AQ96" i="1"/>
  <c r="AI96" i="1"/>
  <c r="AA96" i="1"/>
  <c r="S96" i="1"/>
  <c r="K96" i="1"/>
  <c r="CG95" i="1"/>
  <c r="BF95" i="1"/>
  <c r="AX95" i="1"/>
  <c r="CN94" i="1"/>
  <c r="CF94" i="1"/>
  <c r="BX94" i="1"/>
  <c r="BP94" i="1"/>
  <c r="AO94" i="1"/>
  <c r="AG94" i="1"/>
  <c r="Y94" i="1"/>
  <c r="Q94" i="1"/>
  <c r="I94" i="1"/>
  <c r="CM93" i="1"/>
  <c r="BD93" i="1"/>
  <c r="AV93" i="1"/>
  <c r="AN93" i="1"/>
  <c r="CL92" i="1"/>
  <c r="CD92" i="1"/>
  <c r="BV92" i="1"/>
  <c r="BN92" i="1"/>
  <c r="AM92" i="1"/>
  <c r="AE92" i="1"/>
  <c r="W92" i="1"/>
  <c r="O92" i="1"/>
  <c r="AZ105" i="1"/>
  <c r="AA104" i="1"/>
  <c r="AC103" i="1"/>
  <c r="AM102" i="1"/>
  <c r="AT101" i="1"/>
  <c r="CJ100" i="1"/>
  <c r="BT100" i="1"/>
  <c r="AK100" i="1"/>
  <c r="U100" i="1"/>
  <c r="BH99" i="1"/>
  <c r="AR99" i="1"/>
  <c r="CP98" i="1"/>
  <c r="AO98" i="1"/>
  <c r="AA98" i="1"/>
  <c r="CN97" i="1"/>
  <c r="AG97" i="1"/>
  <c r="O97" i="1"/>
  <c r="CH96" i="1"/>
  <c r="BP96" i="1"/>
  <c r="BD96" i="1"/>
  <c r="AV96" i="1"/>
  <c r="AN96" i="1"/>
  <c r="CL95" i="1"/>
  <c r="CD95" i="1"/>
  <c r="BV95" i="1"/>
  <c r="BN95" i="1"/>
  <c r="AM95" i="1"/>
  <c r="AE95" i="1"/>
  <c r="W95" i="1"/>
  <c r="O95" i="1"/>
  <c r="BB94" i="1"/>
  <c r="AT94" i="1"/>
  <c r="V94" i="1"/>
  <c r="CJ93" i="1"/>
  <c r="CB93" i="1"/>
  <c r="BT93" i="1"/>
  <c r="AS93" i="1"/>
  <c r="AK93" i="1"/>
  <c r="AC93" i="1"/>
  <c r="U93" i="1"/>
  <c r="M93" i="1"/>
  <c r="AB91" i="1"/>
  <c r="AR91" i="1"/>
  <c r="AZ91" i="1"/>
  <c r="BH91" i="1"/>
  <c r="M92" i="1"/>
  <c r="V92" i="1"/>
  <c r="AO92" i="1"/>
  <c r="AX92" i="1"/>
  <c r="BT92" i="1"/>
  <c r="AE93" i="1"/>
  <c r="AR93" i="1"/>
  <c r="BF93" i="1"/>
  <c r="S94" i="1"/>
  <c r="AI94" i="1"/>
  <c r="BD94" i="1"/>
  <c r="CM94" i="1"/>
  <c r="AG95" i="1"/>
  <c r="BP95" i="1"/>
  <c r="CG98" i="1"/>
  <c r="AX99" i="1"/>
  <c r="AA100" i="1"/>
  <c r="CP100" i="1"/>
  <c r="CF102" i="1"/>
  <c r="AD109" i="1"/>
  <c r="AD110" i="1"/>
  <c r="AD111" i="1"/>
  <c r="AD112" i="1"/>
  <c r="AD103" i="1"/>
  <c r="AD105" i="1"/>
  <c r="AD106" i="1"/>
  <c r="AD107" i="1"/>
  <c r="AD97" i="1"/>
  <c r="AD108" i="1"/>
  <c r="AD104" i="1"/>
  <c r="AD100" i="1"/>
  <c r="AD95" i="1"/>
  <c r="AD96" i="1"/>
  <c r="AD102" i="1"/>
  <c r="AD101" i="1"/>
  <c r="AD99" i="1"/>
  <c r="AD94" i="1"/>
  <c r="M91" i="1"/>
  <c r="U91" i="1"/>
  <c r="AC91" i="1"/>
  <c r="AK91" i="1"/>
  <c r="AS91" i="1"/>
  <c r="BT91" i="1"/>
  <c r="CB91" i="1"/>
  <c r="CJ91" i="1"/>
  <c r="AG92" i="1"/>
  <c r="BH92" i="1"/>
  <c r="CF92" i="1"/>
  <c r="AG93" i="1"/>
  <c r="AT93" i="1"/>
  <c r="W94" i="1"/>
  <c r="AM94" i="1"/>
  <c r="BN94" i="1"/>
  <c r="AN95" i="1"/>
  <c r="Q96" i="1"/>
  <c r="CB97" i="1"/>
  <c r="AM100" i="1"/>
  <c r="V91" i="1"/>
  <c r="AD91" i="1"/>
  <c r="AT91" i="1"/>
  <c r="BB91" i="1"/>
  <c r="Y92" i="1"/>
  <c r="AQ92" i="1"/>
  <c r="AZ92" i="1"/>
  <c r="CH92" i="1"/>
  <c r="I93" i="1"/>
  <c r="V93" i="1"/>
  <c r="BN93" i="1"/>
  <c r="CD93" i="1"/>
  <c r="AN94" i="1"/>
  <c r="I95" i="1"/>
  <c r="AO95" i="1"/>
  <c r="BX95" i="1"/>
  <c r="AX96" i="1"/>
  <c r="AI97" i="1"/>
  <c r="AQ98" i="1"/>
  <c r="AQ100" i="1"/>
  <c r="AX103" i="1"/>
  <c r="CG108" i="1"/>
  <c r="O91" i="1"/>
  <c r="W91" i="1"/>
  <c r="AE91" i="1"/>
  <c r="AM91" i="1"/>
  <c r="BN91" i="1"/>
  <c r="BV91" i="1"/>
  <c r="CD91" i="1"/>
  <c r="CL91" i="1"/>
  <c r="Q92" i="1"/>
  <c r="AI92" i="1"/>
  <c r="AR92" i="1"/>
  <c r="BX92" i="1"/>
  <c r="CJ92" i="1"/>
  <c r="W93" i="1"/>
  <c r="BP93" i="1"/>
  <c r="CF93" i="1"/>
  <c r="BV94" i="1"/>
  <c r="AV95" i="1"/>
  <c r="Y96" i="1"/>
  <c r="AQ97" i="1"/>
  <c r="BB98" i="1"/>
  <c r="S99" i="1"/>
  <c r="AT104" i="1"/>
  <c r="AN91" i="1"/>
  <c r="AV91" i="1"/>
  <c r="BD91" i="1"/>
  <c r="CM91" i="1"/>
  <c r="I92" i="1"/>
  <c r="AA92" i="1"/>
  <c r="AS92" i="1"/>
  <c r="BB92" i="1"/>
  <c r="BZ92" i="1"/>
  <c r="Y93" i="1"/>
  <c r="AX93" i="1"/>
  <c r="CG93" i="1"/>
  <c r="K94" i="1"/>
  <c r="AA94" i="1"/>
  <c r="Q95" i="1"/>
  <c r="CF95" i="1"/>
  <c r="BF96" i="1"/>
  <c r="AR97" i="1"/>
  <c r="CG99" i="1"/>
  <c r="O102" i="1"/>
  <c r="AX104" i="1"/>
  <c r="CP7" i="1"/>
  <c r="CQ7" i="1"/>
  <c r="AP31" i="1" l="1"/>
  <c r="AP35" i="1" s="1"/>
  <c r="AP37" i="1" s="1"/>
  <c r="T105" i="1"/>
  <c r="T100" i="1"/>
  <c r="T92" i="1"/>
  <c r="T104" i="1"/>
  <c r="T91" i="1"/>
  <c r="T101" i="1"/>
  <c r="T93" i="1"/>
  <c r="T108" i="1"/>
  <c r="T107" i="1"/>
  <c r="T112" i="1"/>
  <c r="T54" i="1"/>
  <c r="T56" i="1" s="1"/>
  <c r="T99" i="1"/>
  <c r="T103" i="1"/>
  <c r="T110" i="1"/>
  <c r="T111" i="1"/>
  <c r="T96" i="1"/>
  <c r="T102" i="1"/>
  <c r="T109" i="1"/>
  <c r="T98" i="1"/>
  <c r="T95" i="1"/>
  <c r="AW35" i="1"/>
  <c r="AW37" i="1" s="1"/>
  <c r="CQ90" i="1"/>
  <c r="CQ115" i="1" s="1"/>
  <c r="BN90" i="1"/>
  <c r="AB90" i="1"/>
  <c r="AB115" i="1" s="1"/>
  <c r="N60" i="1"/>
  <c r="N57" i="1" s="1"/>
  <c r="AD56" i="1"/>
  <c r="Y90" i="1"/>
  <c r="Y115" i="1" s="1"/>
  <c r="BA90" i="1"/>
  <c r="BA116" i="1" s="1"/>
  <c r="BX90" i="1"/>
  <c r="BX115" i="1" s="1"/>
  <c r="CB90" i="1"/>
  <c r="CB115" i="1" s="1"/>
  <c r="AP56" i="1"/>
  <c r="AP60" i="1"/>
  <c r="AP57" i="1" s="1"/>
  <c r="CI60" i="1"/>
  <c r="CI57" i="1" s="1"/>
  <c r="T31" i="1"/>
  <c r="T35" i="1" s="1"/>
  <c r="T37" i="1" s="1"/>
  <c r="CD90" i="1"/>
  <c r="U90" i="1"/>
  <c r="BV90" i="1"/>
  <c r="M90" i="1"/>
  <c r="BZ90" i="1"/>
  <c r="BP90" i="1"/>
  <c r="BW94" i="1"/>
  <c r="BW98" i="1"/>
  <c r="BW103" i="1"/>
  <c r="F93" i="1"/>
  <c r="F96" i="1"/>
  <c r="F105" i="1"/>
  <c r="CA94" i="1"/>
  <c r="CA103" i="1"/>
  <c r="CO91" i="1"/>
  <c r="CO96" i="1"/>
  <c r="CO111" i="1"/>
  <c r="D107" i="1"/>
  <c r="D97" i="1"/>
  <c r="D109" i="1"/>
  <c r="BU91" i="1"/>
  <c r="BU100" i="1"/>
  <c r="BU112" i="1"/>
  <c r="H31" i="1"/>
  <c r="H35" i="1" s="1"/>
  <c r="H37" i="1" s="1"/>
  <c r="CI91" i="1"/>
  <c r="CI93" i="1"/>
  <c r="CI107" i="1"/>
  <c r="R92" i="1"/>
  <c r="R100" i="1"/>
  <c r="R109" i="1"/>
  <c r="CK56" i="1"/>
  <c r="BO92" i="1"/>
  <c r="BO110" i="1"/>
  <c r="BO112" i="1"/>
  <c r="CI54" i="1"/>
  <c r="CI56" i="1" s="1"/>
  <c r="CC98" i="1"/>
  <c r="CC106" i="1"/>
  <c r="CC109" i="1"/>
  <c r="BC96" i="1"/>
  <c r="BC105" i="1"/>
  <c r="BY77" i="1"/>
  <c r="BS91" i="1"/>
  <c r="BS100" i="1"/>
  <c r="BS107" i="1"/>
  <c r="Z92" i="1"/>
  <c r="Z102" i="1"/>
  <c r="Z105" i="1"/>
  <c r="H97" i="1"/>
  <c r="H103" i="1"/>
  <c r="H112" i="1"/>
  <c r="BY93" i="1"/>
  <c r="BY99" i="1"/>
  <c r="BY107" i="1"/>
  <c r="AY54" i="1"/>
  <c r="AY56" i="1" s="1"/>
  <c r="AY94" i="1"/>
  <c r="AY103" i="1"/>
  <c r="BW54" i="1"/>
  <c r="CJ90" i="1"/>
  <c r="CI112" i="1"/>
  <c r="BY97" i="1"/>
  <c r="AP20" i="1"/>
  <c r="AP24" i="1" s="1"/>
  <c r="AP27" i="1" s="1"/>
  <c r="AP16" i="1"/>
  <c r="D101" i="1"/>
  <c r="CI101" i="1"/>
  <c r="CI98" i="1"/>
  <c r="CI111" i="1"/>
  <c r="CC96" i="1"/>
  <c r="CC104" i="1"/>
  <c r="BC94" i="1"/>
  <c r="BC108" i="1"/>
  <c r="BC103" i="1"/>
  <c r="BC20" i="1"/>
  <c r="BC24" i="1" s="1"/>
  <c r="BC27" i="1" s="1"/>
  <c r="BC16" i="1"/>
  <c r="BC15" i="1"/>
  <c r="BC12" i="1"/>
  <c r="BY96" i="1"/>
  <c r="BY103" i="1"/>
  <c r="BY112" i="1"/>
  <c r="J60" i="1"/>
  <c r="J57" i="1" s="1"/>
  <c r="F54" i="1"/>
  <c r="F56" i="1" s="1"/>
  <c r="BI16" i="1"/>
  <c r="BI15" i="1"/>
  <c r="BI20" i="1"/>
  <c r="BI24" i="1" s="1"/>
  <c r="BI12" i="1"/>
  <c r="CI96" i="1"/>
  <c r="L16" i="1"/>
  <c r="L20" i="1"/>
  <c r="L24" i="1" s="1"/>
  <c r="L27" i="1" s="1"/>
  <c r="L12" i="1"/>
  <c r="L15" i="1"/>
  <c r="CC101" i="1"/>
  <c r="AJ54" i="1"/>
  <c r="AJ47" i="1"/>
  <c r="D106" i="1"/>
  <c r="P12" i="1"/>
  <c r="P16" i="1"/>
  <c r="P15" i="1"/>
  <c r="P20" i="1"/>
  <c r="P24" i="1" s="1"/>
  <c r="CM90" i="1"/>
  <c r="AD90" i="1"/>
  <c r="BT90" i="1"/>
  <c r="BT116" i="1" s="1"/>
  <c r="CG90" i="1"/>
  <c r="BW97" i="1"/>
  <c r="F99" i="1"/>
  <c r="F103" i="1"/>
  <c r="F111" i="1"/>
  <c r="R20" i="1"/>
  <c r="R24" i="1" s="1"/>
  <c r="R16" i="1"/>
  <c r="R15" i="1"/>
  <c r="R12" i="1"/>
  <c r="CA96" i="1"/>
  <c r="CA98" i="1"/>
  <c r="CO95" i="1"/>
  <c r="CO104" i="1"/>
  <c r="CO105" i="1"/>
  <c r="D93" i="1"/>
  <c r="D96" i="1"/>
  <c r="D105" i="1"/>
  <c r="BU60" i="1"/>
  <c r="BU57" i="1" s="1"/>
  <c r="BU96" i="1"/>
  <c r="BU106" i="1"/>
  <c r="BU109" i="1"/>
  <c r="CC54" i="1"/>
  <c r="CC56" i="1" s="1"/>
  <c r="BM90" i="1"/>
  <c r="CI92" i="1"/>
  <c r="CI102" i="1"/>
  <c r="CI110" i="1"/>
  <c r="R98" i="1"/>
  <c r="R97" i="1"/>
  <c r="R108" i="1"/>
  <c r="N90" i="1"/>
  <c r="CA54" i="1"/>
  <c r="CA56" i="1" s="1"/>
  <c r="BO96" i="1"/>
  <c r="BO109" i="1"/>
  <c r="BE90" i="1"/>
  <c r="CC60" i="1"/>
  <c r="CC57" i="1" s="1"/>
  <c r="CC92" i="1"/>
  <c r="CC95" i="1"/>
  <c r="CC103" i="1"/>
  <c r="BC91" i="1"/>
  <c r="BC99" i="1"/>
  <c r="BC109" i="1"/>
  <c r="AF20" i="1"/>
  <c r="AF24" i="1" s="1"/>
  <c r="AF27" i="1" s="1"/>
  <c r="AF16" i="1"/>
  <c r="AF15" i="1"/>
  <c r="AF12" i="1"/>
  <c r="Z54" i="1"/>
  <c r="Z56" i="1" s="1"/>
  <c r="BS97" i="1"/>
  <c r="BS105" i="1"/>
  <c r="BS110" i="1"/>
  <c r="Z95" i="1"/>
  <c r="Z112" i="1"/>
  <c r="H101" i="1"/>
  <c r="H110" i="1"/>
  <c r="BY95" i="1"/>
  <c r="BY102" i="1"/>
  <c r="BY105" i="1"/>
  <c r="AY97" i="1"/>
  <c r="AY98" i="1"/>
  <c r="AY109" i="1"/>
  <c r="T60" i="1"/>
  <c r="T57" i="1" s="1"/>
  <c r="V149" i="1"/>
  <c r="M149" i="1"/>
  <c r="R148" i="1"/>
  <c r="J148" i="1"/>
  <c r="O147" i="1"/>
  <c r="T146" i="1"/>
  <c r="L146" i="1"/>
  <c r="Q145" i="1"/>
  <c r="H145" i="1"/>
  <c r="N144" i="1"/>
  <c r="S143" i="1"/>
  <c r="K143" i="1"/>
  <c r="P142" i="1"/>
  <c r="V141" i="1"/>
  <c r="M141" i="1"/>
  <c r="R140" i="1"/>
  <c r="J140" i="1"/>
  <c r="O139" i="1"/>
  <c r="T138" i="1"/>
  <c r="L138" i="1"/>
  <c r="T149" i="1"/>
  <c r="L149" i="1"/>
  <c r="Q148" i="1"/>
  <c r="H148" i="1"/>
  <c r="N147" i="1"/>
  <c r="S146" i="1"/>
  <c r="K146" i="1"/>
  <c r="P145" i="1"/>
  <c r="V144" i="1"/>
  <c r="M144" i="1"/>
  <c r="R143" i="1"/>
  <c r="J143" i="1"/>
  <c r="O142" i="1"/>
  <c r="T141" i="1"/>
  <c r="L141" i="1"/>
  <c r="Q140" i="1"/>
  <c r="H140" i="1"/>
  <c r="N139" i="1"/>
  <c r="S138" i="1"/>
  <c r="K138" i="1"/>
  <c r="S149" i="1"/>
  <c r="K149" i="1"/>
  <c r="P148" i="1"/>
  <c r="V147" i="1"/>
  <c r="M147" i="1"/>
  <c r="R146" i="1"/>
  <c r="J146" i="1"/>
  <c r="O145" i="1"/>
  <c r="T144" i="1"/>
  <c r="L144" i="1"/>
  <c r="Q143" i="1"/>
  <c r="H143" i="1"/>
  <c r="N142" i="1"/>
  <c r="S141" i="1"/>
  <c r="K141" i="1"/>
  <c r="P140" i="1"/>
  <c r="V139" i="1"/>
  <c r="M139" i="1"/>
  <c r="R138" i="1"/>
  <c r="J138" i="1"/>
  <c r="R149" i="1"/>
  <c r="J149" i="1"/>
  <c r="O148" i="1"/>
  <c r="T147" i="1"/>
  <c r="L147" i="1"/>
  <c r="Q146" i="1"/>
  <c r="H146" i="1"/>
  <c r="N145" i="1"/>
  <c r="S144" i="1"/>
  <c r="K144" i="1"/>
  <c r="P143" i="1"/>
  <c r="V142" i="1"/>
  <c r="M142" i="1"/>
  <c r="R141" i="1"/>
  <c r="J141" i="1"/>
  <c r="O140" i="1"/>
  <c r="T139" i="1"/>
  <c r="L139" i="1"/>
  <c r="Q138" i="1"/>
  <c r="H138" i="1"/>
  <c r="Q149" i="1"/>
  <c r="H149" i="1"/>
  <c r="N148" i="1"/>
  <c r="S147" i="1"/>
  <c r="K147" i="1"/>
  <c r="P146" i="1"/>
  <c r="V145" i="1"/>
  <c r="M145" i="1"/>
  <c r="R144" i="1"/>
  <c r="J144" i="1"/>
  <c r="O143" i="1"/>
  <c r="T142" i="1"/>
  <c r="L142" i="1"/>
  <c r="Q141" i="1"/>
  <c r="H141" i="1"/>
  <c r="N140" i="1"/>
  <c r="S139" i="1"/>
  <c r="K139" i="1"/>
  <c r="P138" i="1"/>
  <c r="P149" i="1"/>
  <c r="V148" i="1"/>
  <c r="M148" i="1"/>
  <c r="R147" i="1"/>
  <c r="J147" i="1"/>
  <c r="O146" i="1"/>
  <c r="T145" i="1"/>
  <c r="L145" i="1"/>
  <c r="Q144" i="1"/>
  <c r="H144" i="1"/>
  <c r="N143" i="1"/>
  <c r="S142" i="1"/>
  <c r="K142" i="1"/>
  <c r="P141" i="1"/>
  <c r="V140" i="1"/>
  <c r="M140" i="1"/>
  <c r="R139" i="1"/>
  <c r="J139" i="1"/>
  <c r="O138" i="1"/>
  <c r="O149" i="1"/>
  <c r="N149" i="1"/>
  <c r="T148" i="1"/>
  <c r="N146" i="1"/>
  <c r="V143" i="1"/>
  <c r="O141" i="1"/>
  <c r="H139" i="1"/>
  <c r="S148" i="1"/>
  <c r="M146" i="1"/>
  <c r="T143" i="1"/>
  <c r="N141" i="1"/>
  <c r="V138" i="1"/>
  <c r="L148" i="1"/>
  <c r="S145" i="1"/>
  <c r="M143" i="1"/>
  <c r="T140" i="1"/>
  <c r="N138" i="1"/>
  <c r="K148" i="1"/>
  <c r="R145" i="1"/>
  <c r="L143" i="1"/>
  <c r="S140" i="1"/>
  <c r="M138" i="1"/>
  <c r="Q147" i="1"/>
  <c r="K145" i="1"/>
  <c r="R142" i="1"/>
  <c r="L140" i="1"/>
  <c r="P147" i="1"/>
  <c r="J145" i="1"/>
  <c r="Q142" i="1"/>
  <c r="K140" i="1"/>
  <c r="H147" i="1"/>
  <c r="V146" i="1"/>
  <c r="P144" i="1"/>
  <c r="O144" i="1"/>
  <c r="J142" i="1"/>
  <c r="H142" i="1"/>
  <c r="Q139" i="1"/>
  <c r="P139" i="1"/>
  <c r="AA90" i="1"/>
  <c r="X90" i="1"/>
  <c r="F91" i="1"/>
  <c r="F98" i="1"/>
  <c r="F110" i="1"/>
  <c r="D92" i="1"/>
  <c r="D104" i="1"/>
  <c r="D103" i="1"/>
  <c r="BG16" i="1"/>
  <c r="BG15" i="1"/>
  <c r="BG12" i="1"/>
  <c r="BG20" i="1"/>
  <c r="BG24" i="1" s="1"/>
  <c r="BG27" i="1" s="1"/>
  <c r="L90" i="1"/>
  <c r="BQ60" i="1"/>
  <c r="BQ57" i="1" s="1"/>
  <c r="BQ56" i="1"/>
  <c r="CI99" i="1"/>
  <c r="CI106" i="1"/>
  <c r="CI109" i="1"/>
  <c r="BO95" i="1"/>
  <c r="BO102" i="1"/>
  <c r="BO106" i="1"/>
  <c r="CE90" i="1"/>
  <c r="P90" i="1"/>
  <c r="BY54" i="1"/>
  <c r="BY56" i="1" s="1"/>
  <c r="CC93" i="1"/>
  <c r="CC100" i="1"/>
  <c r="CC108" i="1"/>
  <c r="BC100" i="1"/>
  <c r="BC98" i="1"/>
  <c r="BC112" i="1"/>
  <c r="H54" i="1"/>
  <c r="BS99" i="1"/>
  <c r="BS102" i="1"/>
  <c r="BS109" i="1"/>
  <c r="Z93" i="1"/>
  <c r="Z99" i="1"/>
  <c r="Z108" i="1"/>
  <c r="H95" i="1"/>
  <c r="H102" i="1"/>
  <c r="H107" i="1"/>
  <c r="BY104" i="1"/>
  <c r="BY101" i="1"/>
  <c r="BY110" i="1"/>
  <c r="AY112" i="1"/>
  <c r="AY105" i="1"/>
  <c r="AY106" i="1"/>
  <c r="D54" i="1"/>
  <c r="D56" i="1" s="1"/>
  <c r="V90" i="1"/>
  <c r="CN90" i="1"/>
  <c r="AU90" i="1"/>
  <c r="F97" i="1"/>
  <c r="F108" i="1"/>
  <c r="AJ12" i="1"/>
  <c r="AJ16" i="1"/>
  <c r="AJ15" i="1"/>
  <c r="AJ20" i="1"/>
  <c r="AJ24" i="1" s="1"/>
  <c r="AJ27" i="1" s="1"/>
  <c r="AP90" i="1"/>
  <c r="D99" i="1"/>
  <c r="D95" i="1"/>
  <c r="D112" i="1"/>
  <c r="N20" i="1"/>
  <c r="N24" i="1" s="1"/>
  <c r="N27" i="1" s="1"/>
  <c r="N16" i="1"/>
  <c r="N15" i="1"/>
  <c r="N12" i="1"/>
  <c r="BU93" i="1"/>
  <c r="BU107" i="1"/>
  <c r="BU104" i="1"/>
  <c r="CI95" i="1"/>
  <c r="CI104" i="1"/>
  <c r="BG90" i="1"/>
  <c r="R93" i="1"/>
  <c r="R103" i="1"/>
  <c r="R106" i="1"/>
  <c r="AF90" i="1"/>
  <c r="F31" i="1"/>
  <c r="F35" i="1" s="1"/>
  <c r="F37" i="1" s="1"/>
  <c r="BO101" i="1"/>
  <c r="BO100" i="1"/>
  <c r="BO105" i="1"/>
  <c r="CC91" i="1"/>
  <c r="CC107" i="1"/>
  <c r="CC112" i="1"/>
  <c r="BC95" i="1"/>
  <c r="BC97" i="1"/>
  <c r="BC111" i="1"/>
  <c r="BS95" i="1"/>
  <c r="BS104" i="1"/>
  <c r="AW90" i="1"/>
  <c r="Z98" i="1"/>
  <c r="Z107" i="1"/>
  <c r="H94" i="1"/>
  <c r="H109" i="1"/>
  <c r="H106" i="1"/>
  <c r="BY94" i="1"/>
  <c r="BY111" i="1"/>
  <c r="BY109" i="1"/>
  <c r="AY96" i="1"/>
  <c r="AY104" i="1"/>
  <c r="AY111" i="1"/>
  <c r="BY31" i="1"/>
  <c r="BY35" i="1" s="1"/>
  <c r="BY37" i="1" s="1"/>
  <c r="BR90" i="1"/>
  <c r="BM16" i="1"/>
  <c r="BM15" i="1"/>
  <c r="BM12" i="1"/>
  <c r="BM20" i="1"/>
  <c r="BM24" i="1" s="1"/>
  <c r="BM27" i="1" s="1"/>
  <c r="CC105" i="1"/>
  <c r="W90" i="1"/>
  <c r="CL90" i="1"/>
  <c r="CF90" i="1"/>
  <c r="AC90" i="1"/>
  <c r="CP90" i="1"/>
  <c r="F95" i="1"/>
  <c r="F107" i="1"/>
  <c r="AY60" i="1"/>
  <c r="AY57" i="1" s="1"/>
  <c r="BI90" i="1"/>
  <c r="D91" i="1"/>
  <c r="D102" i="1"/>
  <c r="D111" i="1"/>
  <c r="F60" i="1"/>
  <c r="F57" i="1" s="1"/>
  <c r="BU99" i="1"/>
  <c r="CI97" i="1"/>
  <c r="CI108" i="1"/>
  <c r="AL90" i="1"/>
  <c r="R96" i="1"/>
  <c r="R101" i="1"/>
  <c r="CO60" i="1"/>
  <c r="CO57" i="1" s="1"/>
  <c r="CK90" i="1"/>
  <c r="BO94" i="1"/>
  <c r="BO99" i="1"/>
  <c r="BO104" i="1"/>
  <c r="CC99" i="1"/>
  <c r="CC97" i="1"/>
  <c r="CC111" i="1"/>
  <c r="BC92" i="1"/>
  <c r="BC107" i="1"/>
  <c r="BC110" i="1"/>
  <c r="BQ42" i="1"/>
  <c r="BQ47" i="1"/>
  <c r="BS94" i="1"/>
  <c r="BS103" i="1"/>
  <c r="Z91" i="1"/>
  <c r="Z103" i="1"/>
  <c r="Z111" i="1"/>
  <c r="H92" i="1"/>
  <c r="H100" i="1"/>
  <c r="H105" i="1"/>
  <c r="BY98" i="1"/>
  <c r="BY100" i="1"/>
  <c r="CA60" i="1"/>
  <c r="CA57" i="1" s="1"/>
  <c r="AY99" i="1"/>
  <c r="AY102" i="1"/>
  <c r="AY110" i="1"/>
  <c r="BW12" i="1"/>
  <c r="BW16" i="1"/>
  <c r="BW15" i="1"/>
  <c r="BW20" i="1"/>
  <c r="BW24" i="1" s="1"/>
  <c r="BW27" i="1" s="1"/>
  <c r="CH90" i="1"/>
  <c r="F100" i="1"/>
  <c r="F102" i="1"/>
  <c r="BU78" i="1"/>
  <c r="BU79" i="1"/>
  <c r="BU75" i="1"/>
  <c r="BU77" i="1"/>
  <c r="R78" i="1"/>
  <c r="R75" i="1"/>
  <c r="R79" i="1"/>
  <c r="R77" i="1"/>
  <c r="D94" i="1"/>
  <c r="D100" i="1"/>
  <c r="BC54" i="1"/>
  <c r="BU92" i="1"/>
  <c r="BU95" i="1"/>
  <c r="BU108" i="1"/>
  <c r="CI105" i="1"/>
  <c r="CI94" i="1"/>
  <c r="R104" i="1"/>
  <c r="R110" i="1"/>
  <c r="BO91" i="1"/>
  <c r="BO98" i="1"/>
  <c r="BY60" i="1"/>
  <c r="BY57" i="1" s="1"/>
  <c r="J90" i="1"/>
  <c r="CC94" i="1"/>
  <c r="CC102" i="1"/>
  <c r="BC102" i="1"/>
  <c r="BC106" i="1"/>
  <c r="AH90" i="1"/>
  <c r="AL31" i="1"/>
  <c r="AL35" i="1" s="1"/>
  <c r="AL37" i="1" s="1"/>
  <c r="Z60" i="1"/>
  <c r="Z57" i="1" s="1"/>
  <c r="BS92" i="1"/>
  <c r="BS93" i="1"/>
  <c r="Z97" i="1"/>
  <c r="Z104" i="1"/>
  <c r="Z106" i="1"/>
  <c r="H91" i="1"/>
  <c r="H99" i="1"/>
  <c r="H104" i="1"/>
  <c r="BY91" i="1"/>
  <c r="BY92" i="1"/>
  <c r="AY95" i="1"/>
  <c r="AY101" i="1"/>
  <c r="CN7" i="1"/>
  <c r="CO7" i="1"/>
  <c r="AB116" i="1" l="1"/>
  <c r="CB116" i="1"/>
  <c r="BX116" i="1"/>
  <c r="CQ116" i="1"/>
  <c r="T90" i="1"/>
  <c r="T116" i="1" s="1"/>
  <c r="Y116" i="1"/>
  <c r="BA115" i="1"/>
  <c r="R90" i="1"/>
  <c r="R115" i="1" s="1"/>
  <c r="AJ90" i="1"/>
  <c r="AJ116" i="1" s="1"/>
  <c r="BY90" i="1"/>
  <c r="BY116" i="1" s="1"/>
  <c r="CA90" i="1"/>
  <c r="CA116" i="1" s="1"/>
  <c r="BW90" i="1"/>
  <c r="BW116" i="1" s="1"/>
  <c r="Z90" i="1"/>
  <c r="Z116" i="1" s="1"/>
  <c r="AY90" i="1"/>
  <c r="AY116" i="1" s="1"/>
  <c r="CI90" i="1"/>
  <c r="H90" i="1"/>
  <c r="AH116" i="1"/>
  <c r="AH115" i="1"/>
  <c r="CK116" i="1"/>
  <c r="CK115" i="1"/>
  <c r="CG116" i="1"/>
  <c r="CG115" i="1"/>
  <c r="BC90" i="1"/>
  <c r="CD116" i="1"/>
  <c r="CD115" i="1"/>
  <c r="AC115" i="1"/>
  <c r="AC116" i="1"/>
  <c r="AW116" i="1"/>
  <c r="AW115" i="1"/>
  <c r="CC90" i="1"/>
  <c r="AF116" i="1"/>
  <c r="AF115" i="1"/>
  <c r="F90" i="1"/>
  <c r="CO90" i="1"/>
  <c r="CH115" i="1"/>
  <c r="CH116" i="1"/>
  <c r="BO90" i="1"/>
  <c r="BC56" i="1"/>
  <c r="BC60" i="1"/>
  <c r="BC57" i="1" s="1"/>
  <c r="CF116" i="1"/>
  <c r="CF115" i="1"/>
  <c r="AU116" i="1"/>
  <c r="AU115" i="1"/>
  <c r="H56" i="1"/>
  <c r="H60" i="1"/>
  <c r="H57" i="1" s="1"/>
  <c r="P116" i="1"/>
  <c r="P115" i="1"/>
  <c r="X116" i="1"/>
  <c r="X115" i="1"/>
  <c r="BM115" i="1"/>
  <c r="BM116" i="1"/>
  <c r="AD115" i="1"/>
  <c r="AD116" i="1"/>
  <c r="AJ60" i="1"/>
  <c r="AJ57" i="1" s="1"/>
  <c r="AJ56" i="1"/>
  <c r="AA116" i="1"/>
  <c r="AA115" i="1"/>
  <c r="N115" i="1"/>
  <c r="N116" i="1"/>
  <c r="CM116" i="1"/>
  <c r="CM115" i="1"/>
  <c r="D60" i="1"/>
  <c r="D57" i="1" s="1"/>
  <c r="BU90" i="1"/>
  <c r="L116" i="1"/>
  <c r="L115" i="1"/>
  <c r="BE116" i="1"/>
  <c r="BE115" i="1"/>
  <c r="CP115" i="1"/>
  <c r="CP116" i="1"/>
  <c r="BQ110" i="1"/>
  <c r="BQ104" i="1"/>
  <c r="BQ93" i="1"/>
  <c r="BQ108" i="1"/>
  <c r="BQ111" i="1"/>
  <c r="BQ100" i="1"/>
  <c r="BQ99" i="1"/>
  <c r="BQ95" i="1"/>
  <c r="BQ105" i="1"/>
  <c r="BQ101" i="1"/>
  <c r="BQ97" i="1"/>
  <c r="BQ106" i="1"/>
  <c r="BQ102" i="1"/>
  <c r="BQ107" i="1"/>
  <c r="BQ92" i="1"/>
  <c r="BQ91" i="1"/>
  <c r="BQ112" i="1"/>
  <c r="BQ94" i="1"/>
  <c r="BQ96" i="1"/>
  <c r="BQ109" i="1"/>
  <c r="BQ103" i="1"/>
  <c r="BQ98" i="1"/>
  <c r="D90" i="1"/>
  <c r="CL116" i="1"/>
  <c r="CL115" i="1"/>
  <c r="AP116" i="1"/>
  <c r="AP115" i="1"/>
  <c r="CN116" i="1"/>
  <c r="CN115" i="1"/>
  <c r="AL115" i="1"/>
  <c r="AL116" i="1"/>
  <c r="BI116" i="1"/>
  <c r="BI115" i="1"/>
  <c r="W116" i="1"/>
  <c r="W115" i="1"/>
  <c r="V115" i="1"/>
  <c r="V116" i="1"/>
  <c r="CJ115" i="1"/>
  <c r="CJ116" i="1"/>
  <c r="BS90" i="1"/>
  <c r="M115" i="1"/>
  <c r="M116" i="1"/>
  <c r="BG116" i="1"/>
  <c r="BG115" i="1"/>
  <c r="BW60" i="1"/>
  <c r="BW57" i="1" s="1"/>
  <c r="BW56" i="1"/>
  <c r="J116" i="1"/>
  <c r="J115" i="1"/>
  <c r="CE116" i="1"/>
  <c r="CE115" i="1"/>
  <c r="U115" i="1"/>
  <c r="U116" i="1"/>
  <c r="CJ7" i="1"/>
  <c r="CK7" i="1"/>
  <c r="T115" i="1" l="1"/>
  <c r="R116" i="1"/>
  <c r="F122" i="1"/>
  <c r="BY115" i="1"/>
  <c r="AY115" i="1"/>
  <c r="AJ115" i="1"/>
  <c r="Z115" i="1"/>
  <c r="CA115" i="1"/>
  <c r="BW115" i="1"/>
  <c r="CC116" i="1"/>
  <c r="CC115" i="1"/>
  <c r="H116" i="1"/>
  <c r="H115" i="1"/>
  <c r="BO115" i="1"/>
  <c r="BO116" i="1"/>
  <c r="CI115" i="1"/>
  <c r="CI116" i="1"/>
  <c r="BU116" i="1"/>
  <c r="BU115" i="1"/>
  <c r="BQ90" i="1"/>
  <c r="CO116" i="1"/>
  <c r="CO115" i="1"/>
  <c r="BC115" i="1"/>
  <c r="BC116" i="1"/>
  <c r="BS116" i="1"/>
  <c r="BS115" i="1"/>
  <c r="D116" i="1"/>
  <c r="D115" i="1"/>
  <c r="F115" i="1"/>
  <c r="F116" i="1"/>
  <c r="CH7" i="1"/>
  <c r="CI7" i="1"/>
  <c r="BQ116" i="1" l="1"/>
  <c r="BQ115" i="1"/>
  <c r="CD7" i="1"/>
  <c r="CB7" i="1"/>
  <c r="BZ7" i="1"/>
  <c r="BX7" i="1"/>
  <c r="BV7" i="1"/>
  <c r="BT7" i="1"/>
  <c r="BR7" i="1"/>
  <c r="BP7" i="1"/>
  <c r="BN7" i="1"/>
  <c r="BL7" i="1"/>
  <c r="BH7" i="1"/>
  <c r="BF7" i="1"/>
  <c r="BD7" i="1"/>
  <c r="BB7" i="1"/>
  <c r="AZ7" i="1"/>
  <c r="AX7" i="1"/>
  <c r="AV7" i="1"/>
  <c r="AT7" i="1"/>
  <c r="AR7" i="1"/>
  <c r="AO7" i="1"/>
  <c r="AM7" i="1"/>
  <c r="AK7" i="1"/>
  <c r="AI7" i="1"/>
  <c r="AE7" i="1"/>
  <c r="AC7" i="1"/>
  <c r="AA7" i="1"/>
  <c r="Y7" i="1"/>
  <c r="W7" i="1"/>
  <c r="U7" i="1"/>
  <c r="S7" i="1"/>
  <c r="Q7" i="1"/>
  <c r="O7" i="1"/>
  <c r="M7" i="1"/>
  <c r="K7" i="1"/>
  <c r="I7" i="1"/>
  <c r="E7" i="1"/>
  <c r="C7" i="1"/>
  <c r="CO5" i="1"/>
  <c r="D5" i="1"/>
  <c r="AD7" i="1"/>
  <c r="X5" i="1"/>
  <c r="CA7" i="1"/>
  <c r="AP7" i="1"/>
  <c r="AW5" i="1"/>
  <c r="BY5" i="1"/>
  <c r="BS7" i="1"/>
  <c r="AJ5" i="1"/>
  <c r="BS5" i="1"/>
  <c r="AJ7" i="1"/>
  <c r="BC5" i="1"/>
  <c r="BM5" i="1"/>
  <c r="AL5" i="1"/>
  <c r="Z7" i="1"/>
  <c r="BC7" i="1"/>
  <c r="BI5" i="1"/>
  <c r="R5" i="1"/>
  <c r="J5" i="1"/>
  <c r="AY5" i="1"/>
  <c r="AN5" i="1"/>
  <c r="CK5" i="1"/>
  <c r="BE5" i="1"/>
  <c r="R7" i="1"/>
  <c r="AF5" i="1"/>
  <c r="X7" i="1"/>
  <c r="CQ5" i="1"/>
  <c r="N7" i="1"/>
  <c r="BE7" i="1"/>
  <c r="CE7" i="1"/>
  <c r="F5" i="1"/>
  <c r="J7" i="1"/>
  <c r="T7" i="1"/>
  <c r="L7" i="1"/>
  <c r="AN7" i="1"/>
  <c r="AU5" i="1"/>
  <c r="BU5" i="1"/>
  <c r="AB5" i="1"/>
  <c r="CI5" i="1"/>
  <c r="Z5" i="1"/>
  <c r="AS5" i="1"/>
  <c r="CC7" i="1"/>
  <c r="H5" i="1"/>
  <c r="BG5" i="1"/>
  <c r="AW7" i="1"/>
  <c r="P7" i="1"/>
  <c r="BO7" i="1"/>
  <c r="T5" i="1"/>
  <c r="CE5" i="1"/>
  <c r="BQ7" i="1"/>
  <c r="BW7" i="1"/>
  <c r="BI7" i="1"/>
  <c r="L5" i="1"/>
  <c r="AU7" i="1"/>
  <c r="CA5" i="1"/>
  <c r="AP5" i="1"/>
  <c r="D7" i="1"/>
  <c r="AL7" i="1"/>
  <c r="N5" i="1"/>
  <c r="AY7" i="1"/>
  <c r="P5" i="1"/>
  <c r="BU7" i="1"/>
  <c r="BA5" i="1"/>
  <c r="AB7" i="1"/>
  <c r="CC5" i="1"/>
  <c r="F7" i="1"/>
  <c r="BW5" i="1"/>
  <c r="V7" i="1"/>
  <c r="BQ5" i="1"/>
  <c r="AF7" i="1"/>
  <c r="H7" i="1"/>
  <c r="V5" i="1"/>
  <c r="AS7" i="1"/>
  <c r="BO5" i="1"/>
  <c r="BM7" i="1"/>
  <c r="BG7" i="1"/>
  <c r="BA7" i="1"/>
  <c r="AD5" i="1"/>
  <c r="BY7" i="1"/>
  <c r="BF11" i="3" l="1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D11" i="3"/>
  <c r="C11" i="3"/>
  <c r="B11" i="3"/>
  <c r="A11" i="3"/>
  <c r="E11" i="3" l="1"/>
  <c r="BF10" i="3" l="1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U7" i="2" l="1"/>
  <c r="V7" i="2"/>
  <c r="V5" i="2"/>
  <c r="AS30" i="2" l="1"/>
  <c r="AQ30" i="2"/>
  <c r="AF30" i="2"/>
  <c r="AD30" i="2"/>
  <c r="Z30" i="2"/>
  <c r="R30" i="2"/>
  <c r="L30" i="2"/>
  <c r="AQ29" i="2"/>
  <c r="AQ32" i="2" s="1"/>
  <c r="BG28" i="2"/>
  <c r="AU28" i="2"/>
  <c r="AH28" i="2"/>
  <c r="AF28" i="2"/>
  <c r="X28" i="2"/>
  <c r="R28" i="2"/>
  <c r="P28" i="2"/>
  <c r="N28" i="2"/>
  <c r="L28" i="2"/>
  <c r="J28" i="2"/>
  <c r="AU27" i="2"/>
  <c r="Z27" i="2"/>
  <c r="X27" i="2"/>
  <c r="AS26" i="2"/>
  <c r="AQ26" i="2"/>
  <c r="L26" i="2"/>
  <c r="BO25" i="2"/>
  <c r="BO29" i="2" s="1"/>
  <c r="BO32" i="2" s="1"/>
  <c r="BM25" i="2"/>
  <c r="BM29" i="2" s="1"/>
  <c r="BM32" i="2" s="1"/>
  <c r="BK25" i="2"/>
  <c r="BK29" i="2" s="1"/>
  <c r="BK32" i="2" s="1"/>
  <c r="BI25" i="2"/>
  <c r="BI29" i="2" s="1"/>
  <c r="BI32" i="2" s="1"/>
  <c r="BG25" i="2"/>
  <c r="BG29" i="2" s="1"/>
  <c r="BG32" i="2" s="1"/>
  <c r="BE25" i="2"/>
  <c r="BE29" i="2" s="1"/>
  <c r="BE32" i="2" s="1"/>
  <c r="BC25" i="2"/>
  <c r="BC29" i="2" s="1"/>
  <c r="BC32" i="2" s="1"/>
  <c r="BA25" i="2"/>
  <c r="BA29" i="2" s="1"/>
  <c r="BA32" i="2" s="1"/>
  <c r="AW25" i="2"/>
  <c r="AW29" i="2" s="1"/>
  <c r="AU25" i="2"/>
  <c r="AU29" i="2" s="1"/>
  <c r="AU32" i="2" s="1"/>
  <c r="AS25" i="2"/>
  <c r="AS29" i="2" s="1"/>
  <c r="AS32" i="2" s="1"/>
  <c r="AQ25" i="2"/>
  <c r="AO25" i="2"/>
  <c r="AO29" i="2" s="1"/>
  <c r="AO32" i="2" s="1"/>
  <c r="AM25" i="2"/>
  <c r="AM29" i="2" s="1"/>
  <c r="AM32" i="2" s="1"/>
  <c r="AK25" i="2"/>
  <c r="AK29" i="2" s="1"/>
  <c r="AK32" i="2" s="1"/>
  <c r="AD25" i="2"/>
  <c r="AD29" i="2" s="1"/>
  <c r="AD32" i="2" s="1"/>
  <c r="AB25" i="2"/>
  <c r="AB29" i="2" s="1"/>
  <c r="AB32" i="2" s="1"/>
  <c r="Z25" i="2"/>
  <c r="Z29" i="2" s="1"/>
  <c r="Z32" i="2" s="1"/>
  <c r="T25" i="2"/>
  <c r="T29" i="2" s="1"/>
  <c r="T32" i="2" s="1"/>
  <c r="R25" i="2"/>
  <c r="R29" i="2" s="1"/>
  <c r="R32" i="2" s="1"/>
  <c r="H25" i="2"/>
  <c r="H29" i="2" s="1"/>
  <c r="H32" i="2" s="1"/>
  <c r="BG22" i="2"/>
  <c r="BO20" i="2"/>
  <c r="BO22" i="2" s="1"/>
  <c r="BM20" i="2"/>
  <c r="BM22" i="2" s="1"/>
  <c r="BK20" i="2"/>
  <c r="BK22" i="2" s="1"/>
  <c r="BG20" i="2"/>
  <c r="BE20" i="2"/>
  <c r="BE22" i="2" s="1"/>
  <c r="BC20" i="2"/>
  <c r="BC22" i="2" s="1"/>
  <c r="BA20" i="2"/>
  <c r="BA22" i="2" s="1"/>
  <c r="AZ20" i="2"/>
  <c r="AW20" i="2"/>
  <c r="AV20" i="2"/>
  <c r="AT20" i="2"/>
  <c r="AS20" i="2"/>
  <c r="AS22" i="2" s="1"/>
  <c r="AR20" i="2"/>
  <c r="AM20" i="2"/>
  <c r="AM22" i="2" s="1"/>
  <c r="AH20" i="2"/>
  <c r="AF20" i="2"/>
  <c r="AD20" i="2"/>
  <c r="AD22" i="2" s="1"/>
  <c r="Z20" i="2"/>
  <c r="Z22" i="2" s="1"/>
  <c r="X20" i="2"/>
  <c r="T20" i="2"/>
  <c r="T22" i="2" s="1"/>
  <c r="R20" i="2"/>
  <c r="R22" i="2" s="1"/>
  <c r="Q20" i="2"/>
  <c r="P20" i="2"/>
  <c r="O20" i="2"/>
  <c r="N20" i="2"/>
  <c r="M20" i="2"/>
  <c r="L20" i="2"/>
  <c r="K20" i="2"/>
  <c r="J20" i="2"/>
  <c r="F20" i="2"/>
  <c r="AU19" i="2"/>
  <c r="AU20" i="2" s="1"/>
  <c r="AU22" i="2" s="1"/>
  <c r="AS19" i="2"/>
  <c r="AQ19" i="2"/>
  <c r="AQ20" i="2" s="1"/>
  <c r="AQ22" i="2" s="1"/>
  <c r="P19" i="2"/>
  <c r="AU17" i="2"/>
  <c r="AS17" i="2"/>
  <c r="AQ17" i="2"/>
  <c r="AH17" i="2"/>
  <c r="AF17" i="2"/>
  <c r="AD17" i="2"/>
  <c r="Z17" i="2"/>
  <c r="X17" i="2"/>
  <c r="T17" i="2"/>
  <c r="R17" i="2"/>
  <c r="P17" i="2"/>
  <c r="N17" i="2"/>
  <c r="L17" i="2"/>
  <c r="J17" i="2"/>
  <c r="F17" i="2"/>
  <c r="D17" i="2"/>
  <c r="BO16" i="2"/>
  <c r="BM16" i="2"/>
  <c r="BK16" i="2"/>
  <c r="BG16" i="2"/>
  <c r="BE16" i="2"/>
  <c r="BC16" i="2"/>
  <c r="BA16" i="2"/>
  <c r="AW16" i="2"/>
  <c r="AU16" i="2"/>
  <c r="AS16" i="2"/>
  <c r="AQ16" i="2"/>
  <c r="AO16" i="2"/>
  <c r="AM16" i="2"/>
  <c r="AK16" i="2"/>
  <c r="AD16" i="2"/>
  <c r="Z16" i="2"/>
  <c r="T16" i="2"/>
  <c r="R16" i="2"/>
  <c r="H16" i="2"/>
  <c r="BO15" i="2"/>
  <c r="BM15" i="2"/>
  <c r="BK15" i="2"/>
  <c r="BG15" i="2"/>
  <c r="BE15" i="2"/>
  <c r="BC15" i="2"/>
  <c r="BA15" i="2"/>
  <c r="AW15" i="2"/>
  <c r="AU15" i="2"/>
  <c r="AS15" i="2"/>
  <c r="AQ15" i="2"/>
  <c r="AO15" i="2"/>
  <c r="AM15" i="2"/>
  <c r="AK15" i="2"/>
  <c r="AD15" i="2"/>
  <c r="Z15" i="2"/>
  <c r="T15" i="2"/>
  <c r="R15" i="2"/>
  <c r="H15" i="2"/>
  <c r="BO12" i="2"/>
  <c r="BM12" i="2"/>
  <c r="BK12" i="2"/>
  <c r="BG12" i="2"/>
  <c r="BE12" i="2"/>
  <c r="BC12" i="2"/>
  <c r="BA12" i="2"/>
  <c r="AW12" i="2"/>
  <c r="AU12" i="2"/>
  <c r="AS12" i="2"/>
  <c r="AQ12" i="2"/>
  <c r="AO12" i="2"/>
  <c r="AM12" i="2"/>
  <c r="AK12" i="2"/>
  <c r="AD12" i="2"/>
  <c r="Z12" i="2"/>
  <c r="T12" i="2"/>
  <c r="R12" i="2"/>
  <c r="H12" i="2"/>
  <c r="D12" i="2"/>
  <c r="AH11" i="2"/>
  <c r="AH25" i="2" s="1"/>
  <c r="AH29" i="2" s="1"/>
  <c r="AH32" i="2" s="1"/>
  <c r="AF11" i="2"/>
  <c r="AF25" i="2" s="1"/>
  <c r="AF29" i="2" s="1"/>
  <c r="AF32" i="2" s="1"/>
  <c r="X11" i="2"/>
  <c r="X15" i="2" s="1"/>
  <c r="P11" i="2"/>
  <c r="P16" i="2" s="1"/>
  <c r="N11" i="2"/>
  <c r="N16" i="2" s="1"/>
  <c r="L11" i="2"/>
  <c r="L16" i="2" s="1"/>
  <c r="J11" i="2"/>
  <c r="J25" i="2" s="1"/>
  <c r="J29" i="2" s="1"/>
  <c r="J32" i="2" s="1"/>
  <c r="F11" i="2"/>
  <c r="F15" i="2" s="1"/>
  <c r="D11" i="2"/>
  <c r="D15" i="2" s="1"/>
  <c r="AH10" i="2"/>
  <c r="D16" i="2" l="1"/>
  <c r="L22" i="2"/>
  <c r="AF15" i="2"/>
  <c r="AH22" i="2"/>
  <c r="X12" i="2"/>
  <c r="P22" i="2"/>
  <c r="J16" i="2"/>
  <c r="J15" i="2"/>
  <c r="L25" i="2"/>
  <c r="L29" i="2" s="1"/>
  <c r="L32" i="2" s="1"/>
  <c r="X22" i="2"/>
  <c r="X16" i="2"/>
  <c r="F22" i="2"/>
  <c r="P12" i="2"/>
  <c r="J22" i="2"/>
  <c r="X25" i="2"/>
  <c r="X29" i="2" s="1"/>
  <c r="X32" i="2" s="1"/>
  <c r="L15" i="2"/>
  <c r="J12" i="2"/>
  <c r="AF22" i="2"/>
  <c r="D25" i="2"/>
  <c r="D29" i="2" s="1"/>
  <c r="D32" i="2" s="1"/>
  <c r="F12" i="2"/>
  <c r="N15" i="2"/>
  <c r="AH15" i="2"/>
  <c r="F16" i="2"/>
  <c r="P15" i="2"/>
  <c r="N22" i="2"/>
  <c r="L12" i="2"/>
  <c r="AF12" i="2"/>
  <c r="AF16" i="2"/>
  <c r="N25" i="2"/>
  <c r="N29" i="2" s="1"/>
  <c r="N32" i="2" s="1"/>
  <c r="F25" i="2"/>
  <c r="F29" i="2" s="1"/>
  <c r="F32" i="2" s="1"/>
  <c r="N12" i="2"/>
  <c r="AH12" i="2"/>
  <c r="AH16" i="2"/>
  <c r="P25" i="2"/>
  <c r="P29" i="2" s="1"/>
  <c r="P32" i="2" s="1"/>
  <c r="BN7" i="2"/>
  <c r="BL7" i="2"/>
  <c r="BJ7" i="2"/>
  <c r="BF7" i="2"/>
  <c r="AZ7" i="2"/>
  <c r="AX7" i="2"/>
  <c r="AV7" i="2"/>
  <c r="AT7" i="2"/>
  <c r="AR7" i="2"/>
  <c r="AP7" i="2"/>
  <c r="AJ7" i="2"/>
  <c r="AG7" i="2"/>
  <c r="AE7" i="2"/>
  <c r="AC7" i="2"/>
  <c r="AA7" i="2"/>
  <c r="Y7" i="2"/>
  <c r="W7" i="2"/>
  <c r="S7" i="2"/>
  <c r="Q7" i="2"/>
  <c r="O7" i="2"/>
  <c r="M7" i="2"/>
  <c r="K7" i="2"/>
  <c r="I7" i="2"/>
  <c r="G7" i="2"/>
  <c r="E7" i="2"/>
  <c r="C7" i="2"/>
  <c r="BE7" i="2"/>
  <c r="AM5" i="2"/>
  <c r="AO7" i="2"/>
  <c r="BE5" i="2"/>
  <c r="BC7" i="2"/>
  <c r="AM7" i="2"/>
  <c r="AY5" i="2"/>
  <c r="BC5" i="2"/>
  <c r="AO5" i="2"/>
  <c r="J5" i="2"/>
  <c r="X7" i="2"/>
  <c r="J7" i="2"/>
  <c r="N5" i="2"/>
  <c r="H7" i="2"/>
  <c r="Z7" i="2"/>
  <c r="BA5" i="2"/>
  <c r="BK5" i="2"/>
  <c r="T7" i="2"/>
  <c r="R7" i="2"/>
  <c r="AS7" i="2"/>
  <c r="AK7" i="2"/>
  <c r="BO5" i="2"/>
  <c r="BA7" i="2"/>
  <c r="BG7" i="2"/>
  <c r="AY7" i="2"/>
  <c r="BK7" i="2"/>
  <c r="BO7" i="2"/>
  <c r="T5" i="2"/>
  <c r="L5" i="2"/>
  <c r="N7" i="2"/>
  <c r="AQ7" i="2"/>
  <c r="P7" i="2"/>
  <c r="BM7" i="2"/>
  <c r="F7" i="2"/>
  <c r="F5" i="2"/>
  <c r="D5" i="2"/>
  <c r="R5" i="2"/>
  <c r="X5" i="2"/>
  <c r="AF7" i="2"/>
  <c r="AK5" i="2"/>
  <c r="BG5" i="2"/>
  <c r="AU5" i="2"/>
  <c r="L7" i="2"/>
  <c r="D7" i="2"/>
  <c r="AH7" i="2"/>
  <c r="AU7" i="2"/>
  <c r="AH5" i="2"/>
  <c r="AQ5" i="2"/>
  <c r="AD5" i="2"/>
  <c r="BM5" i="2"/>
  <c r="P5" i="2"/>
  <c r="Z5" i="2"/>
  <c r="AW7" i="2"/>
  <c r="AW5" i="2"/>
  <c r="AF5" i="2"/>
  <c r="AD7" i="2"/>
  <c r="H5" i="2"/>
  <c r="AS5" i="2"/>
  <c r="P11" i="4" l="1"/>
  <c r="P10" i="4"/>
  <c r="N71" i="3"/>
  <c r="M71" i="3"/>
  <c r="BE9" i="3"/>
  <c r="BC9" i="3"/>
  <c r="BA9" i="3"/>
  <c r="AY9" i="3"/>
  <c r="AW9" i="3"/>
  <c r="AU9" i="3"/>
  <c r="AS9" i="3"/>
  <c r="AQ9" i="3"/>
  <c r="AP9" i="3"/>
  <c r="AO9" i="3"/>
  <c r="AN9" i="3"/>
  <c r="AL9" i="3"/>
  <c r="AK9" i="3"/>
  <c r="AJ9" i="3"/>
  <c r="AH9" i="3"/>
  <c r="AG9" i="3"/>
  <c r="AF9" i="3"/>
  <c r="AE9" i="3"/>
  <c r="AD9" i="3"/>
  <c r="AB9" i="3"/>
  <c r="Z9" i="3"/>
  <c r="Y9" i="3"/>
  <c r="X9" i="3"/>
  <c r="V9" i="3"/>
  <c r="T9" i="3"/>
  <c r="S9" i="3"/>
  <c r="R9" i="3"/>
  <c r="P9" i="3"/>
  <c r="O9" i="3"/>
  <c r="N9" i="3"/>
  <c r="L9" i="3"/>
  <c r="J9" i="3"/>
  <c r="H9" i="3"/>
  <c r="F9" i="3"/>
  <c r="D9" i="3"/>
  <c r="B9" i="3"/>
  <c r="BB9" i="3" l="1"/>
  <c r="AM9" i="3"/>
  <c r="AA9" i="3"/>
  <c r="AC9" i="3"/>
  <c r="U9" i="3"/>
  <c r="BF9" i="3"/>
  <c r="AI9" i="3"/>
  <c r="AR9" i="3"/>
  <c r="E9" i="3"/>
  <c r="I9" i="3"/>
  <c r="AX9" i="3"/>
  <c r="AZ9" i="3" l="1"/>
  <c r="K9" i="3"/>
  <c r="AT9" i="3"/>
  <c r="G9" i="3"/>
  <c r="AV9" i="3"/>
  <c r="W9" i="3"/>
  <c r="M9" i="3"/>
  <c r="A9" i="3"/>
  <c r="BD9" i="3"/>
  <c r="Q9" i="3"/>
  <c r="C9" i="3"/>
  <c r="BF8" i="3" l="1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H77" i="3" l="1"/>
  <c r="G77" i="3"/>
  <c r="H76" i="3"/>
  <c r="G76" i="3"/>
  <c r="H75" i="3"/>
  <c r="G75" i="3"/>
  <c r="H73" i="3"/>
  <c r="G73" i="3"/>
  <c r="H72" i="3"/>
  <c r="G72" i="3"/>
  <c r="L71" i="3"/>
  <c r="K71" i="3"/>
  <c r="J71" i="3"/>
  <c r="I71" i="3"/>
  <c r="H71" i="3"/>
  <c r="G71" i="3"/>
  <c r="F71" i="3"/>
  <c r="E71" i="3"/>
  <c r="D71" i="3"/>
  <c r="C71" i="3"/>
  <c r="A7" i="3"/>
  <c r="A6" i="3"/>
  <c r="A5" i="3"/>
  <c r="A4" i="3"/>
  <c r="A1" i="3"/>
  <c r="C17" i="3" s="1"/>
  <c r="N17" i="3" l="1"/>
  <c r="N72" i="3" s="1"/>
  <c r="P17" i="3"/>
  <c r="C72" i="3"/>
  <c r="I17" i="3"/>
  <c r="I72" i="3" s="1"/>
  <c r="J17" i="3"/>
  <c r="J72" i="3" s="1"/>
  <c r="L17" i="3"/>
  <c r="L72" i="3" s="1"/>
  <c r="K17" i="3"/>
  <c r="K72" i="3" s="1"/>
  <c r="AT7" i="3"/>
  <c r="BF7" i="3"/>
  <c r="BE7" i="3"/>
  <c r="BD7" i="3"/>
  <c r="BC7" i="3"/>
  <c r="BB7" i="3"/>
  <c r="BA7" i="3"/>
  <c r="AZ7" i="3"/>
  <c r="AY7" i="3"/>
  <c r="AX7" i="3"/>
  <c r="AW7" i="3"/>
  <c r="AV7" i="3"/>
  <c r="AU7" i="3"/>
  <c r="AS7" i="3"/>
  <c r="AR7" i="3"/>
  <c r="AQ7" i="3"/>
  <c r="AP7" i="3"/>
  <c r="AO7" i="3"/>
  <c r="AN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3" i="3" l="1"/>
  <c r="E17" i="3" s="1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E3" i="3"/>
  <c r="BC3" i="3"/>
  <c r="BA3" i="3"/>
  <c r="AY3" i="3"/>
  <c r="AW3" i="3"/>
  <c r="AU3" i="3"/>
  <c r="AS3" i="3"/>
  <c r="AQ3" i="3"/>
  <c r="AO3" i="3"/>
  <c r="AN3" i="3"/>
  <c r="AL3" i="3"/>
  <c r="AJ3" i="3"/>
  <c r="AH3" i="3"/>
  <c r="AF3" i="3"/>
  <c r="AE3" i="3"/>
  <c r="AD3" i="3"/>
  <c r="AB3" i="3"/>
  <c r="Z3" i="3"/>
  <c r="X3" i="3"/>
  <c r="V3" i="3"/>
  <c r="T3" i="3"/>
  <c r="R3" i="3"/>
  <c r="P3" i="3"/>
  <c r="N3" i="3"/>
  <c r="J3" i="3"/>
  <c r="H3" i="3"/>
  <c r="F3" i="3"/>
  <c r="D3" i="3"/>
  <c r="E72" i="3" l="1"/>
  <c r="A2" i="3"/>
  <c r="D17" i="3" s="1"/>
  <c r="D72" i="3" s="1"/>
  <c r="AM4" i="3" l="1"/>
  <c r="AM8" i="3" l="1"/>
  <c r="AM7" i="3"/>
  <c r="AM5" i="3"/>
  <c r="AM6" i="3"/>
  <c r="L3" i="3"/>
  <c r="I3" i="3" l="1"/>
  <c r="BB3" i="3"/>
  <c r="AM3" i="3"/>
  <c r="Q3" i="3"/>
  <c r="S3" i="3"/>
  <c r="AR3" i="3"/>
  <c r="E3" i="3"/>
  <c r="W3" i="3"/>
  <c r="G3" i="3"/>
  <c r="AX3" i="3"/>
  <c r="BF3" i="3"/>
  <c r="C3" i="3"/>
  <c r="AG3" i="3"/>
  <c r="AZ3" i="3"/>
  <c r="U3" i="3"/>
  <c r="AA3" i="3"/>
  <c r="M3" i="3"/>
  <c r="AV3" i="3"/>
  <c r="AC3" i="3"/>
  <c r="AI3" i="3"/>
  <c r="AP3" i="3"/>
  <c r="AK3" i="3"/>
  <c r="AT3" i="3"/>
  <c r="K3" i="3"/>
  <c r="O3" i="3"/>
  <c r="BD3" i="3"/>
  <c r="Y3" i="3"/>
  <c r="J35" i="4"/>
  <c r="J36" i="4" s="1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N49" i="3"/>
  <c r="J49" i="3"/>
  <c r="H49" i="3"/>
  <c r="F49" i="3"/>
  <c r="D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C65" i="3" s="1"/>
  <c r="AD48" i="3"/>
  <c r="AC48" i="3"/>
  <c r="C64" i="3" s="1"/>
  <c r="AB48" i="3"/>
  <c r="AA48" i="3"/>
  <c r="C63" i="3" s="1"/>
  <c r="Z48" i="3"/>
  <c r="Y48" i="3"/>
  <c r="C62" i="3" s="1"/>
  <c r="X48" i="3"/>
  <c r="W48" i="3"/>
  <c r="C61" i="3" s="1"/>
  <c r="V48" i="3"/>
  <c r="U48" i="3"/>
  <c r="T48" i="3"/>
  <c r="S48" i="3"/>
  <c r="C60" i="3" s="1"/>
  <c r="R48" i="3"/>
  <c r="Q48" i="3"/>
  <c r="C59" i="3" s="1"/>
  <c r="P48" i="3"/>
  <c r="O48" i="3"/>
  <c r="C58" i="3" s="1"/>
  <c r="N48" i="3"/>
  <c r="M48" i="3"/>
  <c r="C57" i="3" s="1"/>
  <c r="L48" i="3"/>
  <c r="K48" i="3"/>
  <c r="C56" i="3" s="1"/>
  <c r="J48" i="3"/>
  <c r="I48" i="3"/>
  <c r="C55" i="3" s="1"/>
  <c r="H48" i="3"/>
  <c r="G48" i="3"/>
  <c r="C54" i="3" s="1"/>
  <c r="F48" i="3"/>
  <c r="E48" i="3"/>
  <c r="C53" i="3" s="1"/>
  <c r="D48" i="3"/>
  <c r="C48" i="3"/>
  <c r="C52" i="3" s="1"/>
  <c r="J11" i="4"/>
  <c r="N39" i="4"/>
  <c r="N37" i="4"/>
  <c r="N36" i="4"/>
  <c r="N41" i="4" s="1"/>
  <c r="N35" i="4"/>
  <c r="J37" i="4"/>
  <c r="J14" i="4"/>
  <c r="N19" i="4"/>
  <c r="J19" i="4"/>
  <c r="N14" i="4"/>
  <c r="N11" i="4"/>
  <c r="N30" i="4"/>
  <c r="J30" i="4"/>
  <c r="J27" i="4"/>
  <c r="I7" i="4"/>
  <c r="M7" i="4"/>
  <c r="N17" i="4"/>
  <c r="N28" i="4"/>
  <c r="P25" i="4"/>
  <c r="P26" i="4"/>
  <c r="P28" i="4"/>
  <c r="O7" i="4"/>
  <c r="J39" i="4" l="1"/>
  <c r="N40" i="4"/>
  <c r="AD30" i="4"/>
  <c r="AB30" i="4"/>
  <c r="X30" i="4"/>
  <c r="R30" i="4"/>
  <c r="H29" i="4"/>
  <c r="H32" i="4" s="1"/>
  <c r="AF28" i="4"/>
  <c r="AD28" i="4"/>
  <c r="V28" i="4"/>
  <c r="R28" i="4"/>
  <c r="X27" i="4"/>
  <c r="X29" i="4" s="1"/>
  <c r="X32" i="4" s="1"/>
  <c r="V27" i="4"/>
  <c r="AB25" i="4"/>
  <c r="AB29" i="4" s="1"/>
  <c r="AB32" i="4" s="1"/>
  <c r="Z25" i="4"/>
  <c r="Z29" i="4" s="1"/>
  <c r="Z32" i="4" s="1"/>
  <c r="X25" i="4"/>
  <c r="T25" i="4"/>
  <c r="T29" i="4" s="1"/>
  <c r="T32" i="4" s="1"/>
  <c r="R25" i="4"/>
  <c r="R29" i="4" s="1"/>
  <c r="R32" i="4" s="1"/>
  <c r="P29" i="4"/>
  <c r="P32" i="4" s="1"/>
  <c r="H25" i="4"/>
  <c r="AF20" i="4"/>
  <c r="AF22" i="4" s="1"/>
  <c r="AD20" i="4"/>
  <c r="AD22" i="4" s="1"/>
  <c r="AB20" i="4"/>
  <c r="AB22" i="4" s="1"/>
  <c r="X20" i="4"/>
  <c r="X22" i="4" s="1"/>
  <c r="V20" i="4"/>
  <c r="T20" i="4"/>
  <c r="T22" i="4" s="1"/>
  <c r="R20" i="4"/>
  <c r="R22" i="4" s="1"/>
  <c r="Q20" i="4"/>
  <c r="P20" i="4"/>
  <c r="P22" i="4" s="1"/>
  <c r="O20" i="4"/>
  <c r="N20" i="4"/>
  <c r="N22" i="4" s="1"/>
  <c r="M20" i="4"/>
  <c r="L20" i="4"/>
  <c r="K20" i="4"/>
  <c r="J20" i="4"/>
  <c r="F20" i="4"/>
  <c r="AF17" i="4"/>
  <c r="AD17" i="4"/>
  <c r="AB17" i="4"/>
  <c r="X17" i="4"/>
  <c r="V17" i="4"/>
  <c r="T17" i="4"/>
  <c r="R17" i="4"/>
  <c r="F17" i="4"/>
  <c r="D17" i="4"/>
  <c r="AB16" i="4"/>
  <c r="T16" i="4"/>
  <c r="R16" i="4"/>
  <c r="P16" i="4"/>
  <c r="H16" i="4"/>
  <c r="D16" i="4"/>
  <c r="AB15" i="4"/>
  <c r="X15" i="4"/>
  <c r="T15" i="4"/>
  <c r="R15" i="4"/>
  <c r="P15" i="4"/>
  <c r="H15" i="4"/>
  <c r="AB12" i="4"/>
  <c r="X12" i="4"/>
  <c r="V12" i="4"/>
  <c r="T12" i="4"/>
  <c r="R12" i="4"/>
  <c r="P12" i="4"/>
  <c r="H12" i="4"/>
  <c r="AD11" i="4"/>
  <c r="AD16" i="4" s="1"/>
  <c r="V11" i="4"/>
  <c r="V15" i="4" s="1"/>
  <c r="N15" i="4"/>
  <c r="L16" i="4"/>
  <c r="J12" i="4"/>
  <c r="F11" i="4"/>
  <c r="F25" i="4" s="1"/>
  <c r="F29" i="4" s="1"/>
  <c r="F32" i="4" s="1"/>
  <c r="D11" i="4"/>
  <c r="D12" i="4" s="1"/>
  <c r="AF10" i="4"/>
  <c r="AF11" i="4" s="1"/>
  <c r="AE7" i="4"/>
  <c r="AC7" i="4"/>
  <c r="AA7" i="4"/>
  <c r="Y7" i="4"/>
  <c r="BF1" i="3"/>
  <c r="C45" i="3" s="1"/>
  <c r="BE1" i="3"/>
  <c r="BD1" i="3"/>
  <c r="C44" i="3" s="1"/>
  <c r="BC1" i="3"/>
  <c r="BB1" i="3"/>
  <c r="C43" i="3" s="1"/>
  <c r="BA1" i="3"/>
  <c r="AZ1" i="3"/>
  <c r="C42" i="3" s="1"/>
  <c r="AY1" i="3"/>
  <c r="AX1" i="3"/>
  <c r="C41" i="3" s="1"/>
  <c r="AW1" i="3"/>
  <c r="AV1" i="3"/>
  <c r="C40" i="3" s="1"/>
  <c r="AU1" i="3"/>
  <c r="AT1" i="3"/>
  <c r="C39" i="3" s="1"/>
  <c r="AS1" i="3"/>
  <c r="AR1" i="3"/>
  <c r="C38" i="3" s="1"/>
  <c r="AQ1" i="3"/>
  <c r="AP1" i="3"/>
  <c r="C37" i="3" s="1"/>
  <c r="AO1" i="3"/>
  <c r="AN1" i="3"/>
  <c r="C36" i="3" s="1"/>
  <c r="P36" i="3" s="1"/>
  <c r="AM1" i="3"/>
  <c r="C35" i="3" s="1"/>
  <c r="AL1" i="3"/>
  <c r="AK1" i="3"/>
  <c r="C34" i="3" s="1"/>
  <c r="AJ1" i="3"/>
  <c r="AI1" i="3"/>
  <c r="C33" i="3" s="1"/>
  <c r="AH2" i="3"/>
  <c r="AF2" i="3"/>
  <c r="AD2" i="3"/>
  <c r="AB2" i="3"/>
  <c r="P2" i="3"/>
  <c r="N2" i="3"/>
  <c r="L2" i="3"/>
  <c r="H2" i="3"/>
  <c r="F2" i="3"/>
  <c r="D2" i="3"/>
  <c r="AH1" i="3"/>
  <c r="AG1" i="3"/>
  <c r="C32" i="3" s="1"/>
  <c r="AF1" i="3"/>
  <c r="AE1" i="3"/>
  <c r="C31" i="3" s="1"/>
  <c r="AD1" i="3"/>
  <c r="AC1" i="3"/>
  <c r="C30" i="3" s="1"/>
  <c r="AB1" i="3"/>
  <c r="AA1" i="3"/>
  <c r="C29" i="3" s="1"/>
  <c r="Z1" i="3"/>
  <c r="Y1" i="3"/>
  <c r="C28" i="3" s="1"/>
  <c r="X1" i="3"/>
  <c r="W1" i="3"/>
  <c r="C27" i="3" s="1"/>
  <c r="V1" i="3"/>
  <c r="U1" i="3"/>
  <c r="C26" i="3" s="1"/>
  <c r="T1" i="3"/>
  <c r="S1" i="3"/>
  <c r="C25" i="3" s="1"/>
  <c r="R1" i="3"/>
  <c r="Q1" i="3"/>
  <c r="C24" i="3" s="1"/>
  <c r="P1" i="3"/>
  <c r="N1" i="3"/>
  <c r="M1" i="3"/>
  <c r="C23" i="3" s="1"/>
  <c r="L1" i="3"/>
  <c r="K1" i="3"/>
  <c r="C22" i="3" s="1"/>
  <c r="J1" i="3"/>
  <c r="I1" i="3"/>
  <c r="H1" i="3"/>
  <c r="G1" i="3"/>
  <c r="C20" i="3" s="1"/>
  <c r="F1" i="3"/>
  <c r="E1" i="3"/>
  <c r="C19" i="3" s="1"/>
  <c r="D1" i="3"/>
  <c r="C1" i="3"/>
  <c r="T7" i="4"/>
  <c r="L5" i="4"/>
  <c r="V5" i="4"/>
  <c r="R5" i="4"/>
  <c r="R7" i="4"/>
  <c r="X5" i="4"/>
  <c r="T5" i="4"/>
  <c r="D5" i="4"/>
  <c r="L7" i="4"/>
  <c r="X7" i="4"/>
  <c r="F5" i="4"/>
  <c r="H5" i="4"/>
  <c r="V7" i="4"/>
  <c r="D7" i="4"/>
  <c r="H7" i="4"/>
  <c r="F7" i="4"/>
  <c r="AD7" i="4"/>
  <c r="P5" i="4"/>
  <c r="N7" i="4"/>
  <c r="N5" i="4"/>
  <c r="AF7" i="4"/>
  <c r="AD5" i="4"/>
  <c r="AB7" i="4"/>
  <c r="J7" i="4"/>
  <c r="AB5" i="4"/>
  <c r="P7" i="4"/>
  <c r="J5" i="4"/>
  <c r="AF5" i="4"/>
  <c r="P32" i="3" l="1"/>
  <c r="P28" i="3"/>
  <c r="P24" i="3"/>
  <c r="P35" i="3"/>
  <c r="P40" i="3"/>
  <c r="P44" i="3"/>
  <c r="P25" i="3"/>
  <c r="P29" i="3"/>
  <c r="P37" i="3"/>
  <c r="P41" i="3"/>
  <c r="P45" i="3"/>
  <c r="P30" i="3"/>
  <c r="P33" i="3"/>
  <c r="P23" i="3"/>
  <c r="P38" i="3"/>
  <c r="P42" i="3"/>
  <c r="P26" i="3"/>
  <c r="P27" i="3"/>
  <c r="P31" i="3"/>
  <c r="P34" i="3"/>
  <c r="P22" i="3"/>
  <c r="P19" i="3"/>
  <c r="P20" i="3"/>
  <c r="P39" i="3"/>
  <c r="P43" i="3"/>
  <c r="O32" i="3"/>
  <c r="O24" i="3"/>
  <c r="O28" i="3"/>
  <c r="N35" i="3"/>
  <c r="O35" i="3"/>
  <c r="O25" i="3"/>
  <c r="O29" i="3"/>
  <c r="O17" i="3"/>
  <c r="O37" i="3"/>
  <c r="O41" i="3"/>
  <c r="O45" i="3"/>
  <c r="O40" i="3"/>
  <c r="O26" i="3"/>
  <c r="O30" i="3"/>
  <c r="O33" i="3"/>
  <c r="O22" i="3"/>
  <c r="O23" i="3"/>
  <c r="O38" i="3"/>
  <c r="O42" i="3"/>
  <c r="O44" i="3"/>
  <c r="O27" i="3"/>
  <c r="O31" i="3"/>
  <c r="O34" i="3"/>
  <c r="O36" i="3"/>
  <c r="O19" i="3"/>
  <c r="O20" i="3"/>
  <c r="O39" i="3"/>
  <c r="O43" i="3"/>
  <c r="N24" i="3"/>
  <c r="N32" i="3"/>
  <c r="N28" i="3"/>
  <c r="N29" i="3"/>
  <c r="N25" i="3"/>
  <c r="N22" i="3"/>
  <c r="N74" i="3" s="1"/>
  <c r="N37" i="3"/>
  <c r="N41" i="3"/>
  <c r="N45" i="3"/>
  <c r="N44" i="3"/>
  <c r="N33" i="3"/>
  <c r="N23" i="3"/>
  <c r="N75" i="3" s="1"/>
  <c r="N42" i="3"/>
  <c r="N77" i="3" s="1"/>
  <c r="N36" i="3"/>
  <c r="N30" i="3"/>
  <c r="N38" i="3"/>
  <c r="N27" i="3"/>
  <c r="N31" i="3"/>
  <c r="N34" i="3"/>
  <c r="N40" i="3"/>
  <c r="N76" i="3" s="1"/>
  <c r="N26" i="3"/>
  <c r="N19" i="3"/>
  <c r="N20" i="3"/>
  <c r="N39" i="3"/>
  <c r="N43" i="3"/>
  <c r="M20" i="3"/>
  <c r="M43" i="3"/>
  <c r="M39" i="3"/>
  <c r="M24" i="3"/>
  <c r="M32" i="3"/>
  <c r="M36" i="3"/>
  <c r="M40" i="3"/>
  <c r="M76" i="3" s="1"/>
  <c r="M44" i="3"/>
  <c r="M25" i="3"/>
  <c r="M29" i="3"/>
  <c r="M17" i="3"/>
  <c r="M72" i="3" s="1"/>
  <c r="C74" i="3"/>
  <c r="M22" i="3"/>
  <c r="M74" i="3" s="1"/>
  <c r="M45" i="3"/>
  <c r="M26" i="3"/>
  <c r="M33" i="3"/>
  <c r="M19" i="3"/>
  <c r="C75" i="3"/>
  <c r="M23" i="3"/>
  <c r="M75" i="3" s="1"/>
  <c r="M38" i="3"/>
  <c r="C77" i="3"/>
  <c r="M42" i="3"/>
  <c r="M77" i="3" s="1"/>
  <c r="M37" i="3"/>
  <c r="M41" i="3"/>
  <c r="M30" i="3"/>
  <c r="M27" i="3"/>
  <c r="M31" i="3"/>
  <c r="M34" i="3"/>
  <c r="M28" i="3"/>
  <c r="M35" i="3"/>
  <c r="L36" i="3"/>
  <c r="L40" i="3"/>
  <c r="L76" i="3" s="1"/>
  <c r="C76" i="3"/>
  <c r="L44" i="3"/>
  <c r="L25" i="3"/>
  <c r="L29" i="3"/>
  <c r="L37" i="3"/>
  <c r="L26" i="3"/>
  <c r="L30" i="3"/>
  <c r="L33" i="3"/>
  <c r="L45" i="3"/>
  <c r="L23" i="3"/>
  <c r="L75" i="3" s="1"/>
  <c r="L38" i="3"/>
  <c r="L42" i="3"/>
  <c r="L77" i="3" s="1"/>
  <c r="L19" i="3"/>
  <c r="L27" i="3"/>
  <c r="L31" i="3"/>
  <c r="L34" i="3"/>
  <c r="L41" i="3"/>
  <c r="L20" i="3"/>
  <c r="L39" i="3"/>
  <c r="L43" i="3"/>
  <c r="L22" i="3"/>
  <c r="L74" i="3" s="1"/>
  <c r="L24" i="3"/>
  <c r="L28" i="3"/>
  <c r="L32" i="3"/>
  <c r="L35" i="3"/>
  <c r="J40" i="3"/>
  <c r="J76" i="3" s="1"/>
  <c r="K40" i="3"/>
  <c r="K76" i="3" s="1"/>
  <c r="K29" i="3"/>
  <c r="J29" i="3"/>
  <c r="K22" i="3"/>
  <c r="K74" i="3" s="1"/>
  <c r="J22" i="3"/>
  <c r="J74" i="3" s="1"/>
  <c r="K37" i="3"/>
  <c r="J37" i="3"/>
  <c r="J41" i="3"/>
  <c r="K41" i="3"/>
  <c r="K45" i="3"/>
  <c r="J45" i="3"/>
  <c r="J30" i="3"/>
  <c r="K30" i="3"/>
  <c r="K33" i="3"/>
  <c r="J33" i="3"/>
  <c r="K44" i="3"/>
  <c r="J44" i="3"/>
  <c r="K38" i="3"/>
  <c r="J38" i="3"/>
  <c r="K31" i="3"/>
  <c r="J31" i="3"/>
  <c r="K34" i="3"/>
  <c r="J34" i="3"/>
  <c r="K36" i="3"/>
  <c r="J36" i="3"/>
  <c r="J26" i="3"/>
  <c r="K26" i="3"/>
  <c r="J23" i="3"/>
  <c r="J75" i="3" s="1"/>
  <c r="K23" i="3"/>
  <c r="K75" i="3" s="1"/>
  <c r="K43" i="3"/>
  <c r="J43" i="3"/>
  <c r="J25" i="3"/>
  <c r="K25" i="3"/>
  <c r="K19" i="3"/>
  <c r="J19" i="3"/>
  <c r="J42" i="3"/>
  <c r="J77" i="3" s="1"/>
  <c r="K42" i="3"/>
  <c r="K77" i="3" s="1"/>
  <c r="K27" i="3"/>
  <c r="J27" i="3"/>
  <c r="I20" i="3"/>
  <c r="K20" i="3"/>
  <c r="J20" i="3"/>
  <c r="J39" i="3"/>
  <c r="K39" i="3"/>
  <c r="J24" i="3"/>
  <c r="K24" i="3"/>
  <c r="K28" i="3"/>
  <c r="J28" i="3"/>
  <c r="J32" i="3"/>
  <c r="K32" i="3"/>
  <c r="K35" i="3"/>
  <c r="J35" i="3"/>
  <c r="I19" i="3"/>
  <c r="C21" i="3"/>
  <c r="P21" i="3" s="1"/>
  <c r="I38" i="3"/>
  <c r="I30" i="3"/>
  <c r="I22" i="3"/>
  <c r="I74" i="3" s="1"/>
  <c r="I27" i="3"/>
  <c r="I42" i="3"/>
  <c r="I77" i="3" s="1"/>
  <c r="I26" i="3"/>
  <c r="I41" i="3"/>
  <c r="I40" i="3"/>
  <c r="I76" i="3" s="1"/>
  <c r="I31" i="3"/>
  <c r="I45" i="3"/>
  <c r="I37" i="3"/>
  <c r="I29" i="3"/>
  <c r="I35" i="3"/>
  <c r="I44" i="3"/>
  <c r="I36" i="3"/>
  <c r="I28" i="3"/>
  <c r="I34" i="3"/>
  <c r="I25" i="3"/>
  <c r="I32" i="3"/>
  <c r="I39" i="3"/>
  <c r="I43" i="3"/>
  <c r="I33" i="3"/>
  <c r="I24" i="3"/>
  <c r="I23" i="3"/>
  <c r="I75" i="3" s="1"/>
  <c r="E24" i="3"/>
  <c r="E28" i="3"/>
  <c r="E25" i="3"/>
  <c r="E22" i="3"/>
  <c r="E74" i="3" s="1"/>
  <c r="E41" i="3"/>
  <c r="E26" i="3"/>
  <c r="E33" i="3"/>
  <c r="E19" i="3"/>
  <c r="E23" i="3"/>
  <c r="E75" i="3" s="1"/>
  <c r="E38" i="3"/>
  <c r="E42" i="3"/>
  <c r="E77" i="3" s="1"/>
  <c r="E27" i="3"/>
  <c r="E31" i="3"/>
  <c r="E34" i="3"/>
  <c r="E32" i="3"/>
  <c r="E36" i="3"/>
  <c r="E40" i="3"/>
  <c r="E76" i="3" s="1"/>
  <c r="E44" i="3"/>
  <c r="E29" i="3"/>
  <c r="E37" i="3"/>
  <c r="E45" i="3"/>
  <c r="E30" i="3"/>
  <c r="E20" i="3"/>
  <c r="E39" i="3"/>
  <c r="E43" i="3"/>
  <c r="E35" i="3"/>
  <c r="C18" i="3"/>
  <c r="J41" i="4"/>
  <c r="J40" i="4"/>
  <c r="L15" i="4"/>
  <c r="N16" i="4"/>
  <c r="J15" i="4"/>
  <c r="F22" i="4"/>
  <c r="V25" i="4"/>
  <c r="V29" i="4" s="1"/>
  <c r="V32" i="4" s="1"/>
  <c r="J22" i="4"/>
  <c r="AD12" i="4"/>
  <c r="L12" i="4"/>
  <c r="D15" i="4"/>
  <c r="L22" i="4"/>
  <c r="V22" i="4"/>
  <c r="D25" i="4"/>
  <c r="D29" i="4" s="1"/>
  <c r="D32" i="4" s="1"/>
  <c r="AD15" i="4"/>
  <c r="AF15" i="4"/>
  <c r="AF25" i="4"/>
  <c r="AF29" i="4" s="1"/>
  <c r="AF32" i="4" s="1"/>
  <c r="AF12" i="4"/>
  <c r="AF16" i="4"/>
  <c r="F12" i="4"/>
  <c r="J25" i="4"/>
  <c r="J29" i="4" s="1"/>
  <c r="J32" i="4" s="1"/>
  <c r="N12" i="4"/>
  <c r="F16" i="4"/>
  <c r="V16" i="4"/>
  <c r="L25" i="4"/>
  <c r="L29" i="4" s="1"/>
  <c r="L32" i="4" s="1"/>
  <c r="X16" i="4"/>
  <c r="N25" i="4"/>
  <c r="N29" i="4" s="1"/>
  <c r="N32" i="4" s="1"/>
  <c r="AD25" i="4"/>
  <c r="AD29" i="4" s="1"/>
  <c r="AD32" i="4" s="1"/>
  <c r="F15" i="4"/>
  <c r="J16" i="4"/>
  <c r="N18" i="3" l="1"/>
  <c r="N73" i="3" s="1"/>
  <c r="P18" i="3"/>
  <c r="N21" i="3"/>
  <c r="O21" i="3"/>
  <c r="L21" i="3"/>
  <c r="M21" i="3"/>
  <c r="L18" i="3"/>
  <c r="L73" i="3" s="1"/>
  <c r="C73" i="3"/>
  <c r="J18" i="3"/>
  <c r="J73" i="3" s="1"/>
  <c r="K18" i="3"/>
  <c r="K73" i="3" s="1"/>
  <c r="I21" i="3"/>
  <c r="K21" i="3"/>
  <c r="J21" i="3"/>
  <c r="E21" i="3"/>
  <c r="E18" i="3"/>
  <c r="I18" i="3"/>
  <c r="I73" i="3" s="1"/>
  <c r="BE2" i="3"/>
  <c r="BC2" i="3"/>
  <c r="BA2" i="3"/>
  <c r="AY2" i="3"/>
  <c r="AW2" i="3"/>
  <c r="AU2" i="3"/>
  <c r="AT2" i="3"/>
  <c r="D39" i="3" s="1"/>
  <c r="AS2" i="3"/>
  <c r="AQ2" i="3"/>
  <c r="AP2" i="3"/>
  <c r="D37" i="3" s="1"/>
  <c r="AO2" i="3"/>
  <c r="AN2" i="3"/>
  <c r="D36" i="3" s="1"/>
  <c r="AL2" i="3"/>
  <c r="AK2" i="3"/>
  <c r="D34" i="3" s="1"/>
  <c r="AJ2" i="3"/>
  <c r="E73" i="3" l="1"/>
  <c r="AA49" i="3"/>
  <c r="D63" i="3" s="1"/>
  <c r="E49" i="3"/>
  <c r="D53" i="3" s="1"/>
  <c r="Y49" i="3"/>
  <c r="D62" i="3" s="1"/>
  <c r="E2" i="3"/>
  <c r="D19" i="3" s="1"/>
  <c r="AM2" i="3"/>
  <c r="D35" i="3" s="1"/>
  <c r="Q2" i="3"/>
  <c r="D24" i="3" s="1"/>
  <c r="P49" i="3"/>
  <c r="U2" i="3"/>
  <c r="D26" i="3" s="1"/>
  <c r="X2" i="3" l="1"/>
  <c r="Y2" i="3"/>
  <c r="D28" i="3" s="1"/>
  <c r="AC2" i="3"/>
  <c r="D30" i="3" s="1"/>
  <c r="C49" i="3"/>
  <c r="D52" i="3" s="1"/>
  <c r="S2" i="3"/>
  <c r="D25" i="3" s="1"/>
  <c r="G49" i="3"/>
  <c r="D54" i="3" s="1"/>
  <c r="L49" i="3"/>
  <c r="U49" i="3"/>
  <c r="K2" i="3"/>
  <c r="D22" i="3" s="1"/>
  <c r="D74" i="3" s="1"/>
  <c r="BB2" i="3"/>
  <c r="D43" i="3" s="1"/>
  <c r="AE49" i="3"/>
  <c r="D65" i="3" s="1"/>
  <c r="V49" i="3"/>
  <c r="AC49" i="3"/>
  <c r="D64" i="3" s="1"/>
  <c r="AV2" i="3"/>
  <c r="D40" i="3" s="1"/>
  <c r="D76" i="3" s="1"/>
  <c r="AB49" i="3"/>
  <c r="BD2" i="3"/>
  <c r="D44" i="3" s="1"/>
  <c r="M49" i="3"/>
  <c r="D57" i="3" s="1"/>
  <c r="K49" i="3"/>
  <c r="D56" i="3" s="1"/>
  <c r="AI2" i="3"/>
  <c r="D33" i="3" s="1"/>
  <c r="BF2" i="3"/>
  <c r="D45" i="3" s="1"/>
  <c r="AD49" i="3"/>
  <c r="AZ2" i="3"/>
  <c r="D42" i="3" s="1"/>
  <c r="D77" i="3" s="1"/>
  <c r="Z2" i="3"/>
  <c r="I2" i="3"/>
  <c r="D21" i="3" s="1"/>
  <c r="AG2" i="3"/>
  <c r="D32" i="3" s="1"/>
  <c r="I49" i="3"/>
  <c r="D55" i="3" s="1"/>
  <c r="Z49" i="3"/>
  <c r="V2" i="3"/>
  <c r="S49" i="3"/>
  <c r="D60" i="3" s="1"/>
  <c r="X49" i="3"/>
  <c r="W49" i="3"/>
  <c r="D61" i="3" s="1"/>
  <c r="R49" i="3"/>
  <c r="O49" i="3"/>
  <c r="D58" i="3" s="1"/>
  <c r="W2" i="3"/>
  <c r="D27" i="3" s="1"/>
  <c r="T2" i="3"/>
  <c r="G2" i="3"/>
  <c r="D20" i="3" s="1"/>
  <c r="J2" i="3"/>
  <c r="Q49" i="3"/>
  <c r="D59" i="3" s="1"/>
  <c r="AA2" i="3"/>
  <c r="D29" i="3" s="1"/>
  <c r="AR2" i="3"/>
  <c r="D38" i="3" s="1"/>
  <c r="R2" i="3"/>
  <c r="M2" i="3"/>
  <c r="D23" i="3" s="1"/>
  <c r="D75" i="3" s="1"/>
  <c r="AX2" i="3"/>
  <c r="D41" i="3" s="1"/>
  <c r="AE2" i="3"/>
  <c r="D31" i="3" s="1"/>
  <c r="C2" i="3"/>
  <c r="D18" i="3" s="1"/>
  <c r="O18" i="3" s="1"/>
  <c r="T49" i="3"/>
  <c r="D73" i="3" l="1"/>
  <c r="M18" i="3"/>
  <c r="M73" i="3" s="1"/>
</calcChain>
</file>

<file path=xl/comments1.xml><?xml version="1.0" encoding="utf-8"?>
<comments xmlns="http://schemas.openxmlformats.org/spreadsheetml/2006/main">
  <authors>
    <author>Cameron White</author>
  </authors>
  <commentList>
    <comment ref="CO53" authorId="0" shapeId="0">
      <text>
        <r>
          <rPr>
            <sz val="9"/>
            <color indexed="81"/>
            <rFont val="Tahoma"/>
            <family val="2"/>
          </rPr>
          <t>Allocated as a percentage of revenue</t>
        </r>
      </text>
    </comment>
  </commentList>
</comments>
</file>

<file path=xl/sharedStrings.xml><?xml version="1.0" encoding="utf-8"?>
<sst xmlns="http://schemas.openxmlformats.org/spreadsheetml/2006/main" count="681" uniqueCount="391">
  <si>
    <t>Ratings</t>
  </si>
  <si>
    <t>Bond</t>
  </si>
  <si>
    <t>Financials</t>
  </si>
  <si>
    <t>Revenue ($mm)</t>
  </si>
  <si>
    <t>EBITDAX ($mm)</t>
  </si>
  <si>
    <t>EBITDAX margin</t>
  </si>
  <si>
    <t>Debt</t>
  </si>
  <si>
    <t>Leverage</t>
  </si>
  <si>
    <t>Interest Coverage</t>
  </si>
  <si>
    <t>Liquidity</t>
  </si>
  <si>
    <t>LTM FCF</t>
  </si>
  <si>
    <t>EBITDA</t>
  </si>
  <si>
    <t>Capex</t>
  </si>
  <si>
    <t>Interest</t>
  </si>
  <si>
    <t>2019 FCF</t>
  </si>
  <si>
    <t>2019 EBITDA</t>
  </si>
  <si>
    <t>2019 Capex</t>
  </si>
  <si>
    <t>2019 Interest</t>
  </si>
  <si>
    <t>Tax</t>
  </si>
  <si>
    <t>2019 Tax</t>
  </si>
  <si>
    <t>FCF</t>
  </si>
  <si>
    <t>Production</t>
  </si>
  <si>
    <t>Percent Liquids</t>
  </si>
  <si>
    <t>Grid Rating</t>
  </si>
  <si>
    <t>Debt/LQA Production</t>
  </si>
  <si>
    <t>Debt/LTM Production</t>
  </si>
  <si>
    <t>Cash Costs</t>
  </si>
  <si>
    <t>Production Tax</t>
  </si>
  <si>
    <t>G&amp;A costs</t>
  </si>
  <si>
    <t>Full-cycle costs</t>
  </si>
  <si>
    <t>Revenue/boe</t>
  </si>
  <si>
    <t>Unlevered Cash Margin</t>
  </si>
  <si>
    <t>Reserves</t>
  </si>
  <si>
    <t>Proved Reserves (mmboe)</t>
  </si>
  <si>
    <t>Debt/Proved Reserves ($/mboe)</t>
  </si>
  <si>
    <t>Reserve Life</t>
  </si>
  <si>
    <t>SEC PV-10</t>
  </si>
  <si>
    <t>PV-10/Debt</t>
  </si>
  <si>
    <t xml:space="preserve">Hedges </t>
  </si>
  <si>
    <t>2019 Hedges (oil)</t>
  </si>
  <si>
    <t>2019 Hedges (nat gas)</t>
  </si>
  <si>
    <t>2020 Hedges (oil)</t>
  </si>
  <si>
    <t>2020 Hedges (natural gas)</t>
  </si>
  <si>
    <t>SM Energy</t>
  </si>
  <si>
    <t>LQA Production (mmboe)</t>
  </si>
  <si>
    <t>LTM Production (mmboe)</t>
  </si>
  <si>
    <t>Daily Production (mboe/d)</t>
  </si>
  <si>
    <t>Debt/LTM Daily Production</t>
  </si>
  <si>
    <t>LOE/Transportation</t>
  </si>
  <si>
    <t>QEP Resources</t>
  </si>
  <si>
    <t>Concho Resources</t>
  </si>
  <si>
    <t>Denbury Resources</t>
  </si>
  <si>
    <t>Continental Resources</t>
  </si>
  <si>
    <t>Apache Corp</t>
  </si>
  <si>
    <t>Anadarko Petroleum</t>
  </si>
  <si>
    <t>ConocoPhillips</t>
  </si>
  <si>
    <t>Marathon Oil</t>
  </si>
  <si>
    <t>Occidental Petroleum</t>
  </si>
  <si>
    <t>Cimarex</t>
  </si>
  <si>
    <t>Whiting Petroleum</t>
  </si>
  <si>
    <t>Southwestern</t>
  </si>
  <si>
    <t>Range Resources</t>
  </si>
  <si>
    <t>Gulfport</t>
  </si>
  <si>
    <t>Laredo Petroleum</t>
  </si>
  <si>
    <t>Devon Energy</t>
  </si>
  <si>
    <t>Oasis Petroleum</t>
  </si>
  <si>
    <t>Antero Resources</t>
  </si>
  <si>
    <t>EP Energy</t>
  </si>
  <si>
    <t>Diamondback Energy</t>
  </si>
  <si>
    <t>Newfield Exploration</t>
  </si>
  <si>
    <t>WPX Energy</t>
  </si>
  <si>
    <t>Carrizo Oil&amp;Gas</t>
  </si>
  <si>
    <t>California Resources</t>
  </si>
  <si>
    <t>Dividends</t>
  </si>
  <si>
    <t>Share Repurchases</t>
  </si>
  <si>
    <t>Discretionary  FCF</t>
  </si>
  <si>
    <t>Paramount Resources</t>
  </si>
  <si>
    <t>Endeavor Energy</t>
  </si>
  <si>
    <t>Encana</t>
  </si>
  <si>
    <t>CNX Resources</t>
  </si>
  <si>
    <t>EOG Resources</t>
  </si>
  <si>
    <t>Murphy Oil</t>
  </si>
  <si>
    <t>PDC Energy</t>
  </si>
  <si>
    <t>Hilcorp Exploration</t>
  </si>
  <si>
    <t>Parsley Energy</t>
  </si>
  <si>
    <t>Mackay Production Pull-Forward</t>
  </si>
  <si>
    <t xml:space="preserve">Crude </t>
  </si>
  <si>
    <t>Nat Gas</t>
  </si>
  <si>
    <t>Matador Resources</t>
  </si>
  <si>
    <t>Price</t>
  </si>
  <si>
    <t>Pioneer Natural Resources</t>
  </si>
  <si>
    <t>Chesapeake Energy</t>
  </si>
  <si>
    <t>B1/BB-</t>
  </si>
  <si>
    <t>Ba3/BB+</t>
  </si>
  <si>
    <t>5.75% '26</t>
  </si>
  <si>
    <t>PX_LAST</t>
  </si>
  <si>
    <t>YLD_CNV_OPEN</t>
  </si>
  <si>
    <t>qJ9576555 corp</t>
  </si>
  <si>
    <t>Caa2/B-/CCC+</t>
  </si>
  <si>
    <t>8.0% '22</t>
  </si>
  <si>
    <t>Ba3/BB+/BBB-</t>
  </si>
  <si>
    <t>5.0% '25</t>
  </si>
  <si>
    <t>AO1126629 corp</t>
  </si>
  <si>
    <t>B2/B+</t>
  </si>
  <si>
    <t>8.25% '25</t>
  </si>
  <si>
    <t>AO1652376 corp</t>
  </si>
  <si>
    <t>AU6889052 corp</t>
  </si>
  <si>
    <t>B3/B+</t>
  </si>
  <si>
    <t>7.0% '24</t>
  </si>
  <si>
    <t>B3/BB-</t>
  </si>
  <si>
    <t>5.875% '22</t>
  </si>
  <si>
    <t>Baa3/BBB-/BBB</t>
  </si>
  <si>
    <t>4.375% '25</t>
  </si>
  <si>
    <t>AL7282349 corp</t>
  </si>
  <si>
    <t>9.25% '22</t>
  </si>
  <si>
    <t>AQ2692491 corp</t>
  </si>
  <si>
    <t>B2/BB-</t>
  </si>
  <si>
    <t>5.50% '26</t>
  </si>
  <si>
    <t>AQ2229047 corp</t>
  </si>
  <si>
    <t>Ba2/BB+/BBB-</t>
  </si>
  <si>
    <t>5.375% '25</t>
  </si>
  <si>
    <t>AO0955093 corp</t>
  </si>
  <si>
    <t>Caa2/CCC-/CCC-</t>
  </si>
  <si>
    <t>6.375% '23</t>
  </si>
  <si>
    <t>AF2041107 corp</t>
  </si>
  <si>
    <t>6.375% '25</t>
  </si>
  <si>
    <t>AO6542499 corp</t>
  </si>
  <si>
    <t>Ba2/BB+</t>
  </si>
  <si>
    <t>5.75% '25</t>
  </si>
  <si>
    <t>EK9287666 corp</t>
  </si>
  <si>
    <t>6.25% '23</t>
  </si>
  <si>
    <t>EK7884373 corp</t>
  </si>
  <si>
    <t>av7264519 corp</t>
  </si>
  <si>
    <t>5.875% '26</t>
  </si>
  <si>
    <t>Ba2/BBB-/BB+</t>
  </si>
  <si>
    <t>ao6537143 corp</t>
  </si>
  <si>
    <t>6.25% '26</t>
  </si>
  <si>
    <t>as4470579 corp</t>
  </si>
  <si>
    <t>ap2883829 corp</t>
  </si>
  <si>
    <t>Ba3/BB</t>
  </si>
  <si>
    <t>al5956845 corp</t>
  </si>
  <si>
    <t>at3081839 corp</t>
  </si>
  <si>
    <t>4.875% '25</t>
  </si>
  <si>
    <t>jk4439317 corp</t>
  </si>
  <si>
    <t>B2/BB-/BB-</t>
  </si>
  <si>
    <t>6.625% '27</t>
  </si>
  <si>
    <t>at9394434 corp</t>
  </si>
  <si>
    <t>Ba3/BB/BB</t>
  </si>
  <si>
    <t>7.5% '26</t>
  </si>
  <si>
    <t>ap0996078 corp</t>
  </si>
  <si>
    <t>Ba3/BB-/BB-</t>
  </si>
  <si>
    <t>5.625% '26</t>
  </si>
  <si>
    <t>ap8909974 corp</t>
  </si>
  <si>
    <t>B2/BB</t>
  </si>
  <si>
    <t>6.625% '26</t>
  </si>
  <si>
    <t>as9994474 corp</t>
  </si>
  <si>
    <t>as5835499 corp</t>
  </si>
  <si>
    <t>YTW/Spread</t>
  </si>
  <si>
    <t>5.55% '26</t>
  </si>
  <si>
    <t>jk4486045 corp</t>
  </si>
  <si>
    <t>OAS_SPREAD_MID</t>
  </si>
  <si>
    <t>au0590557 corp</t>
  </si>
  <si>
    <t>Baa3/BBB/BBB</t>
  </si>
  <si>
    <t>4.375% '28</t>
  </si>
  <si>
    <t>Ba1/BBB/BBB</t>
  </si>
  <si>
    <t>3.90% '27</t>
  </si>
  <si>
    <t>Baa3/BBB-/BBB-</t>
  </si>
  <si>
    <t>an1132447 corp</t>
  </si>
  <si>
    <t>jk3436074 corp</t>
  </si>
  <si>
    <t>A3/A/A</t>
  </si>
  <si>
    <t>4.95% '26</t>
  </si>
  <si>
    <t>as3194220 corp</t>
  </si>
  <si>
    <t>5.85% '25</t>
  </si>
  <si>
    <t>Ba1/BBB/BBB+</t>
  </si>
  <si>
    <t>jv2587196 corp</t>
  </si>
  <si>
    <t>Baa1/A-/BBB+</t>
  </si>
  <si>
    <t>4.15% '26</t>
  </si>
  <si>
    <t>jv6007332 corp</t>
  </si>
  <si>
    <t>Ba1/BBB-/BBB</t>
  </si>
  <si>
    <t>6.5% '34</t>
  </si>
  <si>
    <t>ed5603961 corp</t>
  </si>
  <si>
    <t>ao3535017 corp</t>
  </si>
  <si>
    <t>3.0% '27</t>
  </si>
  <si>
    <t>al0940299 corp</t>
  </si>
  <si>
    <t>4.4% '27</t>
  </si>
  <si>
    <t>4.45% '26</t>
  </si>
  <si>
    <t>Baa2/BBB/BBB</t>
  </si>
  <si>
    <t>qj9978017 corp</t>
  </si>
  <si>
    <t>Boardwalk</t>
  </si>
  <si>
    <t>Buckeye</t>
  </si>
  <si>
    <t>Enable</t>
  </si>
  <si>
    <t>Enterprise</t>
  </si>
  <si>
    <t>Kinder Morgan</t>
  </si>
  <si>
    <t>Magellan</t>
  </si>
  <si>
    <t>Plains All American</t>
  </si>
  <si>
    <t>TransCanada</t>
  </si>
  <si>
    <t>Williams</t>
  </si>
  <si>
    <t>5.95% '26</t>
  </si>
  <si>
    <t>lw1068706 corp</t>
  </si>
  <si>
    <t>Description</t>
  </si>
  <si>
    <t>14,335 miles of pipeline</t>
  </si>
  <si>
    <t xml:space="preserve">Contracts </t>
  </si>
  <si>
    <t>83% firm reservation, 6% Service</t>
  </si>
  <si>
    <t>4.125% '27</t>
  </si>
  <si>
    <t>ap9675491 corp</t>
  </si>
  <si>
    <t>Market Capitalization</t>
  </si>
  <si>
    <t>Enterprise Value</t>
  </si>
  <si>
    <t>EV/EBITDA</t>
  </si>
  <si>
    <t>NA</t>
  </si>
  <si>
    <t>EBITDA ($mm)</t>
  </si>
  <si>
    <t>EBITDA margin</t>
  </si>
  <si>
    <t>4.40% '27</t>
  </si>
  <si>
    <t>am7613012 corp</t>
  </si>
  <si>
    <t>Baa1/BBB+/BBB+</t>
  </si>
  <si>
    <t>4.15% '28</t>
  </si>
  <si>
    <t>au8143607 corp</t>
  </si>
  <si>
    <t>Baa2/BBB/BBB-</t>
  </si>
  <si>
    <t>4.30% '25</t>
  </si>
  <si>
    <t>ek6237607 corp</t>
  </si>
  <si>
    <t>Spread</t>
  </si>
  <si>
    <t>Cash</t>
  </si>
  <si>
    <t>5.0% '26</t>
  </si>
  <si>
    <t>jk2126734 corp</t>
  </si>
  <si>
    <t>Ba1/BBB-/BBB-</t>
  </si>
  <si>
    <t>4.50% '26</t>
  </si>
  <si>
    <t>al2939414 corp</t>
  </si>
  <si>
    <t>4.25% '28</t>
  </si>
  <si>
    <t>as5051345 corp</t>
  </si>
  <si>
    <t>Baa3/BBB/BBB-</t>
  </si>
  <si>
    <t>3.75% '27</t>
  </si>
  <si>
    <t>an8093246 corp</t>
  </si>
  <si>
    <t>Noble Energy</t>
  </si>
  <si>
    <t>4.75% '28</t>
  </si>
  <si>
    <t>at9556495 corp</t>
  </si>
  <si>
    <t>Western Midstream</t>
  </si>
  <si>
    <t>Oneok</t>
  </si>
  <si>
    <t>Enbridge</t>
  </si>
  <si>
    <t>12/31/2018 ($CAD)</t>
  </si>
  <si>
    <t>Baa2/BBB+/BBB+</t>
  </si>
  <si>
    <t>3.70% '27</t>
  </si>
  <si>
    <t>ao1405585 corp</t>
  </si>
  <si>
    <t>Columbia Pipeline</t>
  </si>
  <si>
    <t xml:space="preserve">Higher Leverage.  Contract roll issues. Fixed fee revenue backlog declines.  </t>
  </si>
  <si>
    <t xml:space="preserve">Leverage target is below ~5.0x (higher leverage).  L3 delays highlight regulatory issues. </t>
  </si>
  <si>
    <t xml:space="preserve">Integrated asset base.  Self fund equity growth investments.  3.5x net debt/leverage target.  </t>
  </si>
  <si>
    <t>Buy Rating</t>
  </si>
  <si>
    <t xml:space="preserve">Leverage expected to rise due to growth projects.  </t>
  </si>
  <si>
    <t xml:space="preserve">Upgrade from Moody's isn't expected for the next few quarters.  </t>
  </si>
  <si>
    <t>Long term 4.2x target.</t>
  </si>
  <si>
    <t>56% of EBITDA is pipelines with petrolum product in the northeast and midwest.  44% of EBITDA is from marine terminal in the East Coast, Gulf and Caribbean.  Higer Leverage.  Backwardated curve.</t>
  </si>
  <si>
    <t>Strong producer activity on footprint (majority in SCOOP/STACK).  Stable single digit growth outlook.  Majority of contracts are fee-based.  Reasonable leverage.</t>
  </si>
  <si>
    <t xml:space="preserve">4.5x leverage target.  Natural gas levered. Strong growth pipeline.  50% owner of Ruby Pipelin ($150mm to KMI) </t>
  </si>
  <si>
    <t xml:space="preserve">Moody's negative outlook.  </t>
  </si>
  <si>
    <t>jk8194108 corp</t>
  </si>
  <si>
    <t>Baa1/NR/BBB+</t>
  </si>
  <si>
    <t>4.5% '25</t>
  </si>
  <si>
    <t>4.55% ' 28</t>
  </si>
  <si>
    <t>at2061758 corp</t>
  </si>
  <si>
    <t xml:space="preserve">Leverage anticipated to increase by 1.0x in 2019 due to XXX. Significant FCF deficit.  </t>
  </si>
  <si>
    <t>aq7078274 corp</t>
  </si>
  <si>
    <t>Pull-Forward/Debt</t>
  </si>
  <si>
    <t>3-Yr F&amp;D costs</t>
  </si>
  <si>
    <t>Areas of Operation</t>
  </si>
  <si>
    <t>Marcellus/Utica</t>
  </si>
  <si>
    <t>San Joaquin/Los Angeles/Ventura</t>
  </si>
  <si>
    <t>Permian/Eagle Ford</t>
  </si>
  <si>
    <t xml:space="preserve">Marcellus/Granite Wash/Mississippi Lime/PRB/Haynesville/Brazos </t>
  </si>
  <si>
    <t>Marcellus/Uitca</t>
  </si>
  <si>
    <t>Permian</t>
  </si>
  <si>
    <t>Gulf Coast/Rockey Mountains</t>
  </si>
  <si>
    <t>Uinta/Eagle Ford/Permian</t>
  </si>
  <si>
    <t>Utica/SCOOP/Gulf Coast</t>
  </si>
  <si>
    <t>Permian/Eagle Ford/Haynesville</t>
  </si>
  <si>
    <t>Eagle Ford/GOM/Duvernay/Montney/SE Asia/Brazil/Australia</t>
  </si>
  <si>
    <t>Williston/Permian</t>
  </si>
  <si>
    <t>Montney/Duvernay</t>
  </si>
  <si>
    <t>DJ Basin/Permian</t>
  </si>
  <si>
    <t>Marcellus/Utica/Cotton Valley</t>
  </si>
  <si>
    <t>Eagle Ford/Permian</t>
  </si>
  <si>
    <t>Bakken</t>
  </si>
  <si>
    <t>Bakken/Permian</t>
  </si>
  <si>
    <t>Husky Energy</t>
  </si>
  <si>
    <t>Baa2/BBB</t>
  </si>
  <si>
    <t>3.6% '27</t>
  </si>
  <si>
    <t>am7761993 corp</t>
  </si>
  <si>
    <t>12/31/2018 (CAD)</t>
  </si>
  <si>
    <t>5.375% '26</t>
  </si>
  <si>
    <t>aq0125759 corp</t>
  </si>
  <si>
    <t>Jagged Peak</t>
  </si>
  <si>
    <t>`</t>
  </si>
  <si>
    <t>E&amp;P Sensitivity</t>
  </si>
  <si>
    <t>NGL % of Liquids</t>
  </si>
  <si>
    <t>Column</t>
  </si>
  <si>
    <t>Pull-Forward/PV-10</t>
  </si>
  <si>
    <t>B3/B</t>
  </si>
  <si>
    <t>ax0971496 corp</t>
  </si>
  <si>
    <t>Kosmos Energy</t>
  </si>
  <si>
    <t>Company</t>
  </si>
  <si>
    <t>Coverage</t>
  </si>
  <si>
    <t>Assumptions</t>
  </si>
  <si>
    <t>Crude Differential</t>
  </si>
  <si>
    <t>Nat Gas Differential</t>
  </si>
  <si>
    <t>Citgo Petroleum</t>
  </si>
  <si>
    <t>Calumet Specialty</t>
  </si>
  <si>
    <t>CVR Refining</t>
  </si>
  <si>
    <t>Marathon Petroleum</t>
  </si>
  <si>
    <t>PBF Refining</t>
  </si>
  <si>
    <t>Phillips 66</t>
  </si>
  <si>
    <t>Valero</t>
  </si>
  <si>
    <t>4.35% '28</t>
  </si>
  <si>
    <t>as7113937 corp</t>
  </si>
  <si>
    <t>A3/BBB+</t>
  </si>
  <si>
    <t>3.90% '28</t>
  </si>
  <si>
    <t>ar4953873 corp</t>
  </si>
  <si>
    <t>3.8% '28</t>
  </si>
  <si>
    <t>au7909263 corp</t>
  </si>
  <si>
    <t>Consolidated</t>
  </si>
  <si>
    <t>Standalone EBITDA</t>
  </si>
  <si>
    <t>Standalone Debt</t>
  </si>
  <si>
    <t>Market Cap</t>
  </si>
  <si>
    <t>Standalone EBITDA plus Distribution</t>
  </si>
  <si>
    <t>Depletion Rate Year 1</t>
  </si>
  <si>
    <t>Depletion Rate Year 2+</t>
  </si>
  <si>
    <t>WTI Crude Oil</t>
  </si>
  <si>
    <t>NYMEX Natural Gas</t>
  </si>
  <si>
    <t>Full-cycle ratio (Moody's definition)</t>
  </si>
  <si>
    <t>Targa Resources</t>
  </si>
  <si>
    <t>qz6591072 corp</t>
  </si>
  <si>
    <t>5.375% '27</t>
  </si>
  <si>
    <t>Thesis</t>
  </si>
  <si>
    <t>Antero Midstream</t>
  </si>
  <si>
    <t>Blue Racer</t>
  </si>
  <si>
    <t>Cheniere</t>
  </si>
  <si>
    <t>Crestwood</t>
  </si>
  <si>
    <t>DCP Midtream</t>
  </si>
  <si>
    <t>EnLink</t>
  </si>
  <si>
    <t>Genesis Energy</t>
  </si>
  <si>
    <t>NGL Partners</t>
  </si>
  <si>
    <t>NGLPCO</t>
  </si>
  <si>
    <t>SemGroup</t>
  </si>
  <si>
    <t>Sunoco LP</t>
  </si>
  <si>
    <t>Tallgrass</t>
  </si>
  <si>
    <t>lw8414374 corp</t>
  </si>
  <si>
    <t>Ba1/BB+/BBB-</t>
  </si>
  <si>
    <t>4.85% '26</t>
  </si>
  <si>
    <t>BA1/BB-/BB</t>
  </si>
  <si>
    <t>Ba1/BBB-</t>
  </si>
  <si>
    <t>Ba2/BB/BB+</t>
  </si>
  <si>
    <t>aO0405131 corp</t>
  </si>
  <si>
    <t>Ba2/BB/BB</t>
  </si>
  <si>
    <t>B2/B/BB-</t>
  </si>
  <si>
    <t>Baa1/BBB+/A-</t>
  </si>
  <si>
    <t>5.75% '27</t>
  </si>
  <si>
    <t>ax3484406 corp</t>
  </si>
  <si>
    <t>at5412909 corp</t>
  </si>
  <si>
    <t>av0291246 corp</t>
  </si>
  <si>
    <t>Leverage (w/ Distribution)</t>
  </si>
  <si>
    <t>Cenovus</t>
  </si>
  <si>
    <t>Canadian Oil Sands</t>
  </si>
  <si>
    <t>Net Revenue ($mm)</t>
  </si>
  <si>
    <t>4.25% '27</t>
  </si>
  <si>
    <t>ap9549274 corp</t>
  </si>
  <si>
    <t>Ba1/BBB/BBB-</t>
  </si>
  <si>
    <t>Energy Transfer</t>
  </si>
  <si>
    <t>5.5% '27</t>
  </si>
  <si>
    <t>ax8689231 corp</t>
  </si>
  <si>
    <t>Yield</t>
  </si>
  <si>
    <t>100% PDP Coverage</t>
  </si>
  <si>
    <t>80% PDP Coverage</t>
  </si>
  <si>
    <t>120% PDP Coverage</t>
  </si>
  <si>
    <t>Centennial Resources</t>
  </si>
  <si>
    <t>Cash Margin</t>
  </si>
  <si>
    <t>Full-cycle Ratio</t>
  </si>
  <si>
    <t>Ascent Resources</t>
  </si>
  <si>
    <t>7.0% '26</t>
  </si>
  <si>
    <t>au6592599 corp</t>
  </si>
  <si>
    <t>Full-cycle Costs</t>
  </si>
  <si>
    <t>Utica</t>
  </si>
  <si>
    <t>$2.75 NG</t>
  </si>
  <si>
    <t>$55 Crude</t>
  </si>
  <si>
    <t>Other Production</t>
  </si>
  <si>
    <t>ax4642358 corp</t>
  </si>
  <si>
    <t>Full Cost</t>
  </si>
  <si>
    <t>Other Debt</t>
  </si>
  <si>
    <t>2019 Unhedged FCF</t>
  </si>
  <si>
    <t>Debt/2019E EBITDA</t>
  </si>
  <si>
    <t>Debt/2019 EBITDA</t>
  </si>
  <si>
    <t>NGPL Pipeline</t>
  </si>
  <si>
    <t>4.875% '27</t>
  </si>
  <si>
    <t>ao5019374 corp</t>
  </si>
  <si>
    <t>2019 Production (mmboe)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</si>
</sst>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\x"/>
    <numFmt numFmtId="166" formatCode="_(* #,##0.0_);_(* \(#,##0.0\);_(* &quot;-&quot;??_);_(@_)"/>
    <numFmt numFmtId="167" formatCode="_(* #,##0_);_(* \(#,##0\);_(* &quot;-&quot;??_);_(@_)"/>
    <numFmt numFmtId="168" formatCode="0.0"/>
    <numFmt numFmtId="169" formatCode="_(* #,##0.0_);_(* \(#,##0.0\);_(* &quot;-&quot;?_);_(@_)"/>
    <numFmt numFmtId="170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 val="singleAccounting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/>
    <xf numFmtId="9" fontId="0" fillId="0" borderId="0" xfId="2" applyFont="1"/>
    <xf numFmtId="164" fontId="0" fillId="0" borderId="0" xfId="2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9" fontId="0" fillId="0" borderId="0" xfId="0" applyNumberFormat="1"/>
    <xf numFmtId="0" fontId="3" fillId="2" borderId="0" xfId="0" applyFont="1" applyFill="1"/>
    <xf numFmtId="2" fontId="5" fillId="0" borderId="0" xfId="0" applyNumberFormat="1" applyFont="1"/>
    <xf numFmtId="0" fontId="2" fillId="0" borderId="0" xfId="0" applyFont="1"/>
    <xf numFmtId="2" fontId="2" fillId="0" borderId="0" xfId="0" applyNumberFormat="1" applyFont="1"/>
    <xf numFmtId="43" fontId="2" fillId="0" borderId="0" xfId="1" applyFont="1"/>
    <xf numFmtId="0" fontId="5" fillId="0" borderId="0" xfId="0" applyFont="1"/>
    <xf numFmtId="14" fontId="3" fillId="2" borderId="0" xfId="0" applyNumberFormat="1" applyFont="1" applyFill="1"/>
    <xf numFmtId="166" fontId="0" fillId="0" borderId="0" xfId="0" applyNumberFormat="1"/>
    <xf numFmtId="168" fontId="5" fillId="0" borderId="0" xfId="0" applyNumberFormat="1" applyFont="1"/>
    <xf numFmtId="166" fontId="5" fillId="0" borderId="0" xfId="1" applyNumberFormat="1" applyFont="1"/>
    <xf numFmtId="164" fontId="0" fillId="0" borderId="0" xfId="0" applyNumberFormat="1"/>
    <xf numFmtId="164" fontId="4" fillId="0" borderId="0" xfId="2" applyNumberFormat="1" applyFont="1"/>
    <xf numFmtId="2" fontId="5" fillId="3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center"/>
    </xf>
    <xf numFmtId="9" fontId="0" fillId="3" borderId="0" xfId="2" applyFont="1" applyFill="1"/>
    <xf numFmtId="43" fontId="0" fillId="3" borderId="0" xfId="1" applyFont="1" applyFill="1"/>
    <xf numFmtId="43" fontId="0" fillId="0" borderId="0" xfId="1" applyNumberFormat="1" applyFont="1"/>
    <xf numFmtId="166" fontId="7" fillId="0" borderId="0" xfId="1" applyNumberFormat="1" applyFont="1"/>
    <xf numFmtId="166" fontId="7" fillId="0" borderId="0" xfId="0" applyNumberFormat="1" applyFont="1"/>
    <xf numFmtId="0" fontId="3" fillId="0" borderId="0" xfId="0" applyFont="1"/>
    <xf numFmtId="168" fontId="0" fillId="4" borderId="0" xfId="0" applyNumberFormat="1" applyFill="1"/>
    <xf numFmtId="167" fontId="0" fillId="4" borderId="0" xfId="1" applyNumberFormat="1" applyFont="1" applyFill="1"/>
    <xf numFmtId="166" fontId="0" fillId="5" borderId="0" xfId="1" applyNumberFormat="1" applyFont="1" applyFill="1"/>
    <xf numFmtId="169" fontId="0" fillId="0" borderId="0" xfId="0" applyNumberFormat="1"/>
    <xf numFmtId="0" fontId="0" fillId="0" borderId="0" xfId="0" applyAlignment="1">
      <alignment horizontal="right"/>
    </xf>
    <xf numFmtId="9" fontId="0" fillId="3" borderId="0" xfId="0" applyNumberFormat="1" applyFill="1"/>
    <xf numFmtId="43" fontId="0" fillId="0" borderId="0" xfId="1" applyFont="1" applyAlignment="1">
      <alignment horizontal="right"/>
    </xf>
    <xf numFmtId="0" fontId="3" fillId="2" borderId="0" xfId="0" applyFont="1" applyFill="1" applyAlignment="1">
      <alignment horizontal="right"/>
    </xf>
    <xf numFmtId="166" fontId="0" fillId="0" borderId="0" xfId="1" applyNumberFormat="1" applyFont="1" applyAlignment="1">
      <alignment horizontal="right"/>
    </xf>
    <xf numFmtId="14" fontId="3" fillId="2" borderId="0" xfId="0" applyNumberFormat="1" applyFont="1" applyFill="1" applyAlignment="1">
      <alignment horizontal="right"/>
    </xf>
    <xf numFmtId="166" fontId="0" fillId="5" borderId="0" xfId="0" applyNumberFormat="1" applyFill="1"/>
    <xf numFmtId="2" fontId="8" fillId="4" borderId="0" xfId="0" applyNumberFormat="1" applyFont="1" applyFill="1"/>
    <xf numFmtId="9" fontId="0" fillId="5" borderId="0" xfId="0" applyNumberFormat="1" applyFill="1"/>
    <xf numFmtId="0" fontId="0" fillId="2" borderId="0" xfId="0" applyFill="1"/>
    <xf numFmtId="43" fontId="9" fillId="2" borderId="0" xfId="0" applyNumberFormat="1" applyFont="1" applyFill="1"/>
    <xf numFmtId="2" fontId="5" fillId="5" borderId="0" xfId="0" applyNumberFormat="1" applyFont="1" applyFill="1"/>
    <xf numFmtId="164" fontId="1" fillId="0" borderId="0" xfId="2" applyNumberFormat="1" applyFont="1"/>
    <xf numFmtId="164" fontId="0" fillId="5" borderId="0" xfId="2" applyNumberFormat="1" applyFont="1" applyFill="1"/>
    <xf numFmtId="2" fontId="8" fillId="0" borderId="0" xfId="0" applyNumberFormat="1" applyFont="1"/>
    <xf numFmtId="44" fontId="0" fillId="0" borderId="0" xfId="3" applyFont="1"/>
    <xf numFmtId="166" fontId="10" fillId="5" borderId="0" xfId="1" applyNumberFormat="1" applyFont="1" applyFill="1"/>
    <xf numFmtId="43" fontId="0" fillId="0" borderId="0" xfId="1" applyNumberFormat="1" applyFont="1" applyAlignment="1">
      <alignment horizontal="right"/>
    </xf>
    <xf numFmtId="43" fontId="2" fillId="0" borderId="0" xfId="0" applyNumberFormat="1" applyFont="1"/>
    <xf numFmtId="168" fontId="3" fillId="2" borderId="0" xfId="0" applyNumberFormat="1" applyFont="1" applyFill="1"/>
    <xf numFmtId="166" fontId="4" fillId="0" borderId="0" xfId="0" applyNumberFormat="1" applyFont="1"/>
    <xf numFmtId="165" fontId="0" fillId="3" borderId="0" xfId="0" applyNumberFormat="1" applyFill="1"/>
    <xf numFmtId="166" fontId="0" fillId="3" borderId="0" xfId="1" applyNumberFormat="1" applyFont="1" applyFill="1"/>
    <xf numFmtId="170" fontId="0" fillId="0" borderId="0" xfId="0" applyNumberFormat="1"/>
    <xf numFmtId="0" fontId="3" fillId="2" borderId="0" xfId="0" applyFont="1" applyFill="1" applyAlignment="1">
      <alignment horizontal="center"/>
    </xf>
    <xf numFmtId="9" fontId="0" fillId="0" borderId="0" xfId="2" applyFont="1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151.37970325962399</v>
        <stp/>
        <stp>##V3_BDPV12</stp>
        <stp>an8093246 corp</stp>
        <stp>OAS_SPREAD_MID</stp>
        <stp>[E_and_P_Relative_Value_Workbook_v2.xlsx]Midstream Comps!R7C32</stp>
        <tr r="AF7" s="2"/>
      </tp>
      <tp>
        <v>4.8650958299999996</v>
        <stp/>
        <stp>##V3_BDPV12</stp>
        <stp>al5956845 corp</stp>
        <stp>YLD_CNV_OPEN</stp>
        <stp>[E_and_P_Relative_Value_Workbook_v2.xlsx]E&amp;P Comps!R7C47</stp>
        <tr r="AU7" s="1"/>
      </tp>
      <tp>
        <v>151.37970325962399</v>
        <stp/>
        <stp>##V3_BDPV12</stp>
        <stp>an8093246 corp</stp>
        <stp>OAS_SPREAD_MID</stp>
        <stp>[E_and_P_Relative_Value_Workbook_v2.xlsx]Midstream Comps!R7C65</stp>
        <tr r="BM7" s="2"/>
      </tp>
      <tp>
        <v>125.760329327318</v>
        <stp/>
        <stp>##V3_BDPV12</stp>
        <stp>jk2126734 corp</stp>
        <stp>OAS_SPREAD_MID</stp>
        <stp>[E_and_P_Relative_Value_Workbook_v2.xlsx]Midstream Comps!R7C20</stp>
        <tr r="T7" s="2"/>
      </tp>
      <tp>
        <v>128.368252576711</v>
        <stp/>
        <stp>##V3_BDPV12</stp>
        <stp>ek6237607 corp</stp>
        <stp>OAS_SPREAD_MID</stp>
        <stp>[E_and_P_Relative_Value_Workbook_v2.xlsx]Midstream Comps!R7C18</stp>
        <tr r="R7" s="2"/>
      </tp>
      <tp>
        <v>5.5433534199999999</v>
        <stp/>
        <stp>##V3_BDPV12</stp>
        <stp>ao6537143 corp</stp>
        <stp>YLD_CNV_OPEN</stp>
        <stp>[E_and_P_Relative_Value_Workbook_v2.xlsx]E&amp;P Comps!R7C40</stp>
        <tr r="AN7" s="1"/>
      </tp>
      <tp>
        <v>252.33311205070399</v>
        <stp/>
        <stp>##V3_BDPV12</stp>
        <stp>am7613012 corp</stp>
        <stp>OAS_SPREAD_MID</stp>
        <stp>[E_and_P_Relative_Value_Workbook_v2.xlsx]Midstream Comps!R7C10</stp>
        <tr r="J7" s="2"/>
      </tp>
      <tp>
        <v>133.78660716648599</v>
        <stp/>
        <stp>##V3_BDPV12</stp>
        <stp>ao1405585 corp</stp>
        <stp>OAS_SPREAD_MID</stp>
        <stp>[E_and_P_Relative_Value_Workbook_v2.xlsx]Midstream Comps!R7C12</stp>
        <tr r="L7" s="2"/>
      </tp>
      <tp>
        <v>7.4881478226107738</v>
        <stp/>
        <stp>##V3_BDPV12</stp>
        <stp>jk4439317 corp</stp>
        <stp>YLD_CNV_OPEN</stp>
        <stp>[E_and_P_Relative_Value_Workbook_v2.xlsx]E&amp;P Comps!R7C51</stp>
        <tr r="AY7" s="1"/>
      </tp>
      <tp>
        <v>184.15802233148801</v>
        <stp/>
        <stp>##V3_BDPV12</stp>
        <stp>al2939414 corp</stp>
        <stp>OAS_SPREAD_MID</stp>
        <stp>[E_and_P_Relative_Value_Workbook_v2.xlsx]Midstream Comps!R7C26</stp>
        <tr r="Z7" s="2"/>
      </tp>
      <tp t="e">
        <v>#N/A</v>
        <stp/>
        <stp>##V3_BDPV12</stp>
        <stp/>
        <stp>PX_LAST</stp>
        <stp>[E_and_P_Relative_Value_Workbook_v2.xlsx]Midstream Comps!R5C41</stp>
        <tr r="AO5" s="2"/>
      </tp>
      <tp t="e">
        <v>#N/A</v>
        <stp/>
        <stp>##V3_BDPV12</stp>
        <stp/>
        <stp>PX_LAST</stp>
        <stp>[E_and_P_Relative_Value_Workbook_v2.xlsx]Midstream Comps!R5C57</stp>
        <tr r="BE5" s="2"/>
      </tp>
      <tp t="e">
        <v>#N/A</v>
        <stp/>
        <stp>##V3_BDPV12</stp>
        <stp/>
        <stp>PX_LAST</stp>
        <stp>[E_and_P_Relative_Value_Workbook_v2.xlsx]Midstream Comps!R5C55</stp>
        <tr r="BC5" s="2"/>
      </tp>
      <tp t="e">
        <v>#N/A</v>
        <stp/>
        <stp>##V3_BDPV12</stp>
        <stp/>
        <stp>PX_LAST</stp>
        <stp>[E_and_P_Relative_Value_Workbook_v2.xlsx]Midstream Comps!R5C39</stp>
        <tr r="AM5" s="2"/>
      </tp>
      <tp>
        <v>195.14895408030799</v>
        <stp/>
        <stp>##V3_BDPV12</stp>
        <stp>ao5019374 corp</stp>
        <stp>OAS_SPREAD_MID</stp>
        <stp>[E_and_P_Relative_Value_Workbook_v2.xlsx]Midstream Comps!R7C22</stp>
        <tr r="V7" s="2"/>
      </tp>
      <tp>
        <v>6.3337402367379543</v>
        <stp/>
        <stp>##V3_BDPV12</stp>
        <stp>AO1126629 corp</stp>
        <stp>YLD_CNV_OPEN</stp>
        <stp>[E_and_P_Relative_Value_Workbook_v2.xlsx]E&amp;P Comps!R7C6</stp>
        <tr r="F7" s="1"/>
      </tp>
      <tp>
        <v>9.2421192703400905</v>
        <stp/>
        <stp>##V3_BDPV12</stp>
        <stp>ax4642358 corp</stp>
        <stp>YLD_CNV_OPEN</stp>
        <stp>[E_and_P_Relative_Value_Workbook_v2.xlsx]E&amp;P Comps!R7C16</stp>
        <tr r="P7" s="1"/>
      </tp>
      <tp>
        <v>6.7539304400171734</v>
        <stp/>
        <stp>##V3_BDPV12</stp>
        <stp>ax0971496 corp</stp>
        <stp>YLD_CNV_OPEN</stp>
        <stp>[E_and_P_Relative_Value_Workbook_v2.xlsx]E&amp;P Comps!R7C32</stp>
        <tr r="AF7" s="1"/>
      </tp>
      <tp>
        <v>7.6442023638710497</v>
        <stp/>
        <stp>##V3_BDPV12</stp>
        <stp>ap8909974 corp</stp>
        <stp>YLD_CNV_OPEN</stp>
        <stp>[E_and_P_Relative_Value_Workbook_v2.xlsx]E&amp;P Comps!R7C57</stp>
        <tr r="BE7" s="1"/>
      </tp>
      <tp t="e">
        <v>#N/A</v>
        <stp/>
        <stp>##V3_BDPV12</stp>
        <stp/>
        <stp>PX_LAST</stp>
        <stp>[E&amp;P Relative Value 1.xlsx]Refining Comps!R5C8</stp>
        <tr r="H5" s="4"/>
      </tp>
      <tp t="e">
        <v>#N/A</v>
        <stp/>
        <stp>##V3_BDPV12</stp>
        <stp/>
        <stp>PX_LAST</stp>
        <stp>[E&amp;P Relative Value 1.xlsx]Refining Comps!R5C4</stp>
        <tr r="D5" s="4"/>
      </tp>
      <tp t="e">
        <v>#N/A</v>
        <stp/>
        <stp>##V3_BDPV12</stp>
        <stp/>
        <stp>PX_LAST</stp>
        <stp>[E&amp;P Relative Value 1.xlsx]Refining Comps!R5C6</stp>
        <tr r="F5" s="4"/>
      </tp>
      <tp>
        <v>279.05278431763497</v>
        <stp/>
        <stp>##V3_BDPV12</stp>
        <stp>qz6591072 corp</stp>
        <stp>OAS_SPREAD_MID</stp>
        <stp>[E_and_P_Relative_Value_Workbook_v2.xlsx]Midstream Comps!R7C51</stp>
        <tr r="AY7" s="2"/>
      </tp>
      <tp>
        <v>5.9118557102858382</v>
        <stp/>
        <stp>##V3_BDPV12</stp>
        <stp>av7264519 corp</stp>
        <stp>YLD_CNV_OPEN</stp>
        <stp>[E_and_P_Relative_Value_Workbook_v2.xlsx]E&amp;P Comps!R7C38</stp>
        <tr r="AL7" s="1"/>
      </tp>
      <tp>
        <v>168.708237827056</v>
        <stp/>
        <stp>##V3_BDPV12</stp>
        <stp>at2061758 corp</stp>
        <stp>OAS_SPREAD_MID</stp>
        <stp>[E_and_P_Relative_Value_Workbook_v2.xlsx]Midstream Comps!R7C24</stp>
        <tr r="X7" s="2"/>
      </tp>
      <tp>
        <v>6.4446193829834248</v>
        <stp/>
        <stp>##V3_BDPV12</stp>
        <stp>ap2883829 corp</stp>
        <stp>YLD_CNV_OPEN</stp>
        <stp>[E_and_P_Relative_Value_Workbook_v2.xlsx]E&amp;P Comps!R7C45</stp>
        <tr r="AS7" s="1"/>
      </tp>
      <tp>
        <v>8.3483610585655104</v>
        <stp/>
        <stp>##V3_BDPV12</stp>
        <stp>as4470579 corp</stp>
        <stp>YLD_CNV_OPEN</stp>
        <stp>[E_and_P_Relative_Value_Workbook_v2.xlsx]E&amp;P Comps!R7C42</stp>
        <tr r="AP7" s="1"/>
      </tp>
      <tp>
        <v>8.5113803144843239</v>
        <stp/>
        <stp>##V3_BDPV12</stp>
        <stp>at9394434 corp</stp>
        <stp>YLD_CNV_OPEN</stp>
        <stp>[E_and_P_Relative_Value_Workbook_v2.xlsx]E&amp;P Comps!R7C53</stp>
        <tr r="BA7" s="1"/>
      </tp>
      <tp>
        <v>258.656615511729</v>
        <stp/>
        <stp>##V3_BDPV12</stp>
        <stp>av0291246 corp</stp>
        <stp>OAS_SPREAD_MID</stp>
        <stp>[E_and_P_Relative_Value_Workbook_v2.xlsx]Midstream Comps!R7C59</stp>
        <tr r="BG7" s="2"/>
      </tp>
      <tp>
        <v>116.66000623133201</v>
        <stp/>
        <stp>##V3_BDPV12</stp>
        <stp>au8143607 corp</stp>
        <stp>OAS_SPREAD_MID</stp>
        <stp>[E_and_P_Relative_Value_Workbook_v2.xlsx]Midstream Comps!R7C14</stp>
        <tr r="N7" s="2"/>
      </tp>
      <tp>
        <v>203.308535888075</v>
        <stp/>
        <stp>##V3_BDPV12</stp>
        <stp>ax8689231 corp</stp>
        <stp>OAS_SPREAD_MID</stp>
        <stp>[E_and_P_Relative_Value_Workbook_v2.xlsx]Midstream Comps!R7C16</stp>
        <tr r="P7" s="2"/>
      </tp>
      <tp>
        <v>5.4452045099999999</v>
        <stp/>
        <stp>##V3_BDPV12</stp>
        <stp>as5835499 corp</stp>
        <stp>YLD_CNV_OPEN</stp>
        <stp>[E_and_P_Relative_Value_Workbook_v2.xlsx]E&amp;P Comps!R7C61</stp>
        <tr r="BI7" s="1"/>
      </tp>
      <tp>
        <v>8.5930343455079594</v>
        <stp/>
        <stp>##V3_BDPV12</stp>
        <stp>ap0996078 corp</stp>
        <stp>YLD_CNV_OPEN</stp>
        <stp>[E_and_P_Relative_Value_Workbook_v2.xlsx]E&amp;P Comps!R7C55</stp>
        <tr r="BC7" s="1"/>
      </tp>
      <tp>
        <v>8.3372998614095959</v>
        <stp/>
        <stp>##V3_BDPV12</stp>
        <stp>as9994474 corp</stp>
        <stp>YLD_CNV_OPEN</stp>
        <stp>[E_and_P_Relative_Value_Workbook_v2.xlsx]E&amp;P Comps!R7C59</stp>
        <tr r="BG7" s="1"/>
      </tp>
      <tp>
        <v>6.2036124853074179</v>
        <stp/>
        <stp>##V3_BDPV12</stp>
        <stp>aq0125759 corp</stp>
        <stp>YLD_CNV_OPEN</stp>
        <stp>[E_and_P_Relative_Value_Workbook_v2.xlsx]E&amp;P Comps!R7C12</stp>
        <tr r="L7" s="1"/>
      </tp>
      <tp>
        <v>277.057834497942</v>
        <stp/>
        <stp>##V3_BDPV12</stp>
        <stp>at9556495 corp</stp>
        <stp>OAS_SPREAD_MID</stp>
        <stp>[E_and_P_Relative_Value_Workbook_v2.xlsx]Midstream Comps!R7C67</stp>
        <tr r="BO7" s="2"/>
      </tp>
      <tp>
        <v>277.057834497942</v>
        <stp/>
        <stp>##V3_BDPV12</stp>
        <stp>at9556495 corp</stp>
        <stp>OAS_SPREAD_MID</stp>
        <stp>[E_and_P_Relative_Value_Workbook_v2.xlsx]Midstream Comps!R7C34</stp>
        <tr r="AH7" s="2"/>
      </tp>
      <tp>
        <v>6.3374131075289064</v>
        <stp/>
        <stp>##V3_BDPV12</stp>
        <stp>at3081839 corp</stp>
        <stp>YLD_CNV_OPEN</stp>
        <stp>[E_and_P_Relative_Value_Workbook_v2.xlsx]E&amp;P Comps!R7C49</stp>
        <tr r="AW7" s="1"/>
      </tp>
      <tp>
        <v>136.63997262423101</v>
        <stp/>
        <stp>##V3_BDPV12</stp>
        <stp>as5051345 corp</stp>
        <stp>OAS_SPREAD_MID</stp>
        <stp>[E_and_P_Relative_Value_Workbook_v2.xlsx]Midstream Comps!R7C63</stp>
        <tr r="BK7" s="2"/>
      </tp>
      <tp>
        <v>136.63997262423101</v>
        <stp/>
        <stp>##V3_BDPV12</stp>
        <stp>as5051345 corp</stp>
        <stp>OAS_SPREAD_MID</stp>
        <stp>[E_and_P_Relative_Value_Workbook_v2.xlsx]Midstream Comps!R7C30</stp>
        <tr r="AD7" s="2"/>
      </tp>
    </main>
    <main first="bloomberg.rtd">
      <tp>
        <v>3.9335209400000002</v>
        <stp/>
        <stp>##V3_BDPV12</stp>
        <stp>AO0955093 corp</stp>
        <stp>YLD_CNV_OPEN</stp>
        <stp>[E_and_P_Relative_Value_Workbook_v2.xlsx]E&amp;P Comps!R7C24</stp>
        <tr r="X7" s="1"/>
      </tp>
      <tp>
        <v>101.642</v>
        <stp/>
        <stp>##V3_BDPV12</stp>
        <stp>ax3484406 corp</stp>
        <stp>PX_LAST</stp>
        <stp>[E_and_P_Relative_Value_Workbook_v2.xlsx]Midstream Comps!R5C37</stp>
        <tr r="AK5" s="2"/>
      </tp>
      <tp>
        <v>99.375</v>
        <stp/>
        <stp>##V3_BDPV12</stp>
        <stp>am7613012 corp</stp>
        <stp>PX_LAST</stp>
        <stp>[E_and_P_Relative_Value_Workbook_v2.xlsx]Midstream Comps!R5C10</stp>
        <tr r="J5" s="2"/>
      </tp>
      <tp>
        <v>106.461</v>
        <stp/>
        <stp>##V3_BDPV12</stp>
        <stp>as5051345 corp</stp>
        <stp>PX_LAST</stp>
        <stp>[E_and_P_Relative_Value_Workbook_v2.xlsx]Midstream Comps!R5C63</stp>
        <tr r="BK5" s="2"/>
      </tp>
      <tp>
        <v>106.07899999999999</v>
        <stp/>
        <stp>##V3_BDPV12</stp>
        <stp>ao5019374 corp</stp>
        <stp>PX_LAST</stp>
        <stp>[E_and_P_Relative_Value_Workbook_v2.xlsx]Midstream Comps!R5C22</stp>
        <tr r="V5" s="2"/>
      </tp>
      <tp>
        <v>101.71599999999999</v>
        <stp/>
        <stp>##V3_BDPV12</stp>
        <stp>qz6591072 corp</stp>
        <stp>PX_LAST</stp>
        <stp>[E_and_P_Relative_Value_Workbook_v2.xlsx]Midstream Comps!R5C53</stp>
        <tr r="BA5" s="2"/>
      </tp>
      <tp>
        <v>106.461</v>
        <stp/>
        <stp>##V3_BDPV12</stp>
        <stp>as5051345 corp</stp>
        <stp>PX_LAST</stp>
        <stp>[E_and_P_Relative_Value_Workbook_v2.xlsx]Midstream Comps!R5C30</stp>
        <tr r="AD5" s="2"/>
      </tp>
      <tp>
        <v>104.383</v>
        <stp/>
        <stp>##V3_BDPV12</stp>
        <stp>al2939414 corp</stp>
        <stp>PX_LAST</stp>
        <stp>[E_and_P_Relative_Value_Workbook_v2.xlsx]Midstream Comps!R5C26</stp>
        <tr r="Z5" s="2"/>
      </tp>
      <tp>
        <v>110.59699999999999</v>
        <stp/>
        <stp>##V3_BDPV12</stp>
        <stp>jk2126734 corp</stp>
        <stp>PX_LAST</stp>
        <stp>[E_and_P_Relative_Value_Workbook_v2.xlsx]Midstream Comps!R5C20</stp>
        <tr r="T5" s="2"/>
      </tp>
      <tp>
        <v>106.288</v>
        <stp/>
        <stp>##V3_BDPV12</stp>
        <stp>at2061758 corp</stp>
        <stp>PX_LAST</stp>
        <stp>[E_and_P_Relative_Value_Workbook_v2.xlsx]Midstream Comps!R5C24</stp>
        <tr r="X5" s="2"/>
      </tp>
      <tp>
        <v>67.740368901521805</v>
        <stp/>
        <stp>##V3_BDPV12</stp>
        <stp>AL7282349 corp</stp>
        <stp>OAS_SPREAD_MID</stp>
        <stp>[E_and_P_Relative_Value_Workbook_v2.xlsx]Midstream Comps!R7C49</stp>
        <tr r="AW7" s="2"/>
      </tp>
      <tp>
        <v>103.779</v>
        <stp/>
        <stp>##V3_BDPV12</stp>
        <stp>AL7282349 corp</stp>
        <stp>PX_LAST</stp>
        <stp>[E_and_P_Relative_Value_Workbook_v2.xlsx]Midstream Comps!R5C49</stp>
        <tr r="AW5" s="2"/>
      </tp>
      <tp>
        <v>102.545</v>
        <stp/>
        <stp>##V3_BDPV12</stp>
        <stp>ao1405585 corp</stp>
        <stp>PX_LAST</stp>
        <stp>[E_and_P_Relative_Value_Workbook_v2.xlsx]Midstream Comps!R5C12</stp>
        <tr r="L5" s="2"/>
      </tp>
      <tp>
        <v>2.90935129</v>
        <stp/>
        <stp>##V3_BDPV12</stp>
        <stp>AL7282349 corp</stp>
        <stp>YLD_CNV_OPEN</stp>
        <stp>[E_and_P_Relative_Value_Workbook_v2.xlsx]E&amp;P Comps!R7C18</stp>
        <tr r="R7" s="1"/>
      </tp>
      <tp>
        <v>10.344965294919641</v>
        <stp/>
        <stp>##V3_BDPV12</stp>
        <stp>EK7884373 corp</stp>
        <stp>YLD_CNV_OPEN</stp>
        <stp>[E_and_P_Relative_Value_Workbook_v2.xlsx]E&amp;P Comps!R7C36</stp>
        <tr r="AJ7" s="1"/>
      </tp>
      <tp>
        <v>8.4085847493263373</v>
        <stp/>
        <stp>##V3_BDPV12</stp>
        <stp>au6592599 corp</stp>
        <stp>YLD_CNV_OPEN</stp>
        <stp>[E_and_P_Relative_Value_Workbook_v2.xlsx]E&amp;P Comps!R7C4</stp>
        <tr r="D7" s="1"/>
      </tp>
      <tp>
        <v>102.364</v>
        <stp/>
        <stp>##V3_BDPV12</stp>
        <stp>av0291246 corp</stp>
        <stp>PX_LAST</stp>
        <stp>[E_and_P_Relative_Value_Workbook_v2.xlsx]Midstream Comps!R5C59</stp>
        <tr r="BG5" s="2"/>
      </tp>
      <tp>
        <v>5.7156057799999997</v>
        <stp/>
        <stp>##V3_BDPV12</stp>
        <stp>EK9287666 corp</stp>
        <stp>YLD_CNV_OPEN</stp>
        <stp>[E_and_P_Relative_Value_Workbook_v2.xlsx]E&amp;P Comps!R7C30</stp>
        <tr r="AD7" s="1"/>
      </tp>
      <tp>
        <v>101.247</v>
        <stp/>
        <stp>##V3_BDPV12</stp>
        <stp>aO0405131 corp</stp>
        <stp>PX_LAST</stp>
        <stp>[E_and_P_Relative_Value_Workbook_v2.xlsx]Midstream Comps!R5C43</stp>
        <tr r="AQ5" s="2"/>
      </tp>
      <tp>
        <v>8.7711752384853217</v>
        <stp/>
        <stp>##V3_BDPV12</stp>
        <stp>AO1652376 corp</stp>
        <stp>YLD_CNV_OPEN</stp>
        <stp>[E_and_P_Relative_Value_Workbook_v2.xlsx]E&amp;P Comps!R7C10</stp>
        <tr r="J7" s="1"/>
      </tp>
      <tp>
        <v>11.711202401326537</v>
        <stp/>
        <stp>##V3_BDPV12</stp>
        <stp>AO6542499 corp</stp>
        <stp>YLD_CNV_OPEN</stp>
        <stp>[E_and_P_Relative_Value_Workbook_v2.xlsx]E&amp;P Comps!R7C28</stp>
        <tr r="AB7" s="1"/>
      </tp>
      <tp>
        <v>105.845</v>
        <stp/>
        <stp>##V3_BDPV12</stp>
        <stp>ek6237607 corp</stp>
        <stp>PX_LAST</stp>
        <stp>[E_and_P_Relative_Value_Workbook_v2.xlsx]Midstream Comps!R5C18</stp>
        <tr r="R5" s="2"/>
      </tp>
      <tp>
        <v>4.8978344992562723</v>
        <stp/>
        <stp>##V3_BDPV12</stp>
        <stp>lw8414374 corp</stp>
        <stp>YLD_CNV_OPEN</stp>
        <stp>[E_and_P_Relative_Value_Workbook_v2.xlsx]Midstream Comps!R7C47</stp>
        <tr r="AU7" s="2"/>
      </tp>
      <tp>
        <v>5.0633591300000003</v>
        <stp/>
        <stp>##V3_BDPV12</stp>
        <stp>qz6591072 corp</stp>
        <stp>YLD_CNV_OPEN</stp>
        <stp>[E_and_P_Relative_Value_Workbook_v2.xlsx]Midstream Comps!R7C53</stp>
        <tr r="BA7" s="2"/>
      </tp>
      <tp>
        <v>107.438</v>
        <stp/>
        <stp>##V3_BDPV12</stp>
        <stp>au8143607 corp</stp>
        <stp>PX_LAST</stp>
        <stp>[E_and_P_Relative_Value_Workbook_v2.xlsx]Midstream Comps!R5C14</stp>
        <tr r="N5" s="2"/>
      </tp>
      <tp>
        <v>99.638999999999996</v>
        <stp/>
        <stp>##V3_BDPV12</stp>
        <stp>at9556495 corp</stp>
        <stp>PX_LAST</stp>
        <stp>[E_and_P_Relative_Value_Workbook_v2.xlsx]Midstream Comps!R5C67</stp>
        <tr r="BO5" s="2"/>
      </tp>
      <tp>
        <v>99.638999999999996</v>
        <stp/>
        <stp>##V3_BDPV12</stp>
        <stp>at9556495 corp</stp>
        <stp>PX_LAST</stp>
        <stp>[E_and_P_Relative_Value_Workbook_v2.xlsx]Midstream Comps!R5C34</stp>
        <tr r="AH5" s="2"/>
      </tp>
      <tp>
        <v>104.804</v>
        <stp/>
        <stp>##V3_BDPV12</stp>
        <stp>at5412909 corp</stp>
        <stp>PX_LAST</stp>
        <stp>[E_and_P_Relative_Value_Workbook_v2.xlsx]Midstream Comps!R5C45</stp>
        <tr r="AS5" s="2"/>
      </tp>
      <tp>
        <v>5.3017377200000002</v>
        <stp/>
        <stp>##V3_BDPV12</stp>
        <stp>aO0405131 corp</stp>
        <stp>YLD_CNV_OPEN</stp>
        <stp>[E_and_P_Relative_Value_Workbook_v2.xlsx]Midstream Comps!R7C43</stp>
        <tr r="AQ7" s="2"/>
      </tp>
      <tp>
        <v>99.814999999999998</v>
        <stp/>
        <stp>##V3_BDPV12</stp>
        <stp>lw8414374 corp</stp>
        <stp>PX_LAST</stp>
        <stp>[E_and_P_Relative_Value_Workbook_v2.xlsx]Midstream Comps!R5C47</stp>
        <tr r="AU5" s="2"/>
      </tp>
      <tp>
        <v>153.187494141836</v>
        <stp/>
        <stp>##V3_BDPV12</stp>
        <stp>AF2041107 corp</stp>
        <stp>YLD_CNV_OPEN</stp>
        <stp>[E_and_P_Relative_Value_Workbook_v2.xlsx]E&amp;P Comps!R7C26</stp>
        <tr r="Z7" s="1"/>
      </tp>
      <tp>
        <v>101.70699999999999</v>
        <stp/>
        <stp>##V3_BDPV12</stp>
        <stp>an8093246 corp</stp>
        <stp>PX_LAST</stp>
        <stp>[E_and_P_Relative_Value_Workbook_v2.xlsx]Midstream Comps!R5C65</stp>
        <tr r="BM5" s="2"/>
      </tp>
      <tp>
        <v>109.84399999999999</v>
        <stp/>
        <stp>##V3_BDPV12</stp>
        <stp>ax8689231 corp</stp>
        <stp>PX_LAST</stp>
        <stp>[E_and_P_Relative_Value_Workbook_v2.xlsx]Midstream Comps!R5C16</stp>
        <tr r="P5" s="2"/>
      </tp>
      <tp>
        <v>101.70699999999999</v>
        <stp/>
        <stp>##V3_BDPV12</stp>
        <stp>an8093246 corp</stp>
        <stp>PX_LAST</stp>
        <stp>[E_and_P_Relative_Value_Workbook_v2.xlsx]Midstream Comps!R5C32</stp>
        <tr r="AF5" s="2"/>
      </tp>
      <tp>
        <v>4.4036213899999996</v>
        <stp/>
        <stp>##V3_BDPV12</stp>
        <stp>at5412909 corp</stp>
        <stp>YLD_CNV_OPEN</stp>
        <stp>[E_and_P_Relative_Value_Workbook_v2.xlsx]Midstream Comps!R7C45</stp>
        <tr r="AS7" s="2"/>
      </tp>
      <tp>
        <v>5.4169159100000002</v>
        <stp/>
        <stp>##V3_BDPV12</stp>
        <stp>ax3484406 corp</stp>
        <stp>YLD_CNV_OPEN</stp>
        <stp>[E_and_P_Relative_Value_Workbook_v2.xlsx]Midstream Comps!R7C37</stp>
        <tr r="AK7" s="2"/>
      </tp>
      <tp>
        <v>4.8133320199999998</v>
        <stp/>
        <stp>##V3_BDPV12</stp>
        <stp>AQ2229047 corp</stp>
        <stp>YLD_CNV_OPEN</stp>
        <stp>[E_and_P_Relative_Value_Workbook_v2.xlsx]E&amp;P Comps!R7C22</stp>
        <tr r="V7" s="1"/>
      </tp>
      <tp>
        <v>9.7067513862399668</v>
        <stp/>
        <stp>##V3_BDPV12</stp>
        <stp>AU6889052 corp</stp>
        <stp>YLD_CNV_OPEN</stp>
        <stp>[E_and_P_Relative_Value_Workbook_v2.xlsx]E&amp;P Comps!R7C14</stp>
        <tr r="N7" s="1"/>
      </tp>
      <tp>
        <v>21.113839771388754</v>
        <stp/>
        <stp>##V3_BDPV12</stp>
        <stp>qJ9576555 corp</stp>
        <stp>YLD_CNV_OPEN</stp>
        <stp>[E_and_P_Relative_Value_Workbook_v2.xlsx]E&amp;P Comps!R7C8</stp>
        <tr r="H7" s="1"/>
      </tp>
      <tp>
        <v>11.597311902392397</v>
        <stp/>
        <stp>##V3_BDPV12</stp>
        <stp>AQ2692491 corp</stp>
        <stp>YLD_CNV_OPEN</stp>
        <stp>[E_and_P_Relative_Value_Workbook_v2.xlsx]E&amp;P Comps!R7C20</stp>
        <tr r="T7" s="1"/>
      </tp>
      <tp t="e">
        <v>#N/A</v>
        <stp/>
        <stp>##V3_BDPV12</stp>
        <stp/>
        <stp>OAS_SPREAD_MID</stp>
        <stp>[E&amp;P Relative Value 1.xlsx]Refining Comps!R7C24</stp>
        <tr r="X7" s="4"/>
      </tp>
      <tp t="e">
        <v>#N/A</v>
        <stp/>
        <stp>##V3_BDPV12</stp>
        <stp/>
        <stp>OAS_SPREAD_MID</stp>
        <stp>[E&amp;P Relative Value 1.xlsx]Refining Comps!R7C20</stp>
        <tr r="T7" s="4"/>
      </tp>
      <tp t="e">
        <v>#N/A</v>
        <stp/>
        <stp>##V3_BDPV12</stp>
        <stp/>
        <stp>OAS_SPREAD_MID</stp>
        <stp>[E&amp;P Relative Value 1.xlsx]Refining Comps!R7C22</stp>
        <tr r="V7" s="4"/>
      </tp>
      <tp t="e">
        <v>#N/A</v>
        <stp/>
        <stp>##V3_BDPV12</stp>
        <stp/>
        <stp>OAS_SPREAD_MID</stp>
        <stp>[E&amp;P Relative Value 1.xlsx]Refining Comps!R7C18</stp>
        <tr r="R7" s="4"/>
      </tp>
      <tp t="e">
        <v>#N/A</v>
        <stp/>
        <stp>##V3_BDPV12</stp>
        <stp/>
        <stp>OAS_SPREAD_MID</stp>
        <stp>[E&amp;P Relative Value 1.xlsx]Refining Comps!R7C12</stp>
        <tr r="L7" s="4"/>
      </tp>
      <tp t="e">
        <v>#N/A</v>
        <stp/>
        <stp>##V3_BDPV12</stp>
        <stp/>
        <stp>OAS_SPREAD_MID</stp>
        <stp>[E_and_P_Relative_Value_Workbook_v2.xlsx]Midstream Comps!R7C41</stp>
        <tr r="AO7" s="2"/>
      </tp>
      <tp t="e">
        <v>#N/A</v>
        <stp/>
        <stp>##V3_BDPV12</stp>
        <stp/>
        <stp>OAS_SPREAD_MID</stp>
        <stp>[E_and_P_Relative_Value_Workbook_v2.xlsx]Midstream Comps!R7C55</stp>
        <tr r="BC7" s="2"/>
      </tp>
      <tp t="e">
        <v>#N/A</v>
        <stp/>
        <stp>##V3_BDPV12</stp>
        <stp/>
        <stp>OAS_SPREAD_MID</stp>
        <stp>[E_and_P_Relative_Value_Workbook_v2.xlsx]Midstream Comps!R7C57</stp>
        <tr r="BE7" s="2"/>
      </tp>
      <tp t="e">
        <v>#N/A</v>
        <stp/>
        <stp>##V3_BDPV12</stp>
        <stp/>
        <stp>OAS_SPREAD_MID</stp>
        <stp>[E_and_P_Relative_Value_Workbook_v2.xlsx]Midstream Comps!R7C39</stp>
        <tr r="AM7" s="2"/>
      </tp>
      <tp>
        <v>92.295000000000002</v>
        <stp/>
        <stp>##V3_BDPV12</stp>
        <stp>au6592599 corp</stp>
        <stp>PX_LAST</stp>
        <stp>[E_and_P_Relative_Value_Workbook_v2.xlsx]E&amp;P Comps!R5C4</stp>
        <tr r="D5" s="1"/>
      </tp>
      <tp>
        <v>107.152</v>
        <stp/>
        <stp>##V3_BDPV12</stp>
        <stp>jk8194108 corp</stp>
        <stp>PX_LAST</stp>
        <stp>[E_and_P_Relative_Value_Workbook_v2.xlsx]Midstream Comps!R5C8</stp>
        <tr r="H5" s="2"/>
      </tp>
      <tp>
        <v>101.70699999999999</v>
        <stp/>
        <stp>##V3_BDPV12</stp>
        <stp>an8093246 corp</stp>
        <stp>PX_LAST</stp>
        <stp>[E_and_P_Relative_Value_Workbook_v2.xlsx]Refining Comps!R5C30</stp>
        <tr r="AD5" s="4"/>
      </tp>
      <tp>
        <v>107.173</v>
        <stp/>
        <stp>##V3_BDPV12</stp>
        <stp>qj9978017 corp</stp>
        <stp>PX_LAST</stp>
        <stp>[E_and_P_Relative_Value_Workbook_v2.xlsx]E&amp;P Comps!R5C95</stp>
        <tr r="CQ5" s="1"/>
      </tp>
      <tp>
        <v>69.608999999999995</v>
        <stp/>
        <stp>##V3_BDPV12</stp>
        <stp>qJ9576555 corp</stp>
        <stp>PX_LAST</stp>
        <stp>[E_and_P_Relative_Value_Workbook_v2.xlsx]E&amp;P Comps!R5C8</stp>
        <tr r="H5" s="1"/>
      </tp>
      <tp>
        <v>94.025999999999996</v>
        <stp/>
        <stp>##V3_BDPV12</stp>
        <stp>AO1126629 corp</stp>
        <stp>PX_LAST</stp>
        <stp>[E_and_P_Relative_Value_Workbook_v2.xlsx]E&amp;P Comps!R5C6</stp>
        <tr r="F5" s="1"/>
      </tp>
      <tp>
        <v>136.63997262423101</v>
        <stp/>
        <stp>##V3_BDPV12</stp>
        <stp>as5051345 corp</stp>
        <stp>OAS_SPREAD_MID</stp>
        <stp>[E_and_P_Relative_Value_Workbook_v2.xlsx]Refining Comps!R7C28</stp>
        <tr r="AB7" s="4"/>
      </tp>
      <tp>
        <v>277.057834497942</v>
        <stp/>
        <stp>##V3_BDPV12</stp>
        <stp>at9556495 corp</stp>
        <stp>OAS_SPREAD_MID</stp>
        <stp>[E_and_P_Relative_Value_Workbook_v2.xlsx]Refining Comps!R7C32</stp>
        <tr r="AF7" s="4"/>
      </tp>
      <tp>
        <v>111.193</v>
        <stp/>
        <stp>##V3_BDPV12</stp>
        <stp>jk4486045 corp</stp>
        <stp>PX_LAST</stp>
        <stp>[E_and_P_Relative_Value_Workbook_v2.xlsx]E&amp;P Comps!R5C65</stp>
        <tr r="BM5" s="1"/>
      </tp>
      <tp>
        <v>103.714</v>
        <stp/>
        <stp>##V3_BDPV12</stp>
        <stp>am7761993 corp</stp>
        <stp>PX_LAST</stp>
        <stp>[E_and_P_Relative_Value_Workbook_v2.xlsx]E&amp;P Comps!R5C87</stp>
        <tr r="CI5" s="1"/>
      </tp>
      <tp>
        <v>121.79900000000001</v>
        <stp/>
        <stp>##V3_BDPV12</stp>
        <stp>ed5603961 corp</stp>
        <stp>PX_LAST</stp>
        <stp>[E_and_P_Relative_Value_Workbook_v2.xlsx]E&amp;P Comps!R5C79</stp>
        <tr r="CA5" s="1"/>
      </tp>
      <tp>
        <v>116.63200000000001</v>
        <stp/>
        <stp>##V3_BDPV12</stp>
        <stp>jv2587196 corp</stp>
        <stp>PX_LAST</stp>
        <stp>[E_and_P_Relative_Value_Workbook_v2.xlsx]E&amp;P Comps!R5C81</stp>
        <tr r="CC5" s="1"/>
      </tp>
      <tp>
        <v>170.21211974411099</v>
        <stp/>
        <stp>##V3_BDPV12</stp>
        <stp>au7909263 corp</stp>
        <stp>OAS_SPREAD_MID</stp>
        <stp>[E_and_P_Relative_Value_Workbook_v2.xlsx]Refining Comps!R7C10</stp>
        <tr r="J7" s="4"/>
      </tp>
      <tp>
        <v>99.974999999999994</v>
        <stp/>
        <stp>##V3_BDPV12</stp>
        <stp>an1132447 corp</stp>
        <stp>PX_LAST</stp>
        <stp>[E_and_P_Relative_Value_Workbook_v2.xlsx]E&amp;P Comps!R5C71</stp>
        <tr r="BS5" s="1"/>
      </tp>
      <tp>
        <v>103.71899999999999</v>
        <stp/>
        <stp>##V3_BDPV12</stp>
        <stp>ao3535017 corp</stp>
        <stp>PX_LAST</stp>
        <stp>[E_and_P_Relative_Value_Workbook_v2.xlsx]E&amp;P Comps!R5C89</stp>
        <tr r="CK5" s="1"/>
      </tp>
      <tp>
        <v>89.215000000000003</v>
        <stp/>
        <stp>##V3_BDPV12</stp>
        <stp>ap8909974 corp</stp>
        <stp>PX_LAST</stp>
        <stp>[E_and_P_Relative_Value_Workbook_v2.xlsx]E&amp;P Comps!R5C57</stp>
        <tr r="BE5" s="1"/>
      </tp>
      <tp>
        <v>397.16738941877799</v>
        <stp/>
        <stp>##V3_BDPV12</stp>
        <stp>ap9675491 corp</stp>
        <stp>OAS_SPREAD_MID</stp>
        <stp>[E_and_P_Relative_Value_Workbook_v2.xlsx]Midstream Comps!R7C6</stp>
        <tr r="F7" s="2"/>
      </tp>
      <tp>
        <v>110.402</v>
        <stp/>
        <stp>##V3_BDPV12</stp>
        <stp>lw1068706 corp</stp>
        <stp>PX_LAST</stp>
        <stp>[E_and_P_Relative_Value_Workbook_v2.xlsx]Midstream Comps!R5C4</stp>
        <tr r="D5" s="2"/>
      </tp>
      <tp>
        <v>135.69863432743199</v>
        <stp/>
        <stp>##V3_BDPV12</stp>
        <stp>ar4953873 corp</stp>
        <stp>OAS_SPREAD_MID</stp>
        <stp>[E_and_P_Relative_Value_Workbook_v2.xlsx]Refining Comps!R7C14</stp>
        <tr r="N7" s="4"/>
      </tp>
      <tp>
        <v>165.206084129484</v>
        <stp/>
        <stp>##V3_BDPV12</stp>
        <stp>as7113937 corp</stp>
        <stp>OAS_SPREAD_MID</stp>
        <stp>[E_and_P_Relative_Value_Workbook_v2.xlsx]Refining Comps!R7C16</stp>
        <tr r="P7" s="4"/>
      </tp>
      <tp>
        <v>95.477000000000004</v>
        <stp/>
        <stp>##V3_BDPV12</stp>
        <stp>ax0971496 corp</stp>
        <stp>PX_LAST</stp>
        <stp>[E_and_P_Relative_Value_Workbook_v2.xlsx]E&amp;P Comps!R5C32</stp>
        <tr r="AF5" s="1"/>
      </tp>
      <tp>
        <v>94.403999999999996</v>
        <stp/>
        <stp>##V3_BDPV12</stp>
        <stp>ap2883829 corp</stp>
        <stp>PX_LAST</stp>
        <stp>[E_and_P_Relative_Value_Workbook_v2.xlsx]E&amp;P Comps!R5C45</stp>
        <tr r="AS5" s="1"/>
      </tp>
      <tp>
        <v>96.753</v>
        <stp/>
        <stp>##V3_BDPV12</stp>
        <stp>at3081839 corp</stp>
        <stp>PX_LAST</stp>
        <stp>[E_and_P_Relative_Value_Workbook_v2.xlsx]E&amp;P Comps!R5C49</stp>
        <tr r="AW5" s="1"/>
      </tp>
      <tp>
        <v>95.081000000000003</v>
        <stp/>
        <stp>##V3_BDPV12</stp>
        <stp>ap0996078 corp</stp>
        <stp>PX_LAST</stp>
        <stp>[E_and_P_Relative_Value_Workbook_v2.xlsx]E&amp;P Comps!R5C55</stp>
        <tr r="BC5" s="1"/>
      </tp>
      <tp>
        <v>100.57299999999999</v>
        <stp/>
        <stp>##V3_BDPV12</stp>
        <stp>au7909263 corp</stp>
        <stp>PX_LAST</stp>
        <stp>[E_and_P_Relative_Value_Workbook_v2.xlsx]Refining Comps!R5C10</stp>
        <tr r="J5" s="4"/>
      </tp>
      <tp>
        <v>100.622</v>
        <stp/>
        <stp>##V3_BDPV12</stp>
        <stp>ao6537143 corp</stp>
        <stp>PX_LAST</stp>
        <stp>[E_and_P_Relative_Value_Workbook_v2.xlsx]E&amp;P Comps!R5C40</stp>
        <tr r="AN5" s="1"/>
      </tp>
      <tp>
        <v>101.467</v>
        <stp/>
        <stp>##V3_BDPV12</stp>
        <stp>al5956845 corp</stp>
        <stp>PX_LAST</stp>
        <stp>[E_and_P_Relative_Value_Workbook_v2.xlsx]E&amp;P Comps!R5C47</stp>
        <tr r="AU5" s="1"/>
      </tp>
      <tp>
        <v>101.099</v>
        <stp/>
        <stp>##V3_BDPV12</stp>
        <stp>ap9549274 corp</stp>
        <stp>PX_LAST</stp>
        <stp>[E_and_P_Relative_Value_Workbook_v2.xlsx]E&amp;P Comps!R5C69</stp>
        <tr r="BQ5" s="1"/>
      </tp>
      <tp>
        <v>88.438000000000002</v>
        <stp/>
        <stp>##V3_BDPV12</stp>
        <stp>jk4439317 corp</stp>
        <stp>PX_LAST</stp>
        <stp>[E_and_P_Relative_Value_Workbook_v2.xlsx]E&amp;P Comps!R5C51</stp>
        <tr r="AY5" s="1"/>
      </tp>
      <tp>
        <v>100.021</v>
        <stp/>
        <stp>##V3_BDPV12</stp>
        <stp>av7264519 corp</stp>
        <stp>PX_LAST</stp>
        <stp>[E_and_P_Relative_Value_Workbook_v2.xlsx]E&amp;P Comps!R5C38</stp>
        <tr r="AL5" s="1"/>
      </tp>
      <tp>
        <v>123.557596643037</v>
        <stp/>
        <stp>##V3_BDPV12</stp>
        <stp>jk8194108 corp</stp>
        <stp>OAS_SPREAD_MID</stp>
        <stp>[E_and_P_Relative_Value_Workbook_v2.xlsx]Midstream Comps!R7C8</stp>
        <tr r="H7" s="2"/>
      </tp>
      <tp>
        <v>106.461</v>
        <stp/>
        <stp>##V3_BDPV12</stp>
        <stp>as5051345 corp</stp>
        <stp>PX_LAST</stp>
        <stp>[E_and_P_Relative_Value_Workbook_v2.xlsx]Refining Comps!R5C28</stp>
        <tr r="AB5" s="4"/>
      </tp>
      <tp>
        <v>99.638999999999996</v>
        <stp/>
        <stp>##V3_BDPV12</stp>
        <stp>at9556495 corp</stp>
        <stp>PX_LAST</stp>
        <stp>[E_and_P_Relative_Value_Workbook_v2.xlsx]Refining Comps!R5C32</stp>
        <tr r="AF5" s="4"/>
      </tp>
      <tp>
        <v>90.195999999999998</v>
        <stp/>
        <stp>##V3_BDPV12</stp>
        <stp>as4470579 corp</stp>
        <stp>PX_LAST</stp>
        <stp>[E_and_P_Relative_Value_Workbook_v2.xlsx]E&amp;P Comps!R5C42</stp>
        <tr r="AP5" s="1"/>
      </tp>
      <tp>
        <v>101.996</v>
        <stp/>
        <stp>##V3_BDPV12</stp>
        <stp>au0590557 corp</stp>
        <stp>PX_LAST</stp>
        <stp>[E_and_P_Relative_Value_Workbook_v2.xlsx]E&amp;P Comps!R5C67</stp>
        <tr r="BO5" s="1"/>
      </tp>
      <tp>
        <v>103.89100000000001</v>
        <stp/>
        <stp>##V3_BDPV12</stp>
        <stp>ar4953873 corp</stp>
        <stp>PX_LAST</stp>
        <stp>[E_and_P_Relative_Value_Workbook_v2.xlsx]Refining Comps!R5C14</stp>
        <tr r="N5" s="4"/>
      </tp>
      <tp>
        <v>97.962000000000003</v>
        <stp/>
        <stp>##V3_BDPV12</stp>
        <stp>al0940299 corp</stp>
        <stp>PX_LAST</stp>
        <stp>[E_and_P_Relative_Value_Workbook_v2.xlsx]E&amp;P Comps!R5C93</stp>
        <tr r="CO5" s="1"/>
      </tp>
      <tp>
        <v>89.872</v>
        <stp/>
        <stp>##V3_BDPV12</stp>
        <stp>at9394434 corp</stp>
        <stp>PX_LAST</stp>
        <stp>[E_and_P_Relative_Value_Workbook_v2.xlsx]E&amp;P Comps!R5C53</stp>
        <tr r="BA5" s="1"/>
      </tp>
      <tp>
        <v>92.245000000000005</v>
        <stp/>
        <stp>##V3_BDPV12</stp>
        <stp>as9994474 corp</stp>
        <stp>PX_LAST</stp>
        <stp>[E_and_P_Relative_Value_Workbook_v2.xlsx]E&amp;P Comps!R5C59</stp>
        <tr r="BG5" s="1"/>
      </tp>
      <tp>
        <v>105.029</v>
        <stp/>
        <stp>##V3_BDPV12</stp>
        <stp>as7113937 corp</stp>
        <stp>PX_LAST</stp>
        <stp>[E_and_P_Relative_Value_Workbook_v2.xlsx]Refining Comps!R5C16</stp>
        <tr r="P5" s="4"/>
      </tp>
      <tp>
        <v>112.923</v>
        <stp/>
        <stp>##V3_BDPV12</stp>
        <stp>jk3436074 corp</stp>
        <stp>PX_LAST</stp>
        <stp>[E_and_P_Relative_Value_Workbook_v2.xlsx]E&amp;P Comps!R5C75</stp>
        <tr r="BW5" s="1"/>
      </tp>
      <tp>
        <v>89.135999999999996</v>
        <stp/>
        <stp>##V3_BDPV12</stp>
        <stp>ax4642358 corp</stp>
        <stp>PX_LAST</stp>
        <stp>[E_and_P_Relative_Value_Workbook_v2.xlsx]E&amp;P Comps!R5C16</stp>
        <tr r="P5" s="1"/>
      </tp>
      <tp t="e">
        <v>#N/A</v>
        <stp/>
        <stp>##V3_BDPV12</stp>
        <stp/>
        <stp>OAS_SPREAD_MID</stp>
        <stp>[E&amp;P Relative Value 1.xlsx]Refining Comps!R7C8</stp>
        <tr r="H7" s="4"/>
      </tp>
      <tp t="e">
        <v>#N/A</v>
        <stp/>
        <stp>##V3_BDPV12</stp>
        <stp/>
        <stp>OAS_SPREAD_MID</stp>
        <stp>[E&amp;P Relative Value 1.xlsx]Refining Comps!R7C6</stp>
        <tr r="F7" s="4"/>
      </tp>
      <tp t="e">
        <v>#N/A</v>
        <stp/>
        <stp>##V3_BDPV12</stp>
        <stp/>
        <stp>OAS_SPREAD_MID</stp>
        <stp>[E&amp;P Relative Value 1.xlsx]Refining Comps!R7C4</stp>
        <tr r="D7" s="4"/>
      </tp>
      <tp>
        <v>95.489000000000004</v>
        <stp/>
        <stp>##V3_BDPV12</stp>
        <stp>aq0125759 corp</stp>
        <stp>PX_LAST</stp>
        <stp>[E_and_P_Relative_Value_Workbook_v2.xlsx]E&amp;P Comps!R5C12</stp>
        <tr r="L5" s="1"/>
      </tp>
      <tp>
        <v>101.783</v>
        <stp/>
        <stp>##V3_BDPV12</stp>
        <stp>as5835499 corp</stp>
        <stp>PX_LAST</stp>
        <stp>[E_and_P_Relative_Value_Workbook_v2.xlsx]E&amp;P Comps!R5C61</stp>
        <tr r="BI5" s="1"/>
      </tp>
      <tp>
        <v>223.20478292534901</v>
        <stp/>
        <stp>##V3_BDPV12</stp>
        <stp>lw1068706 corp</stp>
        <stp>OAS_SPREAD_MID</stp>
        <stp>[E_and_P_Relative_Value_Workbook_v2.xlsx]Midstream Comps!R7C4</stp>
        <tr r="D7" s="2"/>
      </tp>
      <tp>
        <v>107.872</v>
        <stp/>
        <stp>##V3_BDPV12</stp>
        <stp>jv6007332 corp</stp>
        <stp>PX_LAST</stp>
        <stp>[E_and_P_Relative_Value_Workbook_v2.xlsx]E&amp;P Comps!R5C83</stp>
        <tr r="CE5" s="1"/>
      </tp>
      <tp>
        <v>102.41200000000001</v>
        <stp/>
        <stp>##V3_BDPV12</stp>
        <stp>as3194220 corp</stp>
        <stp>PX_LAST</stp>
        <stp>[E_and_P_Relative_Value_Workbook_v2.xlsx]E&amp;P Comps!R5C77</stp>
        <tr r="BY5" s="1"/>
      </tp>
      <tp>
        <v>151.37970325962399</v>
        <stp/>
        <stp>##V3_BDPV12</stp>
        <stp>an8093246 corp</stp>
        <stp>OAS_SPREAD_MID</stp>
        <stp>[E_and_P_Relative_Value_Workbook_v2.xlsx]Refining Comps!R7C30</stp>
        <tr r="AD7" s="4"/>
      </tp>
      <tp>
        <v>87.947000000000003</v>
        <stp/>
        <stp>##V3_BDPV12</stp>
        <stp>ap9675491 corp</stp>
        <stp>PX_LAST</stp>
        <stp>[E_and_P_Relative_Value_Workbook_v2.xlsx]Midstream Comps!R5C6</stp>
        <tr r="F5" s="2"/>
      </tp>
      <tp>
        <v>186.061679824691</v>
        <stp/>
        <stp>##V3_BDPV12</stp>
        <stp>ao3535017 corp</stp>
        <stp>OAS_SPREAD_MID</stp>
        <stp>[E_and_P_Relative_Value_Workbook_v2.xlsx]E&amp;P Comps!R7C89</stp>
        <tr r="CK7" s="1"/>
      </tp>
      <tp>
        <v>192.318026702975</v>
        <stp/>
        <stp>##V3_BDPV12</stp>
        <stp>an1132447 corp</stp>
        <stp>OAS_SPREAD_MID</stp>
        <stp>[E_and_P_Relative_Value_Workbook_v2.xlsx]E&amp;P Comps!R7C71</stp>
        <tr r="BS7" s="1"/>
      </tp>
      <tp>
        <v>67.740368901521805</v>
        <stp/>
        <stp>##V3_BDPV12</stp>
        <stp>AL7282349 corp</stp>
        <stp>OAS_SPREAD_MID</stp>
        <stp>[E_and_P_Relative_Value_Workbook_v2.xlsx]E&amp;P Comps!R7C73</stp>
        <tr r="BU7" s="1"/>
      </tp>
      <tp t="e">
        <v>#N/A</v>
        <stp/>
        <stp>##V3_BDPV12</stp>
        <stp/>
        <stp>PX_LAST</stp>
        <stp>[E&amp;P Relative Value 1.xlsx]Refining Comps!R5C12</stp>
        <tr r="L5" s="4"/>
      </tp>
      <tp t="e">
        <v>#N/A</v>
        <stp/>
        <stp>##V3_BDPV12</stp>
        <stp/>
        <stp>PX_LAST</stp>
        <stp>[E&amp;P Relative Value 1.xlsx]Refining Comps!R5C18</stp>
        <tr r="R5" s="4"/>
      </tp>
      <tp t="e">
        <v>#N/A</v>
        <stp/>
        <stp>##V3_BDPV12</stp>
        <stp/>
        <stp>PX_LAST</stp>
        <stp>[E&amp;P Relative Value 1.xlsx]Refining Comps!R5C24</stp>
        <tr r="X5" s="4"/>
      </tp>
      <tp t="e">
        <v>#N/A</v>
        <stp/>
        <stp>##V3_BDPV12</stp>
        <stp/>
        <stp>PX_LAST</stp>
        <stp>[E&amp;P Relative Value 1.xlsx]Refining Comps!R5C22</stp>
        <tr r="V5" s="4"/>
      </tp>
      <tp t="e">
        <v>#N/A</v>
        <stp/>
        <stp>##V3_BDPV12</stp>
        <stp/>
        <stp>PX_LAST</stp>
        <stp>[E&amp;P Relative Value 1.xlsx]Refining Comps!R5C20</stp>
        <tr r="T5" s="4"/>
      </tp>
      <tp>
        <v>132.905453741553</v>
        <stp/>
        <stp>##V3_BDPV12</stp>
        <stp>al0940299 corp</stp>
        <stp>OAS_SPREAD_MID</stp>
        <stp>[E_and_P_Relative_Value_Workbook_v2.xlsx]E&amp;P Comps!R7C93</stp>
        <tr r="CO7" s="1"/>
      </tp>
      <tp>
        <v>234.27328111749799</v>
        <stp/>
        <stp>##V3_BDPV12</stp>
        <stp>ed5603961 corp</stp>
        <stp>OAS_SPREAD_MID</stp>
        <stp>[E_and_P_Relative_Value_Workbook_v2.xlsx]E&amp;P Comps!R7C79</stp>
        <tr r="CA7" s="1"/>
      </tp>
      <tp>
        <v>168.26048121719899</v>
        <stp/>
        <stp>##V3_BDPV12</stp>
        <stp>jk4486045 corp</stp>
        <stp>OAS_SPREAD_MID</stp>
        <stp>[E_and_P_Relative_Value_Workbook_v2.xlsx]E&amp;P Comps!R7C65</stp>
        <tr r="BM7" s="1"/>
      </tp>
      <tp>
        <v>207.369033971118</v>
        <stp/>
        <stp>##V3_BDPV12</stp>
        <stp>au0590557 corp</stp>
        <stp>OAS_SPREAD_MID</stp>
        <stp>[E_and_P_Relative_Value_Workbook_v2.xlsx]E&amp;P Comps!R7C67</stp>
        <tr r="BO7" s="1"/>
      </tp>
      <tp>
        <v>210.113478066467</v>
        <stp/>
        <stp>##V3_BDPV12</stp>
        <stp>ap9549274 corp</stp>
        <stp>OAS_SPREAD_MID</stp>
        <stp>[E_and_P_Relative_Value_Workbook_v2.xlsx]E&amp;P Comps!R7C69</stp>
        <tr r="BQ7" s="1"/>
      </tp>
      <tp>
        <v>86.737038123279703</v>
        <stp/>
        <stp>##V3_BDPV12</stp>
        <stp>jv6007332 corp</stp>
        <stp>OAS_SPREAD_MID</stp>
        <stp>[E_and_P_Relative_Value_Workbook_v2.xlsx]E&amp;P Comps!R7C83</stp>
        <tr r="CE7" s="1"/>
      </tp>
      <tp>
        <v>202.61787030759501</v>
        <stp/>
        <stp>##V3_BDPV12</stp>
        <stp>as3194220 corp</stp>
        <stp>OAS_SPREAD_MID</stp>
        <stp>[E_and_P_Relative_Value_Workbook_v2.xlsx]E&amp;P Comps!R7C77</stp>
        <tr r="BY7" s="1"/>
      </tp>
      <tp>
        <v>83.857512172331099</v>
        <stp/>
        <stp>##V3_BDPV12</stp>
        <stp>jk3436074 corp</stp>
        <stp>OAS_SPREAD_MID</stp>
        <stp>[E_and_P_Relative_Value_Workbook_v2.xlsx]E&amp;P Comps!R7C75</stp>
        <tr r="BW7" s="1"/>
      </tp>
      <tp>
        <v>101.931995596503</v>
        <stp/>
        <stp>##V3_BDPV12</stp>
        <stp>jv2587196 corp</stp>
        <stp>OAS_SPREAD_MID</stp>
        <stp>[E_and_P_Relative_Value_Workbook_v2.xlsx]E&amp;P Comps!R7C81</stp>
        <tr r="CC7" s="1"/>
      </tp>
      <tp>
        <v>164.60091974580101</v>
        <stp/>
        <stp>##V3_BDPV12</stp>
        <stp>am7761993 corp</stp>
        <stp>OAS_SPREAD_MID</stp>
        <stp>[E_and_P_Relative_Value_Workbook_v2.xlsx]E&amp;P Comps!R7C87</stp>
        <tr r="CI7" s="1"/>
      </tp>
      <tp>
        <v>127.24121569682301</v>
        <stp/>
        <stp>##V3_BDPV12</stp>
        <stp>qj9978017 corp</stp>
        <stp>OAS_SPREAD_MID</stp>
        <stp>[E_and_P_Relative_Value_Workbook_v2.xlsx]E&amp;P Comps!R7C95</stp>
        <tr r="CQ7" s="1"/>
      </tp>
      <tp>
        <v>104.991</v>
        <stp/>
        <stp>##V3_BDPV12</stp>
        <stp>AO0955093 corp</stp>
        <stp>PX_LAST</stp>
        <stp>[E_and_P_Relative_Value_Workbook_v2.xlsx]E&amp;P Comps!R5C24</stp>
        <tr r="X5" s="1"/>
      </tp>
      <tp>
        <v>102.69</v>
        <stp/>
        <stp>##V3_BDPV12</stp>
        <stp>AQ2229047 corp</stp>
        <stp>PX_LAST</stp>
        <stp>[E_and_P_Relative_Value_Workbook_v2.xlsx]E&amp;P Comps!R5C22</stp>
        <tr r="V5" s="1"/>
      </tp>
      <tp>
        <v>97.158000000000001</v>
        <stp/>
        <stp>##V3_BDPV12</stp>
        <stp>AO1652376 corp</stp>
        <stp>PX_LAST</stp>
        <stp>[E_and_P_Relative_Value_Workbook_v2.xlsx]E&amp;P Comps!R5C10</stp>
        <tr r="J5" s="1"/>
      </tp>
      <tp>
        <v>6.5279999999999996</v>
        <stp/>
        <stp>##V3_BDPV12</stp>
        <stp>AF2041107 corp</stp>
        <stp>PX_LAST</stp>
        <stp>[E_and_P_Relative_Value_Workbook_v2.xlsx]E&amp;P Comps!R5C26</stp>
        <tr r="Z5" s="1"/>
      </tp>
      <tp>
        <v>103.779</v>
        <stp/>
        <stp>##V3_BDPV12</stp>
        <stp>AL7282349 corp</stp>
        <stp>PX_LAST</stp>
        <stp>[E_and_P_Relative_Value_Workbook_v2.xlsx]E&amp;P Comps!R5C18</stp>
        <tr r="R5" s="1"/>
      </tp>
      <tp>
        <v>103.779</v>
        <stp/>
        <stp>##V3_BDPV12</stp>
        <stp>AL7282349 corp</stp>
        <stp>PX_LAST</stp>
        <stp>[E_and_P_Relative_Value_Workbook_v2.xlsx]E&amp;P Comps!R5C73</stp>
        <tr r="BU5" s="1"/>
      </tp>
      <tp>
        <v>87.501000000000005</v>
        <stp/>
        <stp>##V3_BDPV12</stp>
        <stp>EK7884373 corp</stp>
        <stp>PX_LAST</stp>
        <stp>[E_and_P_Relative_Value_Workbook_v2.xlsx]E&amp;P Comps!R5C36</stp>
        <tr r="AJ5" s="1"/>
      </tp>
      <tp>
        <v>77.323999999999998</v>
        <stp/>
        <stp>##V3_BDPV12</stp>
        <stp>AO6542499 corp</stp>
        <stp>PX_LAST</stp>
        <stp>[E_and_P_Relative_Value_Workbook_v2.xlsx]E&amp;P Comps!R5C28</stp>
        <tr r="AB5" s="1"/>
      </tp>
      <tp t="e">
        <v>#N/A</v>
        <stp/>
        <stp>##V3_BDPV12</stp>
        <stp>qz6591072 corp</stp>
        <stp/>
        <stp>[E_and_P_Relative_Value_Workbook_v2.xlsx]Midstream Comps!R5C51</stp>
        <tr r="AY5" s="2"/>
      </tp>
      <tp>
        <v>99.932000000000002</v>
        <stp/>
        <stp>##V3_BDPV12</stp>
        <stp>EK9287666 corp</stp>
        <stp>PX_LAST</stp>
        <stp>[E_and_P_Relative_Value_Workbook_v2.xlsx]E&amp;P Comps!R5C30</stp>
        <tr r="AD5" s="1"/>
      </tp>
      <tp>
        <v>89.481999999999999</v>
        <stp/>
        <stp>##V3_BDPV12</stp>
        <stp>AU6889052 corp</stp>
        <stp>PX_LAST</stp>
        <stp>[E_and_P_Relative_Value_Workbook_v2.xlsx]E&amp;P Comps!R5C14</stp>
        <tr r="N5" s="1"/>
      </tp>
      <tp>
        <v>94.180999999999997</v>
        <stp/>
        <stp>##V3_BDPV12</stp>
        <stp>AQ2692491 corp</stp>
        <stp>PX_LAST</stp>
        <stp>[E_and_P_Relative_Value_Workbook_v2.xlsx]E&amp;P Comps!R5C20</stp>
        <tr r="T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PDP Coverage ($50 WTI / $2.25 NYMEX)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5315015504375"/>
          <c:y val="0.18762557077625572"/>
          <c:w val="0.82151465441819771"/>
          <c:h val="0.4851501096609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'E&amp;P Sensitivity Rankings'!$D$16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'E&amp;P Sensitivity Rankings'!$C$17:$C$45</c:f>
              <c:strCache>
                <c:ptCount val="19"/>
                <c:pt idx="0">
                  <c:v>Ascent Resources</c:v>
                </c:pt>
                <c:pt idx="1">
                  <c:v>Antero Resources</c:v>
                </c:pt>
                <c:pt idx="2">
                  <c:v>California Resources</c:v>
                </c:pt>
                <c:pt idx="3">
                  <c:v>Carrizo Oil&amp;Gas</c:v>
                </c:pt>
                <c:pt idx="4">
                  <c:v>Centennial Resources</c:v>
                </c:pt>
                <c:pt idx="5">
                  <c:v>Chesapeake Energy</c:v>
                </c:pt>
                <c:pt idx="6">
                  <c:v>Denbury Resources</c:v>
                </c:pt>
                <c:pt idx="7">
                  <c:v>Diamondback Energy</c:v>
                </c:pt>
                <c:pt idx="8">
                  <c:v>Hilcorp Exploration</c:v>
                </c:pt>
                <c:pt idx="9">
                  <c:v>Jagged Peak</c:v>
                </c:pt>
                <c:pt idx="10">
                  <c:v>Laredo Petroleum</c:v>
                </c:pt>
                <c:pt idx="11">
                  <c:v>Matador Resources</c:v>
                </c:pt>
                <c:pt idx="12">
                  <c:v>Oasis Petroleum</c:v>
                </c:pt>
                <c:pt idx="13">
                  <c:v>Parsley Energy</c:v>
                </c:pt>
                <c:pt idx="14">
                  <c:v>PDC Energy</c:v>
                </c:pt>
                <c:pt idx="15">
                  <c:v>SM Energy</c:v>
                </c:pt>
                <c:pt idx="16">
                  <c:v>QEP Resources</c:v>
                </c:pt>
                <c:pt idx="17">
                  <c:v>Whiting Petroleum</c:v>
                </c:pt>
                <c:pt idx="18">
                  <c:v>WPX Energy</c:v>
                </c:pt>
              </c:strCache>
            </c:strRef>
          </c:cat>
          <c:val>
            <c:numRef>
              <c:f>'E&amp;P Sensitivity Rankings'!$D$17:$D$45</c:f>
              <c:numCache>
                <c:formatCode>0%</c:formatCode>
                <c:ptCount val="19"/>
                <c:pt idx="0">
                  <c:v>1.1715986328720736</c:v>
                </c:pt>
                <c:pt idx="1">
                  <c:v>1.5043916716248555</c:v>
                </c:pt>
                <c:pt idx="2">
                  <c:v>0.93693680755155861</c:v>
                </c:pt>
                <c:pt idx="3">
                  <c:v>0.96295286519016898</c:v>
                </c:pt>
                <c:pt idx="4">
                  <c:v>1.767786808689161</c:v>
                </c:pt>
                <c:pt idx="5">
                  <c:v>0.88291006876846734</c:v>
                </c:pt>
                <c:pt idx="6">
                  <c:v>1.0664630412039371</c:v>
                </c:pt>
                <c:pt idx="7">
                  <c:v>1.7524437891279057</c:v>
                </c:pt>
                <c:pt idx="8">
                  <c:v>1.8482659883551948</c:v>
                </c:pt>
                <c:pt idx="9">
                  <c:v>2.3787454418117679</c:v>
                </c:pt>
                <c:pt idx="10">
                  <c:v>1.3098891327700999</c:v>
                </c:pt>
                <c:pt idx="11">
                  <c:v>1.0960135192978566</c:v>
                </c:pt>
                <c:pt idx="12">
                  <c:v>1.1782257342132947</c:v>
                </c:pt>
                <c:pt idx="13">
                  <c:v>1.6505459631938022</c:v>
                </c:pt>
                <c:pt idx="14">
                  <c:v>2.5924320690713931</c:v>
                </c:pt>
                <c:pt idx="15">
                  <c:v>1.0297948834958457</c:v>
                </c:pt>
                <c:pt idx="16">
                  <c:v>1.3910934128393078</c:v>
                </c:pt>
                <c:pt idx="17">
                  <c:v>1.5719009874452508</c:v>
                </c:pt>
                <c:pt idx="18">
                  <c:v>1.4459521413478831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4667-AA5C-78D2ADEA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7231"/>
        <c:axId val="59048215"/>
      </c:barChart>
      <c:catAx>
        <c:axId val="59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215"/>
        <c:crossesAt val="0"/>
        <c:auto val="1"/>
        <c:lblAlgn val="ctr"/>
        <c:lblOffset val="100"/>
        <c:noMultiLvlLbl val="0"/>
      </c:catAx>
      <c:valAx>
        <c:axId val="5904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'E&amp;P Sensitivity Rankings'!$F$16</c:f>
              <c:strCache>
                <c:ptCount val="1"/>
                <c:pt idx="0">
                  <c:v>100% PDP Coverage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8549CB-15D6-47B6-8F12-A273D2313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FB-4311-9F4E-62140698F7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8CE95F-7C93-4B75-9AC6-0631C5532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FB-4311-9F4E-62140698F7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1A8703-873D-432E-8644-DC01174EE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5FB-4311-9F4E-62140698F7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0385D8-2C7A-490E-822E-C75D94730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5FB-4311-9F4E-62140698F7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5F3D4E-7007-4A5C-92FC-0EBA0215B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FB-4311-9F4E-62140698F7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033D7A-1331-44E4-A941-F56D6088A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FB-4311-9F4E-62140698F7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28540270204224"/>
                  <c:y val="-0.83124370921524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Rankings'!$E$72:$E$77</c:f>
              <c:numCache>
                <c:formatCode>General</c:formatCode>
                <c:ptCount val="6"/>
                <c:pt idx="0">
                  <c:v>8.4085847493263373</c:v>
                </c:pt>
                <c:pt idx="1">
                  <c:v>6.3337402367379543</c:v>
                </c:pt>
                <c:pt idx="2">
                  <c:v>9.7067513862399668</c:v>
                </c:pt>
                <c:pt idx="3">
                  <c:v>9.2421192703400905</c:v>
                </c:pt>
                <c:pt idx="4">
                  <c:v>7.4881478226107738</c:v>
                </c:pt>
                <c:pt idx="5">
                  <c:v>8.5930343455079594</c:v>
                </c:pt>
              </c:numCache>
            </c:numRef>
          </c:xVal>
          <c:yVal>
            <c:numRef>
              <c:f>'E&amp;P Sensitivity Rankings'!$F$72:$F$77</c:f>
              <c:numCache>
                <c:formatCode>General</c:formatCode>
                <c:ptCount val="6"/>
                <c:pt idx="0">
                  <c:v>2.5499999999999998</c:v>
                </c:pt>
                <c:pt idx="1">
                  <c:v>2.19</c:v>
                </c:pt>
                <c:pt idx="2">
                  <c:v>3.23</c:v>
                </c:pt>
                <c:pt idx="3">
                  <c:v>2.72</c:v>
                </c:pt>
                <c:pt idx="4">
                  <c:v>2.96</c:v>
                </c:pt>
                <c:pt idx="5">
                  <c:v>2.15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Rankings'!$C$72:$C$77</c15:f>
                <c15:dlblRangeCache>
                  <c:ptCount val="6"/>
                  <c:pt idx="0">
                    <c:v>Ascent Resources</c:v>
                  </c:pt>
                  <c:pt idx="1">
                    <c:v>Antero Resources</c:v>
                  </c:pt>
                  <c:pt idx="2">
                    <c:v>Chesapeake Energy</c:v>
                  </c:pt>
                  <c:pt idx="3">
                    <c:v>CNX Resources</c:v>
                  </c:pt>
                  <c:pt idx="4">
                    <c:v>Range Resources</c:v>
                  </c:pt>
                  <c:pt idx="5">
                    <c:v>Southwestern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5FB-4311-9F4E-62140698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</c:valAx>
      <c:valAx>
        <c:axId val="717129736"/>
        <c:scaling>
          <c:orientation val="minMax"/>
          <c:max val="3.5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Full-cycle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'E&amp;P Sensitivity Rankings'!$F$16</c:f>
              <c:strCache>
                <c:ptCount val="1"/>
                <c:pt idx="0">
                  <c:v>100% PDP Coverage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F23589-0DD9-4EA1-8C29-67842BDAE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D35-4A75-AE21-324152845E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EEBDF3-039B-44B7-A03E-AA1554072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35-4A75-AE21-324152845E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527F8B-D3E9-4BEA-88C4-B5CAAACA7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35-4A75-AE21-324152845E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F61A08-1514-4F2B-8645-0CF9D81C2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35-4A75-AE21-324152845E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EF37EE-6E85-48F4-9B17-891EC2821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35-4A75-AE21-324152845E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272691-6BD4-4790-BD74-3209E4A00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35-4A75-AE21-324152845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28540270204224"/>
                  <c:y val="-0.83124370921524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Rankings'!$E$72:$E$77</c:f>
              <c:numCache>
                <c:formatCode>General</c:formatCode>
                <c:ptCount val="6"/>
                <c:pt idx="0">
                  <c:v>8.4085847493263373</c:v>
                </c:pt>
                <c:pt idx="1">
                  <c:v>6.3337402367379543</c:v>
                </c:pt>
                <c:pt idx="2">
                  <c:v>9.7067513862399668</c:v>
                </c:pt>
                <c:pt idx="3">
                  <c:v>9.2421192703400905</c:v>
                </c:pt>
                <c:pt idx="4">
                  <c:v>7.4881478226107738</c:v>
                </c:pt>
                <c:pt idx="5">
                  <c:v>8.5930343455079594</c:v>
                </c:pt>
              </c:numCache>
            </c:numRef>
          </c:xVal>
          <c:yVal>
            <c:numRef>
              <c:f>'E&amp;P Sensitivity Rankings'!$K$72:$K$77</c:f>
              <c:numCache>
                <c:formatCode>General</c:formatCode>
                <c:ptCount val="6"/>
                <c:pt idx="0">
                  <c:v>4.4745163967135877</c:v>
                </c:pt>
                <c:pt idx="1">
                  <c:v>2.209696160826073</c:v>
                </c:pt>
                <c:pt idx="2">
                  <c:v>3.2513644447169927</c:v>
                </c:pt>
                <c:pt idx="3">
                  <c:v>3.8274136999887918</c:v>
                </c:pt>
                <c:pt idx="4">
                  <c:v>3.5372286181921333</c:v>
                </c:pt>
                <c:pt idx="5">
                  <c:v>5.2997297809594759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Rankings'!$C$72:$C$77</c15:f>
                <c15:dlblRangeCache>
                  <c:ptCount val="6"/>
                  <c:pt idx="0">
                    <c:v>Ascent Resources</c:v>
                  </c:pt>
                  <c:pt idx="1">
                    <c:v>Antero Resources</c:v>
                  </c:pt>
                  <c:pt idx="2">
                    <c:v>Chesapeake Energy</c:v>
                  </c:pt>
                  <c:pt idx="3">
                    <c:v>CNX Resources</c:v>
                  </c:pt>
                  <c:pt idx="4">
                    <c:v>Range Resources</c:v>
                  </c:pt>
                  <c:pt idx="5">
                    <c:v>Southwestern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D35-4A75-AE21-32415284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</c:valAx>
      <c:valAx>
        <c:axId val="7171297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Unlevered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63284057435638E-2"/>
          <c:y val="0.11290715372907155"/>
          <c:w val="0.88887336546952844"/>
          <c:h val="0.85360730593607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'E&amp;P Sensitivity Rankings'!$M$16</c:f>
              <c:strCache>
                <c:ptCount val="1"/>
                <c:pt idx="0">
                  <c:v>Full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CF3493-B80E-448C-B478-3961C1222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55F-41A6-8999-88B3105D9C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31F38E-6E27-4D9D-B649-098AB7EC9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55F-41A6-8999-88B3105D9C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D32EEB-AF0E-46FB-AA85-A6245510B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55F-41A6-8999-88B3105D9C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949CC0-5A54-4C7E-AA02-F8F206EA8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5F-41A6-8999-88B3105D9C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32335F-303B-42B4-BA2A-E601BC2A7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55F-41A6-8999-88B3105D9C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690946-1B31-436E-8E37-624B15BF6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5F-41A6-8999-88B3105D9C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496A75-D989-4819-A3E1-84125A5E4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5F-41A6-8999-88B3105D9C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687829-B0B8-4204-AB0B-C653C91E4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55F-41A6-8999-88B3105D9C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B4A511-B7E0-4292-91C5-0211C3903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55F-41A6-8999-88B3105D9C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36E3E1-30F4-43C0-8811-85F615259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5F-41A6-8999-88B3105D9C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BD95A52-76F9-4442-876F-FB4E92196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55F-41A6-8999-88B3105D9C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6F7E52E-FDDE-498E-924E-2466B7900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55F-41A6-8999-88B3105D9C3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127EF5B-673F-49AD-BE9B-F0542849E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5F-41A6-8999-88B3105D9C37}"/>
                </c:ext>
              </c:extLst>
            </c:dLbl>
            <c:dLbl>
              <c:idx val="13"/>
              <c:layout>
                <c:manualLayout>
                  <c:x val="2.285713913090117E-2"/>
                  <c:y val="-9.2823499802250797E-2"/>
                </c:manualLayout>
              </c:layout>
              <c:tx>
                <c:rich>
                  <a:bodyPr/>
                  <a:lstStyle/>
                  <a:p>
                    <a:fld id="{35410A6C-2C6B-4334-B446-62813D800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55F-41A6-8999-88B3105D9C3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7B32CC-22FF-42F8-844A-F3A8339F9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D77-486E-B7B6-9789B40FBBB0}"/>
                </c:ext>
              </c:extLst>
            </c:dLbl>
            <c:dLbl>
              <c:idx val="15"/>
              <c:layout>
                <c:manualLayout>
                  <c:x val="5.3441898005918066E-2"/>
                  <c:y val="-4.107311928474694E-2"/>
                </c:manualLayout>
              </c:layout>
              <c:tx>
                <c:rich>
                  <a:bodyPr/>
                  <a:lstStyle/>
                  <a:p>
                    <a:fld id="{CDCF2668-67DD-47F5-BBCA-5C0D183BD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8A8-42E2-AE90-F02CC25AC33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495606-4770-47A2-BD4A-3D359F622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77-486E-B7B6-9789B40FBB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0C-44A7-84CF-58FBEDEA2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6686875550304761E-2"/>
                  <c:y val="-0.79705389566030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Rankings'!$E$18:$E$45</c:f>
              <c:numCache>
                <c:formatCode>0.00</c:formatCode>
                <c:ptCount val="18"/>
                <c:pt idx="0">
                  <c:v>6.3337402367379543</c:v>
                </c:pt>
                <c:pt idx="1">
                  <c:v>21.113839771388754</c:v>
                </c:pt>
                <c:pt idx="2">
                  <c:v>8.7711752384853217</c:v>
                </c:pt>
                <c:pt idx="3">
                  <c:v>6.2036124853074179</c:v>
                </c:pt>
                <c:pt idx="4">
                  <c:v>9.7067513862399668</c:v>
                </c:pt>
                <c:pt idx="5">
                  <c:v>11.597311902392397</c:v>
                </c:pt>
                <c:pt idx="6">
                  <c:v>3.9335209400000002</c:v>
                </c:pt>
                <c:pt idx="7">
                  <c:v>5.7156057799999997</c:v>
                </c:pt>
                <c:pt idx="8">
                  <c:v>6.7539304400171734</c:v>
                </c:pt>
                <c:pt idx="9">
                  <c:v>10.344965294919641</c:v>
                </c:pt>
                <c:pt idx="10">
                  <c:v>5.9118557102858382</c:v>
                </c:pt>
                <c:pt idx="11">
                  <c:v>8.3483610585655104</c:v>
                </c:pt>
                <c:pt idx="12">
                  <c:v>4.8650958299999996</c:v>
                </c:pt>
                <c:pt idx="13">
                  <c:v>6.3374131075289064</c:v>
                </c:pt>
                <c:pt idx="14">
                  <c:v>8.5113803144843239</c:v>
                </c:pt>
                <c:pt idx="15">
                  <c:v>7.6442023638710497</c:v>
                </c:pt>
                <c:pt idx="16">
                  <c:v>8.3372998614095959</c:v>
                </c:pt>
                <c:pt idx="17">
                  <c:v>5.4452045099999999</c:v>
                </c:pt>
              </c:numCache>
            </c:numRef>
          </c:xVal>
          <c:yVal>
            <c:numRef>
              <c:f>'E&amp;P Sensitivity Rankings'!$M$19:$M$46</c:f>
              <c:numCache>
                <c:formatCode>0.00</c:formatCode>
                <c:ptCount val="18"/>
                <c:pt idx="0">
                  <c:v>8.2229154557517745</c:v>
                </c:pt>
                <c:pt idx="1">
                  <c:v>23.08597331049052</c:v>
                </c:pt>
                <c:pt idx="2">
                  <c:v>18.274275236043639</c:v>
                </c:pt>
                <c:pt idx="3">
                  <c:v>10.927444097404571</c:v>
                </c:pt>
                <c:pt idx="4">
                  <c:v>-4.1972920098112283</c:v>
                </c:pt>
                <c:pt idx="5">
                  <c:v>28.340089581103356</c:v>
                </c:pt>
                <c:pt idx="6">
                  <c:v>17.463661620854818</c:v>
                </c:pt>
                <c:pt idx="7">
                  <c:v>17.620807347791462</c:v>
                </c:pt>
                <c:pt idx="8">
                  <c:v>8.4287770557418362</c:v>
                </c:pt>
                <c:pt idx="9">
                  <c:v>11.201512665566227</c:v>
                </c:pt>
                <c:pt idx="10">
                  <c:v>15.183253266239319</c:v>
                </c:pt>
                <c:pt idx="11">
                  <c:v>22.242087789943181</c:v>
                </c:pt>
                <c:pt idx="12">
                  <c:v>8.8742729566657772</c:v>
                </c:pt>
                <c:pt idx="13">
                  <c:v>14.160985848361172</c:v>
                </c:pt>
                <c:pt idx="14">
                  <c:v>3.8594375449693175</c:v>
                </c:pt>
                <c:pt idx="15">
                  <c:v>12.568567399308371</c:v>
                </c:pt>
                <c:pt idx="16">
                  <c:v>13.440416070041326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Rankings'!$C$19:$C$45</c15:f>
                <c15:dlblRangeCache>
                  <c:ptCount val="17"/>
                  <c:pt idx="0">
                    <c:v>California Resources</c:v>
                  </c:pt>
                  <c:pt idx="1">
                    <c:v>Carrizo Oil&amp;Gas</c:v>
                  </c:pt>
                  <c:pt idx="2">
                    <c:v>Centennial Resources</c:v>
                  </c:pt>
                  <c:pt idx="3">
                    <c:v>Chesapeake Energy</c:v>
                  </c:pt>
                  <c:pt idx="4">
                    <c:v>Denbury Resources</c:v>
                  </c:pt>
                  <c:pt idx="5">
                    <c:v>Diamondback Energy</c:v>
                  </c:pt>
                  <c:pt idx="6">
                    <c:v>Hilcorp Exploration</c:v>
                  </c:pt>
                  <c:pt idx="7">
                    <c:v>Jagged Peak</c:v>
                  </c:pt>
                  <c:pt idx="8">
                    <c:v>Laredo Petroleum</c:v>
                  </c:pt>
                  <c:pt idx="9">
                    <c:v>Matador Resources</c:v>
                  </c:pt>
                  <c:pt idx="10">
                    <c:v>Oasis Petroleum</c:v>
                  </c:pt>
                  <c:pt idx="11">
                    <c:v>Parsley Energy</c:v>
                  </c:pt>
                  <c:pt idx="12">
                    <c:v>PDC Energy</c:v>
                  </c:pt>
                  <c:pt idx="13">
                    <c:v>SM Energy</c:v>
                  </c:pt>
                  <c:pt idx="14">
                    <c:v>QEP Resources</c:v>
                  </c:pt>
                  <c:pt idx="15">
                    <c:v>Whiting Petroleum</c:v>
                  </c:pt>
                  <c:pt idx="16">
                    <c:v>WPX Energy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055F-41A6-8999-88B3105D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  <c:majorUnit val="3"/>
      </c:valAx>
      <c:valAx>
        <c:axId val="717129736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7749140420087E-2"/>
          <c:y val="0.11290715372907155"/>
          <c:w val="0.90401837204832458"/>
          <c:h val="0.81647407087812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'E&amp;P Sensitivity Rankings'!$N$16</c:f>
              <c:strCache>
                <c:ptCount val="1"/>
                <c:pt idx="0">
                  <c:v>Debt/2019 EBITDA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5AA5D7-F4EA-4656-89BA-E2387767E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F4B-423E-93BF-E076293DBF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01ADE4-2337-4004-9AD5-D3BF21F83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4B-423E-93BF-E076293DBF34}"/>
                </c:ext>
              </c:extLst>
            </c:dLbl>
            <c:dLbl>
              <c:idx val="2"/>
              <c:layout>
                <c:manualLayout>
                  <c:x val="-1.7111879964154485E-2"/>
                  <c:y val="-6.5426239528278141E-2"/>
                </c:manualLayout>
              </c:layout>
              <c:tx>
                <c:rich>
                  <a:bodyPr/>
                  <a:lstStyle/>
                  <a:p>
                    <a:fld id="{301AC014-CE37-47FE-83BB-6A0EA313F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F4B-423E-93BF-E076293DBF34}"/>
                </c:ext>
              </c:extLst>
            </c:dLbl>
            <c:dLbl>
              <c:idx val="3"/>
              <c:layout>
                <c:manualLayout>
                  <c:x val="4.9953367249740387E-2"/>
                  <c:y val="1.6765541293639667E-2"/>
                </c:manualLayout>
              </c:layout>
              <c:tx>
                <c:rich>
                  <a:bodyPr/>
                  <a:lstStyle/>
                  <a:p>
                    <a:fld id="{BD34D0E7-9884-453E-B1EA-9AB3EA7DC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4B-423E-93BF-E076293DBF34}"/>
                </c:ext>
              </c:extLst>
            </c:dLbl>
            <c:dLbl>
              <c:idx val="4"/>
              <c:layout>
                <c:manualLayout>
                  <c:x val="-0.16151136083347833"/>
                  <c:y val="-5.020553937607114E-2"/>
                </c:manualLayout>
              </c:layout>
              <c:tx>
                <c:rich>
                  <a:bodyPr/>
                  <a:lstStyle/>
                  <a:p>
                    <a:fld id="{83C35D60-1C37-45F0-9340-D846EC8C3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F4B-423E-93BF-E076293DBF34}"/>
                </c:ext>
              </c:extLst>
            </c:dLbl>
            <c:dLbl>
              <c:idx val="5"/>
              <c:layout>
                <c:manualLayout>
                  <c:x val="-8.0331249844109182E-3"/>
                  <c:y val="-3.8028979254305595E-2"/>
                </c:manualLayout>
              </c:layout>
              <c:tx>
                <c:rich>
                  <a:bodyPr/>
                  <a:lstStyle/>
                  <a:p>
                    <a:fld id="{906C4DF4-60D3-4CF0-AC8A-6486D5C96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4B-423E-93BF-E076293DBF34}"/>
                </c:ext>
              </c:extLst>
            </c:dLbl>
            <c:dLbl>
              <c:idx val="6"/>
              <c:layout>
                <c:manualLayout>
                  <c:x val="-9.7650169111985596E-2"/>
                  <c:y val="5.0251081628495071E-2"/>
                </c:manualLayout>
              </c:layout>
              <c:tx>
                <c:rich>
                  <a:bodyPr/>
                  <a:lstStyle/>
                  <a:p>
                    <a:fld id="{57578AE0-140D-4DD4-8CD5-2A53F055B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F4B-423E-93BF-E076293DBF34}"/>
                </c:ext>
              </c:extLst>
            </c:dLbl>
            <c:dLbl>
              <c:idx val="7"/>
              <c:layout>
                <c:manualLayout>
                  <c:x val="-0.18326092120100404"/>
                  <c:y val="-4.716139934562974E-2"/>
                </c:manualLayout>
              </c:layout>
              <c:tx>
                <c:rich>
                  <a:bodyPr/>
                  <a:lstStyle/>
                  <a:p>
                    <a:fld id="{C8B5E264-A6EC-4CE5-910E-12C754421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4B-423E-93BF-E076293DBF34}"/>
                </c:ext>
              </c:extLst>
            </c:dLbl>
            <c:dLbl>
              <c:idx val="8"/>
              <c:layout>
                <c:manualLayout>
                  <c:x val="2.1455909879627765E-2"/>
                  <c:y val="3.1986241445846553E-2"/>
                </c:manualLayout>
              </c:layout>
              <c:tx>
                <c:rich>
                  <a:bodyPr/>
                  <a:lstStyle/>
                  <a:p>
                    <a:fld id="{620A7BFD-7ECF-4ABE-A0A6-7DEA35D6F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F4B-423E-93BF-E076293DBF34}"/>
                </c:ext>
              </c:extLst>
            </c:dLbl>
            <c:dLbl>
              <c:idx val="9"/>
              <c:layout>
                <c:manualLayout>
                  <c:x val="-2.8157345306182601E-3"/>
                  <c:y val="-4.716139934562974E-2"/>
                </c:manualLayout>
              </c:layout>
              <c:tx>
                <c:rich>
                  <a:bodyPr/>
                  <a:lstStyle/>
                  <a:p>
                    <a:fld id="{877BB14C-32B1-4E69-B329-9F451D894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F4B-423E-93BF-E076293DBF34}"/>
                </c:ext>
              </c:extLst>
            </c:dLbl>
            <c:dLbl>
              <c:idx val="10"/>
              <c:layout>
                <c:manualLayout>
                  <c:x val="-0.21561594763438033"/>
                  <c:y val="-4.7161399345629795E-2"/>
                </c:manualLayout>
              </c:layout>
              <c:tx>
                <c:rich>
                  <a:bodyPr/>
                  <a:lstStyle/>
                  <a:p>
                    <a:fld id="{9DFB2456-4297-4A7A-8F53-177734E4A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F4B-423E-93BF-E076293DBF34}"/>
                </c:ext>
              </c:extLst>
            </c:dLbl>
            <c:dLbl>
              <c:idx val="11"/>
              <c:layout>
                <c:manualLayout>
                  <c:x val="-1.3359251828426079E-2"/>
                  <c:y val="-0.11108833998489909"/>
                </c:manualLayout>
              </c:layout>
              <c:tx>
                <c:rich>
                  <a:bodyPr/>
                  <a:lstStyle/>
                  <a:p>
                    <a:fld id="{E09E3279-3591-424A-935B-501383020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F4B-423E-93BF-E076293DBF34}"/>
                </c:ext>
              </c:extLst>
            </c:dLbl>
            <c:dLbl>
              <c:idx val="12"/>
              <c:layout>
                <c:manualLayout>
                  <c:x val="-0.15769156719134556"/>
                  <c:y val="-3.1940699193422739E-2"/>
                </c:manualLayout>
              </c:layout>
              <c:tx>
                <c:rich>
                  <a:bodyPr/>
                  <a:lstStyle/>
                  <a:p>
                    <a:fld id="{E5104568-62A9-499B-8106-FC947A7B1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F4B-423E-93BF-E076293DBF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BEA3A1-825E-4567-82E5-81BCB63C0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F4B-423E-93BF-E076293DBF34}"/>
                </c:ext>
              </c:extLst>
            </c:dLbl>
            <c:dLbl>
              <c:idx val="14"/>
              <c:layout>
                <c:manualLayout>
                  <c:x val="6.012421380084873E-2"/>
                  <c:y val="-3.1940699193422739E-2"/>
                </c:manualLayout>
              </c:layout>
              <c:tx>
                <c:rich>
                  <a:bodyPr/>
                  <a:lstStyle/>
                  <a:p>
                    <a:fld id="{958207B8-0785-4BA3-873D-1FC008C65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D02-4E18-A5AB-D49C2B19BBFA}"/>
                </c:ext>
              </c:extLst>
            </c:dLbl>
            <c:dLbl>
              <c:idx val="15"/>
              <c:layout>
                <c:manualLayout>
                  <c:x val="-0.1174326930710792"/>
                  <c:y val="-8.0646939680485197E-2"/>
                </c:manualLayout>
              </c:layout>
              <c:tx>
                <c:rich>
                  <a:bodyPr/>
                  <a:lstStyle/>
                  <a:p>
                    <a:fld id="{969E927F-128B-43CC-BDD1-A76CA2EBF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D02-4E18-A5AB-D49C2B19BBFA}"/>
                </c:ext>
              </c:extLst>
            </c:dLbl>
            <c:dLbl>
              <c:idx val="16"/>
              <c:layout>
                <c:manualLayout>
                  <c:x val="-8.9415198320720451E-2"/>
                  <c:y val="-3.1940699193422739E-2"/>
                </c:manualLayout>
              </c:layout>
              <c:tx>
                <c:rich>
                  <a:bodyPr/>
                  <a:lstStyle/>
                  <a:p>
                    <a:fld id="{D1B846CB-C86E-43ED-B954-6C9E54C08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D02-4E18-A5AB-D49C2B19BBFA}"/>
                </c:ext>
              </c:extLst>
            </c:dLbl>
            <c:dLbl>
              <c:idx val="17"/>
              <c:layout>
                <c:manualLayout>
                  <c:x val="-0.14846283098370894"/>
                  <c:y val="-3.49848392238642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C5-41DD-BBB7-F8AEA0D7F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6193241682848064E-2"/>
                  <c:y val="-0.79497501168518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Rankings'!$E$18:$E$45</c:f>
              <c:numCache>
                <c:formatCode>0.00</c:formatCode>
                <c:ptCount val="18"/>
                <c:pt idx="0">
                  <c:v>6.3337402367379543</c:v>
                </c:pt>
                <c:pt idx="1">
                  <c:v>21.113839771388754</c:v>
                </c:pt>
                <c:pt idx="2">
                  <c:v>8.7711752384853217</c:v>
                </c:pt>
                <c:pt idx="3">
                  <c:v>6.2036124853074179</c:v>
                </c:pt>
                <c:pt idx="4">
                  <c:v>9.7067513862399668</c:v>
                </c:pt>
                <c:pt idx="5">
                  <c:v>11.597311902392397</c:v>
                </c:pt>
                <c:pt idx="6">
                  <c:v>3.9335209400000002</c:v>
                </c:pt>
                <c:pt idx="7">
                  <c:v>5.7156057799999997</c:v>
                </c:pt>
                <c:pt idx="8">
                  <c:v>6.7539304400171734</c:v>
                </c:pt>
                <c:pt idx="9">
                  <c:v>10.344965294919641</c:v>
                </c:pt>
                <c:pt idx="10">
                  <c:v>5.9118557102858382</c:v>
                </c:pt>
                <c:pt idx="11">
                  <c:v>8.3483610585655104</c:v>
                </c:pt>
                <c:pt idx="12">
                  <c:v>4.8650958299999996</c:v>
                </c:pt>
                <c:pt idx="13">
                  <c:v>6.3374131075289064</c:v>
                </c:pt>
                <c:pt idx="14">
                  <c:v>8.5113803144843239</c:v>
                </c:pt>
                <c:pt idx="15">
                  <c:v>7.6442023638710497</c:v>
                </c:pt>
                <c:pt idx="16">
                  <c:v>8.3372998614095959</c:v>
                </c:pt>
                <c:pt idx="17">
                  <c:v>5.4452045099999999</c:v>
                </c:pt>
              </c:numCache>
            </c:numRef>
          </c:xVal>
          <c:yVal>
            <c:numRef>
              <c:f>'E&amp;P Sensitivity Rankings'!$N$18:$N$45</c:f>
              <c:numCache>
                <c:formatCode>0.00</c:formatCode>
                <c:ptCount val="18"/>
                <c:pt idx="0" formatCode="General">
                  <c:v>3.0305693706643937</c:v>
                </c:pt>
                <c:pt idx="1">
                  <c:v>5.2915848564345795</c:v>
                </c:pt>
                <c:pt idx="2" formatCode="General">
                  <c:v>2.1532742825900781</c:v>
                </c:pt>
                <c:pt idx="3" formatCode="General">
                  <c:v>1.9257159110636655</c:v>
                </c:pt>
                <c:pt idx="4" formatCode="General">
                  <c:v>3.8702243440775446</c:v>
                </c:pt>
                <c:pt idx="5" formatCode="General">
                  <c:v>4.1996576157891781</c:v>
                </c:pt>
                <c:pt idx="6" formatCode="General">
                  <c:v>1.2602927112770796</c:v>
                </c:pt>
                <c:pt idx="7" formatCode="General">
                  <c:v>1.9864703217691342</c:v>
                </c:pt>
                <c:pt idx="8" formatCode="General">
                  <c:v>1.7130827707334002</c:v>
                </c:pt>
                <c:pt idx="9" formatCode="General">
                  <c:v>2.1387167699380369</c:v>
                </c:pt>
                <c:pt idx="10" formatCode="General">
                  <c:v>2.4184397354004341</c:v>
                </c:pt>
                <c:pt idx="11" formatCode="General">
                  <c:v>2.7701358270503298</c:v>
                </c:pt>
                <c:pt idx="12" formatCode="General">
                  <c:v>1.5397808119191314</c:v>
                </c:pt>
                <c:pt idx="13" formatCode="General">
                  <c:v>1.0306654886963451</c:v>
                </c:pt>
                <c:pt idx="14" formatCode="General">
                  <c:v>2.6480004352134494</c:v>
                </c:pt>
                <c:pt idx="15" formatCode="General">
                  <c:v>2.5714529925355101</c:v>
                </c:pt>
                <c:pt idx="16" formatCode="General">
                  <c:v>2.0956386264853686</c:v>
                </c:pt>
                <c:pt idx="17" formatCode="General">
                  <c:v>1.9181075065674449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Rankings'!$C$19:$C$45</c15:f>
                <c15:dlblRangeCache>
                  <c:ptCount val="17"/>
                  <c:pt idx="0">
                    <c:v>California Resources</c:v>
                  </c:pt>
                  <c:pt idx="1">
                    <c:v>Carrizo Oil&amp;Gas</c:v>
                  </c:pt>
                  <c:pt idx="2">
                    <c:v>Centennial Resources</c:v>
                  </c:pt>
                  <c:pt idx="3">
                    <c:v>Chesapeake Energy</c:v>
                  </c:pt>
                  <c:pt idx="4">
                    <c:v>Denbury Resources</c:v>
                  </c:pt>
                  <c:pt idx="5">
                    <c:v>Diamondback Energy</c:v>
                  </c:pt>
                  <c:pt idx="6">
                    <c:v>Hilcorp Exploration</c:v>
                  </c:pt>
                  <c:pt idx="7">
                    <c:v>Jagged Peak</c:v>
                  </c:pt>
                  <c:pt idx="8">
                    <c:v>Laredo Petroleum</c:v>
                  </c:pt>
                  <c:pt idx="9">
                    <c:v>Matador Resources</c:v>
                  </c:pt>
                  <c:pt idx="10">
                    <c:v>Oasis Petroleum</c:v>
                  </c:pt>
                  <c:pt idx="11">
                    <c:v>Parsley Energy</c:v>
                  </c:pt>
                  <c:pt idx="12">
                    <c:v>PDC Energy</c:v>
                  </c:pt>
                  <c:pt idx="13">
                    <c:v>SM Energy</c:v>
                  </c:pt>
                  <c:pt idx="14">
                    <c:v>QEP Resources</c:v>
                  </c:pt>
                  <c:pt idx="15">
                    <c:v>Whiting Petroleum</c:v>
                  </c:pt>
                  <c:pt idx="16">
                    <c:v>WPX Energy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F4B-423E-93BF-E076293D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  <c:majorUnit val="3"/>
      </c:valAx>
      <c:valAx>
        <c:axId val="7171297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Debt/2019E</a:t>
            </a:r>
            <a:r>
              <a:rPr lang="en-US" baseline="0"/>
              <a:t> EBITDA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66106117261517E-2"/>
          <c:y val="0.1134250764525994"/>
          <c:w val="0.91817986042290467"/>
          <c:h val="0.81563220881793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'E&amp;P Sensitivity Rankings'!$F$16</c:f>
              <c:strCache>
                <c:ptCount val="1"/>
                <c:pt idx="0">
                  <c:v>100% PDP Coverage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3B2018-C8EC-4FEB-92AC-2FF0349D3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86D-40B6-8061-7F77B3E289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6D1A2F-B01C-438D-9151-DF767C5B1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86D-40B6-8061-7F77B3E289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37700B-D955-4C2D-BFD1-ADBD2C553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86D-40B6-8061-7F77B3E2891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59196F-B9E7-438E-9634-20DDF1110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6D-40B6-8061-7F77B3E2891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043FB0-171C-42C4-8043-EF6C4095D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86D-40B6-8061-7F77B3E2891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C77C09-4A76-4385-A1D2-5AB453F02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86D-40B6-8061-7F77B3E289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28540270204224"/>
                  <c:y val="-0.83124370921524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Rankings'!$E$72:$E$77</c:f>
              <c:numCache>
                <c:formatCode>General</c:formatCode>
                <c:ptCount val="6"/>
                <c:pt idx="0">
                  <c:v>8.4085847493263373</c:v>
                </c:pt>
                <c:pt idx="1">
                  <c:v>6.3337402367379543</c:v>
                </c:pt>
                <c:pt idx="2">
                  <c:v>9.7067513862399668</c:v>
                </c:pt>
                <c:pt idx="3">
                  <c:v>9.2421192703400905</c:v>
                </c:pt>
                <c:pt idx="4">
                  <c:v>7.4881478226107738</c:v>
                </c:pt>
                <c:pt idx="5">
                  <c:v>8.5930343455079594</c:v>
                </c:pt>
              </c:numCache>
            </c:numRef>
          </c:xVal>
          <c:yVal>
            <c:numRef>
              <c:f>'E&amp;P Sensitivity Rankings'!$N$72:$N$77</c:f>
              <c:numCache>
                <c:formatCode>General</c:formatCode>
                <c:ptCount val="6"/>
                <c:pt idx="0">
                  <c:v>2.5024330227677574</c:v>
                </c:pt>
                <c:pt idx="1">
                  <c:v>3.0305693706643937</c:v>
                </c:pt>
                <c:pt idx="2">
                  <c:v>3.8702243440775446</c:v>
                </c:pt>
                <c:pt idx="3">
                  <c:v>2.7812053859695705</c:v>
                </c:pt>
                <c:pt idx="4">
                  <c:v>3.3371630420348288</c:v>
                </c:pt>
                <c:pt idx="5">
                  <c:v>2.1744187658146745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Rankings'!$C$72:$C$77</c15:f>
                <c15:dlblRangeCache>
                  <c:ptCount val="6"/>
                  <c:pt idx="0">
                    <c:v>Ascent Resources</c:v>
                  </c:pt>
                  <c:pt idx="1">
                    <c:v>Antero Resources</c:v>
                  </c:pt>
                  <c:pt idx="2">
                    <c:v>Chesapeake Energy</c:v>
                  </c:pt>
                  <c:pt idx="3">
                    <c:v>CNX Resources</c:v>
                  </c:pt>
                  <c:pt idx="4">
                    <c:v>Range Resources</c:v>
                  </c:pt>
                  <c:pt idx="5">
                    <c:v>Southwestern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86D-40B6-8061-7F77B3E2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</c:valAx>
      <c:valAx>
        <c:axId val="717129736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7749140420087E-2"/>
          <c:y val="0.11290715372907155"/>
          <c:w val="0.90401837204832458"/>
          <c:h val="0.81647407087812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'E&amp;P Sensitivity Rankings'!$O$16</c:f>
              <c:strCache>
                <c:ptCount val="1"/>
                <c:pt idx="0">
                  <c:v>Debt/LQA Production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F-48ED-860C-A0E52AE684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DEA7CC-6EDE-460E-B694-FCD7D558B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10F-48ED-860C-A0E52AE684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73B9DC-E1EB-44FE-B9E5-26A36E4C5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10F-48ED-860C-A0E52AE684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D6F3B7-ED49-4469-AA26-CA4CA3E4C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10F-48ED-860C-A0E52AE684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7E6E88-F4FC-42D2-AC74-42E040EC5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10F-48ED-860C-A0E52AE684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311575-1065-441F-877C-13B498842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10F-48ED-860C-A0E52AE684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BA88DB-3E63-4F42-A84D-558E66B7F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10F-48ED-860C-A0E52AE6845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778960-C894-40F7-A777-8D32650E2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10F-48ED-860C-A0E52AE6845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0D9CD4-0721-4724-81A3-886202FCB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10F-48ED-860C-A0E52AE684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FE24B27-6A03-4C5D-B6FB-370ED3BEE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10F-48ED-860C-A0E52AE684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13BA432-8349-41DC-892B-F38F1EEEC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0F-48ED-860C-A0E52AE684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65FD59-8024-4EF0-8680-41644D760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0F-48ED-860C-A0E52AE6845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91C790A-134E-454A-9458-95F447E6D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0F-48ED-860C-A0E52AE6845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B1FA7A-447B-45A2-AAA1-64B41FEE4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0F-48ED-860C-A0E52AE6845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072BB3-51D1-415E-A0EC-A1086DE06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10F-48ED-860C-A0E52AE6845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AEC0E1-33D3-4ABB-B81D-D16578BDF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10F-48ED-860C-A0E52AE6845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461DB26-3ACF-40B9-A4E7-08FDABCDB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10F-48ED-860C-A0E52AE6845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95-4784-8AF9-8BFE89B27D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6193241682848064E-2"/>
                  <c:y val="-0.79497501168518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Rankings'!$E$18:$E$45</c:f>
              <c:numCache>
                <c:formatCode>0.00</c:formatCode>
                <c:ptCount val="18"/>
                <c:pt idx="0">
                  <c:v>6.3337402367379543</c:v>
                </c:pt>
                <c:pt idx="1">
                  <c:v>21.113839771388754</c:v>
                </c:pt>
                <c:pt idx="2">
                  <c:v>8.7711752384853217</c:v>
                </c:pt>
                <c:pt idx="3">
                  <c:v>6.2036124853074179</c:v>
                </c:pt>
                <c:pt idx="4">
                  <c:v>9.7067513862399668</c:v>
                </c:pt>
                <c:pt idx="5">
                  <c:v>11.597311902392397</c:v>
                </c:pt>
                <c:pt idx="6">
                  <c:v>3.9335209400000002</c:v>
                </c:pt>
                <c:pt idx="7">
                  <c:v>5.7156057799999997</c:v>
                </c:pt>
                <c:pt idx="8">
                  <c:v>6.7539304400171734</c:v>
                </c:pt>
                <c:pt idx="9">
                  <c:v>10.344965294919641</c:v>
                </c:pt>
                <c:pt idx="10">
                  <c:v>5.9118557102858382</c:v>
                </c:pt>
                <c:pt idx="11">
                  <c:v>8.3483610585655104</c:v>
                </c:pt>
                <c:pt idx="12">
                  <c:v>4.8650958299999996</c:v>
                </c:pt>
                <c:pt idx="13">
                  <c:v>6.3374131075289064</c:v>
                </c:pt>
                <c:pt idx="14">
                  <c:v>8.5113803144843239</c:v>
                </c:pt>
                <c:pt idx="15">
                  <c:v>7.6442023638710497</c:v>
                </c:pt>
                <c:pt idx="16">
                  <c:v>8.3372998614095959</c:v>
                </c:pt>
                <c:pt idx="17">
                  <c:v>5.4452045099999999</c:v>
                </c:pt>
              </c:numCache>
            </c:numRef>
          </c:xVal>
          <c:yVal>
            <c:numRef>
              <c:f>'E&amp;P Sensitivity Rankings'!$O$18:$O$45</c:f>
              <c:numCache>
                <c:formatCode>0.00</c:formatCode>
                <c:ptCount val="18"/>
                <c:pt idx="0" formatCode="General">
                  <c:v>#N/A</c:v>
                </c:pt>
                <c:pt idx="1">
                  <c:v>108538.46946132454</c:v>
                </c:pt>
                <c:pt idx="2">
                  <c:v>77346.798780487807</c:v>
                </c:pt>
                <c:pt idx="3">
                  <c:v>34706.154558074966</c:v>
                </c:pt>
                <c:pt idx="4">
                  <c:v>56481.376655722859</c:v>
                </c:pt>
                <c:pt idx="5">
                  <c:v>116851.31834683733</c:v>
                </c:pt>
                <c:pt idx="6">
                  <c:v>67151.764035850239</c:v>
                </c:pt>
                <c:pt idx="7">
                  <c:v>38380.699990861744</c:v>
                </c:pt>
                <c:pt idx="8">
                  <c:v>35661.443097353251</c:v>
                </c:pt>
                <c:pt idx="9">
                  <c:v>38943.446109185781</c:v>
                </c:pt>
                <c:pt idx="10">
                  <c:v>64446.934462723962</c:v>
                </c:pt>
                <c:pt idx="11">
                  <c:v>85955.386623275888</c:v>
                </c:pt>
                <c:pt idx="12">
                  <c:v>49977.371666968989</c:v>
                </c:pt>
                <c:pt idx="13">
                  <c:v>26178.844519966016</c:v>
                </c:pt>
                <c:pt idx="14">
                  <c:v>54796.37168141592</c:v>
                </c:pt>
                <c:pt idx="15">
                  <c:v>67230.954485479684</c:v>
                </c:pt>
                <c:pt idx="16">
                  <c:v>59462.657857322061</c:v>
                </c:pt>
                <c:pt idx="17">
                  <c:v>43951.231475317938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Rankings'!$C$19:$C$45</c15:f>
                <c15:dlblRangeCache>
                  <c:ptCount val="17"/>
                  <c:pt idx="0">
                    <c:v>California Resources</c:v>
                  </c:pt>
                  <c:pt idx="1">
                    <c:v>Carrizo Oil&amp;Gas</c:v>
                  </c:pt>
                  <c:pt idx="2">
                    <c:v>Centennial Resources</c:v>
                  </c:pt>
                  <c:pt idx="3">
                    <c:v>Chesapeake Energy</c:v>
                  </c:pt>
                  <c:pt idx="4">
                    <c:v>Denbury Resources</c:v>
                  </c:pt>
                  <c:pt idx="5">
                    <c:v>Diamondback Energy</c:v>
                  </c:pt>
                  <c:pt idx="6">
                    <c:v>Hilcorp Exploration</c:v>
                  </c:pt>
                  <c:pt idx="7">
                    <c:v>Jagged Peak</c:v>
                  </c:pt>
                  <c:pt idx="8">
                    <c:v>Laredo Petroleum</c:v>
                  </c:pt>
                  <c:pt idx="9">
                    <c:v>Matador Resources</c:v>
                  </c:pt>
                  <c:pt idx="10">
                    <c:v>Oasis Petroleum</c:v>
                  </c:pt>
                  <c:pt idx="11">
                    <c:v>Parsley Energy</c:v>
                  </c:pt>
                  <c:pt idx="12">
                    <c:v>PDC Energy</c:v>
                  </c:pt>
                  <c:pt idx="13">
                    <c:v>SM Energy</c:v>
                  </c:pt>
                  <c:pt idx="14">
                    <c:v>QEP Resources</c:v>
                  </c:pt>
                  <c:pt idx="15">
                    <c:v>Whiting Petroleum</c:v>
                  </c:pt>
                  <c:pt idx="16">
                    <c:v>WPX Energy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10F-48ED-860C-A0E52AE68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  <c:majorUnit val="3"/>
      </c:valAx>
      <c:valAx>
        <c:axId val="71712973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Costs / Cash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'E&amp;P Sensitivity Rankings'!$I$16</c:f>
              <c:strCache>
                <c:ptCount val="1"/>
                <c:pt idx="0">
                  <c:v>Cash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'E&amp;P Sensitivity Rankings'!$C$18:$C$45</c15:sqref>
                  </c15:fullRef>
                </c:ext>
              </c:extLst>
              <c:f>('E&amp;P Sensitivity Rankings'!$C$18:$C$34,'E&amp;P Sensitivity Rankings'!$C$36:$C$45)</c:f>
              <c:strCache>
                <c:ptCount val="17"/>
                <c:pt idx="0">
                  <c:v>Antero Resources</c:v>
                </c:pt>
                <c:pt idx="1">
                  <c:v>California Resources</c:v>
                </c:pt>
                <c:pt idx="2">
                  <c:v>Carrizo Oil&amp;Gas</c:v>
                </c:pt>
                <c:pt idx="3">
                  <c:v>Centennial Resources</c:v>
                </c:pt>
                <c:pt idx="4">
                  <c:v>Chesapeake Energy</c:v>
                </c:pt>
                <c:pt idx="5">
                  <c:v>Denbury Resources</c:v>
                </c:pt>
                <c:pt idx="6">
                  <c:v>Diamondback Energy</c:v>
                </c:pt>
                <c:pt idx="7">
                  <c:v>Hilcorp Exploration</c:v>
                </c:pt>
                <c:pt idx="8">
                  <c:v>Jagged Peak</c:v>
                </c:pt>
                <c:pt idx="9">
                  <c:v>Laredo Petroleum</c:v>
                </c:pt>
                <c:pt idx="10">
                  <c:v>Matador Resources</c:v>
                </c:pt>
                <c:pt idx="11">
                  <c:v>Oasis Petroleum</c:v>
                </c:pt>
                <c:pt idx="12">
                  <c:v>Parsley Energy</c:v>
                </c:pt>
                <c:pt idx="13">
                  <c:v>PDC Energy</c:v>
                </c:pt>
                <c:pt idx="14">
                  <c:v>SM Energy</c:v>
                </c:pt>
                <c:pt idx="15">
                  <c:v>QEP Resources</c:v>
                </c:pt>
                <c:pt idx="16">
                  <c:v>Whiting Petroleum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'E&amp;P Sensitivity Rankings'!$I$18:$I$45</c15:sqref>
                  </c15:fullRef>
                </c:ext>
              </c:extLst>
              <c:f>('E&amp;P Sensitivity Rankings'!$I$18:$I$34,'E&amp;P Sensitivity Rankings'!$I$36:$I$45)</c:f>
              <c:numCache>
                <c:formatCode>0.00</c:formatCode>
                <c:ptCount val="17"/>
                <c:pt idx="0" formatCode="General">
                  <c:v>13.581852376137512</c:v>
                </c:pt>
                <c:pt idx="1">
                  <c:v>28.599073178184042</c:v>
                </c:pt>
                <c:pt idx="2">
                  <c:v>12.770942920488633</c:v>
                </c:pt>
                <c:pt idx="3">
                  <c:v>11.764553362328536</c:v>
                </c:pt>
                <c:pt idx="4">
                  <c:v>13.761021587108548</c:v>
                </c:pt>
                <c:pt idx="5">
                  <c:v>32.872278287032834</c:v>
                </c:pt>
                <c:pt idx="6">
                  <c:v>8.9960722537282081</c:v>
                </c:pt>
                <c:pt idx="7">
                  <c:v>20.747838855600033</c:v>
                </c:pt>
                <c:pt idx="8">
                  <c:v>15.979497036681082</c:v>
                </c:pt>
                <c:pt idx="9">
                  <c:v>7.0445124353453599</c:v>
                </c:pt>
                <c:pt idx="10">
                  <c:v>14.62687843544316</c:v>
                </c:pt>
                <c:pt idx="11">
                  <c:v>18.70513996378952</c:v>
                </c:pt>
                <c:pt idx="12">
                  <c:v>10.921250970278189</c:v>
                </c:pt>
                <c:pt idx="13">
                  <c:v>10.677139303482587</c:v>
                </c:pt>
                <c:pt idx="14">
                  <c:v>13.751753986332576</c:v>
                </c:pt>
                <c:pt idx="15">
                  <c:v>14.817704788827072</c:v>
                </c:pt>
                <c:pt idx="16">
                  <c:v>14.023655591710909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C-47F5-8F9E-F97C42BE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047231"/>
        <c:axId val="59048215"/>
      </c:barChart>
      <c:lineChart>
        <c:grouping val="standard"/>
        <c:varyColors val="0"/>
        <c:ser>
          <c:idx val="1"/>
          <c:order val="1"/>
          <c:tx>
            <c:strRef>
              <c:f>'E&amp;P Sensitivity Rankings'!$J$16</c:f>
              <c:strCache>
                <c:ptCount val="1"/>
                <c:pt idx="0">
                  <c:v>Cash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'E&amp;P Sensitivity Rankings'!$C$18:$C$45</c15:sqref>
                  </c15:fullRef>
                </c:ext>
              </c:extLst>
              <c:f>('E&amp;P Sensitivity Rankings'!$C$18:$C$34,'E&amp;P Sensitivity Rankings'!$C$36:$C$45)</c:f>
              <c:strCache>
                <c:ptCount val="17"/>
                <c:pt idx="0">
                  <c:v>Antero Resources</c:v>
                </c:pt>
                <c:pt idx="1">
                  <c:v>California Resources</c:v>
                </c:pt>
                <c:pt idx="2">
                  <c:v>Carrizo Oil&amp;Gas</c:v>
                </c:pt>
                <c:pt idx="3">
                  <c:v>Centennial Resources</c:v>
                </c:pt>
                <c:pt idx="4">
                  <c:v>Chesapeake Energy</c:v>
                </c:pt>
                <c:pt idx="5">
                  <c:v>Denbury Resources</c:v>
                </c:pt>
                <c:pt idx="6">
                  <c:v>Diamondback Energy</c:v>
                </c:pt>
                <c:pt idx="7">
                  <c:v>Hilcorp Exploration</c:v>
                </c:pt>
                <c:pt idx="8">
                  <c:v>Jagged Peak</c:v>
                </c:pt>
                <c:pt idx="9">
                  <c:v>Laredo Petroleum</c:v>
                </c:pt>
                <c:pt idx="10">
                  <c:v>Matador Resources</c:v>
                </c:pt>
                <c:pt idx="11">
                  <c:v>Oasis Petroleum</c:v>
                </c:pt>
                <c:pt idx="12">
                  <c:v>Parsley Energy</c:v>
                </c:pt>
                <c:pt idx="13">
                  <c:v>PDC Energy</c:v>
                </c:pt>
                <c:pt idx="14">
                  <c:v>SM Energy</c:v>
                </c:pt>
                <c:pt idx="15">
                  <c:v>QEP Resources</c:v>
                </c:pt>
                <c:pt idx="16">
                  <c:v>Whiting Petroleum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'E&amp;P Sensitivity Rankings'!$J$19:$J$46</c15:sqref>
                  </c15:fullRef>
                </c:ext>
              </c:extLst>
              <c:f>('E&amp;P Sensitivity Rankings'!$J$19:$J$35,'E&amp;P Sensitivity Rankings'!$J$37:$J$46)</c:f>
              <c:numCache>
                <c:formatCode>0.00</c:formatCode>
                <c:ptCount val="17"/>
                <c:pt idx="0">
                  <c:v>21.95854763965982</c:v>
                </c:pt>
                <c:pt idx="1">
                  <c:v>30.228752771377646</c:v>
                </c:pt>
                <c:pt idx="2">
                  <c:v>25.44337571094011</c:v>
                </c:pt>
                <c:pt idx="3">
                  <c:v>14.53329279416236</c:v>
                </c:pt>
                <c:pt idx="4">
                  <c:v>23.848326004120409</c:v>
                </c:pt>
                <c:pt idx="5">
                  <c:v>35.204263810123919</c:v>
                </c:pt>
                <c:pt idx="6">
                  <c:v>25.415887075764392</c:v>
                </c:pt>
                <c:pt idx="7">
                  <c:v>30.604196700304342</c:v>
                </c:pt>
                <c:pt idx="8">
                  <c:v>23.526679490072635</c:v>
                </c:pt>
                <c:pt idx="9">
                  <c:v>28.296895027798087</c:v>
                </c:pt>
                <c:pt idx="10">
                  <c:v>31.569996826261161</c:v>
                </c:pt>
                <c:pt idx="11">
                  <c:v>33.551017853118665</c:v>
                </c:pt>
                <c:pt idx="12">
                  <c:v>21.359776119402984</c:v>
                </c:pt>
                <c:pt idx="13">
                  <c:v>20.515945330296134</c:v>
                </c:pt>
                <c:pt idx="14">
                  <c:v>17.877947043264491</c:v>
                </c:pt>
                <c:pt idx="15">
                  <c:v>25.867100530912825</c:v>
                </c:pt>
                <c:pt idx="16">
                  <c:v>20.84231399258557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E-41DB-9484-80D32094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7231"/>
        <c:axId val="59048215"/>
      </c:lineChart>
      <c:catAx>
        <c:axId val="59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215"/>
        <c:crossesAt val="0"/>
        <c:auto val="1"/>
        <c:lblAlgn val="ctr"/>
        <c:lblOffset val="100"/>
        <c:noMultiLvlLbl val="0"/>
      </c:catAx>
      <c:valAx>
        <c:axId val="5904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329851704135E-2"/>
          <c:y val="0.1134250764525994"/>
          <c:w val="0.91749598795029252"/>
          <c:h val="0.81563220881793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'E&amp;P Sensitivity Rankings'!$F$16</c:f>
              <c:strCache>
                <c:ptCount val="1"/>
                <c:pt idx="0">
                  <c:v>100% PDP Coverage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6B2087C-0D76-483B-B8AB-55D775BB1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07-4578-9400-980BBC53142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23D9C63-5070-412D-B51D-76412DD3A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07-4578-9400-980BBC531428}"/>
                </c:ext>
              </c:extLst>
            </c:dLbl>
            <c:dLbl>
              <c:idx val="2"/>
              <c:layout>
                <c:manualLayout>
                  <c:x val="-4.0475808963161455E-2"/>
                  <c:y val="-5.6552047966481257E-2"/>
                </c:manualLayout>
              </c:layout>
              <c:tx>
                <c:rich>
                  <a:bodyPr/>
                  <a:lstStyle/>
                  <a:p>
                    <a:fld id="{C7B4B83A-94F7-491A-BBDA-EBDE37718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E07-4578-9400-980BBC531428}"/>
                </c:ext>
              </c:extLst>
            </c:dLbl>
            <c:dLbl>
              <c:idx val="3"/>
              <c:layout>
                <c:manualLayout>
                  <c:x val="3.0754363951456008E-2"/>
                  <c:y val="2.9074863348503455E-2"/>
                </c:manualLayout>
              </c:layout>
              <c:tx>
                <c:rich>
                  <a:bodyPr/>
                  <a:lstStyle/>
                  <a:p>
                    <a:fld id="{9E2C45BE-1BB7-46F2-93DD-E6AAAE2DA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E07-4578-9400-980BBC531428}"/>
                </c:ext>
              </c:extLst>
            </c:dLbl>
            <c:dLbl>
              <c:idx val="4"/>
              <c:layout>
                <c:manualLayout>
                  <c:x val="-0.12813397986292061"/>
                  <c:y val="-4.4173228346456692E-2"/>
                </c:manualLayout>
              </c:layout>
              <c:tx>
                <c:rich>
                  <a:bodyPr/>
                  <a:lstStyle/>
                  <a:p>
                    <a:fld id="{3E5ED6F8-4A4B-4077-95FA-C37B4BA61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E07-4578-9400-980BBC531428}"/>
                </c:ext>
              </c:extLst>
            </c:dLbl>
            <c:dLbl>
              <c:idx val="5"/>
              <c:layout>
                <c:manualLayout>
                  <c:x val="-9.1117997568021789E-2"/>
                  <c:y val="-5.629381943695394E-2"/>
                </c:manualLayout>
              </c:layout>
              <c:tx>
                <c:rich>
                  <a:bodyPr/>
                  <a:lstStyle/>
                  <a:p>
                    <a:fld id="{6292DD44-EE96-4502-A923-6DFDFB316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E07-4578-9400-980BBC531428}"/>
                </c:ext>
              </c:extLst>
            </c:dLbl>
            <c:dLbl>
              <c:idx val="6"/>
              <c:layout>
                <c:manualLayout>
                  <c:x val="-9.1585008204877902E-2"/>
                  <c:y val="-5.0435840015410918E-2"/>
                </c:manualLayout>
              </c:layout>
              <c:tx>
                <c:rich>
                  <a:bodyPr/>
                  <a:lstStyle/>
                  <a:p>
                    <a:fld id="{125E87EC-FB7A-445D-ACBA-4AA1C7482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E07-4578-9400-980BBC531428}"/>
                </c:ext>
              </c:extLst>
            </c:dLbl>
            <c:dLbl>
              <c:idx val="7"/>
              <c:layout>
                <c:manualLayout>
                  <c:x val="-5.3912416112621708E-2"/>
                  <c:y val="6.5772111054925475E-2"/>
                </c:manualLayout>
              </c:layout>
              <c:tx>
                <c:rich>
                  <a:bodyPr/>
                  <a:lstStyle/>
                  <a:p>
                    <a:fld id="{70C22CCC-9EAF-4EDA-AB2C-CE89547169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E07-4578-9400-980BBC531428}"/>
                </c:ext>
              </c:extLst>
            </c:dLbl>
            <c:dLbl>
              <c:idx val="8"/>
              <c:layout>
                <c:manualLayout>
                  <c:x val="1.7709553074507872E-2"/>
                  <c:y val="4.4365383226179299E-2"/>
                </c:manualLayout>
              </c:layout>
              <c:tx>
                <c:rich>
                  <a:bodyPr/>
                  <a:lstStyle/>
                  <a:p>
                    <a:fld id="{03A7F5D9-FE05-46AF-8137-EDC3DCFD4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E07-4578-9400-980BBC531428}"/>
                </c:ext>
              </c:extLst>
            </c:dLbl>
            <c:dLbl>
              <c:idx val="9"/>
              <c:layout>
                <c:manualLayout>
                  <c:x val="2.3558887357749931E-2"/>
                  <c:y val="-3.5145320137735192E-2"/>
                </c:manualLayout>
              </c:layout>
              <c:tx>
                <c:rich>
                  <a:bodyPr/>
                  <a:lstStyle/>
                  <a:p>
                    <a:fld id="{98602339-4832-49E2-830B-79FC06038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E07-4578-9400-980BBC531428}"/>
                </c:ext>
              </c:extLst>
            </c:dLbl>
            <c:dLbl>
              <c:idx val="10"/>
              <c:layout>
                <c:manualLayout>
                  <c:x val="-7.3802322017422109E-2"/>
                  <c:y val="-3.8203424113270192E-2"/>
                </c:manualLayout>
              </c:layout>
              <c:tx>
                <c:rich>
                  <a:bodyPr/>
                  <a:lstStyle/>
                  <a:p>
                    <a:fld id="{4AE0C566-AD87-4164-A058-5D43E848C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E07-4578-9400-980BBC531428}"/>
                </c:ext>
              </c:extLst>
            </c:dLbl>
            <c:dLbl>
              <c:idx val="11"/>
              <c:layout>
                <c:manualLayout>
                  <c:x val="-0.10674311952991021"/>
                  <c:y val="-5.6552047966481313E-2"/>
                </c:manualLayout>
              </c:layout>
              <c:tx>
                <c:rich>
                  <a:bodyPr/>
                  <a:lstStyle/>
                  <a:p>
                    <a:fld id="{7FE337E2-2D2A-40CE-AEBD-9D6C11082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E07-4578-9400-980BBC531428}"/>
                </c:ext>
              </c:extLst>
            </c:dLbl>
            <c:dLbl>
              <c:idx val="12"/>
              <c:layout>
                <c:manualLayout>
                  <c:x val="-0.17289703268557116"/>
                  <c:y val="-1.5061764068482826E-3"/>
                </c:manualLayout>
              </c:layout>
              <c:tx>
                <c:rich>
                  <a:bodyPr/>
                  <a:lstStyle/>
                  <a:p>
                    <a:fld id="{4A3242C4-7D22-40EA-AD5D-5717484F7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E07-4578-9400-980BBC531428}"/>
                </c:ext>
              </c:extLst>
            </c:dLbl>
            <c:dLbl>
              <c:idx val="13"/>
              <c:layout>
                <c:manualLayout>
                  <c:x val="5.3488522605023944E-2"/>
                  <c:y val="1.6765541293639667E-2"/>
                </c:manualLayout>
              </c:layout>
              <c:tx>
                <c:rich>
                  <a:bodyPr/>
                  <a:lstStyle/>
                  <a:p>
                    <a:fld id="{B4A01579-AB1D-4252-B8D9-DB102FB9B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E07-4578-9400-980BBC531428}"/>
                </c:ext>
              </c:extLst>
            </c:dLbl>
            <c:dLbl>
              <c:idx val="14"/>
              <c:layout>
                <c:manualLayout>
                  <c:x val="3.227290319558835E-2"/>
                  <c:y val="-2.2912904235594517E-2"/>
                </c:manualLayout>
              </c:layout>
              <c:tx>
                <c:rich>
                  <a:bodyPr/>
                  <a:lstStyle/>
                  <a:p>
                    <a:fld id="{6A09CD51-7022-4B2D-97D8-13DACEF86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80B-483A-B7F8-E44B857959FD}"/>
                </c:ext>
              </c:extLst>
            </c:dLbl>
            <c:dLbl>
              <c:idx val="15"/>
              <c:layout>
                <c:manualLayout>
                  <c:x val="1.0434780907585279E-2"/>
                  <c:y val="4.5889811718740634E-3"/>
                </c:manualLayout>
              </c:layout>
              <c:tx>
                <c:rich>
                  <a:bodyPr/>
                  <a:lstStyle/>
                  <a:p>
                    <a:fld id="{881A7AAD-D482-4C92-A392-4BB68ED86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BCC-455B-AD82-9D24FD809FC9}"/>
                </c:ext>
              </c:extLst>
            </c:dLbl>
            <c:dLbl>
              <c:idx val="16"/>
              <c:layout>
                <c:manualLayout>
                  <c:x val="-7.0379363643310947E-2"/>
                  <c:y val="-4.7377736039875752E-2"/>
                </c:manualLayout>
              </c:layout>
              <c:tx>
                <c:rich>
                  <a:bodyPr/>
                  <a:lstStyle/>
                  <a:p>
                    <a:fld id="{B5BF20BF-003A-4E26-BF71-B87A22916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BCC-455B-AD82-9D24FD809FC9}"/>
                </c:ext>
              </c:extLst>
            </c:dLbl>
            <c:dLbl>
              <c:idx val="17"/>
              <c:layout>
                <c:manualLayout>
                  <c:x val="2.6811913959303477E-2"/>
                  <c:y val="2.582821642707505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2B3-42DA-AF10-CE7E4CF1A008}"/>
                </c:ext>
              </c:extLst>
            </c:dLbl>
            <c:dLbl>
              <c:idx val="18"/>
              <c:layout>
                <c:manualLayout>
                  <c:x val="-6.3576716457717272E-2"/>
                  <c:y val="-5.62938194369539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2B3-42DA-AF10-CE7E4CF1A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2214334260228187E-2"/>
                  <c:y val="-0.1776197356064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Rankings'!$E$17:$E$45</c:f>
              <c:numCache>
                <c:formatCode>0.00</c:formatCode>
                <c:ptCount val="19"/>
                <c:pt idx="0">
                  <c:v>8.4085847493263373</c:v>
                </c:pt>
                <c:pt idx="1">
                  <c:v>6.3337402367379543</c:v>
                </c:pt>
                <c:pt idx="2">
                  <c:v>21.113839771388754</c:v>
                </c:pt>
                <c:pt idx="3">
                  <c:v>8.7711752384853217</c:v>
                </c:pt>
                <c:pt idx="4">
                  <c:v>6.2036124853074179</c:v>
                </c:pt>
                <c:pt idx="5">
                  <c:v>9.7067513862399668</c:v>
                </c:pt>
                <c:pt idx="6">
                  <c:v>11.597311902392397</c:v>
                </c:pt>
                <c:pt idx="7">
                  <c:v>3.9335209400000002</c:v>
                </c:pt>
                <c:pt idx="8">
                  <c:v>5.7156057799999997</c:v>
                </c:pt>
                <c:pt idx="9">
                  <c:v>6.7539304400171734</c:v>
                </c:pt>
                <c:pt idx="10">
                  <c:v>10.344965294919641</c:v>
                </c:pt>
                <c:pt idx="11">
                  <c:v>5.9118557102858382</c:v>
                </c:pt>
                <c:pt idx="12">
                  <c:v>8.3483610585655104</c:v>
                </c:pt>
                <c:pt idx="13">
                  <c:v>4.8650958299999996</c:v>
                </c:pt>
                <c:pt idx="14">
                  <c:v>6.3374131075289064</c:v>
                </c:pt>
                <c:pt idx="15">
                  <c:v>8.5113803144843239</c:v>
                </c:pt>
                <c:pt idx="16">
                  <c:v>7.6442023638710497</c:v>
                </c:pt>
                <c:pt idx="17">
                  <c:v>8.3372998614095959</c:v>
                </c:pt>
                <c:pt idx="18">
                  <c:v>5.4452045099999999</c:v>
                </c:pt>
              </c:numCache>
            </c:numRef>
          </c:xVal>
          <c:yVal>
            <c:numRef>
              <c:f>'E&amp;P Sensitivity Rankings'!$F$17:$F$45</c:f>
              <c:numCache>
                <c:formatCode>General</c:formatCode>
                <c:ptCount val="19"/>
                <c:pt idx="0">
                  <c:v>15.55</c:v>
                </c:pt>
                <c:pt idx="1">
                  <c:v>46.84</c:v>
                </c:pt>
                <c:pt idx="2">
                  <c:v>62.62</c:v>
                </c:pt>
                <c:pt idx="3">
                  <c:v>54.17</c:v>
                </c:pt>
                <c:pt idx="4">
                  <c:v>42.72</c:v>
                </c:pt>
                <c:pt idx="5">
                  <c:v>61.08</c:v>
                </c:pt>
                <c:pt idx="6">
                  <c:v>56.23</c:v>
                </c:pt>
                <c:pt idx="7">
                  <c:v>40.270000000000003</c:v>
                </c:pt>
                <c:pt idx="8">
                  <c:v>40.450000000000003</c:v>
                </c:pt>
                <c:pt idx="9">
                  <c:v>32.19</c:v>
                </c:pt>
                <c:pt idx="10">
                  <c:v>45.75</c:v>
                </c:pt>
                <c:pt idx="11">
                  <c:v>55.87</c:v>
                </c:pt>
                <c:pt idx="12">
                  <c:v>52.1</c:v>
                </c:pt>
                <c:pt idx="13">
                  <c:v>41.68</c:v>
                </c:pt>
                <c:pt idx="14">
                  <c:v>29.72</c:v>
                </c:pt>
                <c:pt idx="15">
                  <c:v>61.99</c:v>
                </c:pt>
                <c:pt idx="16">
                  <c:v>47.65</c:v>
                </c:pt>
                <c:pt idx="17">
                  <c:v>44.51</c:v>
                </c:pt>
                <c:pt idx="18">
                  <c:v>46.86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Rankings'!$C$19:$C$45</c15:f>
                <c15:dlblRangeCache>
                  <c:ptCount val="17"/>
                  <c:pt idx="0">
                    <c:v>California Resources</c:v>
                  </c:pt>
                  <c:pt idx="1">
                    <c:v>Carrizo Oil&amp;Gas</c:v>
                  </c:pt>
                  <c:pt idx="2">
                    <c:v>Centennial Resources</c:v>
                  </c:pt>
                  <c:pt idx="3">
                    <c:v>Chesapeake Energy</c:v>
                  </c:pt>
                  <c:pt idx="4">
                    <c:v>Denbury Resources</c:v>
                  </c:pt>
                  <c:pt idx="5">
                    <c:v>Diamondback Energy</c:v>
                  </c:pt>
                  <c:pt idx="6">
                    <c:v>Hilcorp Exploration</c:v>
                  </c:pt>
                  <c:pt idx="7">
                    <c:v>Jagged Peak</c:v>
                  </c:pt>
                  <c:pt idx="8">
                    <c:v>Laredo Petroleum</c:v>
                  </c:pt>
                  <c:pt idx="9">
                    <c:v>Matador Resources</c:v>
                  </c:pt>
                  <c:pt idx="10">
                    <c:v>Oasis Petroleum</c:v>
                  </c:pt>
                  <c:pt idx="11">
                    <c:v>Parsley Energy</c:v>
                  </c:pt>
                  <c:pt idx="12">
                    <c:v>PDC Energy</c:v>
                  </c:pt>
                  <c:pt idx="13">
                    <c:v>SM Energy</c:v>
                  </c:pt>
                  <c:pt idx="14">
                    <c:v>QEP Resources</c:v>
                  </c:pt>
                  <c:pt idx="15">
                    <c:v>Whiting Petroleum</c:v>
                  </c:pt>
                  <c:pt idx="16">
                    <c:v>WPX Energy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E07-4578-9400-980BBC53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</c:valAx>
      <c:valAx>
        <c:axId val="71712973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47728589124794E-2"/>
          <c:y val="0.11595129375951296"/>
          <c:w val="0.91755671486122248"/>
          <c:h val="0.81647407087812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'E&amp;P Sensitivity Rankings'!$G$16</c:f>
              <c:strCache>
                <c:ptCount val="1"/>
                <c:pt idx="0">
                  <c:v>80% PDP Coverage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3-422D-ACB0-A6EED2BBBF57}"/>
                </c:ext>
              </c:extLst>
            </c:dLbl>
            <c:dLbl>
              <c:idx val="1"/>
              <c:layout>
                <c:manualLayout>
                  <c:x val="-3.5850233122914264E-2"/>
                  <c:y val="-5.3249679406512568E-2"/>
                </c:manualLayout>
              </c:layout>
              <c:tx>
                <c:rich>
                  <a:bodyPr/>
                  <a:lstStyle/>
                  <a:p>
                    <a:fld id="{9E2D7140-A390-428D-8DDE-F8CFD15F0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53-422D-ACB0-A6EED2BBBF57}"/>
                </c:ext>
              </c:extLst>
            </c:dLbl>
            <c:dLbl>
              <c:idx val="2"/>
              <c:layout>
                <c:manualLayout>
                  <c:x val="-1.7237842850637276E-2"/>
                  <c:y val="-5.629381943695394E-2"/>
                </c:manualLayout>
              </c:layout>
              <c:tx>
                <c:rich>
                  <a:bodyPr/>
                  <a:lstStyle/>
                  <a:p>
                    <a:fld id="{2391FBD3-808F-4EC7-B58C-A38FD312F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53-422D-ACB0-A6EED2BBBF57}"/>
                </c:ext>
              </c:extLst>
            </c:dLbl>
            <c:dLbl>
              <c:idx val="3"/>
              <c:layout>
                <c:manualLayout>
                  <c:x val="-0.13947156616458736"/>
                  <c:y val="-4.411725931518834E-2"/>
                </c:manualLayout>
              </c:layout>
              <c:tx>
                <c:rich>
                  <a:bodyPr/>
                  <a:lstStyle/>
                  <a:p>
                    <a:fld id="{045119EC-E870-4DE2-BF3C-2BE644D98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53-422D-ACB0-A6EED2BBBF57}"/>
                </c:ext>
              </c:extLst>
            </c:dLbl>
            <c:dLbl>
              <c:idx val="4"/>
              <c:layout>
                <c:manualLayout>
                  <c:x val="-0.15018646712902042"/>
                  <c:y val="-4.107311928474694E-2"/>
                </c:manualLayout>
              </c:layout>
              <c:tx>
                <c:rich>
                  <a:bodyPr/>
                  <a:lstStyle/>
                  <a:p>
                    <a:fld id="{105854D2-4AF0-4728-859A-F1DD7485D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53-422D-ACB0-A6EED2BBBF57}"/>
                </c:ext>
              </c:extLst>
            </c:dLbl>
            <c:dLbl>
              <c:idx val="5"/>
              <c:layout>
                <c:manualLayout>
                  <c:x val="-5.3976194546577531E-2"/>
                  <c:y val="-3.8028979254305539E-2"/>
                </c:manualLayout>
              </c:layout>
              <c:tx>
                <c:rich>
                  <a:bodyPr/>
                  <a:lstStyle/>
                  <a:p>
                    <a:fld id="{A44B7D35-4465-4B10-BC4F-D5F09593E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53-422D-ACB0-A6EED2BBBF57}"/>
                </c:ext>
              </c:extLst>
            </c:dLbl>
            <c:dLbl>
              <c:idx val="6"/>
              <c:layout>
                <c:manualLayout>
                  <c:x val="-6.952401738334453E-2"/>
                  <c:y val="4.4162801567612264E-2"/>
                </c:manualLayout>
              </c:layout>
              <c:tx>
                <c:rich>
                  <a:bodyPr/>
                  <a:lstStyle/>
                  <a:p>
                    <a:fld id="{E71662F1-AB7B-493C-B7F6-F2B42120E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653-422D-ACB0-A6EED2BBBF57}"/>
                </c:ext>
              </c:extLst>
            </c:dLbl>
            <c:dLbl>
              <c:idx val="7"/>
              <c:layout>
                <c:manualLayout>
                  <c:x val="1.5610884510591323E-2"/>
                  <c:y val="1.0677261232756865E-2"/>
                </c:manualLayout>
              </c:layout>
              <c:tx>
                <c:rich>
                  <a:bodyPr/>
                  <a:lstStyle/>
                  <a:p>
                    <a:fld id="{BB12292C-81B8-4E35-AF7A-8BBC0416F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653-422D-ACB0-A6EED2BBBF57}"/>
                </c:ext>
              </c:extLst>
            </c:dLbl>
            <c:dLbl>
              <c:idx val="8"/>
              <c:layout>
                <c:manualLayout>
                  <c:x val="-5.5712525477162558E-2"/>
                  <c:y val="-5.3249679406512429E-2"/>
                </c:manualLayout>
              </c:layout>
              <c:tx>
                <c:rich>
                  <a:bodyPr/>
                  <a:lstStyle/>
                  <a:p>
                    <a:fld id="{E1F29F11-F59C-473A-BFE8-89DDA5ABD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653-422D-ACB0-A6EED2BBBF57}"/>
                </c:ext>
              </c:extLst>
            </c:dLbl>
            <c:dLbl>
              <c:idx val="9"/>
              <c:layout>
                <c:manualLayout>
                  <c:x val="-2.994969681950747E-2"/>
                  <c:y val="-4.4117259315188229E-2"/>
                </c:manualLayout>
              </c:layout>
              <c:tx>
                <c:rich>
                  <a:bodyPr/>
                  <a:lstStyle/>
                  <a:p>
                    <a:fld id="{8AF9C9FF-57AC-4A3B-B4E3-6B5AF3CBC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653-422D-ACB0-A6EED2BBBF57}"/>
                </c:ext>
              </c:extLst>
            </c:dLbl>
            <c:dLbl>
              <c:idx val="10"/>
              <c:layout>
                <c:manualLayout>
                  <c:x val="-0.14947012592792214"/>
                  <c:y val="-6.5426239528278141E-2"/>
                </c:manualLayout>
              </c:layout>
              <c:tx>
                <c:rich>
                  <a:bodyPr/>
                  <a:lstStyle/>
                  <a:p>
                    <a:fld id="{A87BCB4E-1449-4929-9BB2-17EC71131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653-422D-ACB0-A6EED2BBBF57}"/>
                </c:ext>
              </c:extLst>
            </c:dLbl>
            <c:dLbl>
              <c:idx val="11"/>
              <c:layout>
                <c:manualLayout>
                  <c:x val="-8.0197862570548215E-2"/>
                  <c:y val="-4.7161399345629795E-2"/>
                </c:manualLayout>
              </c:layout>
              <c:tx>
                <c:rich>
                  <a:bodyPr/>
                  <a:lstStyle/>
                  <a:p>
                    <a:fld id="{C267C4A7-4E89-462E-A6C7-6D35B16C6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653-422D-ACB0-A6EED2BBBF57}"/>
                </c:ext>
              </c:extLst>
            </c:dLbl>
            <c:dLbl>
              <c:idx val="12"/>
              <c:layout>
                <c:manualLayout>
                  <c:x val="-0.11738109466854606"/>
                  <c:y val="-3.4984839223864139E-2"/>
                </c:manualLayout>
              </c:layout>
              <c:tx>
                <c:rich>
                  <a:bodyPr/>
                  <a:lstStyle/>
                  <a:p>
                    <a:fld id="{75EB8A2B-7369-4C1E-8192-2A47AA868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653-422D-ACB0-A6EED2BBBF57}"/>
                </c:ext>
              </c:extLst>
            </c:dLbl>
            <c:dLbl>
              <c:idx val="13"/>
              <c:layout>
                <c:manualLayout>
                  <c:x val="-3.8662553863126933E-2"/>
                  <c:y val="-3.802897925430565E-2"/>
                </c:manualLayout>
              </c:layout>
              <c:tx>
                <c:rich>
                  <a:bodyPr/>
                  <a:lstStyle/>
                  <a:p>
                    <a:fld id="{0FC130F7-7B08-4637-9722-5FBE4F4AF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653-422D-ACB0-A6EED2BBBF57}"/>
                </c:ext>
              </c:extLst>
            </c:dLbl>
            <c:dLbl>
              <c:idx val="14"/>
              <c:layout>
                <c:manualLayout>
                  <c:x val="-5.8314312191742962E-2"/>
                  <c:y val="-6.2382099497836768E-2"/>
                </c:manualLayout>
              </c:layout>
              <c:tx>
                <c:rich>
                  <a:bodyPr/>
                  <a:lstStyle/>
                  <a:p>
                    <a:fld id="{6CB5688A-C4E0-4C2A-A2F5-383CA543C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8A9-4DD5-8757-CD689D37D85A}"/>
                </c:ext>
              </c:extLst>
            </c:dLbl>
            <c:dLbl>
              <c:idx val="15"/>
              <c:layout>
                <c:manualLayout>
                  <c:x val="-6.1985027122267555E-2"/>
                  <c:y val="-4.4117259315188395E-2"/>
                </c:manualLayout>
              </c:layout>
              <c:tx>
                <c:rich>
                  <a:bodyPr/>
                  <a:lstStyle/>
                  <a:p>
                    <a:fld id="{7E4ED28B-ADE3-4144-A29C-D631027F4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8A9-4DD5-8757-CD689D37D85A}"/>
                </c:ext>
              </c:extLst>
            </c:dLbl>
            <c:dLbl>
              <c:idx val="16"/>
              <c:layout>
                <c:manualLayout>
                  <c:x val="-6.2960183943019832E-2"/>
                  <c:y val="-3.8028979254305539E-2"/>
                </c:manualLayout>
              </c:layout>
              <c:tx>
                <c:rich>
                  <a:bodyPr/>
                  <a:lstStyle/>
                  <a:p>
                    <a:fld id="{6DB24BA3-0FEA-4923-9F3A-0AF816B7F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1FF-464E-9E2A-757450079651}"/>
                </c:ext>
              </c:extLst>
            </c:dLbl>
            <c:dLbl>
              <c:idx val="17"/>
              <c:layout>
                <c:manualLayout>
                  <c:x val="-6.7717502532155888E-2"/>
                  <c:y val="-0.10195591989357494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58-43AF-943E-36450C375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014394122300888E-2"/>
                  <c:y val="-0.18527738827167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'E&amp;P Sensitivity Rankings'!$E$18:$E$45</c:f>
              <c:numCache>
                <c:formatCode>0.00</c:formatCode>
                <c:ptCount val="18"/>
                <c:pt idx="0">
                  <c:v>6.3337402367379543</c:v>
                </c:pt>
                <c:pt idx="1">
                  <c:v>21.113839771388754</c:v>
                </c:pt>
                <c:pt idx="2">
                  <c:v>8.7711752384853217</c:v>
                </c:pt>
                <c:pt idx="3">
                  <c:v>6.2036124853074179</c:v>
                </c:pt>
                <c:pt idx="4">
                  <c:v>9.7067513862399668</c:v>
                </c:pt>
                <c:pt idx="5">
                  <c:v>11.597311902392397</c:v>
                </c:pt>
                <c:pt idx="6">
                  <c:v>3.9335209400000002</c:v>
                </c:pt>
                <c:pt idx="7">
                  <c:v>5.7156057799999997</c:v>
                </c:pt>
                <c:pt idx="8">
                  <c:v>6.7539304400171734</c:v>
                </c:pt>
                <c:pt idx="9">
                  <c:v>10.344965294919641</c:v>
                </c:pt>
                <c:pt idx="10">
                  <c:v>5.9118557102858382</c:v>
                </c:pt>
                <c:pt idx="11">
                  <c:v>8.3483610585655104</c:v>
                </c:pt>
                <c:pt idx="12">
                  <c:v>4.8650958299999996</c:v>
                </c:pt>
                <c:pt idx="13">
                  <c:v>6.3374131075289064</c:v>
                </c:pt>
                <c:pt idx="14">
                  <c:v>8.5113803144843239</c:v>
                </c:pt>
                <c:pt idx="15">
                  <c:v>7.6442023638710497</c:v>
                </c:pt>
                <c:pt idx="16">
                  <c:v>8.3372998614095959</c:v>
                </c:pt>
                <c:pt idx="17">
                  <c:v>5.4452045099999999</c:v>
                </c:pt>
              </c:numCache>
            </c:numRef>
          </c:xVal>
          <c:yVal>
            <c:numRef>
              <c:f>'E&amp;P Sensitivity Rankings'!$G$18:$G$45</c:f>
              <c:numCache>
                <c:formatCode>General</c:formatCode>
                <c:ptCount val="18"/>
                <c:pt idx="1">
                  <c:v>54.31</c:v>
                </c:pt>
                <c:pt idx="2">
                  <c:v>45.86</c:v>
                </c:pt>
                <c:pt idx="3">
                  <c:v>37.25</c:v>
                </c:pt>
                <c:pt idx="4">
                  <c:v>49.16</c:v>
                </c:pt>
                <c:pt idx="5">
                  <c:v>50.62</c:v>
                </c:pt>
                <c:pt idx="6">
                  <c:v>35.020000000000003</c:v>
                </c:pt>
                <c:pt idx="7">
                  <c:v>35.15</c:v>
                </c:pt>
                <c:pt idx="8">
                  <c:v>28.16</c:v>
                </c:pt>
                <c:pt idx="9">
                  <c:v>38.58</c:v>
                </c:pt>
                <c:pt idx="10">
                  <c:v>47.28</c:v>
                </c:pt>
                <c:pt idx="11">
                  <c:v>45.24</c:v>
                </c:pt>
                <c:pt idx="12">
                  <c:v>36.049999999999997</c:v>
                </c:pt>
                <c:pt idx="13">
                  <c:v>25.8</c:v>
                </c:pt>
                <c:pt idx="14">
                  <c:v>52.75</c:v>
                </c:pt>
                <c:pt idx="15">
                  <c:v>41.56</c:v>
                </c:pt>
                <c:pt idx="16">
                  <c:v>39.24</c:v>
                </c:pt>
                <c:pt idx="17">
                  <c:v>40.97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Rankings'!$C$19:$C$45</c15:f>
                <c15:dlblRangeCache>
                  <c:ptCount val="17"/>
                  <c:pt idx="0">
                    <c:v>California Resources</c:v>
                  </c:pt>
                  <c:pt idx="1">
                    <c:v>Carrizo Oil&amp;Gas</c:v>
                  </c:pt>
                  <c:pt idx="2">
                    <c:v>Centennial Resources</c:v>
                  </c:pt>
                  <c:pt idx="3">
                    <c:v>Chesapeake Energy</c:v>
                  </c:pt>
                  <c:pt idx="4">
                    <c:v>Denbury Resources</c:v>
                  </c:pt>
                  <c:pt idx="5">
                    <c:v>Diamondback Energy</c:v>
                  </c:pt>
                  <c:pt idx="6">
                    <c:v>Hilcorp Exploration</c:v>
                  </c:pt>
                  <c:pt idx="7">
                    <c:v>Jagged Peak</c:v>
                  </c:pt>
                  <c:pt idx="8">
                    <c:v>Laredo Petroleum</c:v>
                  </c:pt>
                  <c:pt idx="9">
                    <c:v>Matador Resources</c:v>
                  </c:pt>
                  <c:pt idx="10">
                    <c:v>Oasis Petroleum</c:v>
                  </c:pt>
                  <c:pt idx="11">
                    <c:v>Parsley Energy</c:v>
                  </c:pt>
                  <c:pt idx="12">
                    <c:v>PDC Energy</c:v>
                  </c:pt>
                  <c:pt idx="13">
                    <c:v>SM Energy</c:v>
                  </c:pt>
                  <c:pt idx="14">
                    <c:v>QEP Resources</c:v>
                  </c:pt>
                  <c:pt idx="15">
                    <c:v>Whiting Petroleum</c:v>
                  </c:pt>
                  <c:pt idx="16">
                    <c:v>WPX Energy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653-422D-ACB0-A6EED2BB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</c:valAx>
      <c:valAx>
        <c:axId val="71712973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'E&amp;P Sensitivity Rankings'!$H$16</c:f>
              <c:strCache>
                <c:ptCount val="1"/>
                <c:pt idx="0">
                  <c:v>120% PDP Coverage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44-413D-902E-0020228D8AC0}"/>
                </c:ext>
              </c:extLst>
            </c:dLbl>
            <c:dLbl>
              <c:idx val="1"/>
              <c:layout>
                <c:manualLayout>
                  <c:x val="-3.5850233122914264E-2"/>
                  <c:y val="-5.933795946739534E-2"/>
                </c:manualLayout>
              </c:layout>
              <c:tx>
                <c:rich>
                  <a:bodyPr/>
                  <a:lstStyle/>
                  <a:p>
                    <a:fld id="{B7A9BBE3-A49A-403B-AB3F-ABD8266E5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344-413D-902E-0020228D8AC0}"/>
                </c:ext>
              </c:extLst>
            </c:dLbl>
            <c:dLbl>
              <c:idx val="2"/>
              <c:layout>
                <c:manualLayout>
                  <c:x val="-0.10900571611375209"/>
                  <c:y val="-8.0646939680485141E-2"/>
                </c:manualLayout>
              </c:layout>
              <c:tx>
                <c:rich>
                  <a:bodyPr/>
                  <a:lstStyle/>
                  <a:p>
                    <a:fld id="{4EE3556C-5477-4212-9331-92DCC0E4D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344-413D-902E-0020228D8AC0}"/>
                </c:ext>
              </c:extLst>
            </c:dLbl>
            <c:dLbl>
              <c:idx val="3"/>
              <c:layout>
                <c:manualLayout>
                  <c:x val="1.4787141396260963E-2"/>
                  <c:y val="2.2853821354522352E-2"/>
                </c:manualLayout>
              </c:layout>
              <c:tx>
                <c:rich>
                  <a:bodyPr/>
                  <a:lstStyle/>
                  <a:p>
                    <a:fld id="{CB2B2DBD-12AF-4EA2-B00A-F4B8E9E5F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344-413D-902E-0020228D8AC0}"/>
                </c:ext>
              </c:extLst>
            </c:dLbl>
            <c:dLbl>
              <c:idx val="4"/>
              <c:layout>
                <c:manualLayout>
                  <c:x val="-8.7617462631442086E-2"/>
                  <c:y val="-5.324967940651254E-2"/>
                </c:manualLayout>
              </c:layout>
              <c:tx>
                <c:rich>
                  <a:bodyPr/>
                  <a:lstStyle/>
                  <a:p>
                    <a:fld id="{45127266-FB54-4F0E-ADEE-3B1FFC0B7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44-413D-902E-0020228D8AC0}"/>
                </c:ext>
              </c:extLst>
            </c:dLbl>
            <c:dLbl>
              <c:idx val="5"/>
              <c:layout>
                <c:manualLayout>
                  <c:x val="2.5027601799027492E-4"/>
                  <c:y val="-7.4558659619602341E-2"/>
                </c:manualLayout>
              </c:layout>
              <c:tx>
                <c:rich>
                  <a:bodyPr/>
                  <a:lstStyle/>
                  <a:p>
                    <a:fld id="{72D8033A-D6F7-4627-9EFE-D1DCC1239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44-413D-902E-0020228D8AC0}"/>
                </c:ext>
              </c:extLst>
            </c:dLbl>
            <c:dLbl>
              <c:idx val="6"/>
              <c:layout>
                <c:manualLayout>
                  <c:x val="-5.9126838635359929E-3"/>
                  <c:y val="5.0251081628494954E-2"/>
                </c:manualLayout>
              </c:layout>
              <c:tx>
                <c:rich>
                  <a:bodyPr/>
                  <a:lstStyle/>
                  <a:p>
                    <a:fld id="{B3B33457-F8B1-46FB-B954-EFEEE2A5A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44-413D-902E-0020228D8AC0}"/>
                </c:ext>
              </c:extLst>
            </c:dLbl>
            <c:dLbl>
              <c:idx val="7"/>
              <c:layout>
                <c:manualLayout>
                  <c:x val="9.2779323390937876E-2"/>
                  <c:y val="4.4162801567612153E-2"/>
                </c:manualLayout>
              </c:layout>
              <c:tx>
                <c:rich>
                  <a:bodyPr/>
                  <a:lstStyle/>
                  <a:p>
                    <a:fld id="{AAAA65F7-4090-46BE-8463-A20B03405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344-413D-902E-0020228D8AC0}"/>
                </c:ext>
              </c:extLst>
            </c:dLbl>
            <c:dLbl>
              <c:idx val="8"/>
              <c:layout>
                <c:manualLayout>
                  <c:x val="2.9798447336194429E-2"/>
                  <c:y val="-2.585241913254005E-2"/>
                </c:manualLayout>
              </c:layout>
              <c:tx>
                <c:rich>
                  <a:bodyPr/>
                  <a:lstStyle/>
                  <a:p>
                    <a:fld id="{2CD1C1EB-5F5A-4EB6-AB37-A77042F0C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344-413D-902E-0020228D8AC0}"/>
                </c:ext>
              </c:extLst>
            </c:dLbl>
            <c:dLbl>
              <c:idx val="9"/>
              <c:layout>
                <c:manualLayout>
                  <c:x val="-2.0274738692294705E-2"/>
                  <c:y val="-6.69479499994008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Laredo Petroleum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43069734260976"/>
                      <c:h val="6.99696784477282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344-413D-902E-0020228D8AC0}"/>
                </c:ext>
              </c:extLst>
            </c:dLbl>
            <c:dLbl>
              <c:idx val="10"/>
              <c:layout>
                <c:manualLayout>
                  <c:x val="-0.1045789179897712"/>
                  <c:y val="-5.020553937607114E-2"/>
                </c:manualLayout>
              </c:layout>
              <c:tx>
                <c:rich>
                  <a:bodyPr/>
                  <a:lstStyle/>
                  <a:p>
                    <a:fld id="{318F7D2D-D461-4494-B82D-836DB3791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344-413D-902E-0020228D8AC0}"/>
                </c:ext>
              </c:extLst>
            </c:dLbl>
            <c:dLbl>
              <c:idx val="11"/>
              <c:layout>
                <c:manualLayout>
                  <c:x val="-8.0197862570548215E-2"/>
                  <c:y val="-4.4117259315188395E-2"/>
                </c:manualLayout>
              </c:layout>
              <c:tx>
                <c:rich>
                  <a:bodyPr/>
                  <a:lstStyle/>
                  <a:p>
                    <a:fld id="{8D8225E6-3657-4735-A540-B91B2EFBD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344-413D-902E-0020228D8AC0}"/>
                </c:ext>
              </c:extLst>
            </c:dLbl>
            <c:dLbl>
              <c:idx val="12"/>
              <c:layout>
                <c:manualLayout>
                  <c:x val="-7.3341383550132477E-2"/>
                  <c:y val="-4.716139934562974E-2"/>
                </c:manualLayout>
              </c:layout>
              <c:tx>
                <c:rich>
                  <a:bodyPr/>
                  <a:lstStyle/>
                  <a:p>
                    <a:fld id="{35B33D6D-5914-4921-8F89-D2851A1AD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344-413D-902E-0020228D8AC0}"/>
                </c:ext>
              </c:extLst>
            </c:dLbl>
            <c:dLbl>
              <c:idx val="13"/>
              <c:layout>
                <c:manualLayout>
                  <c:x val="1.34782832181883E-2"/>
                  <c:y val="-1.3675859010774338E-2"/>
                </c:manualLayout>
              </c:layout>
              <c:tx>
                <c:rich>
                  <a:bodyPr/>
                  <a:lstStyle/>
                  <a:p>
                    <a:fld id="{3C793F3B-44B3-4FF6-9F90-3974C4A49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344-413D-902E-0020228D8AC0}"/>
                </c:ext>
              </c:extLst>
            </c:dLbl>
            <c:dLbl>
              <c:idx val="14"/>
              <c:layout>
                <c:manualLayout>
                  <c:x val="4.4435688294014071E-2"/>
                  <c:y val="-1.8901076230100164E-2"/>
                </c:manualLayout>
              </c:layout>
              <c:tx>
                <c:rich>
                  <a:bodyPr/>
                  <a:lstStyle/>
                  <a:p>
                    <a:fld id="{C65CAF87-4E41-404F-8F86-E7A73BAB6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596-4B0B-8134-4380575612D1}"/>
                </c:ext>
              </c:extLst>
            </c:dLbl>
            <c:dLbl>
              <c:idx val="15"/>
              <c:layout>
                <c:manualLayout>
                  <c:x val="-7.4498828021783203E-2"/>
                  <c:y val="-5.933795946739534E-2"/>
                </c:manualLayout>
              </c:layout>
              <c:tx>
                <c:rich>
                  <a:bodyPr/>
                  <a:lstStyle/>
                  <a:p>
                    <a:fld id="{54767E62-1D22-48DD-8C41-83A29A3B1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675-463B-97B1-2F4271B961FF}"/>
                </c:ext>
              </c:extLst>
            </c:dLbl>
            <c:dLbl>
              <c:idx val="16"/>
              <c:layout>
                <c:manualLayout>
                  <c:x val="4.5160325857040828E-2"/>
                  <c:y val="2.5897961384963867E-2"/>
                </c:manualLayout>
              </c:layout>
              <c:tx>
                <c:rich>
                  <a:bodyPr/>
                  <a:lstStyle/>
                  <a:p>
                    <a:fld id="{664E57D4-734C-4445-8163-4DB2AA0F0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675-463B-97B1-2F4271B961FF}"/>
                </c:ext>
              </c:extLst>
            </c:dLbl>
            <c:dLbl>
              <c:idx val="17"/>
              <c:layout>
                <c:manualLayout>
                  <c:x val="-5.2544333259925614E-2"/>
                  <c:y val="-5.93379594673953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F0-4541-927A-596D6AFD5B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8834378501429956E-2"/>
                  <c:y val="-0.13156102062584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'E&amp;P Sensitivity Rankings'!$E$18:$E$45</c:f>
              <c:numCache>
                <c:formatCode>0.00</c:formatCode>
                <c:ptCount val="18"/>
                <c:pt idx="0">
                  <c:v>6.3337402367379543</c:v>
                </c:pt>
                <c:pt idx="1">
                  <c:v>21.113839771388754</c:v>
                </c:pt>
                <c:pt idx="2">
                  <c:v>8.7711752384853217</c:v>
                </c:pt>
                <c:pt idx="3">
                  <c:v>6.2036124853074179</c:v>
                </c:pt>
                <c:pt idx="4">
                  <c:v>9.7067513862399668</c:v>
                </c:pt>
                <c:pt idx="5">
                  <c:v>11.597311902392397</c:v>
                </c:pt>
                <c:pt idx="6">
                  <c:v>3.9335209400000002</c:v>
                </c:pt>
                <c:pt idx="7">
                  <c:v>5.7156057799999997</c:v>
                </c:pt>
                <c:pt idx="8">
                  <c:v>6.7539304400171734</c:v>
                </c:pt>
                <c:pt idx="9">
                  <c:v>10.344965294919641</c:v>
                </c:pt>
                <c:pt idx="10">
                  <c:v>5.9118557102858382</c:v>
                </c:pt>
                <c:pt idx="11">
                  <c:v>8.3483610585655104</c:v>
                </c:pt>
                <c:pt idx="12">
                  <c:v>4.8650958299999996</c:v>
                </c:pt>
                <c:pt idx="13">
                  <c:v>6.3374131075289064</c:v>
                </c:pt>
                <c:pt idx="14">
                  <c:v>8.5113803144843239</c:v>
                </c:pt>
                <c:pt idx="15">
                  <c:v>7.6442023638710497</c:v>
                </c:pt>
                <c:pt idx="16">
                  <c:v>8.3372998614095959</c:v>
                </c:pt>
                <c:pt idx="17">
                  <c:v>5.4452045099999999</c:v>
                </c:pt>
              </c:numCache>
            </c:numRef>
          </c:xVal>
          <c:yVal>
            <c:numRef>
              <c:f>'E&amp;P Sensitivity Rankings'!$H$18:$H$45</c:f>
              <c:numCache>
                <c:formatCode>General</c:formatCode>
                <c:ptCount val="18"/>
                <c:pt idx="1">
                  <c:v>70.930000000000007</c:v>
                </c:pt>
                <c:pt idx="2">
                  <c:v>62.48</c:v>
                </c:pt>
                <c:pt idx="3">
                  <c:v>47.1</c:v>
                </c:pt>
                <c:pt idx="4">
                  <c:v>73</c:v>
                </c:pt>
                <c:pt idx="5">
                  <c:v>61.85</c:v>
                </c:pt>
                <c:pt idx="6">
                  <c:v>45.51</c:v>
                </c:pt>
                <c:pt idx="7">
                  <c:v>45.74</c:v>
                </c:pt>
                <c:pt idx="8">
                  <c:v>36.22</c:v>
                </c:pt>
                <c:pt idx="9">
                  <c:v>52.92</c:v>
                </c:pt>
                <c:pt idx="10">
                  <c:v>64.47</c:v>
                </c:pt>
                <c:pt idx="11">
                  <c:v>58.96</c:v>
                </c:pt>
                <c:pt idx="12">
                  <c:v>47.31</c:v>
                </c:pt>
                <c:pt idx="13">
                  <c:v>33.64</c:v>
                </c:pt>
                <c:pt idx="14">
                  <c:v>71.239999999999995</c:v>
                </c:pt>
                <c:pt idx="15">
                  <c:v>53.75</c:v>
                </c:pt>
                <c:pt idx="16">
                  <c:v>49.78</c:v>
                </c:pt>
                <c:pt idx="17">
                  <c:v>52.75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Rankings'!$C$19:$C$45</c15:f>
                <c15:dlblRangeCache>
                  <c:ptCount val="17"/>
                  <c:pt idx="0">
                    <c:v>California Resources</c:v>
                  </c:pt>
                  <c:pt idx="1">
                    <c:v>Carrizo Oil&amp;Gas</c:v>
                  </c:pt>
                  <c:pt idx="2">
                    <c:v>Centennial Resources</c:v>
                  </c:pt>
                  <c:pt idx="3">
                    <c:v>Chesapeake Energy</c:v>
                  </c:pt>
                  <c:pt idx="4">
                    <c:v>Denbury Resources</c:v>
                  </c:pt>
                  <c:pt idx="5">
                    <c:v>Diamondback Energy</c:v>
                  </c:pt>
                  <c:pt idx="6">
                    <c:v>Hilcorp Exploration</c:v>
                  </c:pt>
                  <c:pt idx="7">
                    <c:v>Jagged Peak</c:v>
                  </c:pt>
                  <c:pt idx="8">
                    <c:v>Laredo Petroleum</c:v>
                  </c:pt>
                  <c:pt idx="9">
                    <c:v>Matador Resources</c:v>
                  </c:pt>
                  <c:pt idx="10">
                    <c:v>Oasis Petroleum</c:v>
                  </c:pt>
                  <c:pt idx="11">
                    <c:v>Parsley Energy</c:v>
                  </c:pt>
                  <c:pt idx="12">
                    <c:v>PDC Energy</c:v>
                  </c:pt>
                  <c:pt idx="13">
                    <c:v>SM Energy</c:v>
                  </c:pt>
                  <c:pt idx="14">
                    <c:v>QEP Resources</c:v>
                  </c:pt>
                  <c:pt idx="15">
                    <c:v>Whiting Petroleum</c:v>
                  </c:pt>
                  <c:pt idx="16">
                    <c:v>WPX Energy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D344-413D-902E-0020228D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</c:valAx>
      <c:valAx>
        <c:axId val="7171297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Full-cycle Ratio (Cash Margin/F&amp;D</a:t>
            </a:r>
            <a:r>
              <a:rPr lang="en-US" baseline="0"/>
              <a:t> Costs)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'E&amp;P Sensitivity Rankings'!$K$16</c:f>
              <c:strCache>
                <c:ptCount val="1"/>
                <c:pt idx="0">
                  <c:v>Full-cycle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7AE43F-ADEB-4286-BEC0-4FE8AA6E7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7A3-49D0-92D2-6DE68EAAEBC3}"/>
                </c:ext>
              </c:extLst>
            </c:dLbl>
            <c:dLbl>
              <c:idx val="1"/>
              <c:layout>
                <c:manualLayout>
                  <c:x val="-3.3370135732041749E-2"/>
                  <c:y val="-5.4794520547945202E-2"/>
                </c:manualLayout>
              </c:layout>
              <c:tx>
                <c:rich>
                  <a:bodyPr/>
                  <a:lstStyle/>
                  <a:p>
                    <a:fld id="{A5E6ADAD-F829-40EE-8AED-0EC769DD7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A3-49D0-92D2-6DE68EAAEBC3}"/>
                </c:ext>
              </c:extLst>
            </c:dLbl>
            <c:dLbl>
              <c:idx val="2"/>
              <c:layout>
                <c:manualLayout>
                  <c:x val="2.0856334832526093E-3"/>
                  <c:y val="1.5220700152207001E-2"/>
                </c:manualLayout>
              </c:layout>
              <c:tx>
                <c:rich>
                  <a:bodyPr/>
                  <a:lstStyle/>
                  <a:p>
                    <a:fld id="{51A64BE2-87FE-4516-A944-C932C74D9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A3-49D0-92D2-6DE68EAAEBC3}"/>
                </c:ext>
              </c:extLst>
            </c:dLbl>
            <c:dLbl>
              <c:idx val="3"/>
              <c:layout>
                <c:manualLayout>
                  <c:x val="-6.2111791116579267E-2"/>
                  <c:y val="-4.2617960426179602E-2"/>
                </c:manualLayout>
              </c:layout>
              <c:tx>
                <c:rich>
                  <a:bodyPr/>
                  <a:lstStyle/>
                  <a:p>
                    <a:fld id="{BB64452B-2C0A-4138-A461-4FE52A83D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A3-49D0-92D2-6DE68EAAEBC3}"/>
                </c:ext>
              </c:extLst>
            </c:dLbl>
            <c:dLbl>
              <c:idx val="4"/>
              <c:layout>
                <c:manualLayout>
                  <c:x val="8.1780524970162624E-2"/>
                  <c:y val="-3.0441520152446808E-2"/>
                </c:manualLayout>
              </c:layout>
              <c:tx>
                <c:rich>
                  <a:bodyPr/>
                  <a:lstStyle/>
                  <a:p>
                    <a:fld id="{9879AAA5-BA46-456C-BAF4-F84810F85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53206476385049"/>
                      <c:h val="4.25724181737556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A3-49D0-92D2-6DE68EAAEBC3}"/>
                </c:ext>
              </c:extLst>
            </c:dLbl>
            <c:dLbl>
              <c:idx val="5"/>
              <c:layout>
                <c:manualLayout>
                  <c:x val="2.2941968315778629E-2"/>
                  <c:y val="0"/>
                </c:manualLayout>
              </c:layout>
              <c:tx>
                <c:rich>
                  <a:bodyPr/>
                  <a:lstStyle/>
                  <a:p>
                    <a:fld id="{FE68B3C6-0A71-44D5-B55E-301672FE7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7A3-49D0-92D2-6DE68EAAEB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685C9B-8241-4095-A3E9-BD28248AD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A3-49D0-92D2-6DE68EAAEBC3}"/>
                </c:ext>
              </c:extLst>
            </c:dLbl>
            <c:dLbl>
              <c:idx val="7"/>
              <c:layout>
                <c:manualLayout>
                  <c:x val="0"/>
                  <c:y val="-3.044140030441406E-2"/>
                </c:manualLayout>
              </c:layout>
              <c:tx>
                <c:rich>
                  <a:bodyPr/>
                  <a:lstStyle/>
                  <a:p>
                    <a:fld id="{C7ECC40D-75B1-41EE-8357-A18126D3A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7A3-49D0-92D2-6DE68EAAEB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E0DAB5-CB9F-4657-AF27-DF731FDED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A3-49D0-92D2-6DE68EAAEBC3}"/>
                </c:ext>
              </c:extLst>
            </c:dLbl>
            <c:dLbl>
              <c:idx val="9"/>
              <c:layout>
                <c:manualLayout>
                  <c:x val="2.5027601799031237E-2"/>
                  <c:y val="3.6529680365296802E-2"/>
                </c:manualLayout>
              </c:layout>
              <c:tx>
                <c:rich>
                  <a:bodyPr/>
                  <a:lstStyle/>
                  <a:p>
                    <a:fld id="{7AEB731D-6FE7-4D73-858D-B6B67849C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A3-49D0-92D2-6DE68EAAEBC3}"/>
                </c:ext>
              </c:extLst>
            </c:dLbl>
            <c:dLbl>
              <c:idx val="10"/>
              <c:layout>
                <c:manualLayout>
                  <c:x val="-0.16770184703372831"/>
                  <c:y val="5.4794520547945091E-2"/>
                </c:manualLayout>
              </c:layout>
              <c:tx>
                <c:rich>
                  <a:bodyPr/>
                  <a:lstStyle/>
                  <a:p>
                    <a:fld id="{17A2F0F8-4117-431E-A0C4-2F68AA26D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7A3-49D0-92D2-6DE68EAAEBC3}"/>
                </c:ext>
              </c:extLst>
            </c:dLbl>
            <c:dLbl>
              <c:idx val="11"/>
              <c:layout>
                <c:manualLayout>
                  <c:x val="-0.18426498031251851"/>
                  <c:y val="-3.3485540334855513E-2"/>
                </c:manualLayout>
              </c:layout>
              <c:tx>
                <c:rich>
                  <a:bodyPr/>
                  <a:lstStyle/>
                  <a:p>
                    <a:fld id="{A92B3C78-55B6-47BE-B17D-4ECB67F21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7A3-49D0-92D2-6DE68EAAEBC3}"/>
                </c:ext>
              </c:extLst>
            </c:dLbl>
            <c:dLbl>
              <c:idx val="12"/>
              <c:layout>
                <c:manualLayout>
                  <c:x val="-0.16267941169370354"/>
                  <c:y val="-2.1308980213089801E-2"/>
                </c:manualLayout>
              </c:layout>
              <c:tx>
                <c:rich>
                  <a:bodyPr/>
                  <a:lstStyle/>
                  <a:p>
                    <a:fld id="{3A566268-BFFB-45E3-A7E5-3C9FED78A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7A3-49D0-92D2-6DE68EAAEBC3}"/>
                </c:ext>
              </c:extLst>
            </c:dLbl>
            <c:dLbl>
              <c:idx val="13"/>
              <c:layout>
                <c:manualLayout>
                  <c:x val="0"/>
                  <c:y val="3.0441400304414001E-2"/>
                </c:manualLayout>
              </c:layout>
              <c:tx>
                <c:rich>
                  <a:bodyPr/>
                  <a:lstStyle/>
                  <a:p>
                    <a:fld id="{45A7B64D-565D-4A7F-8369-577ADB026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A3-49D0-92D2-6DE68EAAEBC3}"/>
                </c:ext>
              </c:extLst>
            </c:dLbl>
            <c:dLbl>
              <c:idx val="14"/>
              <c:layout>
                <c:manualLayout>
                  <c:x val="1.4599434382768266E-2"/>
                  <c:y val="2.1308980213089801E-2"/>
                </c:manualLayout>
              </c:layout>
              <c:tx>
                <c:rich>
                  <a:bodyPr/>
                  <a:lstStyle/>
                  <a:p>
                    <a:fld id="{AC1FDD71-2350-4A85-B792-ADB2AA0C4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B0-41D2-96AD-8654CF7404AB}"/>
                </c:ext>
              </c:extLst>
            </c:dLbl>
            <c:dLbl>
              <c:idx val="15"/>
              <c:layout>
                <c:manualLayout>
                  <c:x val="1.443176258856347E-2"/>
                  <c:y val="3.0441400304412887E-3"/>
                </c:manualLayout>
              </c:layout>
              <c:tx>
                <c:rich>
                  <a:bodyPr/>
                  <a:lstStyle/>
                  <a:p>
                    <a:fld id="{EEBBFFC1-C942-4B25-B63B-C85E6B1D6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B0-41D2-96AD-8654CF7404AB}"/>
                </c:ext>
              </c:extLst>
            </c:dLbl>
            <c:dLbl>
              <c:idx val="16"/>
              <c:layout>
                <c:manualLayout>
                  <c:x val="6.148693843292069E-2"/>
                  <c:y val="-2.4353120243531316E-2"/>
                </c:manualLayout>
              </c:layout>
              <c:tx>
                <c:rich>
                  <a:bodyPr/>
                  <a:lstStyle/>
                  <a:p>
                    <a:fld id="{07815158-172E-437D-B3FD-64D8BF2E2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B0-41D2-96AD-8654CF7404AB}"/>
                </c:ext>
              </c:extLst>
            </c:dLbl>
            <c:dLbl>
              <c:idx val="17"/>
              <c:layout>
                <c:manualLayout>
                  <c:x val="-0.15754793220935753"/>
                  <c:y val="3.0441400304414001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F4-4C72-9B90-B06C81CD2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6193241682848064E-2"/>
                  <c:y val="-0.79497501168518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'E&amp;P Sensitivity Rankings'!$E$18:$E$45</c:f>
              <c:numCache>
                <c:formatCode>0.00</c:formatCode>
                <c:ptCount val="18"/>
                <c:pt idx="0">
                  <c:v>6.3337402367379543</c:v>
                </c:pt>
                <c:pt idx="1">
                  <c:v>21.113839771388754</c:v>
                </c:pt>
                <c:pt idx="2">
                  <c:v>8.7711752384853217</c:v>
                </c:pt>
                <c:pt idx="3">
                  <c:v>6.2036124853074179</c:v>
                </c:pt>
                <c:pt idx="4">
                  <c:v>9.7067513862399668</c:v>
                </c:pt>
                <c:pt idx="5">
                  <c:v>11.597311902392397</c:v>
                </c:pt>
                <c:pt idx="6">
                  <c:v>3.9335209400000002</c:v>
                </c:pt>
                <c:pt idx="7">
                  <c:v>5.7156057799999997</c:v>
                </c:pt>
                <c:pt idx="8">
                  <c:v>6.7539304400171734</c:v>
                </c:pt>
                <c:pt idx="9">
                  <c:v>10.344965294919641</c:v>
                </c:pt>
                <c:pt idx="10">
                  <c:v>5.9118557102858382</c:v>
                </c:pt>
                <c:pt idx="11">
                  <c:v>8.3483610585655104</c:v>
                </c:pt>
                <c:pt idx="12">
                  <c:v>4.8650958299999996</c:v>
                </c:pt>
                <c:pt idx="13">
                  <c:v>6.3374131075289064</c:v>
                </c:pt>
                <c:pt idx="14">
                  <c:v>8.5113803144843239</c:v>
                </c:pt>
                <c:pt idx="15">
                  <c:v>7.6442023638710497</c:v>
                </c:pt>
                <c:pt idx="16">
                  <c:v>8.3372998614095959</c:v>
                </c:pt>
                <c:pt idx="17">
                  <c:v>5.4452045099999999</c:v>
                </c:pt>
              </c:numCache>
            </c:numRef>
          </c:xVal>
          <c:yVal>
            <c:numRef>
              <c:f>'E&amp;P Sensitivity Rankings'!$K$18:$K$45</c:f>
              <c:numCache>
                <c:formatCode>0.00</c:formatCode>
                <c:ptCount val="18"/>
                <c:pt idx="0" formatCode="General">
                  <c:v>2.209696160826073</c:v>
                </c:pt>
                <c:pt idx="1">
                  <c:v>1.0247413142681931</c:v>
                </c:pt>
                <c:pt idx="2">
                  <c:v>3.8617913358612204</c:v>
                </c:pt>
                <c:pt idx="3">
                  <c:v>3.3808980279955758</c:v>
                </c:pt>
                <c:pt idx="4">
                  <c:v>3.2513644447169927</c:v>
                </c:pt>
                <c:pt idx="5">
                  <c:v>0.54653201203299362</c:v>
                </c:pt>
                <c:pt idx="6">
                  <c:v>4.8616364327729293</c:v>
                </c:pt>
                <c:pt idx="7">
                  <c:v>2.919267048123714</c:v>
                </c:pt>
                <c:pt idx="8">
                  <c:v>2.2020275120754427</c:v>
                </c:pt>
                <c:pt idx="9">
                  <c:v>1.1501900738626949</c:v>
                </c:pt>
                <c:pt idx="10">
                  <c:v>1.5092905057348376</c:v>
                </c:pt>
                <c:pt idx="11">
                  <c:v>1.60394202232093</c:v>
                </c:pt>
                <c:pt idx="12">
                  <c:v>2.6757025891172059</c:v>
                </c:pt>
                <c:pt idx="13">
                  <c:v>1.5952869451388891</c:v>
                </c:pt>
                <c:pt idx="14">
                  <c:v>2.6880625316910458</c:v>
                </c:pt>
                <c:pt idx="15">
                  <c:v>1.0756573491238022</c:v>
                </c:pt>
                <c:pt idx="16">
                  <c:v>1.676639069265156</c:v>
                </c:pt>
                <c:pt idx="17">
                  <c:v>2.3411671269245202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'E&amp;P Sensitivity Rankings'!$C$19:$C$45</c15:f>
                <c15:dlblRangeCache>
                  <c:ptCount val="17"/>
                  <c:pt idx="0">
                    <c:v>California Resources</c:v>
                  </c:pt>
                  <c:pt idx="1">
                    <c:v>Carrizo Oil&amp;Gas</c:v>
                  </c:pt>
                  <c:pt idx="2">
                    <c:v>Centennial Resources</c:v>
                  </c:pt>
                  <c:pt idx="3">
                    <c:v>Chesapeake Energy</c:v>
                  </c:pt>
                  <c:pt idx="4">
                    <c:v>Denbury Resources</c:v>
                  </c:pt>
                  <c:pt idx="5">
                    <c:v>Diamondback Energy</c:v>
                  </c:pt>
                  <c:pt idx="6">
                    <c:v>Hilcorp Exploration</c:v>
                  </c:pt>
                  <c:pt idx="7">
                    <c:v>Jagged Peak</c:v>
                  </c:pt>
                  <c:pt idx="8">
                    <c:v>Laredo Petroleum</c:v>
                  </c:pt>
                  <c:pt idx="9">
                    <c:v>Matador Resources</c:v>
                  </c:pt>
                  <c:pt idx="10">
                    <c:v>Oasis Petroleum</c:v>
                  </c:pt>
                  <c:pt idx="11">
                    <c:v>Parsley Energy</c:v>
                  </c:pt>
                  <c:pt idx="12">
                    <c:v>PDC Energy</c:v>
                  </c:pt>
                  <c:pt idx="13">
                    <c:v>SM Energy</c:v>
                  </c:pt>
                  <c:pt idx="14">
                    <c:v>QEP Resources</c:v>
                  </c:pt>
                  <c:pt idx="15">
                    <c:v>Whiting Petroleum</c:v>
                  </c:pt>
                  <c:pt idx="16">
                    <c:v>WPX Energy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27A3-49D0-92D2-6DE68EAA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2032"/>
        <c:axId val="717129736"/>
      </c:scatterChart>
      <c:valAx>
        <c:axId val="71713203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29736"/>
        <c:crosses val="autoZero"/>
        <c:crossBetween val="midCat"/>
        <c:majorUnit val="3"/>
      </c:valAx>
      <c:valAx>
        <c:axId val="717129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Full-Cycle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'E&amp;P Sensitivity Rankings'!$L$16</c:f>
              <c:strCache>
                <c:ptCount val="1"/>
                <c:pt idx="0">
                  <c:v>Full-cycle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'E&amp;P Sensitivity Rankings'!$C$18:$C$45</c:f>
              <c:strCache>
                <c:ptCount val="18"/>
                <c:pt idx="0">
                  <c:v>Antero Resources</c:v>
                </c:pt>
                <c:pt idx="1">
                  <c:v>California Resources</c:v>
                </c:pt>
                <c:pt idx="2">
                  <c:v>Carrizo Oil&amp;Gas</c:v>
                </c:pt>
                <c:pt idx="3">
                  <c:v>Centennial Resources</c:v>
                </c:pt>
                <c:pt idx="4">
                  <c:v>Chesapeake Energy</c:v>
                </c:pt>
                <c:pt idx="5">
                  <c:v>Denbury Resources</c:v>
                </c:pt>
                <c:pt idx="6">
                  <c:v>Diamondback Energy</c:v>
                </c:pt>
                <c:pt idx="7">
                  <c:v>Hilcorp Exploration</c:v>
                </c:pt>
                <c:pt idx="8">
                  <c:v>Jagged Peak</c:v>
                </c:pt>
                <c:pt idx="9">
                  <c:v>Laredo Petroleum</c:v>
                </c:pt>
                <c:pt idx="10">
                  <c:v>Matador Resources</c:v>
                </c:pt>
                <c:pt idx="11">
                  <c:v>Oasis Petroleum</c:v>
                </c:pt>
                <c:pt idx="12">
                  <c:v>Parsley Energy</c:v>
                </c:pt>
                <c:pt idx="13">
                  <c:v>PDC Energy</c:v>
                </c:pt>
                <c:pt idx="14">
                  <c:v>SM Energy</c:v>
                </c:pt>
                <c:pt idx="15">
                  <c:v>QEP Resources</c:v>
                </c:pt>
                <c:pt idx="16">
                  <c:v>Whiting Petroleum</c:v>
                </c:pt>
                <c:pt idx="17">
                  <c:v>WPX Energy</c:v>
                </c:pt>
              </c:strCache>
            </c:strRef>
          </c:cat>
          <c:val>
            <c:numRef>
              <c:f>'E&amp;P Sensitivity Rankings'!$L$19:$L$45</c:f>
              <c:numCache>
                <c:formatCode>0.00</c:formatCode>
                <c:ptCount val="17"/>
                <c:pt idx="0">
                  <c:v>42.334705362092087</c:v>
                </c:pt>
                <c:pt idx="1">
                  <c:v>19.913722381375759</c:v>
                </c:pt>
                <c:pt idx="2">
                  <c:v>18.933653837225005</c:v>
                </c:pt>
                <c:pt idx="3">
                  <c:v>17.366870283866337</c:v>
                </c:pt>
                <c:pt idx="4">
                  <c:v>60.917896300964472</c:v>
                </c:pt>
                <c:pt idx="5">
                  <c:v>15.860246482748773</c:v>
                </c:pt>
                <c:pt idx="6">
                  <c:v>28.700064310509607</c:v>
                </c:pt>
                <c:pt idx="7">
                  <c:v>28.962886389193962</c:v>
                </c:pt>
                <c:pt idx="8">
                  <c:v>22.142414869676159</c:v>
                </c:pt>
                <c:pt idx="9">
                  <c:v>31.72226079767502</c:v>
                </c:pt>
                <c:pt idx="10">
                  <c:v>35.091883523811362</c:v>
                </c:pt>
                <c:pt idx="11">
                  <c:v>22.230181033453672</c:v>
                </c:pt>
                <c:pt idx="12">
                  <c:v>23.162642466219793</c:v>
                </c:pt>
                <c:pt idx="13">
                  <c:v>20.106713468267536</c:v>
                </c:pt>
                <c:pt idx="14">
                  <c:v>28.836214287122246</c:v>
                </c:pt>
                <c:pt idx="15">
                  <c:v>27.322188723315364</c:v>
                </c:pt>
                <c:pt idx="16">
                  <c:v>22.877369945994541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1-412B-81CF-D04E95CC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047231"/>
        <c:axId val="59048215"/>
      </c:barChart>
      <c:catAx>
        <c:axId val="59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215"/>
        <c:crossesAt val="0"/>
        <c:auto val="1"/>
        <c:lblAlgn val="ctr"/>
        <c:lblOffset val="100"/>
        <c:noMultiLvlLbl val="0"/>
      </c:catAx>
      <c:valAx>
        <c:axId val="59048215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PDP 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'E&amp;P Sensitivity Rankings'!$D$71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'E&amp;P Sensitivity Rankings'!$C$72:$C$77</c:f>
              <c:strCache>
                <c:ptCount val="6"/>
                <c:pt idx="0">
                  <c:v>Ascent Resources</c:v>
                </c:pt>
                <c:pt idx="1">
                  <c:v>Antero Resources</c:v>
                </c:pt>
                <c:pt idx="2">
                  <c:v>Chesapeake Energy</c:v>
                </c:pt>
                <c:pt idx="3">
                  <c:v>CNX Resources</c:v>
                </c:pt>
                <c:pt idx="4">
                  <c:v>Range Resources</c:v>
                </c:pt>
                <c:pt idx="5">
                  <c:v>Southwestern</c:v>
                </c:pt>
              </c:strCache>
            </c:strRef>
          </c:cat>
          <c:val>
            <c:numRef>
              <c:f>'E&amp;P Sensitivity Rankings'!$D$72:$D$77</c:f>
              <c:numCache>
                <c:formatCode>0%</c:formatCode>
                <c:ptCount val="6"/>
                <c:pt idx="0">
                  <c:v>1.1715986328720736</c:v>
                </c:pt>
                <c:pt idx="1">
                  <c:v>1.5043916716248555</c:v>
                </c:pt>
                <c:pt idx="2">
                  <c:v>0.88291006876846734</c:v>
                </c:pt>
                <c:pt idx="3">
                  <c:v>1.0368464962223087</c:v>
                </c:pt>
                <c:pt idx="4">
                  <c:v>0.99806182661677978</c:v>
                </c:pt>
                <c:pt idx="5">
                  <c:v>1.5336330357527184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8-40F9-B769-C4FF56A9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7231"/>
        <c:axId val="59048215"/>
      </c:barChart>
      <c:catAx>
        <c:axId val="59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215"/>
        <c:crossesAt val="0"/>
        <c:auto val="1"/>
        <c:lblAlgn val="ctr"/>
        <c:lblOffset val="100"/>
        <c:noMultiLvlLbl val="0"/>
      </c:catAx>
      <c:valAx>
        <c:axId val="5904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Costs / Cash Margin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'E&amp;P Sensitivity Rankings'!$I$71</c:f>
              <c:strCache>
                <c:ptCount val="1"/>
                <c:pt idx="0">
                  <c:v>Cash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'E&amp;P Sensitivity Rankings'!$C$72:$C$77</c:f>
              <c:strCache>
                <c:ptCount val="6"/>
                <c:pt idx="0">
                  <c:v>Ascent Resources</c:v>
                </c:pt>
                <c:pt idx="1">
                  <c:v>Antero Resources</c:v>
                </c:pt>
                <c:pt idx="2">
                  <c:v>Chesapeake Energy</c:v>
                </c:pt>
                <c:pt idx="3">
                  <c:v>CNX Resources</c:v>
                </c:pt>
                <c:pt idx="4">
                  <c:v>Range Resources</c:v>
                </c:pt>
                <c:pt idx="5">
                  <c:v>Southwestern</c:v>
                </c:pt>
              </c:strCache>
            </c:strRef>
          </c:cat>
          <c:val>
            <c:numRef>
              <c:f>'E&amp;P Sensitivity Rankings'!$I$72:$I$77</c:f>
              <c:numCache>
                <c:formatCode>General</c:formatCode>
                <c:ptCount val="6"/>
                <c:pt idx="0">
                  <c:v>9.6383772780147332</c:v>
                </c:pt>
                <c:pt idx="1">
                  <c:v>13.581852376137512</c:v>
                </c:pt>
                <c:pt idx="2">
                  <c:v>13.761021587108548</c:v>
                </c:pt>
                <c:pt idx="3">
                  <c:v>7.6915938347952304</c:v>
                </c:pt>
                <c:pt idx="4">
                  <c:v>11.524979803296841</c:v>
                </c:pt>
                <c:pt idx="5">
                  <c:v>6.9246119733924605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8-42D8-B66F-79037AB3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047231"/>
        <c:axId val="59048215"/>
      </c:barChart>
      <c:lineChart>
        <c:grouping val="standard"/>
        <c:varyColors val="0"/>
        <c:ser>
          <c:idx val="1"/>
          <c:order val="1"/>
          <c:tx>
            <c:strRef>
              <c:f>'E&amp;P Sensitivity Rankings'!$J$71</c:f>
              <c:strCache>
                <c:ptCount val="1"/>
                <c:pt idx="0">
                  <c:v>Cash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'E&amp;P Sensitivity Rankings'!$C$72:$C$77</c:f>
              <c:strCache>
                <c:ptCount val="6"/>
                <c:pt idx="0">
                  <c:v>Ascent Resources</c:v>
                </c:pt>
                <c:pt idx="1">
                  <c:v>Antero Resources</c:v>
                </c:pt>
                <c:pt idx="2">
                  <c:v>Chesapeake Energy</c:v>
                </c:pt>
                <c:pt idx="3">
                  <c:v>CNX Resources</c:v>
                </c:pt>
                <c:pt idx="4">
                  <c:v>Range Resources</c:v>
                </c:pt>
                <c:pt idx="5">
                  <c:v>Southwestern</c:v>
                </c:pt>
              </c:strCache>
            </c:strRef>
          </c:cat>
          <c:val>
            <c:numRef>
              <c:f>'E&amp;P Sensitivity Rankings'!$J$72:$J$77</c:f>
              <c:numCache>
                <c:formatCode>General</c:formatCode>
                <c:ptCount val="6"/>
                <c:pt idx="0">
                  <c:v>10.120153160139587</c:v>
                </c:pt>
                <c:pt idx="1">
                  <c:v>8.5465055611728999</c:v>
                </c:pt>
                <c:pt idx="2">
                  <c:v>14.53329279416236</c:v>
                </c:pt>
                <c:pt idx="3">
                  <c:v>12.373272543699123</c:v>
                </c:pt>
                <c:pt idx="4">
                  <c:v>8.5926510836644461</c:v>
                </c:pt>
                <c:pt idx="5">
                  <c:v>9.1862527716186246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4-441E-9F9E-03FFFC9B0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7231"/>
        <c:axId val="59048215"/>
      </c:lineChart>
      <c:catAx>
        <c:axId val="59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215"/>
        <c:crossesAt val="0"/>
        <c:auto val="1"/>
        <c:lblAlgn val="ctr"/>
        <c:lblOffset val="100"/>
        <c:noMultiLvlLbl val="0"/>
      </c:catAx>
      <c:valAx>
        <c:axId val="5904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301438</xdr:colOff>
      <xdr:row>21</xdr:row>
      <xdr:rowOff>120464</xdr:rowOff>
    </xdr:from>
    <xdr:to>
      <xdr:col>24</xdr:col>
      <xdr:colOff>41462</xdr:colOff>
      <xdr:row>46</xdr:row>
      <xdr:rowOff>44264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403413</xdr:colOff>
      <xdr:row>1</xdr:row>
      <xdr:rowOff>22411</xdr:rowOff>
    </xdr:from>
    <xdr:to>
      <xdr:col>27</xdr:col>
      <xdr:colOff>543487</xdr:colOff>
      <xdr:row>28</xdr:row>
      <xdr:rowOff>168088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609599</xdr:colOff>
      <xdr:row>11</xdr:row>
      <xdr:rowOff>9525</xdr:rowOff>
    </xdr:from>
    <xdr:to>
      <xdr:col>36</xdr:col>
      <xdr:colOff>38100</xdr:colOff>
      <xdr:row>44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11</xdr:row>
      <xdr:rowOff>0</xdr:rowOff>
    </xdr:from>
    <xdr:to>
      <xdr:col>47</xdr:col>
      <xdr:colOff>38101</xdr:colOff>
      <xdr:row>44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12</xdr:row>
      <xdr:rowOff>0</xdr:rowOff>
    </xdr:from>
    <xdr:to>
      <xdr:col>58</xdr:col>
      <xdr:colOff>38101</xdr:colOff>
      <xdr:row>45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0</xdr:colOff>
      <xdr:row>12</xdr:row>
      <xdr:rowOff>0</xdr:rowOff>
    </xdr:from>
    <xdr:to>
      <xdr:col>69</xdr:col>
      <xdr:colOff>38101</xdr:colOff>
      <xdr:row>45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44823</xdr:colOff>
      <xdr:row>9</xdr:row>
      <xdr:rowOff>89647</xdr:rowOff>
    </xdr:from>
    <xdr:to>
      <xdr:col>77</xdr:col>
      <xdr:colOff>304800</xdr:colOff>
      <xdr:row>39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53</xdr:row>
      <xdr:rowOff>0</xdr:rowOff>
    </xdr:from>
    <xdr:to>
      <xdr:col>19</xdr:col>
      <xdr:colOff>342900</xdr:colOff>
      <xdr:row>67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302558</xdr:colOff>
      <xdr:row>65</xdr:row>
      <xdr:rowOff>56029</xdr:rowOff>
    </xdr:from>
    <xdr:to>
      <xdr:col>25</xdr:col>
      <xdr:colOff>224116</xdr:colOff>
      <xdr:row>82</xdr:row>
      <xdr:rowOff>181535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71</xdr:row>
      <xdr:rowOff>0</xdr:rowOff>
    </xdr:from>
    <xdr:to>
      <xdr:col>39</xdr:col>
      <xdr:colOff>38101</xdr:colOff>
      <xdr:row>92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71</xdr:row>
      <xdr:rowOff>0</xdr:rowOff>
    </xdr:from>
    <xdr:to>
      <xdr:col>50</xdr:col>
      <xdr:colOff>38101</xdr:colOff>
      <xdr:row>92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0</xdr:colOff>
      <xdr:row>12</xdr:row>
      <xdr:rowOff>0</xdr:rowOff>
    </xdr:from>
    <xdr:to>
      <xdr:col>88</xdr:col>
      <xdr:colOff>38101</xdr:colOff>
      <xdr:row>45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89</xdr:col>
      <xdr:colOff>0</xdr:colOff>
      <xdr:row>12</xdr:row>
      <xdr:rowOff>0</xdr:rowOff>
    </xdr:from>
    <xdr:to>
      <xdr:col>99</xdr:col>
      <xdr:colOff>38101</xdr:colOff>
      <xdr:row>45</xdr:row>
      <xdr:rowOff>171450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0</xdr:colOff>
      <xdr:row>71</xdr:row>
      <xdr:rowOff>0</xdr:rowOff>
    </xdr:from>
    <xdr:to>
      <xdr:col>61</xdr:col>
      <xdr:colOff>38101</xdr:colOff>
      <xdr:row>92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100</xdr:col>
      <xdr:colOff>0</xdr:colOff>
      <xdr:row>12</xdr:row>
      <xdr:rowOff>0</xdr:rowOff>
    </xdr:from>
    <xdr:to>
      <xdr:col>110</xdr:col>
      <xdr:colOff>38101</xdr:colOff>
      <xdr:row>45</xdr:row>
      <xdr:rowOff>171450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123824</xdr:rowOff>
    </xdr:from>
    <xdr:to>
      <xdr:col>11</xdr:col>
      <xdr:colOff>476250</xdr:colOff>
      <xdr:row>62</xdr:row>
      <xdr:rowOff>105417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29399"/>
          <a:ext cx="6229350" cy="4744093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54</xdr:row>
      <xdr:rowOff>28574</xdr:rowOff>
    </xdr:from>
    <xdr:to>
      <xdr:col>19</xdr:col>
      <xdr:colOff>530647</xdr:colOff>
      <xdr:row>68</xdr:row>
      <xdr:rowOff>8795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9975" y="9772649"/>
          <a:ext cx="3892972" cy="264722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37</xdr:row>
      <xdr:rowOff>133350</xdr:rowOff>
    </xdr:from>
    <xdr:to>
      <xdr:col>19</xdr:col>
      <xdr:colOff>371475</xdr:colOff>
      <xdr:row>52</xdr:row>
      <xdr:rowOff>94261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0" y="6829425"/>
          <a:ext cx="3762375" cy="2818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U149"/>
  <sheetViews>
    <sheetView showGridLines="0" zoomScaleNormal="100" workbookViewId="0">
      <pane xSplit="5" ySplit="8" topLeftCell="F108" activePane="bottomRight" state="frozen"/>
      <selection pane="topRight" activeCell="D1" sqref="D1"/>
      <selection pane="bottomLeft" activeCell="A9" sqref="A9"/>
      <selection pane="bottomRight" activeCell="D20" sqref="D20"/>
    </sheetView>
  </sheetViews>
  <sheetFormatPr defaultRowHeight="15" outlineLevelRow="2" outlineLevelCol="1" x14ac:dyDescent="0.25"/>
  <cols>
    <col min="1" max="1" width="16" customWidth="1"/>
    <col min="2" max="2" width="33.5703125" customWidth="1"/>
    <col min="3" max="3" width="31.7109375" customWidth="1" outlineLevel="1"/>
    <col min="4" max="4" width="16.5703125" customWidth="1"/>
    <col min="5" max="5" width="30.42578125" hidden="1" customWidth="1" outlineLevel="1"/>
    <col min="6" max="6" width="16.7109375" customWidth="1" collapsed="1"/>
    <col min="7" max="7" width="16.7109375" hidden="1" customWidth="1" outlineLevel="1"/>
    <col min="8" max="8" width="19.28515625" customWidth="1" collapsed="1"/>
    <col min="9" max="9" width="19.28515625" hidden="1" customWidth="1" outlineLevel="1"/>
    <col min="10" max="10" width="16.7109375" customWidth="1" collapsed="1"/>
    <col min="11" max="11" width="16.7109375" hidden="1" customWidth="1" outlineLevel="1"/>
    <col min="12" max="12" width="19.5703125" customWidth="1" collapsed="1"/>
    <col min="13" max="13" width="16.7109375" hidden="1" customWidth="1" outlineLevel="1"/>
    <col min="14" max="14" width="18.42578125" customWidth="1" collapsed="1"/>
    <col min="15" max="15" width="18.42578125" hidden="1" customWidth="1" outlineLevel="1"/>
    <col min="16" max="16" width="16.7109375" customWidth="1" collapsed="1"/>
    <col min="17" max="17" width="16.7109375" hidden="1" customWidth="1" outlineLevel="1"/>
    <col min="18" max="18" width="17.7109375" customWidth="1" collapsed="1"/>
    <col min="19" max="19" width="17.7109375" hidden="1" customWidth="1" outlineLevel="1"/>
    <col min="20" max="20" width="18.140625" customWidth="1" collapsed="1"/>
    <col min="21" max="21" width="20.7109375" hidden="1" customWidth="1" outlineLevel="1"/>
    <col min="22" max="22" width="20.7109375" customWidth="1" collapsed="1"/>
    <col min="23" max="23" width="20.7109375" hidden="1" customWidth="1" outlineLevel="1"/>
    <col min="24" max="24" width="20.7109375" customWidth="1" collapsed="1"/>
    <col min="25" max="25" width="20.7109375" hidden="1" customWidth="1" outlineLevel="1"/>
    <col min="26" max="26" width="20.7109375" customWidth="1" collapsed="1"/>
    <col min="27" max="27" width="20.7109375" hidden="1" customWidth="1" outlineLevel="1"/>
    <col min="28" max="28" width="20.7109375" customWidth="1" collapsed="1"/>
    <col min="29" max="29" width="20.7109375" hidden="1" customWidth="1" outlineLevel="1"/>
    <col min="30" max="30" width="20.7109375" customWidth="1" collapsed="1"/>
    <col min="31" max="31" width="20.7109375" hidden="1" customWidth="1" outlineLevel="1"/>
    <col min="32" max="32" width="16.5703125" customWidth="1" collapsed="1"/>
    <col min="33" max="33" width="16.5703125" hidden="1" customWidth="1" outlineLevel="1"/>
    <col min="34" max="34" width="16.5703125" customWidth="1" collapsed="1"/>
    <col min="35" max="35" width="20.7109375" hidden="1" customWidth="1" outlineLevel="1"/>
    <col min="36" max="36" width="18" customWidth="1" collapsed="1"/>
    <col min="37" max="37" width="20.7109375" hidden="1" customWidth="1" outlineLevel="1"/>
    <col min="38" max="38" width="18.85546875" customWidth="1" collapsed="1"/>
    <col min="39" max="39" width="20.7109375" hidden="1" customWidth="1" outlineLevel="1"/>
    <col min="40" max="40" width="20.7109375" customWidth="1" collapsed="1"/>
    <col min="41" max="41" width="20.7109375" hidden="1" customWidth="1" outlineLevel="1"/>
    <col min="42" max="42" width="20.7109375" customWidth="1" collapsed="1"/>
    <col min="43" max="43" width="20.7109375" hidden="1" customWidth="1" outlineLevel="1"/>
    <col min="44" max="44" width="20.7109375" hidden="1" customWidth="1" outlineLevel="1" collapsed="1"/>
    <col min="45" max="45" width="20.7109375" customWidth="1" collapsed="1"/>
    <col min="46" max="46" width="20.7109375" hidden="1" customWidth="1" outlineLevel="1"/>
    <col min="47" max="47" width="16.5703125" customWidth="1" collapsed="1"/>
    <col min="48" max="48" width="20.7109375" hidden="1" customWidth="1" outlineLevel="1"/>
    <col min="49" max="49" width="20.7109375" customWidth="1" collapsed="1"/>
    <col min="50" max="50" width="20.7109375" hidden="1" customWidth="1" outlineLevel="1"/>
    <col min="51" max="51" width="20.7109375" customWidth="1" collapsed="1"/>
    <col min="52" max="52" width="20.7109375" hidden="1" customWidth="1" outlineLevel="1"/>
    <col min="53" max="53" width="15" customWidth="1" collapsed="1"/>
    <col min="54" max="54" width="15" hidden="1" customWidth="1" outlineLevel="1"/>
    <col min="55" max="55" width="15" customWidth="1" collapsed="1"/>
    <col min="56" max="56" width="15" hidden="1" customWidth="1" outlineLevel="1"/>
    <col min="57" max="57" width="17.5703125" customWidth="1" collapsed="1"/>
    <col min="58" max="58" width="17.5703125" hidden="1" customWidth="1" outlineLevel="1"/>
    <col min="59" max="59" width="17.5703125" customWidth="1" collapsed="1"/>
    <col min="60" max="60" width="17.5703125" hidden="1" customWidth="1" outlineLevel="1"/>
    <col min="61" max="61" width="17.5703125" customWidth="1" collapsed="1"/>
    <col min="62" max="63" width="17.5703125" customWidth="1"/>
    <col min="64" max="64" width="9.140625" customWidth="1"/>
    <col min="65" max="65" width="19.5703125" bestFit="1" customWidth="1"/>
    <col min="66" max="66" width="16" customWidth="1"/>
    <col min="67" max="67" width="18.85546875" bestFit="1" customWidth="1"/>
    <col min="68" max="68" width="18.85546875" hidden="1" customWidth="1"/>
    <col min="69" max="69" width="18.85546875" customWidth="1"/>
    <col min="70" max="70" width="12.140625" hidden="1" customWidth="1"/>
    <col min="71" max="71" width="18.85546875" bestFit="1" customWidth="1"/>
    <col min="72" max="72" width="18.85546875" hidden="1" customWidth="1"/>
    <col min="73" max="73" width="18.85546875" customWidth="1"/>
    <col min="74" max="74" width="12.140625" hidden="1" customWidth="1"/>
    <col min="75" max="75" width="18.85546875" bestFit="1" customWidth="1"/>
    <col min="76" max="76" width="14.28515625" hidden="1" customWidth="1"/>
    <col min="77" max="77" width="21.140625" bestFit="1" customWidth="1"/>
    <col min="78" max="78" width="21.140625" hidden="1" customWidth="1"/>
    <col min="79" max="79" width="21.140625" customWidth="1"/>
    <col min="80" max="80" width="21.140625" hidden="1" customWidth="1"/>
    <col min="81" max="81" width="18.85546875" bestFit="1" customWidth="1"/>
    <col min="82" max="82" width="15.28515625" hidden="1" customWidth="1"/>
    <col min="83" max="83" width="18.85546875" bestFit="1" customWidth="1"/>
    <col min="84" max="84" width="15.28515625" hidden="1" customWidth="1"/>
    <col min="85" max="86" width="18.85546875" hidden="1" customWidth="1"/>
    <col min="87" max="87" width="15.28515625" customWidth="1"/>
    <col min="88" max="88" width="15.28515625" hidden="1" customWidth="1"/>
    <col min="89" max="89" width="18.85546875" bestFit="1" customWidth="1"/>
    <col min="90" max="91" width="18.85546875" hidden="1" customWidth="1"/>
    <col min="92" max="92" width="14.7109375" hidden="1" customWidth="1"/>
    <col min="93" max="93" width="20.5703125" bestFit="1" customWidth="1"/>
    <col min="94" max="94" width="20.5703125" hidden="1" customWidth="1"/>
    <col min="95" max="95" width="24.85546875" bestFit="1" customWidth="1"/>
    <col min="99" max="99" width="9.5703125" bestFit="1" customWidth="1"/>
  </cols>
  <sheetData>
    <row r="1" spans="2:99" x14ac:dyDescent="0.25">
      <c r="B1" s="12"/>
      <c r="C1" s="12"/>
      <c r="D1" s="12" t="s">
        <v>373</v>
      </c>
      <c r="E1" s="12"/>
      <c r="F1" s="40" t="s">
        <v>66</v>
      </c>
      <c r="G1" s="40"/>
      <c r="H1" s="40" t="s">
        <v>72</v>
      </c>
      <c r="I1" s="40"/>
      <c r="J1" s="40" t="s">
        <v>71</v>
      </c>
      <c r="K1" s="40"/>
      <c r="L1" s="40" t="s">
        <v>370</v>
      </c>
      <c r="M1" s="40"/>
      <c r="N1" s="40" t="s">
        <v>91</v>
      </c>
      <c r="O1" s="40"/>
      <c r="P1" s="40" t="s">
        <v>79</v>
      </c>
      <c r="Q1" s="40"/>
      <c r="R1" s="40" t="s">
        <v>50</v>
      </c>
      <c r="S1" s="40"/>
      <c r="T1" s="40" t="s">
        <v>51</v>
      </c>
      <c r="U1" s="40"/>
      <c r="V1" s="40" t="s">
        <v>77</v>
      </c>
      <c r="W1" s="40"/>
      <c r="X1" s="40" t="s">
        <v>68</v>
      </c>
      <c r="Y1" s="40"/>
      <c r="Z1" s="40" t="s">
        <v>67</v>
      </c>
      <c r="AA1" s="40"/>
      <c r="AB1" s="40" t="s">
        <v>62</v>
      </c>
      <c r="AC1" s="40"/>
      <c r="AD1" s="40" t="s">
        <v>83</v>
      </c>
      <c r="AE1" s="40"/>
      <c r="AF1" s="40" t="s">
        <v>288</v>
      </c>
      <c r="AG1" s="40"/>
      <c r="AH1" s="40" t="s">
        <v>296</v>
      </c>
      <c r="AI1" s="40"/>
      <c r="AJ1" s="40" t="s">
        <v>63</v>
      </c>
      <c r="AK1" s="40"/>
      <c r="AL1" s="40" t="s">
        <v>88</v>
      </c>
      <c r="AM1" s="40"/>
      <c r="AN1" s="40" t="s">
        <v>81</v>
      </c>
      <c r="AO1" s="40"/>
      <c r="AP1" s="40" t="s">
        <v>65</v>
      </c>
      <c r="AQ1" s="40" t="s">
        <v>69</v>
      </c>
      <c r="AR1" s="40"/>
      <c r="AS1" s="40" t="s">
        <v>76</v>
      </c>
      <c r="AT1" s="40"/>
      <c r="AU1" s="40" t="s">
        <v>84</v>
      </c>
      <c r="AV1" s="40"/>
      <c r="AW1" s="40" t="s">
        <v>82</v>
      </c>
      <c r="AX1" s="40"/>
      <c r="AY1" s="40" t="s">
        <v>61</v>
      </c>
      <c r="AZ1" s="40"/>
      <c r="BA1" s="40" t="s">
        <v>43</v>
      </c>
      <c r="BB1" s="40"/>
      <c r="BC1" s="40" t="s">
        <v>60</v>
      </c>
      <c r="BD1" s="40"/>
      <c r="BE1" s="40" t="s">
        <v>49</v>
      </c>
      <c r="BF1" s="40"/>
      <c r="BG1" s="40" t="s">
        <v>59</v>
      </c>
      <c r="BH1" s="40"/>
      <c r="BI1" s="40" t="s">
        <v>70</v>
      </c>
      <c r="BJ1" s="12"/>
      <c r="BK1" s="12"/>
      <c r="BL1" s="12"/>
      <c r="BM1" s="40" t="s">
        <v>54</v>
      </c>
      <c r="BN1" s="40"/>
      <c r="BO1" s="40" t="s">
        <v>53</v>
      </c>
      <c r="BP1" s="40"/>
      <c r="BQ1" s="40" t="s">
        <v>357</v>
      </c>
      <c r="BR1" s="40"/>
      <c r="BS1" s="40" t="s">
        <v>58</v>
      </c>
      <c r="BT1" s="40"/>
      <c r="BU1" s="40" t="s">
        <v>50</v>
      </c>
      <c r="BV1" s="40"/>
      <c r="BW1" s="40" t="s">
        <v>55</v>
      </c>
      <c r="BX1" s="40"/>
      <c r="BY1" s="40" t="s">
        <v>52</v>
      </c>
      <c r="BZ1" s="40"/>
      <c r="CA1" s="40" t="s">
        <v>78</v>
      </c>
      <c r="CB1" s="40"/>
      <c r="CC1" s="40" t="s">
        <v>64</v>
      </c>
      <c r="CD1" s="40"/>
      <c r="CE1" s="40" t="s">
        <v>80</v>
      </c>
      <c r="CF1" s="40"/>
      <c r="CG1" s="40"/>
      <c r="CH1" s="40"/>
      <c r="CI1" s="40" t="s">
        <v>281</v>
      </c>
      <c r="CJ1" s="40"/>
      <c r="CK1" s="40" t="s">
        <v>56</v>
      </c>
      <c r="CL1" s="40"/>
      <c r="CM1" s="40" t="s">
        <v>231</v>
      </c>
      <c r="CN1" s="40"/>
      <c r="CO1" s="40" t="s">
        <v>57</v>
      </c>
      <c r="CP1" s="40"/>
      <c r="CQ1" s="40" t="s">
        <v>90</v>
      </c>
      <c r="CR1" s="40"/>
      <c r="CS1" s="40"/>
      <c r="CT1" s="40"/>
      <c r="CU1" s="40"/>
    </row>
    <row r="2" spans="2:99" x14ac:dyDescent="0.25">
      <c r="B2" t="s">
        <v>0</v>
      </c>
      <c r="D2" s="37" t="s">
        <v>116</v>
      </c>
      <c r="F2" s="37" t="s">
        <v>100</v>
      </c>
      <c r="G2" s="37"/>
      <c r="H2" s="37" t="s">
        <v>98</v>
      </c>
      <c r="I2" s="37"/>
      <c r="J2" s="37" t="s">
        <v>103</v>
      </c>
      <c r="K2" s="37"/>
      <c r="L2" s="37" t="s">
        <v>109</v>
      </c>
      <c r="M2" s="37"/>
      <c r="N2" s="37" t="s">
        <v>107</v>
      </c>
      <c r="O2" s="37"/>
      <c r="P2" s="37" t="s">
        <v>109</v>
      </c>
      <c r="Q2" s="37"/>
      <c r="R2" s="37" t="s">
        <v>111</v>
      </c>
      <c r="S2" s="37"/>
      <c r="T2" s="37" t="s">
        <v>107</v>
      </c>
      <c r="U2" s="37"/>
      <c r="V2" s="37" t="s">
        <v>116</v>
      </c>
      <c r="W2" s="37"/>
      <c r="X2" s="37" t="s">
        <v>119</v>
      </c>
      <c r="Y2" s="37"/>
      <c r="Z2" s="37" t="s">
        <v>122</v>
      </c>
      <c r="AA2" s="37"/>
      <c r="AB2" s="37" t="s">
        <v>92</v>
      </c>
      <c r="AC2" s="37"/>
      <c r="AD2" s="37" t="s">
        <v>127</v>
      </c>
      <c r="AE2" s="37"/>
      <c r="AF2" s="37" t="s">
        <v>294</v>
      </c>
      <c r="AG2" s="37"/>
      <c r="AH2" s="37"/>
      <c r="AI2" s="37"/>
      <c r="AJ2" s="37" t="s">
        <v>103</v>
      </c>
      <c r="AK2" s="37"/>
      <c r="AL2" s="37" t="s">
        <v>116</v>
      </c>
      <c r="AM2" s="37"/>
      <c r="AN2" s="37" t="s">
        <v>134</v>
      </c>
      <c r="AO2" s="37"/>
      <c r="AP2" s="37" t="s">
        <v>109</v>
      </c>
      <c r="AQ2" s="37"/>
      <c r="AR2" s="37"/>
      <c r="AS2" s="37" t="s">
        <v>139</v>
      </c>
      <c r="AT2" s="37"/>
      <c r="AU2" s="37" t="s">
        <v>92</v>
      </c>
      <c r="AV2" s="37"/>
      <c r="AW2" s="37" t="s">
        <v>92</v>
      </c>
      <c r="AX2" s="37"/>
      <c r="AY2" s="37" t="s">
        <v>93</v>
      </c>
      <c r="AZ2" s="37"/>
      <c r="BA2" s="37" t="s">
        <v>144</v>
      </c>
      <c r="BB2" s="37"/>
      <c r="BC2" s="37" t="s">
        <v>147</v>
      </c>
      <c r="BD2" s="37"/>
      <c r="BE2" s="37" t="s">
        <v>150</v>
      </c>
      <c r="BF2" s="37"/>
      <c r="BG2" s="37" t="s">
        <v>153</v>
      </c>
      <c r="BH2" s="37"/>
      <c r="BI2" s="37" t="s">
        <v>92</v>
      </c>
      <c r="BL2" s="37"/>
      <c r="BM2" s="37" t="s">
        <v>164</v>
      </c>
      <c r="BN2" s="37"/>
      <c r="BO2" s="37" t="s">
        <v>162</v>
      </c>
      <c r="BP2" s="37"/>
      <c r="BQ2" s="37" t="s">
        <v>362</v>
      </c>
      <c r="BR2" s="37"/>
      <c r="BS2" s="37" t="s">
        <v>166</v>
      </c>
      <c r="BT2" s="37"/>
      <c r="BU2" s="37" t="s">
        <v>111</v>
      </c>
      <c r="BV2" s="37"/>
      <c r="BW2" s="37" t="s">
        <v>169</v>
      </c>
      <c r="BX2" s="37"/>
      <c r="BY2" s="37" t="s">
        <v>223</v>
      </c>
      <c r="BZ2" s="37"/>
      <c r="CA2" s="37" t="s">
        <v>178</v>
      </c>
      <c r="CB2" s="37"/>
      <c r="CC2" s="37" t="s">
        <v>173</v>
      </c>
      <c r="CD2" s="37"/>
      <c r="CE2" s="37" t="s">
        <v>175</v>
      </c>
      <c r="CF2" s="37"/>
      <c r="CG2" s="37"/>
      <c r="CH2" s="37"/>
      <c r="CI2" s="37" t="s">
        <v>282</v>
      </c>
      <c r="CJ2" s="37"/>
      <c r="CK2" s="37" t="s">
        <v>111</v>
      </c>
      <c r="CL2" s="37"/>
      <c r="CM2" s="37"/>
      <c r="CN2" s="37"/>
      <c r="CO2" s="37" t="s">
        <v>169</v>
      </c>
      <c r="CP2" s="37"/>
      <c r="CQ2" s="37" t="s">
        <v>186</v>
      </c>
      <c r="CR2" s="37"/>
      <c r="CS2" s="37"/>
    </row>
    <row r="3" spans="2:99" x14ac:dyDescent="0.25">
      <c r="B3" t="s">
        <v>1</v>
      </c>
      <c r="D3" s="37" t="s">
        <v>374</v>
      </c>
      <c r="F3" s="37" t="s">
        <v>101</v>
      </c>
      <c r="G3" s="37"/>
      <c r="H3" s="37" t="s">
        <v>99</v>
      </c>
      <c r="I3" s="37"/>
      <c r="J3" s="37" t="s">
        <v>104</v>
      </c>
      <c r="K3" s="37"/>
      <c r="L3" s="37" t="s">
        <v>286</v>
      </c>
      <c r="M3" s="37"/>
      <c r="N3" s="37" t="s">
        <v>108</v>
      </c>
      <c r="O3" s="37"/>
      <c r="P3" s="37" t="s">
        <v>110</v>
      </c>
      <c r="Q3" s="37"/>
      <c r="R3" s="37" t="s">
        <v>112</v>
      </c>
      <c r="S3" s="37"/>
      <c r="T3" s="37" t="s">
        <v>114</v>
      </c>
      <c r="U3" s="37"/>
      <c r="V3" s="37" t="s">
        <v>117</v>
      </c>
      <c r="W3" s="37"/>
      <c r="X3" s="37" t="s">
        <v>120</v>
      </c>
      <c r="Y3" s="37"/>
      <c r="Z3" s="37" t="s">
        <v>123</v>
      </c>
      <c r="AA3" s="37"/>
      <c r="AB3" s="37" t="s">
        <v>125</v>
      </c>
      <c r="AC3" s="37"/>
      <c r="AD3" s="37" t="s">
        <v>128</v>
      </c>
      <c r="AE3" s="37"/>
      <c r="AF3" s="37" t="s">
        <v>133</v>
      </c>
      <c r="AG3" s="37"/>
      <c r="AH3" s="37"/>
      <c r="AI3" s="37"/>
      <c r="AJ3" s="37" t="s">
        <v>130</v>
      </c>
      <c r="AK3" s="37"/>
      <c r="AL3" s="37" t="s">
        <v>133</v>
      </c>
      <c r="AM3" s="37"/>
      <c r="AN3" s="37" t="s">
        <v>128</v>
      </c>
      <c r="AO3" s="37"/>
      <c r="AP3" s="37" t="s">
        <v>136</v>
      </c>
      <c r="AQ3" s="37"/>
      <c r="AR3" s="37"/>
      <c r="AS3" s="37" t="s">
        <v>120</v>
      </c>
      <c r="AT3" s="37"/>
      <c r="AU3" s="37" t="s">
        <v>120</v>
      </c>
      <c r="AV3" s="37"/>
      <c r="AW3" s="37" t="s">
        <v>94</v>
      </c>
      <c r="AX3" s="37"/>
      <c r="AY3" s="37" t="s">
        <v>142</v>
      </c>
      <c r="AZ3" s="37"/>
      <c r="BA3" s="37" t="s">
        <v>145</v>
      </c>
      <c r="BB3" s="37"/>
      <c r="BC3" s="37" t="s">
        <v>148</v>
      </c>
      <c r="BD3" s="37"/>
      <c r="BE3" s="37" t="s">
        <v>151</v>
      </c>
      <c r="BF3" s="37"/>
      <c r="BG3" s="37" t="s">
        <v>154</v>
      </c>
      <c r="BH3" s="37"/>
      <c r="BI3" s="37" t="s">
        <v>94</v>
      </c>
      <c r="BL3" s="37"/>
      <c r="BM3" s="37" t="s">
        <v>158</v>
      </c>
      <c r="BN3" s="37"/>
      <c r="BO3" s="37" t="s">
        <v>163</v>
      </c>
      <c r="BP3" s="37"/>
      <c r="BQ3" s="37" t="s">
        <v>360</v>
      </c>
      <c r="BR3" s="37"/>
      <c r="BS3" s="37" t="s">
        <v>165</v>
      </c>
      <c r="BT3" s="37"/>
      <c r="BU3" s="37" t="s">
        <v>112</v>
      </c>
      <c r="BV3" s="37"/>
      <c r="BW3" s="37" t="s">
        <v>170</v>
      </c>
      <c r="BX3" s="37"/>
      <c r="BY3" s="37" t="s">
        <v>163</v>
      </c>
      <c r="BZ3" s="37"/>
      <c r="CA3" s="37" t="s">
        <v>179</v>
      </c>
      <c r="CB3" s="37"/>
      <c r="CC3" s="37" t="s">
        <v>172</v>
      </c>
      <c r="CD3" s="37"/>
      <c r="CE3" s="37" t="s">
        <v>176</v>
      </c>
      <c r="CF3" s="37"/>
      <c r="CG3" s="37"/>
      <c r="CH3" s="37"/>
      <c r="CI3" s="37" t="s">
        <v>283</v>
      </c>
      <c r="CJ3" s="37"/>
      <c r="CK3" s="37" t="s">
        <v>184</v>
      </c>
      <c r="CL3" s="37"/>
      <c r="CM3" s="37"/>
      <c r="CN3" s="37"/>
      <c r="CO3" s="37" t="s">
        <v>182</v>
      </c>
      <c r="CP3" s="37"/>
      <c r="CQ3" s="37" t="s">
        <v>185</v>
      </c>
      <c r="CR3" s="37"/>
      <c r="CS3" s="37"/>
    </row>
    <row r="4" spans="2:99" hidden="1" outlineLevel="1" x14ac:dyDescent="0.25">
      <c r="D4" s="37" t="s">
        <v>95</v>
      </c>
      <c r="F4" s="37" t="s">
        <v>95</v>
      </c>
      <c r="G4" s="37"/>
      <c r="H4" s="37" t="s">
        <v>95</v>
      </c>
      <c r="I4" s="37"/>
      <c r="J4" s="37" t="s">
        <v>95</v>
      </c>
      <c r="K4" s="37"/>
      <c r="L4" s="37" t="s">
        <v>95</v>
      </c>
      <c r="M4" s="37"/>
      <c r="N4" s="37" t="s">
        <v>95</v>
      </c>
      <c r="O4" s="37"/>
      <c r="P4" s="37" t="s">
        <v>95</v>
      </c>
      <c r="Q4" s="37"/>
      <c r="R4" s="37" t="s">
        <v>95</v>
      </c>
      <c r="S4" s="37"/>
      <c r="T4" s="37" t="s">
        <v>95</v>
      </c>
      <c r="U4" s="37"/>
      <c r="V4" s="37" t="s">
        <v>95</v>
      </c>
      <c r="W4" s="37"/>
      <c r="X4" s="37" t="s">
        <v>95</v>
      </c>
      <c r="Y4" s="37"/>
      <c r="Z4" s="37" t="s">
        <v>95</v>
      </c>
      <c r="AA4" s="37"/>
      <c r="AB4" s="37" t="s">
        <v>95</v>
      </c>
      <c r="AC4" s="37"/>
      <c r="AD4" s="37" t="s">
        <v>95</v>
      </c>
      <c r="AE4" s="37"/>
      <c r="AF4" s="37" t="s">
        <v>95</v>
      </c>
      <c r="AG4" s="37"/>
      <c r="AH4" s="37"/>
      <c r="AI4" s="37"/>
      <c r="AJ4" s="37" t="s">
        <v>95</v>
      </c>
      <c r="AK4" s="37"/>
      <c r="AL4" s="37" t="s">
        <v>95</v>
      </c>
      <c r="AM4" s="37"/>
      <c r="AN4" s="37" t="s">
        <v>95</v>
      </c>
      <c r="AO4" s="37"/>
      <c r="AP4" s="37" t="s">
        <v>95</v>
      </c>
      <c r="AQ4" s="37"/>
      <c r="AR4" s="37"/>
      <c r="AS4" s="37" t="s">
        <v>95</v>
      </c>
      <c r="AT4" s="37"/>
      <c r="AU4" s="37" t="s">
        <v>95</v>
      </c>
      <c r="AV4" s="37"/>
      <c r="AW4" s="37" t="s">
        <v>95</v>
      </c>
      <c r="AX4" s="37"/>
      <c r="AY4" s="37" t="s">
        <v>95</v>
      </c>
      <c r="AZ4" s="37"/>
      <c r="BA4" s="37" t="s">
        <v>95</v>
      </c>
      <c r="BB4" s="37"/>
      <c r="BC4" s="37" t="s">
        <v>95</v>
      </c>
      <c r="BD4" s="37"/>
      <c r="BE4" s="37" t="s">
        <v>95</v>
      </c>
      <c r="BF4" s="37"/>
      <c r="BG4" s="37" t="s">
        <v>95</v>
      </c>
      <c r="BH4" s="37"/>
      <c r="BI4" s="37" t="s">
        <v>95</v>
      </c>
      <c r="BL4" s="37"/>
      <c r="BM4" s="37" t="s">
        <v>95</v>
      </c>
      <c r="BN4" s="37"/>
      <c r="BO4" s="37" t="s">
        <v>95</v>
      </c>
      <c r="BP4" s="37"/>
      <c r="BQ4" s="37" t="s">
        <v>95</v>
      </c>
      <c r="BR4" s="37"/>
      <c r="BS4" s="37" t="s">
        <v>95</v>
      </c>
      <c r="BT4" s="37"/>
      <c r="BU4" s="37" t="s">
        <v>95</v>
      </c>
      <c r="BV4" s="37"/>
      <c r="BW4" s="37" t="s">
        <v>95</v>
      </c>
      <c r="BX4" s="37"/>
      <c r="BY4" s="37" t="s">
        <v>95</v>
      </c>
      <c r="BZ4" s="37"/>
      <c r="CA4" s="37" t="s">
        <v>95</v>
      </c>
      <c r="CB4" s="37"/>
      <c r="CC4" s="37" t="s">
        <v>95</v>
      </c>
      <c r="CD4" s="37"/>
      <c r="CE4" s="37" t="s">
        <v>95</v>
      </c>
      <c r="CF4" s="37"/>
      <c r="CG4" s="37"/>
      <c r="CH4" s="37"/>
      <c r="CI4" s="37" t="s">
        <v>95</v>
      </c>
      <c r="CJ4" s="37"/>
      <c r="CK4" s="37" t="s">
        <v>95</v>
      </c>
      <c r="CL4" s="37"/>
      <c r="CM4" s="37"/>
      <c r="CN4" s="37"/>
      <c r="CO4" s="37" t="s">
        <v>95</v>
      </c>
      <c r="CP4" s="37"/>
      <c r="CQ4" s="37" t="s">
        <v>95</v>
      </c>
      <c r="CR4" s="37"/>
      <c r="CS4" s="37"/>
    </row>
    <row r="5" spans="2:99" collapsed="1" x14ac:dyDescent="0.25">
      <c r="B5" t="s">
        <v>89</v>
      </c>
      <c r="C5" t="s">
        <v>375</v>
      </c>
      <c r="D5" s="39">
        <f>_xll.BDP(C5,D4)</f>
        <v>92.295000000000002</v>
      </c>
      <c r="E5" t="s">
        <v>102</v>
      </c>
      <c r="F5" s="39">
        <f>_xll.BDP(E5,F4)</f>
        <v>94.025999999999996</v>
      </c>
      <c r="G5" s="39" t="s">
        <v>97</v>
      </c>
      <c r="H5" s="39">
        <f>_xll.BDP(G5,H4)</f>
        <v>69.608999999999995</v>
      </c>
      <c r="I5" s="39" t="s">
        <v>105</v>
      </c>
      <c r="J5" s="39">
        <f>_xll.BDP(I5,J4)</f>
        <v>97.158000000000001</v>
      </c>
      <c r="K5" s="39" t="s">
        <v>287</v>
      </c>
      <c r="L5" s="39">
        <f>_xll.BDP(K5,L4)</f>
        <v>95.489000000000004</v>
      </c>
      <c r="M5" s="39" t="s">
        <v>106</v>
      </c>
      <c r="N5" s="39">
        <f>_xll.BDP(M5,N4)</f>
        <v>89.481999999999999</v>
      </c>
      <c r="O5" s="39" t="s">
        <v>381</v>
      </c>
      <c r="P5" s="39">
        <f>_xll.BDP(O5,P4)</f>
        <v>89.135999999999996</v>
      </c>
      <c r="Q5" s="39" t="s">
        <v>113</v>
      </c>
      <c r="R5" s="39">
        <f>_xll.BDP(Q5,R4)</f>
        <v>103.779</v>
      </c>
      <c r="S5" s="39" t="s">
        <v>115</v>
      </c>
      <c r="T5" s="39">
        <f>_xll.BDP(S5,T4)</f>
        <v>94.180999999999997</v>
      </c>
      <c r="U5" s="39" t="s">
        <v>118</v>
      </c>
      <c r="V5" s="39">
        <f>_xll.BDP(U5,V4)</f>
        <v>102.69</v>
      </c>
      <c r="W5" s="39" t="s">
        <v>121</v>
      </c>
      <c r="X5" s="39">
        <f>_xll.BDP(W5,X4)</f>
        <v>104.991</v>
      </c>
      <c r="Y5" s="39" t="s">
        <v>124</v>
      </c>
      <c r="Z5" s="39">
        <f>_xll.BDP(Y5,Z4)</f>
        <v>6.5279999999999996</v>
      </c>
      <c r="AA5" s="39" t="s">
        <v>126</v>
      </c>
      <c r="AB5" s="39">
        <f>_xll.BDP(AA5,AB4)</f>
        <v>77.323999999999998</v>
      </c>
      <c r="AC5" s="39" t="s">
        <v>129</v>
      </c>
      <c r="AD5" s="39">
        <f>_xll.BDP(AC5,AD4)</f>
        <v>99.932000000000002</v>
      </c>
      <c r="AE5" s="39" t="s">
        <v>295</v>
      </c>
      <c r="AF5" s="39">
        <f>_xll.BDP(AE5,AF4)</f>
        <v>95.477000000000004</v>
      </c>
      <c r="AG5" s="39"/>
      <c r="AH5" s="39"/>
      <c r="AI5" s="39" t="s">
        <v>131</v>
      </c>
      <c r="AJ5" s="39">
        <f>_xll.BDP(AI5,AJ4)</f>
        <v>87.501000000000005</v>
      </c>
      <c r="AK5" s="39" t="s">
        <v>132</v>
      </c>
      <c r="AL5" s="39">
        <f>_xll.BDP(AK5,AL4)</f>
        <v>100.021</v>
      </c>
      <c r="AM5" s="39" t="s">
        <v>135</v>
      </c>
      <c r="AN5" s="39">
        <f>_xll.BDP(AM5,AN4)</f>
        <v>100.622</v>
      </c>
      <c r="AO5" s="39" t="s">
        <v>137</v>
      </c>
      <c r="AP5" s="39">
        <f>_xll.BDP(AO5,AP4)</f>
        <v>90.195999999999998</v>
      </c>
      <c r="AQ5" s="39"/>
      <c r="AR5" s="39" t="s">
        <v>138</v>
      </c>
      <c r="AS5" s="39">
        <f>_xll.BDP(AR5,AS4)</f>
        <v>94.403999999999996</v>
      </c>
      <c r="AT5" s="39" t="s">
        <v>140</v>
      </c>
      <c r="AU5" s="39">
        <f>_xll.BDP(AT5,AU4)</f>
        <v>101.467</v>
      </c>
      <c r="AV5" s="39" t="s">
        <v>141</v>
      </c>
      <c r="AW5" s="39">
        <f>_xll.BDP(AV5,AW4)</f>
        <v>96.753</v>
      </c>
      <c r="AX5" s="39" t="s">
        <v>143</v>
      </c>
      <c r="AY5" s="39">
        <f>_xll.BDP(AX5,AY4)</f>
        <v>88.438000000000002</v>
      </c>
      <c r="AZ5" s="39" t="s">
        <v>146</v>
      </c>
      <c r="BA5" s="39">
        <f>_xll.BDP(AZ5,BA4)</f>
        <v>89.872</v>
      </c>
      <c r="BB5" s="39" t="s">
        <v>149</v>
      </c>
      <c r="BC5" s="39">
        <f>_xll.BDP(BB5,BC4)</f>
        <v>95.081000000000003</v>
      </c>
      <c r="BD5" s="39" t="s">
        <v>152</v>
      </c>
      <c r="BE5" s="39">
        <f>_xll.BDP(BD5,BE4)</f>
        <v>89.215000000000003</v>
      </c>
      <c r="BF5" s="39" t="s">
        <v>155</v>
      </c>
      <c r="BG5" s="39">
        <f>_xll.BDP(BF5,BG4)</f>
        <v>92.245000000000005</v>
      </c>
      <c r="BH5" s="39" t="s">
        <v>156</v>
      </c>
      <c r="BI5" s="39">
        <f>_xll.BDP(BH5,BI4)</f>
        <v>101.783</v>
      </c>
      <c r="BL5" s="39" t="s">
        <v>159</v>
      </c>
      <c r="BM5" s="39">
        <f>_xll.BDP(BL5,BM4)</f>
        <v>111.193</v>
      </c>
      <c r="BN5" s="39" t="s">
        <v>161</v>
      </c>
      <c r="BO5" s="39">
        <f>_xll.BDP(BN5,BO4)</f>
        <v>101.996</v>
      </c>
      <c r="BP5" s="39" t="s">
        <v>361</v>
      </c>
      <c r="BQ5" s="39">
        <f>_xll.BDP(BP5,BQ4)</f>
        <v>101.099</v>
      </c>
      <c r="BR5" s="39" t="s">
        <v>167</v>
      </c>
      <c r="BS5" s="39">
        <f>_xll.BDP(BR5,BS4)</f>
        <v>99.974999999999994</v>
      </c>
      <c r="BT5" s="39" t="s">
        <v>113</v>
      </c>
      <c r="BU5" s="39">
        <f>_xll.BDP(BT5,BU4)</f>
        <v>103.779</v>
      </c>
      <c r="BV5" s="39" t="s">
        <v>168</v>
      </c>
      <c r="BW5" s="39">
        <f>_xll.BDP(BV5,BW4)</f>
        <v>112.923</v>
      </c>
      <c r="BX5" s="39" t="s">
        <v>171</v>
      </c>
      <c r="BY5" s="39">
        <f>_xll.BDP(BX5,BY4)</f>
        <v>102.41200000000001</v>
      </c>
      <c r="BZ5" s="39" t="s">
        <v>180</v>
      </c>
      <c r="CA5" s="39">
        <f>_xll.BDP(BZ5,CA4)</f>
        <v>121.79900000000001</v>
      </c>
      <c r="CB5" s="39" t="s">
        <v>174</v>
      </c>
      <c r="CC5" s="39">
        <f>_xll.BDP(CB5,CC4)</f>
        <v>116.63200000000001</v>
      </c>
      <c r="CD5" s="39" t="s">
        <v>177</v>
      </c>
      <c r="CE5" s="39">
        <f>_xll.BDP(CD5,CE4)</f>
        <v>107.872</v>
      </c>
      <c r="CF5" s="39"/>
      <c r="CG5" s="39"/>
      <c r="CH5" s="39" t="s">
        <v>284</v>
      </c>
      <c r="CI5" s="39">
        <f>_xll.BDP(CH5,CI4)</f>
        <v>103.714</v>
      </c>
      <c r="CJ5" s="39" t="s">
        <v>181</v>
      </c>
      <c r="CK5" s="39">
        <f>_xll.BDP(CJ5,CK4)</f>
        <v>103.71899999999999</v>
      </c>
      <c r="CL5" s="39"/>
      <c r="CM5" s="39"/>
      <c r="CN5" s="39" t="s">
        <v>183</v>
      </c>
      <c r="CO5" s="39">
        <f>_xll.BDP(CN5,CO4)</f>
        <v>97.962000000000003</v>
      </c>
      <c r="CP5" s="39" t="s">
        <v>187</v>
      </c>
      <c r="CQ5" s="39">
        <f>_xll.BDP(CP5,CQ4)</f>
        <v>107.173</v>
      </c>
      <c r="CR5" s="39"/>
      <c r="CS5" s="39"/>
    </row>
    <row r="6" spans="2:99" hidden="1" outlineLevel="1" x14ac:dyDescent="0.25">
      <c r="D6" s="39" t="s">
        <v>96</v>
      </c>
      <c r="F6" s="39" t="s">
        <v>96</v>
      </c>
      <c r="G6" s="39"/>
      <c r="H6" s="39" t="s">
        <v>96</v>
      </c>
      <c r="I6" s="39"/>
      <c r="J6" s="39" t="s">
        <v>96</v>
      </c>
      <c r="K6" s="39"/>
      <c r="L6" s="39" t="s">
        <v>96</v>
      </c>
      <c r="M6" s="39"/>
      <c r="N6" s="39" t="s">
        <v>96</v>
      </c>
      <c r="O6" s="39"/>
      <c r="P6" s="39" t="s">
        <v>96</v>
      </c>
      <c r="Q6" s="39"/>
      <c r="R6" s="39" t="s">
        <v>96</v>
      </c>
      <c r="S6" s="39"/>
      <c r="T6" s="39" t="s">
        <v>96</v>
      </c>
      <c r="U6" s="39"/>
      <c r="V6" s="39" t="s">
        <v>96</v>
      </c>
      <c r="W6" s="39"/>
      <c r="X6" s="39" t="s">
        <v>96</v>
      </c>
      <c r="Y6" s="39"/>
      <c r="Z6" s="39" t="s">
        <v>96</v>
      </c>
      <c r="AA6" s="39"/>
      <c r="AB6" s="39" t="s">
        <v>96</v>
      </c>
      <c r="AC6" s="39"/>
      <c r="AD6" s="39" t="s">
        <v>96</v>
      </c>
      <c r="AE6" s="39"/>
      <c r="AF6" s="39" t="s">
        <v>96</v>
      </c>
      <c r="AG6" s="39"/>
      <c r="AH6" s="39"/>
      <c r="AI6" s="39"/>
      <c r="AJ6" s="39" t="s">
        <v>96</v>
      </c>
      <c r="AK6" s="39"/>
      <c r="AL6" s="39" t="s">
        <v>96</v>
      </c>
      <c r="AM6" s="39"/>
      <c r="AN6" s="39" t="s">
        <v>96</v>
      </c>
      <c r="AO6" s="39"/>
      <c r="AP6" s="39" t="s">
        <v>96</v>
      </c>
      <c r="AQ6" s="39"/>
      <c r="AR6" s="39"/>
      <c r="AS6" s="39" t="s">
        <v>96</v>
      </c>
      <c r="AT6" s="39"/>
      <c r="AU6" s="39" t="s">
        <v>96</v>
      </c>
      <c r="AV6" s="39"/>
      <c r="AW6" s="39" t="s">
        <v>96</v>
      </c>
      <c r="AX6" s="39"/>
      <c r="AY6" s="39" t="s">
        <v>96</v>
      </c>
      <c r="AZ6" s="39"/>
      <c r="BA6" s="39" t="s">
        <v>96</v>
      </c>
      <c r="BB6" s="39"/>
      <c r="BC6" s="39" t="s">
        <v>96</v>
      </c>
      <c r="BD6" s="39"/>
      <c r="BE6" s="39" t="s">
        <v>96</v>
      </c>
      <c r="BF6" s="39"/>
      <c r="BG6" s="39" t="s">
        <v>96</v>
      </c>
      <c r="BH6" s="39"/>
      <c r="BI6" s="39" t="s">
        <v>96</v>
      </c>
      <c r="BL6" s="39"/>
      <c r="BM6" s="39" t="s">
        <v>160</v>
      </c>
      <c r="BN6" s="39"/>
      <c r="BO6" s="39" t="s">
        <v>160</v>
      </c>
      <c r="BP6" s="39"/>
      <c r="BQ6" s="39" t="s">
        <v>160</v>
      </c>
      <c r="BR6" s="39"/>
      <c r="BS6" s="39" t="s">
        <v>160</v>
      </c>
      <c r="BT6" s="39"/>
      <c r="BU6" s="39" t="s">
        <v>160</v>
      </c>
      <c r="BV6" s="39"/>
      <c r="BW6" s="39" t="s">
        <v>160</v>
      </c>
      <c r="BX6" s="39"/>
      <c r="BY6" s="39" t="s">
        <v>160</v>
      </c>
      <c r="BZ6" s="39"/>
      <c r="CA6" s="39" t="s">
        <v>160</v>
      </c>
      <c r="CB6" s="39"/>
      <c r="CC6" s="39" t="s">
        <v>160</v>
      </c>
      <c r="CD6" s="39"/>
      <c r="CE6" s="39" t="s">
        <v>160</v>
      </c>
      <c r="CF6" s="39"/>
      <c r="CG6" s="39"/>
      <c r="CH6" s="39"/>
      <c r="CI6" s="39" t="s">
        <v>160</v>
      </c>
      <c r="CJ6" s="39"/>
      <c r="CK6" s="39" t="s">
        <v>160</v>
      </c>
      <c r="CL6" s="39"/>
      <c r="CM6" s="39"/>
      <c r="CN6" s="39"/>
      <c r="CO6" s="39" t="s">
        <v>160</v>
      </c>
      <c r="CP6" s="39"/>
      <c r="CQ6" s="39" t="s">
        <v>160</v>
      </c>
      <c r="CR6" s="39"/>
      <c r="CS6" s="39"/>
    </row>
    <row r="7" spans="2:99" collapsed="1" x14ac:dyDescent="0.25">
      <c r="B7" t="s">
        <v>157</v>
      </c>
      <c r="C7" t="str">
        <f>+C5</f>
        <v>au6592599 corp</v>
      </c>
      <c r="D7" s="39">
        <f>_xll.BDP(C7,D6)</f>
        <v>8.4085847493263373</v>
      </c>
      <c r="E7" t="str">
        <f>+E5</f>
        <v>AO1126629 corp</v>
      </c>
      <c r="F7" s="39">
        <f>_xll.BDP(E7,F6)</f>
        <v>6.3337402367379543</v>
      </c>
      <c r="G7" s="39" t="s">
        <v>97</v>
      </c>
      <c r="H7" s="39">
        <f>_xll.BDP(G7,H6)</f>
        <v>21.113839771388754</v>
      </c>
      <c r="I7" s="39" t="str">
        <f>+I5</f>
        <v>AO1652376 corp</v>
      </c>
      <c r="J7" s="39">
        <f>_xll.BDP(I7,J6)</f>
        <v>8.7711752384853217</v>
      </c>
      <c r="K7" s="39" t="str">
        <f>+K5</f>
        <v>aq0125759 corp</v>
      </c>
      <c r="L7" s="39">
        <f>_xll.BDP(K7,L6)</f>
        <v>6.2036124853074179</v>
      </c>
      <c r="M7" s="39" t="str">
        <f>+M5</f>
        <v>AU6889052 corp</v>
      </c>
      <c r="N7" s="39">
        <f>_xll.BDP(M7,N6)</f>
        <v>9.7067513862399668</v>
      </c>
      <c r="O7" s="39" t="str">
        <f>+O5</f>
        <v>ax4642358 corp</v>
      </c>
      <c r="P7" s="39">
        <f>_xll.BDP(O7,P6)</f>
        <v>9.2421192703400905</v>
      </c>
      <c r="Q7" s="39" t="str">
        <f>+Q5</f>
        <v>AL7282349 corp</v>
      </c>
      <c r="R7" s="39">
        <f>_xll.BDP(Q7,R6)</f>
        <v>2.90935129</v>
      </c>
      <c r="S7" s="39" t="str">
        <f>+S5</f>
        <v>AQ2692491 corp</v>
      </c>
      <c r="T7" s="39">
        <f>_xll.BDP(S7,T6)</f>
        <v>11.597311902392397</v>
      </c>
      <c r="U7" s="39" t="str">
        <f>+U5</f>
        <v>AQ2229047 corp</v>
      </c>
      <c r="V7" s="39">
        <f>_xll.BDP(U7,V6)</f>
        <v>4.8133320199999998</v>
      </c>
      <c r="W7" s="39" t="str">
        <f>+W5</f>
        <v>AO0955093 corp</v>
      </c>
      <c r="X7" s="39">
        <f>_xll.BDP(W7,X6)</f>
        <v>3.9335209400000002</v>
      </c>
      <c r="Y7" s="39" t="str">
        <f>+Y5</f>
        <v>AF2041107 corp</v>
      </c>
      <c r="Z7" s="39">
        <f>_xll.BDP(Y7,Z6)</f>
        <v>153.187494141836</v>
      </c>
      <c r="AA7" s="39" t="str">
        <f>+AA5</f>
        <v>AO6542499 corp</v>
      </c>
      <c r="AB7" s="39">
        <f>_xll.BDP(AA7,AB6)</f>
        <v>11.711202401326537</v>
      </c>
      <c r="AC7" s="39" t="str">
        <f>+AC5</f>
        <v>EK9287666 corp</v>
      </c>
      <c r="AD7" s="39">
        <f>_xll.BDP(AC7,AD6)</f>
        <v>5.7156057799999997</v>
      </c>
      <c r="AE7" s="39" t="str">
        <f>+AE5</f>
        <v>ax0971496 corp</v>
      </c>
      <c r="AF7" s="39">
        <f>_xll.BDP(AE7,AF6)</f>
        <v>6.7539304400171734</v>
      </c>
      <c r="AG7" s="39"/>
      <c r="AH7" s="39"/>
      <c r="AI7" s="39" t="str">
        <f>+AI5</f>
        <v>EK7884373 corp</v>
      </c>
      <c r="AJ7" s="39">
        <f>_xll.BDP(AI7,AJ6)</f>
        <v>10.344965294919641</v>
      </c>
      <c r="AK7" s="39" t="str">
        <f>+AK5</f>
        <v>av7264519 corp</v>
      </c>
      <c r="AL7" s="39">
        <f>_xll.BDP(AK7,AL6)</f>
        <v>5.9118557102858382</v>
      </c>
      <c r="AM7" s="39" t="str">
        <f>+AM5</f>
        <v>ao6537143 corp</v>
      </c>
      <c r="AN7" s="39">
        <f>_xll.BDP(AM7,AN6)</f>
        <v>5.5433534199999999</v>
      </c>
      <c r="AO7" s="39" t="str">
        <f>+AO5</f>
        <v>as4470579 corp</v>
      </c>
      <c r="AP7" s="39">
        <f>_xll.BDP(AO7,AP6)</f>
        <v>8.3483610585655104</v>
      </c>
      <c r="AQ7" s="39"/>
      <c r="AR7" s="39" t="str">
        <f>+AR5</f>
        <v>ap2883829 corp</v>
      </c>
      <c r="AS7" s="39">
        <f>_xll.BDP(AR7,AS6)</f>
        <v>6.4446193829834248</v>
      </c>
      <c r="AT7" s="39" t="str">
        <f>+AT5</f>
        <v>al5956845 corp</v>
      </c>
      <c r="AU7" s="39">
        <f>_xll.BDP(AT7,AU6)</f>
        <v>4.8650958299999996</v>
      </c>
      <c r="AV7" s="39" t="str">
        <f>+AV5</f>
        <v>at3081839 corp</v>
      </c>
      <c r="AW7" s="39">
        <f>_xll.BDP(AV7,AW6)</f>
        <v>6.3374131075289064</v>
      </c>
      <c r="AX7" s="39" t="str">
        <f>+AX5</f>
        <v>jk4439317 corp</v>
      </c>
      <c r="AY7" s="39">
        <f>_xll.BDP(AX7,AY6)</f>
        <v>7.4881478226107738</v>
      </c>
      <c r="AZ7" s="39" t="str">
        <f>+AZ5</f>
        <v>at9394434 corp</v>
      </c>
      <c r="BA7" s="39">
        <f>_xll.BDP(AZ7,BA6)</f>
        <v>8.5113803144843239</v>
      </c>
      <c r="BB7" s="39" t="str">
        <f>+BB5</f>
        <v>ap0996078 corp</v>
      </c>
      <c r="BC7" s="39">
        <f>_xll.BDP(BB7,BC6)</f>
        <v>8.5930343455079594</v>
      </c>
      <c r="BD7" s="39" t="str">
        <f>+BD5</f>
        <v>ap8909974 corp</v>
      </c>
      <c r="BE7" s="39">
        <f>_xll.BDP(BD7,BE6)</f>
        <v>7.6442023638710497</v>
      </c>
      <c r="BF7" s="39" t="str">
        <f>+BF5</f>
        <v>as9994474 corp</v>
      </c>
      <c r="BG7" s="39">
        <f>_xll.BDP(BF7,BG6)</f>
        <v>8.3372998614095959</v>
      </c>
      <c r="BH7" s="39" t="str">
        <f>+BH5</f>
        <v>as5835499 corp</v>
      </c>
      <c r="BI7" s="39">
        <f>_xll.BDP(BH7,BI6)</f>
        <v>5.4452045099999999</v>
      </c>
      <c r="BL7" s="39" t="str">
        <f>+BL5</f>
        <v>jk4486045 corp</v>
      </c>
      <c r="BM7" s="39">
        <f>_xll.BDP(BL7,BM6)</f>
        <v>168.26048121719899</v>
      </c>
      <c r="BN7" s="39" t="str">
        <f>+BN5</f>
        <v>au0590557 corp</v>
      </c>
      <c r="BO7" s="39">
        <f>_xll.BDP(BN7,BO6)</f>
        <v>207.369033971118</v>
      </c>
      <c r="BP7" s="39" t="str">
        <f>+BP5</f>
        <v>ap9549274 corp</v>
      </c>
      <c r="BQ7" s="39">
        <f>_xll.BDP(BP7,BQ6)</f>
        <v>210.113478066467</v>
      </c>
      <c r="BR7" s="39" t="str">
        <f>+BR5</f>
        <v>an1132447 corp</v>
      </c>
      <c r="BS7" s="39">
        <f>_xll.BDP(BR7,BS6)</f>
        <v>192.318026702975</v>
      </c>
      <c r="BT7" s="39" t="str">
        <f>+BT5</f>
        <v>AL7282349 corp</v>
      </c>
      <c r="BU7" s="39">
        <f>_xll.BDP(BT7,BU6)</f>
        <v>67.740368901521805</v>
      </c>
      <c r="BV7" s="39" t="str">
        <f>+BV5</f>
        <v>jk3436074 corp</v>
      </c>
      <c r="BW7" s="39">
        <f>_xll.BDP(BV7,BW6)</f>
        <v>83.857512172331099</v>
      </c>
      <c r="BX7" s="39" t="str">
        <f>+BX5</f>
        <v>as3194220 corp</v>
      </c>
      <c r="BY7" s="39">
        <f>_xll.BDP(BX7,BY6)</f>
        <v>202.61787030759501</v>
      </c>
      <c r="BZ7" s="39" t="str">
        <f>+BZ5</f>
        <v>ed5603961 corp</v>
      </c>
      <c r="CA7" s="39">
        <f>_xll.BDP(BZ7,CA6)</f>
        <v>234.27328111749799</v>
      </c>
      <c r="CB7" s="39" t="str">
        <f>+CB5</f>
        <v>jv2587196 corp</v>
      </c>
      <c r="CC7" s="39">
        <f>_xll.BDP(CB7,CC6)</f>
        <v>101.931995596503</v>
      </c>
      <c r="CD7" s="39" t="str">
        <f>+CD5</f>
        <v>jv6007332 corp</v>
      </c>
      <c r="CE7" s="39">
        <f>_xll.BDP(CD7,CE6)</f>
        <v>86.737038123279703</v>
      </c>
      <c r="CF7" s="39"/>
      <c r="CG7" s="39"/>
      <c r="CH7" s="39" t="str">
        <f>+CH5</f>
        <v>am7761993 corp</v>
      </c>
      <c r="CI7" s="39">
        <f>_xll.BDP(CH7,CI6)</f>
        <v>164.60091974580101</v>
      </c>
      <c r="CJ7" s="39" t="str">
        <f>+CJ5</f>
        <v>ao3535017 corp</v>
      </c>
      <c r="CK7" s="39">
        <f>_xll.BDP(CJ7,CK6)</f>
        <v>186.061679824691</v>
      </c>
      <c r="CL7" s="39"/>
      <c r="CM7" s="39"/>
      <c r="CN7" s="39" t="str">
        <f>+CN5</f>
        <v>al0940299 corp</v>
      </c>
      <c r="CO7" s="39">
        <f>_xll.BDP(CN7,CO6)</f>
        <v>132.905453741553</v>
      </c>
      <c r="CP7" s="39" t="str">
        <f>+CP5</f>
        <v>qj9978017 corp</v>
      </c>
      <c r="CQ7" s="39">
        <f>_xll.BDP(CP7,CQ6)</f>
        <v>127.24121569682301</v>
      </c>
      <c r="CR7" s="39"/>
      <c r="CS7" s="39"/>
    </row>
    <row r="8" spans="2:99" x14ac:dyDescent="0.25">
      <c r="B8" t="s">
        <v>245</v>
      </c>
      <c r="H8" s="25"/>
      <c r="I8" s="25"/>
      <c r="J8" s="25"/>
      <c r="K8" s="25"/>
      <c r="L8" s="25"/>
      <c r="M8" s="25"/>
      <c r="N8" s="25"/>
      <c r="O8" s="25"/>
      <c r="P8" s="25"/>
      <c r="Q8" s="25"/>
      <c r="T8" s="25"/>
      <c r="U8" s="25"/>
      <c r="V8" s="25"/>
      <c r="W8" s="25"/>
      <c r="X8" s="26"/>
      <c r="Y8" s="26"/>
      <c r="Z8" s="25"/>
      <c r="AA8" s="25"/>
      <c r="AB8" s="25"/>
      <c r="AC8" s="25"/>
      <c r="AD8" s="25"/>
      <c r="AE8" s="25"/>
      <c r="AI8" s="25"/>
      <c r="AL8" s="25"/>
      <c r="AM8" s="25"/>
      <c r="AP8" s="25"/>
      <c r="AS8" s="25"/>
      <c r="AT8" s="25"/>
      <c r="AW8" s="25"/>
      <c r="AX8" s="25"/>
      <c r="AY8" s="25"/>
      <c r="AZ8" s="25"/>
      <c r="BC8" s="25"/>
      <c r="BD8" s="25"/>
      <c r="BG8" s="25"/>
      <c r="BH8" s="25"/>
      <c r="BI8" s="26"/>
      <c r="BM8">
        <v>3</v>
      </c>
      <c r="BO8">
        <v>3</v>
      </c>
      <c r="BP8" s="25"/>
      <c r="BQ8">
        <v>2</v>
      </c>
      <c r="BR8" s="25"/>
      <c r="BS8">
        <v>2</v>
      </c>
      <c r="BT8" s="25"/>
      <c r="BU8">
        <v>2</v>
      </c>
      <c r="BW8">
        <v>2</v>
      </c>
      <c r="BY8">
        <v>1</v>
      </c>
      <c r="CA8">
        <v>2</v>
      </c>
      <c r="CC8">
        <v>1</v>
      </c>
      <c r="CE8">
        <v>1</v>
      </c>
      <c r="CI8">
        <v>3</v>
      </c>
      <c r="CK8">
        <v>2</v>
      </c>
      <c r="CM8">
        <v>3</v>
      </c>
      <c r="CO8">
        <v>3</v>
      </c>
      <c r="CQ8">
        <v>2</v>
      </c>
    </row>
    <row r="9" spans="2:99" outlineLevel="1" x14ac:dyDescent="0.25">
      <c r="B9" s="12" t="s">
        <v>2</v>
      </c>
      <c r="C9" s="12"/>
      <c r="D9" s="18">
        <v>43465</v>
      </c>
      <c r="E9" s="12"/>
      <c r="F9" s="18">
        <v>43465</v>
      </c>
      <c r="G9" s="18"/>
      <c r="H9" s="18">
        <v>43555</v>
      </c>
      <c r="I9" s="18"/>
      <c r="J9" s="18">
        <v>43555</v>
      </c>
      <c r="K9" s="18"/>
      <c r="L9" s="18">
        <v>43555</v>
      </c>
      <c r="M9" s="18"/>
      <c r="N9" s="18">
        <v>43555</v>
      </c>
      <c r="O9" s="18"/>
      <c r="P9" s="18">
        <v>43465</v>
      </c>
      <c r="Q9" s="18"/>
      <c r="R9" s="18">
        <v>43465</v>
      </c>
      <c r="S9" s="18"/>
      <c r="T9" s="18">
        <v>43555</v>
      </c>
      <c r="U9" s="18"/>
      <c r="V9" s="18"/>
      <c r="W9" s="18"/>
      <c r="X9" s="18">
        <v>43465</v>
      </c>
      <c r="Y9" s="18"/>
      <c r="Z9" s="18">
        <v>43465</v>
      </c>
      <c r="AA9" s="18"/>
      <c r="AB9" s="18">
        <v>43465</v>
      </c>
      <c r="AC9" s="18"/>
      <c r="AD9" s="18">
        <v>43555</v>
      </c>
      <c r="AE9" s="18"/>
      <c r="AF9" s="18">
        <v>43465</v>
      </c>
      <c r="AG9" s="18"/>
      <c r="AH9" s="18">
        <v>43465</v>
      </c>
      <c r="AI9" s="18"/>
      <c r="AJ9" s="18">
        <v>43555</v>
      </c>
      <c r="AK9" s="18"/>
      <c r="AL9" s="18">
        <v>43555</v>
      </c>
      <c r="AM9" s="18"/>
      <c r="AN9" s="18"/>
      <c r="AO9" s="18"/>
      <c r="AP9" s="18">
        <v>43555</v>
      </c>
      <c r="AQ9" s="18">
        <v>43465</v>
      </c>
      <c r="AR9" s="18"/>
      <c r="AS9" s="18"/>
      <c r="AT9" s="18"/>
      <c r="AU9" s="18">
        <v>43465</v>
      </c>
      <c r="AV9" s="18"/>
      <c r="AW9" s="18">
        <v>43465</v>
      </c>
      <c r="AX9" s="18"/>
      <c r="AY9" s="18">
        <v>43555</v>
      </c>
      <c r="AZ9" s="18"/>
      <c r="BA9" s="18">
        <v>43465</v>
      </c>
      <c r="BB9" s="18"/>
      <c r="BC9" s="18">
        <v>43555</v>
      </c>
      <c r="BD9" s="18"/>
      <c r="BE9" s="18">
        <v>43555</v>
      </c>
      <c r="BF9" s="18"/>
      <c r="BG9" s="18">
        <v>43465</v>
      </c>
      <c r="BH9" s="18"/>
      <c r="BI9" s="18">
        <v>43465</v>
      </c>
      <c r="BJ9" s="18"/>
      <c r="BK9" s="18"/>
      <c r="BL9" s="12"/>
      <c r="BM9" s="18">
        <v>43465</v>
      </c>
      <c r="BN9" s="18"/>
      <c r="BO9" s="18">
        <v>43465</v>
      </c>
      <c r="BP9" s="18"/>
      <c r="BQ9" s="18">
        <v>43555</v>
      </c>
      <c r="BR9" s="18"/>
      <c r="BS9" s="18">
        <v>43465</v>
      </c>
      <c r="BT9" s="18"/>
      <c r="BU9" s="18">
        <v>43465</v>
      </c>
      <c r="BV9" s="18"/>
      <c r="BW9" s="18">
        <v>43465</v>
      </c>
      <c r="BX9" s="18"/>
      <c r="BY9" s="18">
        <v>43465</v>
      </c>
      <c r="BZ9" s="18"/>
      <c r="CA9" s="18">
        <v>43465</v>
      </c>
      <c r="CB9" s="18"/>
      <c r="CC9" s="18">
        <v>43465</v>
      </c>
      <c r="CD9" s="18"/>
      <c r="CE9" s="18">
        <v>43465</v>
      </c>
      <c r="CF9" s="18"/>
      <c r="CG9" s="18"/>
      <c r="CH9" s="18"/>
      <c r="CI9" s="18" t="s">
        <v>285</v>
      </c>
      <c r="CJ9" s="18"/>
      <c r="CK9" s="18">
        <v>43465</v>
      </c>
      <c r="CL9" s="18"/>
      <c r="CM9" s="18"/>
      <c r="CN9" s="18"/>
      <c r="CO9" s="18">
        <v>43465</v>
      </c>
      <c r="CP9" s="18"/>
      <c r="CQ9" s="18">
        <v>43465</v>
      </c>
      <c r="CR9" s="18"/>
      <c r="CS9" s="18"/>
      <c r="CT9" s="18"/>
      <c r="CU9" s="18"/>
    </row>
    <row r="10" spans="2:99" outlineLevel="1" x14ac:dyDescent="0.25">
      <c r="B10" t="s">
        <v>359</v>
      </c>
      <c r="D10" s="7">
        <f>1596.494+34.138</f>
        <v>1630.6319999999998</v>
      </c>
      <c r="F10" s="7">
        <f>4031.065+243.112+72.687-686.055-13.318</f>
        <v>3647.4909999999995</v>
      </c>
      <c r="G10" s="7"/>
      <c r="H10" s="7">
        <f>3064-228-399+690-148+89-609+61-38</f>
        <v>2482</v>
      </c>
      <c r="I10" s="7"/>
      <c r="J10" s="7">
        <f>1065.942-96.307+233.04-225.28-2.638+14.365</f>
        <v>989.12199999999996</v>
      </c>
      <c r="K10" s="7"/>
      <c r="L10" s="7">
        <f>891.045+214.569-215.898</f>
        <v>889.71600000000001</v>
      </c>
      <c r="M10" s="7"/>
      <c r="N10" s="7">
        <f>10231-5158+26-345+2162-2489-1230+1268+304+14-117-13</f>
        <v>4653</v>
      </c>
      <c r="O10" s="7"/>
      <c r="P10" s="7">
        <f>1577.937-30.212+65.986+89.781+26.942-64.817+30.212</f>
        <v>1695.829</v>
      </c>
      <c r="Q10" s="7"/>
      <c r="R10" s="7">
        <f>4151-218</f>
        <v>3933</v>
      </c>
      <c r="S10" s="7"/>
      <c r="T10" s="7">
        <f>1422.589-175.248+294.577-340.021+8.206+33.357</f>
        <v>1243.4599999999998</v>
      </c>
      <c r="U10" s="7"/>
      <c r="V10" s="7"/>
      <c r="W10" s="7"/>
      <c r="X10" s="7">
        <f>2176.256-71.878</f>
        <v>2104.3779999999997</v>
      </c>
      <c r="Y10" s="7"/>
      <c r="Z10" s="7">
        <f>1240+84-109</f>
        <v>1215</v>
      </c>
      <c r="AA10" s="7"/>
      <c r="AB10" s="7"/>
      <c r="AC10" s="7"/>
      <c r="AD10" s="7">
        <f>2002.45-35.177+491.935-515.372+6.975-1.64</f>
        <v>1949.171</v>
      </c>
      <c r="AE10" s="7"/>
      <c r="AF10" s="7">
        <f>581.644</f>
        <v>581.64400000000001</v>
      </c>
      <c r="AG10" s="7"/>
      <c r="AH10" s="7">
        <v>886.66600000000005</v>
      </c>
      <c r="AI10" s="7"/>
      <c r="AJ10" s="7">
        <f>1105.775-288.674+208.947-32.688-259.696+59.903</f>
        <v>793.56700000000023</v>
      </c>
      <c r="AK10" s="7"/>
      <c r="AL10" s="7">
        <f>899.599-65.085+173.889+45.719-191.18+10.416</f>
        <v>873.35800000000006</v>
      </c>
      <c r="AM10" s="7"/>
      <c r="AN10" s="7"/>
      <c r="AO10" s="7"/>
      <c r="AP10" s="7">
        <f>2321.9-31.912-554.307-213.528+575.732-473.812-16.729-149.904+7.985+70.594+117.611-71.116</f>
        <v>1582.5140000000004</v>
      </c>
      <c r="AQ10" s="7"/>
      <c r="AR10" s="7"/>
      <c r="AS10" s="7"/>
      <c r="AT10" s="7"/>
      <c r="AU10" s="7">
        <f>1826.431-50.342</f>
        <v>1776.0889999999999</v>
      </c>
      <c r="AV10" s="7"/>
      <c r="AW10" s="7">
        <f>1548.659-260.775</f>
        <v>1287.884</v>
      </c>
      <c r="AX10" s="7"/>
      <c r="AY10" s="7">
        <f>3282.645-131.522+51.192-496.047+748.137+61.731-132.305+24.834-742.599+55.594-14.009-8.925</f>
        <v>2698.7259999999997</v>
      </c>
      <c r="AZ10" s="7"/>
      <c r="BA10" s="7">
        <f>2067.072-426.917-135.803</f>
        <v>1504.3520000000003</v>
      </c>
      <c r="BB10" s="7"/>
      <c r="BC10" s="7">
        <f>3862-1229+24-118+990-920-441+255-32+7+22+2</f>
        <v>2422</v>
      </c>
      <c r="BD10" s="7"/>
      <c r="BE10" s="7">
        <f>1932.6+90.4-248.5+280.6+175.8-428.9-10-181.7+53.2</f>
        <v>1663.5</v>
      </c>
      <c r="BF10" s="7"/>
      <c r="BG10" s="7">
        <f>2081.414-17.17-139.831-61.036</f>
        <v>1863.3770000000002</v>
      </c>
      <c r="BH10" s="7"/>
      <c r="BI10" s="7">
        <f>2025-81-204+182-237</f>
        <v>1685</v>
      </c>
      <c r="BJ10" s="7"/>
      <c r="BK10" s="7"/>
      <c r="BL10" s="7"/>
      <c r="BM10" s="7">
        <f>13382-312-1047+138-545</f>
        <v>11616</v>
      </c>
      <c r="BN10" s="7"/>
      <c r="BO10" s="7">
        <f>7348-103</f>
        <v>7245</v>
      </c>
      <c r="BP10" s="7"/>
      <c r="BQ10" s="7">
        <f>20844-8744+5004-4610-2109+1829</f>
        <v>12214</v>
      </c>
      <c r="BR10" s="7"/>
      <c r="BS10" s="7">
        <f>2339.017-41.964+24.429</f>
        <v>2321.482</v>
      </c>
      <c r="BT10" s="7"/>
      <c r="BU10" s="7">
        <f>4151-218</f>
        <v>3933</v>
      </c>
      <c r="BV10" s="7"/>
      <c r="BW10" s="7">
        <f>38727-14294</f>
        <v>24433</v>
      </c>
      <c r="BX10" s="7"/>
      <c r="BY10" s="7">
        <f>4709.586-13.009+1124.234-1141.028+14.186+5.978</f>
        <v>4699.9469999999992</v>
      </c>
      <c r="BZ10" s="7"/>
      <c r="CA10" s="8">
        <f>5939-519-1100</f>
        <v>4320</v>
      </c>
      <c r="CB10" s="7"/>
      <c r="CC10" s="8">
        <f>10734-4363-608-84</f>
        <v>5679</v>
      </c>
      <c r="CD10" s="8"/>
      <c r="CE10" s="8">
        <f>17275.299-5203.243+165.64-258.906-174.562</f>
        <v>11804.227999999997</v>
      </c>
      <c r="CF10" s="8"/>
      <c r="CG10" s="8"/>
      <c r="CH10" s="8"/>
      <c r="CI10" s="8">
        <f>22252-668+654-150+72</f>
        <v>22160</v>
      </c>
      <c r="CJ10" s="8"/>
      <c r="CK10" s="8">
        <f>6582-319-281</f>
        <v>5982</v>
      </c>
      <c r="CL10" s="8"/>
      <c r="CM10" s="8"/>
      <c r="CN10" s="8"/>
      <c r="CO10" s="8">
        <f>17824+136</f>
        <v>17960</v>
      </c>
      <c r="CP10" s="8"/>
      <c r="CQ10">
        <f>9415-290-3930-270</f>
        <v>4925</v>
      </c>
    </row>
    <row r="11" spans="2:99" outlineLevel="1" x14ac:dyDescent="0.25">
      <c r="B11" t="s">
        <v>4</v>
      </c>
      <c r="D11" s="35">
        <v>843.96299999999997</v>
      </c>
      <c r="F11" s="35">
        <f>+F10-142.234-1792.898-122.305-181.305+49.341+159.181+93.019</f>
        <v>1710.2899999999995</v>
      </c>
      <c r="G11" s="35"/>
      <c r="H11" s="7">
        <f>+H10-912-299-149-233-83-41+212+63+38</f>
        <v>1078</v>
      </c>
      <c r="I11" s="7"/>
      <c r="J11" s="7">
        <f>+J10-161.596-50.591-10.422-68.617-42.031-14.894-24.732+39.273+12.548+27.292</f>
        <v>695.35200000000009</v>
      </c>
      <c r="K11" s="7"/>
      <c r="L11" s="7">
        <f>+L10-83.313-56.523-57.624-63.304+20.67-29.862-16.12-15.024-18.118+16.276+14.173+13.828+14.297+5.494+7.482</f>
        <v>642.04799999999989</v>
      </c>
      <c r="M11" s="7"/>
      <c r="N11" s="59">
        <f>+N10-539-1398-124-280-10+32-132+147-274+356-34+31-103+87-61+6-9</f>
        <v>2348</v>
      </c>
      <c r="O11" s="7"/>
      <c r="P11" s="7">
        <f>+P10-95.139-302.933-32.75-72.412-134.806-112.732-12.033+21.341-69.72</f>
        <v>884.64499999999998</v>
      </c>
      <c r="Q11" s="7"/>
      <c r="R11" s="7">
        <f>+R10-590-305-55-311</f>
        <v>2672</v>
      </c>
      <c r="S11" s="7"/>
      <c r="T11" s="7">
        <f>+T10-489.72-50.002-2.816-104.67-71.495+11.951-125.423-12.045-23.785-18.925+118.356+12.424+27.319+3.263-2.595</f>
        <v>515.2969999999998</v>
      </c>
      <c r="U11" s="7"/>
      <c r="V11" s="7"/>
      <c r="W11" s="7"/>
      <c r="X11" s="7">
        <f>+X10-204.975-132.661-26.113-64.554+26.764-221.732+101.299-99.223</f>
        <v>1483.1829999999995</v>
      </c>
      <c r="Y11" s="7"/>
      <c r="Z11" s="7">
        <v>813</v>
      </c>
      <c r="AA11" s="7"/>
      <c r="AB11" s="7"/>
      <c r="AC11" s="7"/>
      <c r="AD11" s="7">
        <f>+AD10-688.1-33.132-67.537-0.469-78.27+18.84-187.701-8.086-13.99-1.74-11.921+2.563-2.821+177.79+7.185+14.643+13.454+1.838</f>
        <v>1091.7169999999994</v>
      </c>
      <c r="AE11" s="7"/>
      <c r="AF11" s="7">
        <f>+AF10-42.406-34.642-122.472+83.346</f>
        <v>465.47000000000008</v>
      </c>
      <c r="AG11" s="7"/>
      <c r="AH11" s="7">
        <f>+AH10-224.727-6.955-99.856+31.43-29.96-137.942+35.23+72.881-0.045</f>
        <v>526.72199999999998</v>
      </c>
      <c r="AI11" s="7"/>
      <c r="AJ11" s="7">
        <f>+AJ10-91.289-49.457-11.704-2.872-96.138-22.609-7.219-4.759-1.603-21.519+21.951+11.812+0.693+24.725</f>
        <v>543.57900000000018</v>
      </c>
      <c r="AK11" s="7"/>
      <c r="AL11" s="7">
        <f>+AL10-76.138-92.966-24.609-69.308+17.2-30.386-19.665-31.163-9.316-18.29+17.791+22.148+4.22+17.926+4.587-4.179-10.178+5.657</f>
        <v>576.68900000000031</v>
      </c>
      <c r="AM11" s="7"/>
      <c r="AN11" s="7"/>
      <c r="AO11" s="7"/>
      <c r="AP11" s="7">
        <f>+AP10-193.912-41.2-107.193-133.696-121.346+29.273-21.703-58.444-6.97-34.95-29.618-34.459+44.781+7.387+21.013+31+27.94+9.013-6.754-10.203-3.911</f>
        <v>948.56200000000035</v>
      </c>
      <c r="AQ11" s="7"/>
      <c r="AR11" s="7"/>
      <c r="AS11" s="7"/>
      <c r="AT11" s="7"/>
      <c r="AU11" s="7">
        <f>+AU10-144.292-32.573-108.342-19.863+19.877-47.644-150.955</f>
        <v>1292.2969999999998</v>
      </c>
      <c r="AV11" s="7"/>
      <c r="AW11" s="7">
        <v>868.3</v>
      </c>
      <c r="AX11" s="7"/>
      <c r="AY11" s="7">
        <f>+AY10-139.531-1117.816-46.149-209.812-33.227-302.655-11.31-46.638+38.122+244.628+9.926+68.417</f>
        <v>1152.6809999999994</v>
      </c>
      <c r="AZ11" s="7"/>
      <c r="BA11" s="7">
        <f>+BA10-487.367-116.504+23.908-18.328</f>
        <v>906.06100000000038</v>
      </c>
      <c r="BB11" s="7"/>
      <c r="BC11" s="7">
        <f>+BC10-785-209-89-441-165-37+255+189+55</f>
        <v>1195</v>
      </c>
      <c r="BD11" s="7"/>
      <c r="BE11" s="7">
        <f>974.8+119.8-171.9</f>
        <v>922.69999999999993</v>
      </c>
      <c r="BF11" s="7"/>
      <c r="BG11" s="7">
        <f>+BG10-311.895-48.105-171.823-123.25+12.669</f>
        <v>1220.9730000000002</v>
      </c>
      <c r="BH11" s="7"/>
      <c r="BI11" s="7">
        <f>+BI10-272-107-157-182+34</f>
        <v>1001</v>
      </c>
      <c r="BJ11" s="7"/>
      <c r="BK11" s="7"/>
      <c r="BL11" s="7"/>
      <c r="BM11" s="7">
        <f>+BM10-1153-878-1084-826-262</f>
        <v>7413</v>
      </c>
      <c r="BN11" s="7"/>
      <c r="BO11" s="7">
        <f>+BO10-1439-348-215-431</f>
        <v>4812</v>
      </c>
      <c r="BP11" s="7"/>
      <c r="BQ11" s="7">
        <v>2599</v>
      </c>
      <c r="BR11" s="7"/>
      <c r="BS11" s="7">
        <f>+BS10-293.213-200.802-125.169-80.85-15.5</f>
        <v>1605.9480000000001</v>
      </c>
      <c r="BT11" s="7"/>
      <c r="BU11" s="7">
        <f>+BU10-590-305-55-311</f>
        <v>2672</v>
      </c>
      <c r="BV11" s="7"/>
      <c r="BW11" s="7">
        <f>+BW10-5213-1048-375-401</f>
        <v>17396</v>
      </c>
      <c r="BX11" s="7"/>
      <c r="BY11" s="7">
        <f>+BY10-390.423-353.14-191.587-21.639-183.569+47.236-106.966-86.441-49.139-47.617+92.962+80.58+49.297+43.043+12.107-10.916</f>
        <v>3583.7349999999992</v>
      </c>
      <c r="BZ11" s="7"/>
      <c r="CA11" s="8">
        <v>2479</v>
      </c>
      <c r="CB11" s="7"/>
      <c r="CC11" s="8">
        <f>+CC10-2225-650+161</f>
        <v>2965</v>
      </c>
      <c r="CD11" s="8"/>
      <c r="CE11" s="8">
        <f>+CE10+155.337-1282.678-746.876-436.973-426.969-772.481</f>
        <v>8293.5879999999979</v>
      </c>
      <c r="CF11" s="8"/>
      <c r="CG11" s="8"/>
      <c r="CH11" s="8"/>
      <c r="CI11" s="8">
        <f>+CI10-14555-2803-654</f>
        <v>4148</v>
      </c>
      <c r="CJ11" s="8"/>
      <c r="CK11" s="8">
        <f>+CK10-842-575-299-394+53</f>
        <v>3925</v>
      </c>
      <c r="CL11" s="8"/>
      <c r="CM11" s="8"/>
      <c r="CN11" s="8"/>
      <c r="CO11" s="8">
        <f>+CO10-6568-1613-439</f>
        <v>9340</v>
      </c>
      <c r="CP11" s="8"/>
      <c r="CQ11">
        <f>+CQ10-855-284-381-849+658</f>
        <v>3214</v>
      </c>
      <c r="CU11" s="36">
        <f>+(CO11+BM11)-CU17/5+1500</f>
        <v>13166.178161384418</v>
      </c>
    </row>
    <row r="12" spans="2:99" outlineLevel="1" x14ac:dyDescent="0.25">
      <c r="B12" s="1" t="s">
        <v>5</v>
      </c>
      <c r="C12" s="1"/>
      <c r="D12" s="23">
        <f>+D11/D10</f>
        <v>0.51756803497048998</v>
      </c>
      <c r="E12" s="1"/>
      <c r="F12" s="23">
        <f>+F11/F10</f>
        <v>0.46889491982296866</v>
      </c>
      <c r="G12" s="23"/>
      <c r="H12" s="23">
        <f>+H11/H10</f>
        <v>0.43432715551974216</v>
      </c>
      <c r="I12" s="23"/>
      <c r="J12" s="23">
        <f>+J11/J10</f>
        <v>0.70299922557581385</v>
      </c>
      <c r="K12" s="23"/>
      <c r="L12" s="23">
        <f>+L11/L10</f>
        <v>0.72163252093926589</v>
      </c>
      <c r="M12" s="23"/>
      <c r="N12" s="23">
        <f>+N11/N10</f>
        <v>0.50462067483344075</v>
      </c>
      <c r="O12" s="23"/>
      <c r="P12" s="23">
        <f>+P11/P10</f>
        <v>0.52165931824494094</v>
      </c>
      <c r="Q12" s="23"/>
      <c r="R12" s="23">
        <f>+R11/R10</f>
        <v>0.67937960844139333</v>
      </c>
      <c r="S12" s="23"/>
      <c r="T12" s="23">
        <f>+T11/T10</f>
        <v>0.41440577099383968</v>
      </c>
      <c r="U12" s="3"/>
      <c r="V12" s="3"/>
      <c r="W12" s="3"/>
      <c r="X12" s="3">
        <f>+X11/X10</f>
        <v>0.70480826163360377</v>
      </c>
      <c r="Y12" s="3"/>
      <c r="Z12" s="3">
        <f>+Z11/Z10</f>
        <v>0.66913580246913584</v>
      </c>
      <c r="AA12" s="3"/>
      <c r="AB12" s="3"/>
      <c r="AC12" s="3"/>
      <c r="AD12" s="3">
        <f>+AD11/AD10</f>
        <v>0.56009298311948996</v>
      </c>
      <c r="AE12" s="3"/>
      <c r="AF12" s="3">
        <f>+AF11/AF10</f>
        <v>0.8002661421763142</v>
      </c>
      <c r="AG12" s="3"/>
      <c r="AH12" s="3">
        <f>+AH11/AH10</f>
        <v>0.59404781507354509</v>
      </c>
      <c r="AI12" s="3"/>
      <c r="AJ12" s="3">
        <f>+AJ11/AJ10</f>
        <v>0.68498186038481945</v>
      </c>
      <c r="AK12" s="3"/>
      <c r="AL12" s="3">
        <f>+AL11/AL10</f>
        <v>0.66031226598943416</v>
      </c>
      <c r="AM12" s="3"/>
      <c r="AN12" s="3"/>
      <c r="AO12" s="3"/>
      <c r="AP12" s="3">
        <f>+AP11/AP10</f>
        <v>0.59940196421643044</v>
      </c>
      <c r="AQ12" s="3"/>
      <c r="AR12" s="3"/>
      <c r="AS12" s="3"/>
      <c r="AT12" s="3"/>
      <c r="AU12" s="3">
        <f>+AU11/AU10</f>
        <v>0.72760824485709885</v>
      </c>
      <c r="AV12" s="3"/>
      <c r="AW12" s="3">
        <f>+AW11/AW10</f>
        <v>0.67420668321059962</v>
      </c>
      <c r="AX12" s="3"/>
      <c r="AY12" s="3">
        <f>+AY11/AY10</f>
        <v>0.42712042645307435</v>
      </c>
      <c r="AZ12" s="3"/>
      <c r="BA12" s="3">
        <f>+BA11/BA10</f>
        <v>0.60229321329050656</v>
      </c>
      <c r="BB12" s="3"/>
      <c r="BC12" s="3">
        <f>+BC11/BC10</f>
        <v>0.49339388934764655</v>
      </c>
      <c r="BD12" s="3"/>
      <c r="BE12" s="3">
        <f>+BE11/BE10</f>
        <v>0.55467388037270815</v>
      </c>
      <c r="BF12" s="3"/>
      <c r="BG12" s="3">
        <f>+BG11/BG10</f>
        <v>0.65524743516744066</v>
      </c>
      <c r="BH12" s="3"/>
      <c r="BI12" s="3">
        <f>+BI11/BI10</f>
        <v>0.59406528189910979</v>
      </c>
      <c r="BJ12" s="3"/>
      <c r="BK12" s="3"/>
      <c r="BM12" s="3">
        <f>+BM11/BM10</f>
        <v>0.63817148760330578</v>
      </c>
      <c r="BN12" s="3"/>
      <c r="BO12" s="3">
        <f>+BO11/BO10</f>
        <v>0.66418219461697725</v>
      </c>
      <c r="BQ12" s="3">
        <f>+BQ11/BQ10</f>
        <v>0.2127886032421811</v>
      </c>
      <c r="BS12" s="3">
        <f>+BS11/BS10</f>
        <v>0.69177706310020937</v>
      </c>
      <c r="BT12" s="23"/>
      <c r="BU12" s="49">
        <f>+BU11/BU10</f>
        <v>0.67937960844139333</v>
      </c>
      <c r="BV12" s="3"/>
      <c r="BW12" s="3">
        <f>+BW11/BW10</f>
        <v>0.71198788523717926</v>
      </c>
      <c r="BX12" s="3"/>
      <c r="BY12" s="3">
        <f>+BY11/BY10</f>
        <v>0.76250540697586588</v>
      </c>
      <c r="BZ12" s="3"/>
      <c r="CA12" s="50">
        <f>+CA11/CA10</f>
        <v>0.57384259259259263</v>
      </c>
      <c r="CB12" s="3"/>
      <c r="CC12" s="50">
        <f>+CC11/CC10</f>
        <v>0.522098961084698</v>
      </c>
      <c r="CD12" s="3"/>
      <c r="CE12" s="3">
        <f>+CE11/CE10</f>
        <v>0.70259469742536318</v>
      </c>
      <c r="CF12" s="3"/>
      <c r="CG12" s="3"/>
      <c r="CH12" s="3"/>
      <c r="CI12" s="3">
        <f>+CI11/CI10</f>
        <v>0.1871841155234657</v>
      </c>
      <c r="CJ12" s="3"/>
      <c r="CK12" s="3">
        <f>+CK11/CK10</f>
        <v>0.65613507188231357</v>
      </c>
      <c r="CL12" s="3"/>
      <c r="CM12" s="3"/>
      <c r="CN12" s="3"/>
      <c r="CO12" s="3">
        <f>+CO11/CO10</f>
        <v>0.52004454342984407</v>
      </c>
      <c r="CP12" s="3"/>
      <c r="CQ12" s="3">
        <f>+CQ11/CQ10</f>
        <v>0.6525888324873097</v>
      </c>
    </row>
    <row r="13" spans="2:99" outlineLevel="1" x14ac:dyDescent="0.25"/>
    <row r="14" spans="2:99" outlineLevel="1" x14ac:dyDescent="0.25">
      <c r="B14" t="s">
        <v>6</v>
      </c>
      <c r="D14" s="7">
        <f>2582.82-4.243-15.079</f>
        <v>2563.498</v>
      </c>
      <c r="F14" s="7">
        <f>4800.09+9+32.43-1.52</f>
        <v>4840</v>
      </c>
      <c r="G14" s="7"/>
      <c r="H14" s="7">
        <v>5269</v>
      </c>
      <c r="I14" s="7"/>
      <c r="J14" s="7">
        <f>1714.764+3.847+6.532</f>
        <v>1725.1429999999998</v>
      </c>
      <c r="K14" s="7"/>
      <c r="L14" s="7">
        <v>900</v>
      </c>
      <c r="M14" s="7"/>
      <c r="N14" s="7">
        <v>9978</v>
      </c>
      <c r="O14" s="7"/>
      <c r="P14" s="7">
        <v>2378.2049999999999</v>
      </c>
      <c r="Q14" s="7"/>
      <c r="R14" s="7">
        <v>4194</v>
      </c>
      <c r="S14" s="7"/>
      <c r="T14" s="7">
        <v>2525.6909999999998</v>
      </c>
      <c r="U14" s="7"/>
      <c r="V14" s="7"/>
      <c r="W14" s="7"/>
      <c r="X14" s="7">
        <f>4464.338+26.645-10.483</f>
        <v>4480.5</v>
      </c>
      <c r="Y14" s="7"/>
      <c r="Z14" s="7">
        <v>4438</v>
      </c>
      <c r="AA14" s="7"/>
      <c r="AB14" s="7"/>
      <c r="AC14" s="7"/>
      <c r="AD14" s="7">
        <f>600+500+500+80</f>
        <v>1680</v>
      </c>
      <c r="AE14" s="7"/>
      <c r="AF14" s="7">
        <v>500</v>
      </c>
      <c r="AG14" s="7"/>
      <c r="AH14" s="7">
        <v>2120.547</v>
      </c>
      <c r="AI14" s="7"/>
      <c r="AJ14" s="7">
        <v>1070</v>
      </c>
      <c r="AK14" s="7"/>
      <c r="AL14" s="7">
        <f>220+1050+140</f>
        <v>1410</v>
      </c>
      <c r="AM14" s="7"/>
      <c r="AN14" s="7"/>
      <c r="AO14" s="7"/>
      <c r="AP14" s="7">
        <f>2791.333+19.692+66.384</f>
        <v>2877.4090000000001</v>
      </c>
      <c r="AQ14" s="7"/>
      <c r="AR14" s="7"/>
      <c r="AS14" s="7"/>
      <c r="AT14" s="7"/>
      <c r="AU14" s="7">
        <v>2204.2020000000002</v>
      </c>
      <c r="AV14" s="7"/>
      <c r="AW14" s="7">
        <f>200+400+600+32.5</f>
        <v>1232.5</v>
      </c>
      <c r="AX14" s="7"/>
      <c r="AY14" s="7">
        <v>3821.3290000000002</v>
      </c>
      <c r="AZ14" s="7"/>
      <c r="BA14" s="7">
        <v>2476.7959999999998</v>
      </c>
      <c r="BB14" s="7"/>
      <c r="BC14" s="7">
        <v>2342</v>
      </c>
      <c r="BD14" s="7"/>
      <c r="BE14" s="7">
        <v>2099.3000000000002</v>
      </c>
      <c r="BF14" s="7"/>
      <c r="BG14" s="7">
        <v>2843.98</v>
      </c>
      <c r="BH14" s="7"/>
      <c r="BI14" s="7">
        <v>2509</v>
      </c>
      <c r="BJ14" s="7"/>
      <c r="BK14" s="7"/>
      <c r="BL14" s="7"/>
      <c r="BM14" s="7">
        <v>12793</v>
      </c>
      <c r="BN14" s="7"/>
      <c r="BO14" s="7">
        <v>8204</v>
      </c>
      <c r="BP14" s="7"/>
      <c r="BQ14" s="7">
        <v>8453</v>
      </c>
      <c r="BR14" s="7"/>
      <c r="BS14" s="7">
        <v>1500</v>
      </c>
      <c r="BT14" s="7"/>
      <c r="BU14" s="7">
        <v>4194</v>
      </c>
      <c r="BV14" s="7"/>
      <c r="BW14" s="7">
        <v>14968</v>
      </c>
      <c r="BX14" s="7"/>
      <c r="BY14" s="7">
        <v>5769.0249999999996</v>
      </c>
      <c r="BZ14" s="7"/>
      <c r="CA14" s="7">
        <v>4198</v>
      </c>
      <c r="CB14" s="7"/>
      <c r="CC14" s="7">
        <v>6011</v>
      </c>
      <c r="CD14" s="7"/>
      <c r="CE14" s="7">
        <v>6040</v>
      </c>
      <c r="CF14" s="7"/>
      <c r="CG14" s="7"/>
      <c r="CH14" s="7"/>
      <c r="CI14" s="7">
        <f>4114+1433+19</f>
        <v>5566</v>
      </c>
      <c r="CJ14" s="7"/>
      <c r="CK14" s="7">
        <v>5536</v>
      </c>
      <c r="CL14" s="7"/>
      <c r="CM14" s="7"/>
      <c r="CN14" s="7"/>
      <c r="CO14" s="7">
        <v>10407</v>
      </c>
      <c r="CP14" s="7"/>
      <c r="CQ14" s="7">
        <v>2300</v>
      </c>
      <c r="CU14" s="36">
        <f>+CO14+BM14</f>
        <v>23200</v>
      </c>
    </row>
    <row r="15" spans="2:99" outlineLevel="1" x14ac:dyDescent="0.25">
      <c r="B15" t="s">
        <v>7</v>
      </c>
      <c r="D15" s="6">
        <f>+D14/D11</f>
        <v>3.03745306370066</v>
      </c>
      <c r="F15" s="6">
        <f>+F14/F11</f>
        <v>2.8299294271731701</v>
      </c>
      <c r="G15" s="6"/>
      <c r="H15" s="6">
        <f>+H14/H11</f>
        <v>4.8877551020408161</v>
      </c>
      <c r="I15" s="6"/>
      <c r="J15" s="6">
        <f>+J14/J11</f>
        <v>2.4809635982926626</v>
      </c>
      <c r="K15" s="6"/>
      <c r="L15" s="6">
        <f>+L14/L11</f>
        <v>1.401764354066986</v>
      </c>
      <c r="M15" s="6"/>
      <c r="N15" s="6">
        <f>+N14/N11</f>
        <v>4.2495741056218055</v>
      </c>
      <c r="O15" s="6"/>
      <c r="P15" s="6">
        <f>+P14/P11</f>
        <v>2.6883156520412141</v>
      </c>
      <c r="Q15" s="6"/>
      <c r="R15" s="6">
        <f>+R14/R11</f>
        <v>1.5696107784431137</v>
      </c>
      <c r="S15" s="6"/>
      <c r="T15" s="6">
        <f>+T14/T11</f>
        <v>4.9014277203243966</v>
      </c>
      <c r="U15" s="6"/>
      <c r="V15" s="6"/>
      <c r="W15" s="6"/>
      <c r="X15" s="6">
        <f>+X14/X11</f>
        <v>3.020867957628965</v>
      </c>
      <c r="Y15" s="6"/>
      <c r="Z15" s="6">
        <f>+Z14/Z11</f>
        <v>5.4587945879458797</v>
      </c>
      <c r="AA15" s="6"/>
      <c r="AB15" s="6"/>
      <c r="AC15" s="6"/>
      <c r="AD15" s="6">
        <f>+AD14/AD11</f>
        <v>1.5388603456756658</v>
      </c>
      <c r="AE15" s="6"/>
      <c r="AF15" s="6">
        <f>+AF14/AF11</f>
        <v>1.0741830837647968</v>
      </c>
      <c r="AG15" s="6"/>
      <c r="AH15" s="6">
        <f>+AH14/AH11</f>
        <v>4.0259320856163212</v>
      </c>
      <c r="AI15" s="6"/>
      <c r="AJ15" s="6">
        <f>+AJ14/AJ11</f>
        <v>1.9684351308641423</v>
      </c>
      <c r="AK15" s="6"/>
      <c r="AL15" s="6">
        <f>+AL14/AL11</f>
        <v>2.4449920147601207</v>
      </c>
      <c r="AM15" s="6"/>
      <c r="AN15" s="6"/>
      <c r="AO15" s="6"/>
      <c r="AP15" s="6">
        <f>+AP14/AP11</f>
        <v>3.033443254104633</v>
      </c>
      <c r="AQ15" s="6"/>
      <c r="AR15" s="6"/>
      <c r="AS15" s="6"/>
      <c r="AT15" s="6"/>
      <c r="AU15" s="6">
        <f>+AU14/AU11</f>
        <v>1.7056466121951848</v>
      </c>
      <c r="AV15" s="6"/>
      <c r="AW15" s="6">
        <f>+AW14/AW11</f>
        <v>1.4194402856155708</v>
      </c>
      <c r="AX15" s="6"/>
      <c r="AY15" s="6">
        <f>+AY14/AY11</f>
        <v>3.3151661214160746</v>
      </c>
      <c r="AZ15" s="6"/>
      <c r="BA15" s="6">
        <f>+BA14/BA11</f>
        <v>2.7335863700126137</v>
      </c>
      <c r="BB15" s="6"/>
      <c r="BC15" s="58">
        <f>+BC14/BC11</f>
        <v>1.9598326359832636</v>
      </c>
      <c r="BD15" s="6"/>
      <c r="BE15" s="6">
        <f>+BE14/BE11</f>
        <v>2.2751706947003365</v>
      </c>
      <c r="BF15" s="6"/>
      <c r="BG15" s="6">
        <f>+BG14/BG11</f>
        <v>2.3292734564973996</v>
      </c>
      <c r="BH15" s="6"/>
      <c r="BI15" s="6">
        <f>+BI14/BI11</f>
        <v>2.5064935064935066</v>
      </c>
      <c r="BJ15" s="6"/>
      <c r="BK15" s="6"/>
      <c r="BM15" s="6">
        <f>+BM14/BM11</f>
        <v>1.7257520571968163</v>
      </c>
      <c r="BN15" s="6"/>
      <c r="BO15" s="6">
        <f>+BO14/BO11</f>
        <v>1.7049044056525353</v>
      </c>
      <c r="BQ15" s="6">
        <f>+BQ14/BQ11</f>
        <v>3.2524047710657946</v>
      </c>
      <c r="BS15" s="6">
        <f>+BS14/BS11</f>
        <v>0.93402775183256237</v>
      </c>
      <c r="BT15" s="6"/>
      <c r="BU15" s="6">
        <f>+BU14/BU11</f>
        <v>1.5696107784431137</v>
      </c>
      <c r="BV15" s="6"/>
      <c r="BW15" s="6">
        <f>+BW14/BW11</f>
        <v>0.86042768452517815</v>
      </c>
      <c r="BX15" s="6"/>
      <c r="BY15" s="6">
        <f>+BY14/BY11</f>
        <v>1.60978002000706</v>
      </c>
      <c r="BZ15" s="6"/>
      <c r="CA15" s="6">
        <f>+CA14/CA11</f>
        <v>1.6934247680516337</v>
      </c>
      <c r="CB15" s="6"/>
      <c r="CC15" s="6">
        <f>+CC14/CC11</f>
        <v>2.027318718381113</v>
      </c>
      <c r="CD15" s="6"/>
      <c r="CE15" s="6">
        <f>+CE14/CE11</f>
        <v>0.72827345655463005</v>
      </c>
      <c r="CF15" s="6"/>
      <c r="CG15" s="6"/>
      <c r="CH15" s="6"/>
      <c r="CI15" s="6">
        <f>+CI14/CI11</f>
        <v>1.3418514946962392</v>
      </c>
      <c r="CJ15" s="6"/>
      <c r="CK15" s="6">
        <f>+CK14/CK11</f>
        <v>1.4104458598726115</v>
      </c>
      <c r="CL15" s="6"/>
      <c r="CM15" s="6"/>
      <c r="CN15" s="6"/>
      <c r="CO15" s="6">
        <f>+CO14/CO11</f>
        <v>1.1142398286937902</v>
      </c>
      <c r="CP15" s="6"/>
      <c r="CQ15" s="6">
        <f>+CQ14/CQ11</f>
        <v>0.71561916614810206</v>
      </c>
      <c r="CU15">
        <f>0.75*38090</f>
        <v>28567.5</v>
      </c>
    </row>
    <row r="16" spans="2:99" outlineLevel="1" x14ac:dyDescent="0.25">
      <c r="B16" t="s">
        <v>8</v>
      </c>
      <c r="D16" s="6">
        <f>+D11/D22</f>
        <v>13.202186903607295</v>
      </c>
      <c r="F16" s="6">
        <f>+F11/F22</f>
        <v>7.6020659889677589</v>
      </c>
      <c r="G16" s="6"/>
      <c r="H16" s="6">
        <f>+H11/H22</f>
        <v>2.7855297157622738</v>
      </c>
      <c r="I16" s="6"/>
      <c r="J16" s="6">
        <f>+J11/J22</f>
        <v>11.429379181117378</v>
      </c>
      <c r="K16" s="6"/>
      <c r="L16" s="6">
        <f>+L11/L22</f>
        <v>22.275543836519436</v>
      </c>
      <c r="M16" s="6"/>
      <c r="N16" s="6">
        <f>+N11/N22</f>
        <v>5.0822510822510827</v>
      </c>
      <c r="O16" s="6"/>
      <c r="P16" s="6">
        <f>+P11/P22</f>
        <v>6.4303678774178064</v>
      </c>
      <c r="Q16" s="6"/>
      <c r="R16" s="6">
        <f>+R11/R22</f>
        <v>22.64406779661017</v>
      </c>
      <c r="S16" s="6"/>
      <c r="T16" s="6">
        <f>+T11/T22</f>
        <v>2.7586821634875331</v>
      </c>
      <c r="U16" s="6"/>
      <c r="V16" s="6"/>
      <c r="W16" s="6"/>
      <c r="X16" s="6">
        <f>+X11/X22</f>
        <v>16.994167927036067</v>
      </c>
      <c r="Y16" s="6"/>
      <c r="Z16" s="6">
        <f>+Z11/Z22</f>
        <v>2.4124629080118694</v>
      </c>
      <c r="AA16" s="6"/>
      <c r="AB16" s="6"/>
      <c r="AC16" s="6"/>
      <c r="AD16" s="6">
        <f>+AD11/AD22</f>
        <v>11.746218071485437</v>
      </c>
      <c r="AE16" s="6"/>
      <c r="AF16" s="6">
        <f>+AF11/AF22</f>
        <v>18.506281806615778</v>
      </c>
      <c r="AG16" s="6"/>
      <c r="AH16" s="6">
        <f>+AH11/AH22</f>
        <v>5.2059974697556726</v>
      </c>
      <c r="AI16" s="6"/>
      <c r="AJ16" s="6">
        <f>+AJ11/AJ22</f>
        <v>3.3987919941475506</v>
      </c>
      <c r="AK16" s="6"/>
      <c r="AL16" s="6">
        <f>+AL11/AL22</f>
        <v>11.359972421944258</v>
      </c>
      <c r="AM16" s="6"/>
      <c r="AN16" s="6"/>
      <c r="AO16" s="6"/>
      <c r="AP16" s="6">
        <f>+AP11/AP22</f>
        <v>5.700252994164912</v>
      </c>
      <c r="AQ16" s="6"/>
      <c r="AR16" s="6"/>
      <c r="AS16" s="6"/>
      <c r="AT16" s="6"/>
      <c r="AU16" s="6">
        <f>+AU11/AU22</f>
        <v>9.8303438308230611</v>
      </c>
      <c r="AV16" s="6"/>
      <c r="AW16" s="6">
        <f>+AW11/AW22</f>
        <v>14.980762926795602</v>
      </c>
      <c r="AX16" s="6"/>
      <c r="AY16" s="6">
        <f>+AY11/AY22</f>
        <v>5.6194898645683997</v>
      </c>
      <c r="AZ16" s="6"/>
      <c r="BA16" s="6">
        <f>+BA11/BA22</f>
        <v>6.011272034870994</v>
      </c>
      <c r="BB16" s="6"/>
      <c r="BC16" s="6">
        <f>+BC11/BC22</f>
        <v>12.070707070707071</v>
      </c>
      <c r="BD16" s="6"/>
      <c r="BE16" s="6">
        <f>+BE11/BE22</f>
        <v>6.4796348314606735</v>
      </c>
      <c r="BF16" s="6"/>
      <c r="BG16" s="6">
        <f>+BG11/BG22</f>
        <v>7.3211231966613513</v>
      </c>
      <c r="BH16" s="6"/>
      <c r="BI16" s="6">
        <f>+BI11/BI22</f>
        <v>6.1411042944785272</v>
      </c>
      <c r="BJ16" s="6"/>
      <c r="BK16" s="6"/>
      <c r="BM16" s="6">
        <f>+BM11/BM22</f>
        <v>7.8278775079197462</v>
      </c>
      <c r="BN16" s="6"/>
      <c r="BO16" s="6">
        <f>+BO11/BO22</f>
        <v>11.970149253731343</v>
      </c>
      <c r="BQ16" s="6">
        <f>+BQ11/BQ22</f>
        <v>4.3244592346089847</v>
      </c>
      <c r="BS16" s="6">
        <f>+BS11/BS22</f>
        <v>33.902932297494146</v>
      </c>
      <c r="BT16" s="6"/>
      <c r="BU16" s="6">
        <f>+BU11/BU22</f>
        <v>22.64406779661017</v>
      </c>
      <c r="BV16" s="6"/>
      <c r="BW16" s="6">
        <f>+BW11/BW22</f>
        <v>23.668027210884354</v>
      </c>
      <c r="BX16" s="6"/>
      <c r="BY16" s="6">
        <f>+BY11/BY22</f>
        <v>12.57561189578033</v>
      </c>
      <c r="BZ16" s="6"/>
      <c r="CA16" s="6">
        <f>+CA11/CA22</f>
        <v>7.0626780626780628</v>
      </c>
      <c r="CB16" s="6"/>
      <c r="CC16" s="6">
        <f>+CC11/CC22</f>
        <v>5.5628517823639774</v>
      </c>
      <c r="CD16" s="6"/>
      <c r="CE16" s="6">
        <f>+CE11/CE22</f>
        <v>33.844196333839342</v>
      </c>
      <c r="CF16" s="6"/>
      <c r="CG16" s="6"/>
      <c r="CH16" s="6"/>
      <c r="CI16" s="6">
        <f>+CI11/CI22</f>
        <v>13.210191082802547</v>
      </c>
      <c r="CJ16" s="6"/>
      <c r="CK16" s="6">
        <f>+CK11/CK22</f>
        <v>14.537037037037036</v>
      </c>
      <c r="CL16" s="6"/>
      <c r="CM16" s="6"/>
      <c r="CN16" s="6"/>
      <c r="CO16" s="6">
        <f>+CO11/CO22</f>
        <v>24.010282776349616</v>
      </c>
      <c r="CP16" s="6"/>
      <c r="CQ16" s="6">
        <f>+CQ11/CQ22</f>
        <v>25.50793650793651</v>
      </c>
      <c r="CU16" s="5">
        <f>+(CU15+CU14-CU17)/CU11</f>
        <v>2.0000785713318301</v>
      </c>
    </row>
    <row r="17" spans="2:99" outlineLevel="1" x14ac:dyDescent="0.25">
      <c r="B17" t="s">
        <v>9</v>
      </c>
      <c r="D17" s="7"/>
      <c r="E17">
        <v>-335544.32000000001</v>
      </c>
      <c r="F17" s="7">
        <f>2500-405-685+245.979</f>
        <v>1655.979</v>
      </c>
      <c r="G17" s="7"/>
      <c r="H17" s="7">
        <f>43+256</f>
        <v>299</v>
      </c>
      <c r="I17" s="7"/>
      <c r="J17" s="7">
        <f>2.173+1250-825.143</f>
        <v>427.03</v>
      </c>
      <c r="K17" s="7"/>
      <c r="L17" s="7">
        <f>799.2+89.482</f>
        <v>888.68200000000002</v>
      </c>
      <c r="M17" s="7"/>
      <c r="N17" s="7">
        <f>8+2097+565</f>
        <v>2670</v>
      </c>
      <c r="O17" s="7"/>
      <c r="P17" s="7">
        <f>1289.604+17.198</f>
        <v>1306.8020000000001</v>
      </c>
      <c r="Q17" s="7"/>
      <c r="R17" s="7">
        <v>1800</v>
      </c>
      <c r="S17" s="7"/>
      <c r="T17" s="35">
        <f>560.5+5.749</f>
        <v>566.24900000000002</v>
      </c>
      <c r="U17" s="7"/>
      <c r="V17" s="7"/>
      <c r="W17" s="7"/>
      <c r="X17" s="7">
        <f>214.516+2000-1500</f>
        <v>714.51600000000008</v>
      </c>
      <c r="Y17" s="7"/>
      <c r="Z17" s="7">
        <f>510+27</f>
        <v>537</v>
      </c>
      <c r="AA17" s="7"/>
      <c r="AB17" s="7"/>
      <c r="AC17" s="7"/>
      <c r="AD17" s="7">
        <f>1316.466+38.123</f>
        <v>1354.5889999999999</v>
      </c>
      <c r="AE17" s="7"/>
      <c r="AF17" s="7"/>
      <c r="AG17" s="7"/>
      <c r="AH17" s="7">
        <v>623.51499999999999</v>
      </c>
      <c r="AI17" s="7"/>
      <c r="AJ17" s="7">
        <f>1100-270-14.7+44.544</f>
        <v>859.84399999999994</v>
      </c>
      <c r="AK17" s="7"/>
      <c r="AL17" s="7">
        <f>500-140-13.6+250-220-16.2+46.712</f>
        <v>406.91199999999998</v>
      </c>
      <c r="AM17" s="7"/>
      <c r="AN17" s="7"/>
      <c r="AO17" s="7"/>
      <c r="AP17" s="7">
        <f>1350-493-14+15.442</f>
        <v>858.44200000000001</v>
      </c>
      <c r="AQ17" s="7"/>
      <c r="AR17" s="7"/>
      <c r="AS17" s="7"/>
      <c r="AT17" s="7"/>
      <c r="AU17" s="7">
        <v>1154.2</v>
      </c>
      <c r="AV17" s="7"/>
      <c r="AW17" s="7">
        <f>1300-32.5+1.4</f>
        <v>1268.9000000000001</v>
      </c>
      <c r="AX17" s="7"/>
      <c r="AY17" s="7">
        <f>825.2+488</f>
        <v>1313.2</v>
      </c>
      <c r="AZ17" s="7"/>
      <c r="BA17" s="7">
        <f>77.965+999.8</f>
        <v>1077.7649999999999</v>
      </c>
      <c r="BB17" s="7"/>
      <c r="BC17" s="7">
        <f>2000-172+366</f>
        <v>2194</v>
      </c>
      <c r="BD17" s="7"/>
      <c r="BE17" s="7">
        <f>1250-1.3+89.9</f>
        <v>1338.6000000000001</v>
      </c>
      <c r="BF17" s="7"/>
      <c r="BG17" s="7">
        <f>14+1750</f>
        <v>1764</v>
      </c>
      <c r="BH17" s="7"/>
      <c r="BI17" s="7">
        <f>1118+3</f>
        <v>1121</v>
      </c>
      <c r="BJ17" s="7"/>
      <c r="BK17" s="7"/>
      <c r="BL17" s="7"/>
      <c r="BM17" s="7">
        <f>1295+3000</f>
        <v>4295</v>
      </c>
      <c r="BN17" s="7"/>
      <c r="BO17" s="7"/>
      <c r="BP17" s="7"/>
      <c r="BQ17" s="7">
        <f>244+1200+3300</f>
        <v>4744</v>
      </c>
      <c r="BR17" s="7"/>
      <c r="BS17" s="7">
        <f>800.666+997.5</f>
        <v>1798.1660000000002</v>
      </c>
      <c r="BT17" s="7"/>
      <c r="BU17" s="7">
        <v>1800</v>
      </c>
      <c r="BV17" s="7"/>
      <c r="BW17" s="7">
        <f>6151+6000</f>
        <v>12151</v>
      </c>
      <c r="BX17" s="7"/>
      <c r="BY17" s="7">
        <f>1500+264.371</f>
        <v>1764.3710000000001</v>
      </c>
      <c r="BZ17" s="7"/>
      <c r="CA17" s="7">
        <v>5058</v>
      </c>
      <c r="CB17" s="7"/>
      <c r="CC17" s="7">
        <f>3000-48+2414</f>
        <v>5366</v>
      </c>
      <c r="CD17" s="7"/>
      <c r="CE17" s="7">
        <f>2000+1555.634</f>
        <v>3555.634</v>
      </c>
      <c r="CF17" s="7"/>
      <c r="CG17" s="10"/>
      <c r="CH17" s="10"/>
      <c r="CI17" s="10">
        <f>2000+2866</f>
        <v>4866</v>
      </c>
      <c r="CJ17" s="10"/>
      <c r="CK17" s="7">
        <v>4900</v>
      </c>
      <c r="CL17" s="7"/>
      <c r="CM17" s="7"/>
      <c r="CN17" s="7"/>
      <c r="CO17" s="7">
        <f>3033+2000</f>
        <v>5033</v>
      </c>
      <c r="CP17" s="7"/>
      <c r="CQ17" s="7">
        <f>1500+826</f>
        <v>2326</v>
      </c>
      <c r="CU17">
        <v>25434.109193077915</v>
      </c>
    </row>
    <row r="18" spans="2:99" outlineLevel="1" x14ac:dyDescent="0.25"/>
    <row r="19" spans="2:99" outlineLevel="1" x14ac:dyDescent="0.25">
      <c r="B19" s="12" t="s">
        <v>10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2:99" outlineLevel="1" x14ac:dyDescent="0.25">
      <c r="B20" t="s">
        <v>11</v>
      </c>
      <c r="D20" s="7">
        <f>+D11</f>
        <v>843.96299999999997</v>
      </c>
      <c r="F20" s="7">
        <f>+F11</f>
        <v>1710.2899999999995</v>
      </c>
      <c r="G20" s="7"/>
      <c r="H20" s="7">
        <f>+H11</f>
        <v>1078</v>
      </c>
      <c r="I20" s="7"/>
      <c r="J20" s="7">
        <f>+J11</f>
        <v>695.35200000000009</v>
      </c>
      <c r="K20" s="7"/>
      <c r="L20" s="7">
        <f>+L11</f>
        <v>642.04799999999989</v>
      </c>
      <c r="M20" s="7"/>
      <c r="N20" s="7">
        <f>+N11</f>
        <v>2348</v>
      </c>
      <c r="O20" s="7"/>
      <c r="P20" s="7">
        <f>+P11</f>
        <v>884.64499999999998</v>
      </c>
      <c r="Q20" s="7"/>
      <c r="R20" s="19">
        <f>+R11</f>
        <v>2672</v>
      </c>
      <c r="S20" s="19"/>
      <c r="T20" s="19">
        <f>+T11</f>
        <v>515.2969999999998</v>
      </c>
      <c r="U20" s="19"/>
      <c r="V20" s="19"/>
      <c r="W20" s="19"/>
      <c r="X20" s="19">
        <f>+X11</f>
        <v>1483.1829999999995</v>
      </c>
      <c r="Y20" s="19"/>
      <c r="Z20" s="19">
        <f>+Z11</f>
        <v>813</v>
      </c>
      <c r="AA20" s="19"/>
      <c r="AB20" s="19"/>
      <c r="AC20" s="19"/>
      <c r="AD20" s="19">
        <f>+AD11</f>
        <v>1091.7169999999994</v>
      </c>
      <c r="AE20" s="19"/>
      <c r="AF20" s="19">
        <f>+AF11</f>
        <v>465.47000000000008</v>
      </c>
      <c r="AG20" s="19"/>
      <c r="AH20" s="19">
        <f>+AH11</f>
        <v>526.72199999999998</v>
      </c>
      <c r="AI20" s="19"/>
      <c r="AJ20" s="19">
        <f>+AJ11</f>
        <v>543.57900000000018</v>
      </c>
      <c r="AK20" s="19"/>
      <c r="AL20" s="19">
        <f>+AL11</f>
        <v>576.68900000000031</v>
      </c>
      <c r="AM20" s="19"/>
      <c r="AN20" s="19"/>
      <c r="AO20" s="19"/>
      <c r="AP20" s="19">
        <f>+AP11</f>
        <v>948.56200000000035</v>
      </c>
      <c r="AQ20" s="19"/>
      <c r="AR20" s="19"/>
      <c r="AS20" s="19"/>
      <c r="AT20" s="19"/>
      <c r="AU20" s="19">
        <f>+AU11</f>
        <v>1292.2969999999998</v>
      </c>
      <c r="AV20" s="19"/>
      <c r="AW20" s="19">
        <f>+AW11</f>
        <v>868.3</v>
      </c>
      <c r="AX20" s="19"/>
      <c r="AY20" s="19">
        <f>+AY11</f>
        <v>1152.6809999999994</v>
      </c>
      <c r="AZ20" s="19"/>
      <c r="BA20" s="19">
        <f>+BA11</f>
        <v>906.06100000000038</v>
      </c>
      <c r="BB20" s="19"/>
      <c r="BC20" s="19">
        <f>+BC11</f>
        <v>1195</v>
      </c>
      <c r="BD20" s="19"/>
      <c r="BE20" s="19">
        <f>+BE11</f>
        <v>922.69999999999993</v>
      </c>
      <c r="BF20" s="19"/>
      <c r="BG20" s="19">
        <f>+BG11</f>
        <v>1220.9730000000002</v>
      </c>
      <c r="BH20" s="19"/>
      <c r="BI20" s="19">
        <f>+BI11</f>
        <v>1001</v>
      </c>
      <c r="BJ20" s="19"/>
      <c r="BK20" s="19"/>
      <c r="BM20" s="7">
        <f>+BM11</f>
        <v>7413</v>
      </c>
      <c r="BN20" s="7"/>
      <c r="BO20" s="7">
        <f>+BO11</f>
        <v>4812</v>
      </c>
      <c r="BP20" s="36"/>
      <c r="BQ20" s="7">
        <f>+BQ11</f>
        <v>2599</v>
      </c>
      <c r="BR20" s="36"/>
      <c r="BS20" s="7">
        <f>+BS11</f>
        <v>1605.9480000000001</v>
      </c>
      <c r="BT20" s="7"/>
      <c r="BU20" s="19">
        <f>+BU11</f>
        <v>2672</v>
      </c>
      <c r="BV20" s="7"/>
      <c r="BW20" s="7">
        <f>+BW11</f>
        <v>17396</v>
      </c>
      <c r="BX20" s="7"/>
      <c r="BY20" s="7">
        <f>+BY11</f>
        <v>3583.7349999999992</v>
      </c>
      <c r="BZ20" s="7"/>
      <c r="CA20" s="7">
        <f>+CA11</f>
        <v>2479</v>
      </c>
      <c r="CB20" s="7"/>
      <c r="CC20" s="7">
        <f>+CC11</f>
        <v>2965</v>
      </c>
      <c r="CD20" s="7"/>
      <c r="CE20" s="7">
        <f>+CE11</f>
        <v>8293.5879999999979</v>
      </c>
      <c r="CF20" s="7"/>
      <c r="CG20" s="7"/>
      <c r="CH20" s="7"/>
      <c r="CI20" s="7">
        <f>+CI11</f>
        <v>4148</v>
      </c>
      <c r="CJ20" s="7"/>
      <c r="CK20" s="7">
        <f>+CK11</f>
        <v>3925</v>
      </c>
      <c r="CL20" s="7"/>
      <c r="CM20" s="7"/>
      <c r="CN20" s="7"/>
      <c r="CO20" s="7">
        <f>+CO11</f>
        <v>9340</v>
      </c>
      <c r="CP20" s="7"/>
      <c r="CQ20" s="7">
        <f>+CQ11</f>
        <v>3214</v>
      </c>
    </row>
    <row r="21" spans="2:99" outlineLevel="1" x14ac:dyDescent="0.25">
      <c r="B21" t="s">
        <v>12</v>
      </c>
      <c r="D21" s="7">
        <v>906.06399999999996</v>
      </c>
      <c r="F21" s="7">
        <v>1743.587</v>
      </c>
      <c r="G21" s="7"/>
      <c r="H21" s="7">
        <f>690+131-139</f>
        <v>682</v>
      </c>
      <c r="I21" s="7"/>
      <c r="J21" s="7">
        <f>968.828+171.042-234.685</f>
        <v>905.18499999999995</v>
      </c>
      <c r="K21" s="7"/>
      <c r="L21" s="7">
        <f>998.242-217.158+250.548</f>
        <v>1031.6320000000001</v>
      </c>
      <c r="M21" s="7"/>
      <c r="N21" s="7">
        <f>1958+515-420</f>
        <v>2053</v>
      </c>
      <c r="O21" s="7"/>
      <c r="P21" s="7">
        <v>1116.3969999999999</v>
      </c>
      <c r="Q21" s="7"/>
      <c r="R21" s="19">
        <v>2496</v>
      </c>
      <c r="S21" s="19"/>
      <c r="T21" s="19">
        <f>316.647+86.986-56.669</f>
        <v>346.964</v>
      </c>
      <c r="U21" s="19"/>
      <c r="V21" s="19"/>
      <c r="W21" s="19"/>
      <c r="X21" s="19">
        <v>1460.509</v>
      </c>
      <c r="Y21" s="19"/>
      <c r="Z21" s="19">
        <v>690</v>
      </c>
      <c r="AA21" s="19"/>
      <c r="AB21" s="19"/>
      <c r="AC21" s="19"/>
      <c r="AD21" s="19">
        <f>493.164+80.996-92.94</f>
        <v>481.21999999999997</v>
      </c>
      <c r="AE21" s="19"/>
      <c r="AF21" s="19">
        <v>706.68899999999996</v>
      </c>
      <c r="AG21" s="19"/>
      <c r="AH21" s="19">
        <f>213.806+301.492-123.199</f>
        <v>392.09899999999999</v>
      </c>
      <c r="AI21" s="19"/>
      <c r="AJ21" s="19">
        <f>673.584+152.729-195.025</f>
        <v>631.28800000000001</v>
      </c>
      <c r="AK21" s="19"/>
      <c r="AL21" s="19">
        <f>1357.802+182.288-183.422</f>
        <v>1356.6679999999999</v>
      </c>
      <c r="AM21" s="19"/>
      <c r="AN21" s="19"/>
      <c r="AO21" s="19"/>
      <c r="AP21" s="19">
        <f>1148.961+237.448--254.838</f>
        <v>1641.2470000000001</v>
      </c>
      <c r="AQ21" s="19"/>
      <c r="AR21" s="19"/>
      <c r="AS21" s="19"/>
      <c r="AT21" s="19"/>
      <c r="AU21" s="19">
        <v>1787.673</v>
      </c>
      <c r="AV21" s="19"/>
      <c r="AW21" s="19">
        <v>946.35</v>
      </c>
      <c r="AX21" s="19"/>
      <c r="AY21" s="19">
        <f>960.916+190.014-308.641</f>
        <v>842.28899999999999</v>
      </c>
      <c r="AZ21" s="19"/>
      <c r="BA21" s="19">
        <v>1303.1880000000001</v>
      </c>
      <c r="BB21" s="19"/>
      <c r="BC21" s="19">
        <f>1290+258-302</f>
        <v>1246</v>
      </c>
      <c r="BD21" s="19"/>
      <c r="BE21" s="19">
        <f>1234.1+164.6-370.7</f>
        <v>1027.9999999999998</v>
      </c>
      <c r="BF21" s="19"/>
      <c r="BG21" s="19">
        <v>813.98099999999999</v>
      </c>
      <c r="BH21" s="19"/>
      <c r="BI21" s="19">
        <v>1476</v>
      </c>
      <c r="BJ21" s="19"/>
      <c r="BK21" s="19"/>
      <c r="BM21" s="7">
        <v>6183</v>
      </c>
      <c r="BN21" s="7"/>
      <c r="BO21" s="7">
        <v>3190</v>
      </c>
      <c r="BQ21" s="7">
        <f>55+1322+11+310-8-521</f>
        <v>1169</v>
      </c>
      <c r="BS21" s="7">
        <v>1566.5830000000001</v>
      </c>
      <c r="BT21" s="7"/>
      <c r="BU21" s="19">
        <v>2496</v>
      </c>
      <c r="BV21" s="7"/>
      <c r="BW21" s="7">
        <v>6750</v>
      </c>
      <c r="BX21" s="7"/>
      <c r="BY21" s="7">
        <f>2840.88+732.77-618.2</f>
        <v>2955.45</v>
      </c>
      <c r="BZ21" s="7"/>
      <c r="CA21" s="7">
        <v>1975</v>
      </c>
      <c r="CB21" s="7"/>
      <c r="CC21" s="7">
        <v>2451</v>
      </c>
      <c r="CD21" s="7"/>
      <c r="CE21" s="7">
        <v>5839.2939999999999</v>
      </c>
      <c r="CF21" s="7"/>
      <c r="CG21" s="7"/>
      <c r="CH21" s="7"/>
      <c r="CI21" s="7">
        <v>3578</v>
      </c>
      <c r="CJ21" s="7"/>
      <c r="CK21" s="7">
        <v>2753</v>
      </c>
      <c r="CL21" s="7"/>
      <c r="CM21" s="7"/>
      <c r="CN21" s="7"/>
      <c r="CO21" s="7">
        <v>4975</v>
      </c>
      <c r="CP21" s="7"/>
      <c r="CQ21" s="7">
        <v>3520</v>
      </c>
    </row>
    <row r="22" spans="2:99" outlineLevel="1" x14ac:dyDescent="0.25">
      <c r="B22" t="s">
        <v>13</v>
      </c>
      <c r="D22" s="7">
        <f>91.197-27.271</f>
        <v>63.926000000000002</v>
      </c>
      <c r="F22" s="7">
        <v>224.977</v>
      </c>
      <c r="G22" s="7"/>
      <c r="H22" s="7">
        <f>379+100-92</f>
        <v>387</v>
      </c>
      <c r="I22" s="7"/>
      <c r="J22" s="7">
        <f>62.413-2.567+16.451-15.517-0.603+0.662</f>
        <v>60.838999999999999</v>
      </c>
      <c r="K22" s="7"/>
      <c r="L22" s="7">
        <f>26.358-1.749+10.16-5.813-0.512+0.379</f>
        <v>28.823000000000008</v>
      </c>
      <c r="M22" s="7"/>
      <c r="N22" s="7">
        <f>487+145-170</f>
        <v>462</v>
      </c>
      <c r="O22" s="7"/>
      <c r="P22" s="7">
        <f>145.934-8.361</f>
        <v>137.57300000000001</v>
      </c>
      <c r="Q22" s="7"/>
      <c r="R22" s="19">
        <v>118</v>
      </c>
      <c r="S22" s="19"/>
      <c r="T22" s="19">
        <f>186.632+17.398-17.239</f>
        <v>186.791</v>
      </c>
      <c r="U22" s="19"/>
      <c r="V22" s="19"/>
      <c r="W22" s="19"/>
      <c r="X22" s="10">
        <v>87.275999999999996</v>
      </c>
      <c r="Y22" s="19"/>
      <c r="Z22" s="19">
        <v>337</v>
      </c>
      <c r="AA22" s="19"/>
      <c r="AB22" s="19"/>
      <c r="AC22" s="19"/>
      <c r="AD22" s="19">
        <f>88.044+25.762-20.864</f>
        <v>92.941999999999993</v>
      </c>
      <c r="AE22" s="19"/>
      <c r="AF22" s="19">
        <v>25.152000000000001</v>
      </c>
      <c r="AG22" s="19"/>
      <c r="AH22" s="19">
        <v>101.176</v>
      </c>
      <c r="AI22" s="19"/>
      <c r="AJ22" s="19">
        <f>57.904+115.547-13.518</f>
        <v>159.93299999999999</v>
      </c>
      <c r="AK22" s="19"/>
      <c r="AL22" s="19">
        <f>41.327+17.929-8.491</f>
        <v>50.765000000000001</v>
      </c>
      <c r="AM22" s="19"/>
      <c r="AN22" s="19"/>
      <c r="AO22" s="19"/>
      <c r="AP22" s="19">
        <f>159.085+44.468-37.146</f>
        <v>166.40699999999998</v>
      </c>
      <c r="AQ22" s="19"/>
      <c r="AR22" s="19"/>
      <c r="AS22" s="19"/>
      <c r="AT22" s="19"/>
      <c r="AU22" s="19">
        <v>131.46</v>
      </c>
      <c r="AV22" s="19"/>
      <c r="AW22" s="19">
        <f>70.73-12.769</f>
        <v>57.961000000000006</v>
      </c>
      <c r="AX22" s="19"/>
      <c r="AY22" s="19">
        <f>205.97+51.537-52.385</f>
        <v>205.12200000000001</v>
      </c>
      <c r="AZ22" s="19"/>
      <c r="BA22" s="19">
        <v>150.727</v>
      </c>
      <c r="BB22" s="19"/>
      <c r="BC22" s="19">
        <f>124+14-39</f>
        <v>99</v>
      </c>
      <c r="BD22" s="19"/>
      <c r="BE22" s="19">
        <f>136.9+31.5-26</f>
        <v>142.4</v>
      </c>
      <c r="BF22" s="19"/>
      <c r="BG22" s="19">
        <f>197.474-30.7</f>
        <v>166.774</v>
      </c>
      <c r="BH22" s="19"/>
      <c r="BI22" s="19">
        <v>163</v>
      </c>
      <c r="BJ22" s="19"/>
      <c r="BK22" s="19"/>
      <c r="BM22" s="7">
        <v>947</v>
      </c>
      <c r="BN22" s="7"/>
      <c r="BO22" s="7">
        <v>402</v>
      </c>
      <c r="BQ22" s="7">
        <f>627+124-150</f>
        <v>601</v>
      </c>
      <c r="BS22" s="7">
        <f>68.224-20.855</f>
        <v>47.369</v>
      </c>
      <c r="BT22" s="7"/>
      <c r="BU22" s="19">
        <v>118</v>
      </c>
      <c r="BV22" s="7"/>
      <c r="BW22" s="7">
        <v>735</v>
      </c>
      <c r="BX22" s="7"/>
      <c r="BY22" s="7">
        <f>293.032+67.837-75.894</f>
        <v>284.97499999999997</v>
      </c>
      <c r="BZ22" s="7"/>
      <c r="CA22" s="7">
        <v>351</v>
      </c>
      <c r="CB22" s="7"/>
      <c r="CC22" s="7">
        <f>594-61</f>
        <v>533</v>
      </c>
      <c r="CD22" s="7"/>
      <c r="CE22" s="7">
        <v>245.05199999999999</v>
      </c>
      <c r="CF22" s="7"/>
      <c r="CG22" s="7"/>
      <c r="CH22" s="7"/>
      <c r="CI22" s="7">
        <v>314</v>
      </c>
      <c r="CJ22" s="7"/>
      <c r="CK22" s="7">
        <v>270</v>
      </c>
      <c r="CL22" s="7"/>
      <c r="CM22" s="7"/>
      <c r="CN22" s="7"/>
      <c r="CO22" s="7">
        <v>389</v>
      </c>
      <c r="CP22" s="7"/>
      <c r="CQ22" s="7">
        <v>126</v>
      </c>
    </row>
    <row r="23" spans="2:99" outlineLevel="1" x14ac:dyDescent="0.25">
      <c r="B23" s="17" t="s">
        <v>18</v>
      </c>
      <c r="C23" s="17"/>
      <c r="D23" s="21">
        <v>0</v>
      </c>
      <c r="E23" s="17"/>
      <c r="F23" s="21">
        <f>-128.857+128.857</f>
        <v>0</v>
      </c>
      <c r="G23" s="21"/>
      <c r="H23" s="21">
        <v>0</v>
      </c>
      <c r="I23" s="21"/>
      <c r="J23" s="21">
        <f>5.173-4.216-179.395-0.319+179.218+0.193</f>
        <v>0.65399999999998437</v>
      </c>
      <c r="K23" s="21"/>
      <c r="L23" s="21">
        <f>59.44-59.44</f>
        <v>0</v>
      </c>
      <c r="M23" s="21"/>
      <c r="N23" s="21">
        <v>0</v>
      </c>
      <c r="O23" s="21"/>
      <c r="P23" s="21">
        <f>215.557-345.56</f>
        <v>-130.00300000000001</v>
      </c>
      <c r="Q23" s="21"/>
      <c r="R23" s="20">
        <v>2</v>
      </c>
      <c r="S23" s="20"/>
      <c r="T23" s="21">
        <f>87.233-103.234-10.759-14.02+9.478+15.052</f>
        <v>-16.249999999999986</v>
      </c>
      <c r="U23" s="21"/>
      <c r="V23" s="21"/>
      <c r="W23" s="21"/>
      <c r="X23" s="21">
        <f>168.362-169.357</f>
        <v>-0.99500000000000455</v>
      </c>
      <c r="Y23" s="21"/>
      <c r="Z23" s="21">
        <v>-9</v>
      </c>
      <c r="AA23" s="21"/>
      <c r="AB23" s="21"/>
      <c r="AC23" s="21"/>
      <c r="AD23" s="21">
        <f>12.434-11.293-0.094-0.11-0.333</f>
        <v>0.60399999999999987</v>
      </c>
      <c r="AE23" s="21"/>
      <c r="AF23" s="21">
        <f>66.475-66.475</f>
        <v>0</v>
      </c>
      <c r="AG23" s="21"/>
      <c r="AH23" s="21">
        <f>43.131-9.145</f>
        <v>33.986000000000004</v>
      </c>
      <c r="AI23" s="21"/>
      <c r="AJ23" s="21">
        <v>-0.80700000000000005</v>
      </c>
      <c r="AK23" s="21"/>
      <c r="AL23" s="21">
        <f>0.455+0-0</f>
        <v>0.45500000000000002</v>
      </c>
      <c r="AM23" s="21"/>
      <c r="AN23" s="21"/>
      <c r="AO23" s="21"/>
      <c r="AP23" s="21">
        <f>-5.843+5.866</f>
        <v>2.2999999999999687E-2</v>
      </c>
      <c r="AQ23" s="21"/>
      <c r="AR23" s="21"/>
      <c r="AS23" s="21"/>
      <c r="AT23" s="21"/>
      <c r="AU23" s="21">
        <f>105.475-105.475</f>
        <v>0</v>
      </c>
      <c r="AV23" s="21"/>
      <c r="AW23" s="21">
        <f>5.406+-6.105</f>
        <v>-0.69900000000000073</v>
      </c>
      <c r="AX23" s="21"/>
      <c r="AY23" s="21">
        <v>0</v>
      </c>
      <c r="AZ23" s="21"/>
      <c r="BA23" s="21">
        <v>-2.9950000000000001</v>
      </c>
      <c r="BB23" s="21"/>
      <c r="BC23" s="21">
        <f>1+0-0</f>
        <v>1</v>
      </c>
      <c r="BD23" s="21"/>
      <c r="BE23" s="21">
        <f>0.8-112+13.9+117.9-14.1</f>
        <v>6.5000000000000089</v>
      </c>
      <c r="BF23" s="21"/>
      <c r="BG23" s="21">
        <v>0</v>
      </c>
      <c r="BH23" s="21"/>
      <c r="BI23" s="21">
        <f>74-84</f>
        <v>-10</v>
      </c>
      <c r="BJ23" s="21"/>
      <c r="BK23" s="21"/>
      <c r="BL23" s="21"/>
      <c r="BM23" s="21">
        <f>733-139</f>
        <v>594</v>
      </c>
      <c r="BN23" s="21"/>
      <c r="BO23" s="21">
        <v>867</v>
      </c>
      <c r="BP23" s="21"/>
      <c r="BQ23" s="21">
        <f>-1010+794+47+158-41-8</f>
        <v>-60</v>
      </c>
      <c r="BR23" s="21"/>
      <c r="BS23" s="21">
        <f>230.656-233.28</f>
        <v>-2.6239999999999952</v>
      </c>
      <c r="BT23" s="21"/>
      <c r="BU23" s="20">
        <v>2</v>
      </c>
      <c r="BV23" s="21"/>
      <c r="BW23" s="21">
        <v>3668</v>
      </c>
      <c r="BX23" s="21"/>
      <c r="BY23" s="21">
        <f>307.102-314.878+51.99-71.536-51.99+71.536</f>
        <v>-7.7760000000000105</v>
      </c>
      <c r="BZ23" s="21"/>
      <c r="CA23" s="21">
        <f>94-149</f>
        <v>-55</v>
      </c>
      <c r="CB23" s="21"/>
      <c r="CC23" s="21">
        <f>156-226</f>
        <v>-70</v>
      </c>
      <c r="CD23" s="21"/>
      <c r="CE23" s="21">
        <f>821.958-894.156</f>
        <v>-72.197999999999979</v>
      </c>
      <c r="CF23" s="21"/>
      <c r="CG23" s="21"/>
      <c r="CH23" s="21"/>
      <c r="CI23" s="21">
        <v>75</v>
      </c>
      <c r="CJ23" s="21"/>
      <c r="CK23" s="21">
        <v>323</v>
      </c>
      <c r="CL23" s="21"/>
      <c r="CM23" s="21"/>
      <c r="CN23" s="21"/>
      <c r="CO23" s="21">
        <v>1477</v>
      </c>
      <c r="CP23" s="21"/>
      <c r="CQ23" s="21">
        <f>276-274</f>
        <v>2</v>
      </c>
    </row>
    <row r="24" spans="2:99" outlineLevel="1" x14ac:dyDescent="0.25">
      <c r="B24" t="s">
        <v>75</v>
      </c>
      <c r="D24" s="19">
        <f>+D20-D21-D22-D23</f>
        <v>-126.027</v>
      </c>
      <c r="F24" s="19">
        <f>+F20-F21-F22-F23</f>
        <v>-258.27400000000046</v>
      </c>
      <c r="G24" s="19"/>
      <c r="H24" s="19">
        <f>+H20-H21-H22-H23</f>
        <v>9</v>
      </c>
      <c r="I24" s="19"/>
      <c r="J24" s="19">
        <f>+J20-J21-J22-J23</f>
        <v>-271.32599999999985</v>
      </c>
      <c r="K24" s="19"/>
      <c r="L24" s="19">
        <f>+L20-L21-L22-L23</f>
        <v>-418.40700000000015</v>
      </c>
      <c r="M24" s="19"/>
      <c r="N24" s="19">
        <f>+N20-N21-N22-N23</f>
        <v>-167</v>
      </c>
      <c r="O24" s="19"/>
      <c r="P24" s="19">
        <f>+P20-P21-P22-P23</f>
        <v>-239.32199999999992</v>
      </c>
      <c r="Q24" s="19"/>
      <c r="R24" s="19">
        <f>+R20-R21-R22-R23</f>
        <v>56</v>
      </c>
      <c r="S24" s="19"/>
      <c r="T24" s="19">
        <f>+T20-T21-T22-T23</f>
        <v>-2.2080000000002116</v>
      </c>
      <c r="U24" s="19"/>
      <c r="V24" s="19"/>
      <c r="W24" s="19"/>
      <c r="X24" s="19">
        <f>+X20-X21-X22-X23</f>
        <v>-63.607000000000468</v>
      </c>
      <c r="Y24" s="19"/>
      <c r="Z24" s="19">
        <f>+Z20-Z21-Z22-Z23</f>
        <v>-205</v>
      </c>
      <c r="AA24" s="19"/>
      <c r="AB24" s="19"/>
      <c r="AC24" s="19"/>
      <c r="AD24" s="19">
        <f>+AD20-AD21-AD22-AD23</f>
        <v>516.95099999999934</v>
      </c>
      <c r="AE24" s="19"/>
      <c r="AF24" s="19">
        <f>+AF20-AF21-AF22-AF23</f>
        <v>-266.37099999999987</v>
      </c>
      <c r="AG24" s="19"/>
      <c r="AH24" s="19">
        <f>+AH20-AH21-AH22-AH23</f>
        <v>-0.53900000000001569</v>
      </c>
      <c r="AI24" s="19"/>
      <c r="AJ24" s="19">
        <f>+AJ20-AJ21-AJ22-AJ23</f>
        <v>-246.83499999999984</v>
      </c>
      <c r="AK24" s="19"/>
      <c r="AL24" s="19">
        <f>+AL20-AL21-AL22-AL23</f>
        <v>-831.19899999999961</v>
      </c>
      <c r="AM24" s="19"/>
      <c r="AN24" s="19"/>
      <c r="AO24" s="19"/>
      <c r="AP24" s="19">
        <f>+AP20-AP21-AP22-AP23</f>
        <v>-859.11499999999967</v>
      </c>
      <c r="AQ24" s="19"/>
      <c r="AR24" s="19"/>
      <c r="AS24" s="19"/>
      <c r="AT24" s="19"/>
      <c r="AU24" s="19">
        <f>+AU20-AU21-AU22-AU23</f>
        <v>-626.83600000000024</v>
      </c>
      <c r="AV24" s="19"/>
      <c r="AW24" s="19">
        <f>+AW20-AW21-AW22-AW23</f>
        <v>-135.31200000000007</v>
      </c>
      <c r="AX24" s="19"/>
      <c r="AY24" s="19">
        <f>+AY20-AY21-AY22-AY23</f>
        <v>105.26999999999936</v>
      </c>
      <c r="AZ24" s="19"/>
      <c r="BA24" s="19">
        <f>+BA20-BA21-BA22-BA23</f>
        <v>-544.8589999999997</v>
      </c>
      <c r="BB24" s="19"/>
      <c r="BC24" s="19">
        <f>+BC20-BC21-BC22-BC23</f>
        <v>-151</v>
      </c>
      <c r="BD24" s="19"/>
      <c r="BE24" s="19">
        <f>+BE20-BE21-BE22-BE23</f>
        <v>-254.19999999999985</v>
      </c>
      <c r="BF24" s="19"/>
      <c r="BG24" s="19">
        <f>+BG20-BG21-BG22-BG23</f>
        <v>240.21800000000019</v>
      </c>
      <c r="BH24" s="19"/>
      <c r="BI24" s="19">
        <f>+BI20-BI21-BI22-BI23</f>
        <v>-628</v>
      </c>
      <c r="BJ24" s="19"/>
      <c r="BK24" s="19"/>
      <c r="BM24" s="7">
        <f>+BM20-BM21-BM22-BM23</f>
        <v>-311</v>
      </c>
      <c r="BN24" s="7"/>
      <c r="BO24" s="7">
        <f>+BO20-BO21-BO22-BO23</f>
        <v>353</v>
      </c>
      <c r="BQ24" s="7">
        <f>+BQ20-BQ21-BQ22-BQ23</f>
        <v>889</v>
      </c>
      <c r="BS24" s="7">
        <f>+BS20-BS21-BS22-BS23</f>
        <v>-5.3799999999999955</v>
      </c>
      <c r="BT24" s="19"/>
      <c r="BU24" s="19">
        <f>+BU20-BU21-BU22-BU23</f>
        <v>56</v>
      </c>
      <c r="BV24" s="7"/>
      <c r="BW24" s="7">
        <f>+BW20-BW21-BW22-BW23</f>
        <v>6243</v>
      </c>
      <c r="BX24" s="7"/>
      <c r="BY24" s="7">
        <f>+BY20-BY21-BY22-BY23</f>
        <v>351.08599999999944</v>
      </c>
      <c r="BZ24" s="7"/>
      <c r="CA24" s="7">
        <f>+CA20-CA21-CA22-CA23</f>
        <v>208</v>
      </c>
      <c r="CB24" s="7"/>
      <c r="CC24" s="7">
        <f>+CC20-CC21-CC22-CC23</f>
        <v>51</v>
      </c>
      <c r="CD24" s="7"/>
      <c r="CE24" s="7">
        <f>+CE20-CE21-CE22-CE23</f>
        <v>2281.4399999999978</v>
      </c>
      <c r="CF24" s="7"/>
      <c r="CG24" s="7"/>
      <c r="CH24" s="7"/>
      <c r="CI24" s="7">
        <f>+CI20-CI21-CI22-CI23</f>
        <v>181</v>
      </c>
      <c r="CJ24" s="7"/>
      <c r="CK24" s="7">
        <f>+CK20-CK21-CK22-CK23</f>
        <v>579</v>
      </c>
      <c r="CL24" s="7"/>
      <c r="CM24" s="7"/>
      <c r="CN24" s="7"/>
      <c r="CO24" s="7">
        <f>+CO20-CO21-CO22-CO23</f>
        <v>2499</v>
      </c>
      <c r="CP24" s="7"/>
      <c r="CQ24" s="7">
        <f>+CQ20-CQ21-CQ22-CQ23</f>
        <v>-434</v>
      </c>
    </row>
    <row r="25" spans="2:99" outlineLevel="1" x14ac:dyDescent="0.25">
      <c r="B25" t="s">
        <v>73</v>
      </c>
      <c r="D25" s="19">
        <v>0</v>
      </c>
      <c r="F25" s="19"/>
      <c r="G25" s="19"/>
      <c r="H25" s="19">
        <v>0</v>
      </c>
      <c r="I25" s="19"/>
      <c r="J25" s="19">
        <f>18.161+4.36-4.863</f>
        <v>17.658000000000001</v>
      </c>
      <c r="K25" s="19"/>
      <c r="L25" s="19">
        <v>0</v>
      </c>
      <c r="M25" s="19"/>
      <c r="N25" s="19">
        <f>92+23-23</f>
        <v>92</v>
      </c>
      <c r="O25" s="19"/>
      <c r="P25" s="19"/>
      <c r="Q25" s="19"/>
      <c r="R25" s="19"/>
      <c r="S25" s="19"/>
      <c r="T25" s="19">
        <v>0</v>
      </c>
      <c r="U25" s="19"/>
      <c r="V25" s="19"/>
      <c r="W25" s="19"/>
      <c r="X25" s="19">
        <v>0</v>
      </c>
      <c r="Y25" s="19"/>
      <c r="Z25" s="19">
        <v>0</v>
      </c>
      <c r="AA25" s="19"/>
      <c r="AB25" s="19"/>
      <c r="AC25" s="19"/>
      <c r="AD25" s="19">
        <f>334.45+45-2.5</f>
        <v>376.95</v>
      </c>
      <c r="AE25" s="19"/>
      <c r="AF25" s="19">
        <v>0</v>
      </c>
      <c r="AG25" s="19"/>
      <c r="AH25" s="19">
        <v>0</v>
      </c>
      <c r="AI25" s="19"/>
      <c r="AJ25" s="19">
        <v>0</v>
      </c>
      <c r="AK25" s="19"/>
      <c r="AL25" s="19">
        <v>0</v>
      </c>
      <c r="AM25" s="19"/>
      <c r="AN25" s="19"/>
      <c r="AO25" s="19"/>
      <c r="AP25" s="19">
        <v>0</v>
      </c>
      <c r="AQ25" s="19"/>
      <c r="AR25" s="19"/>
      <c r="AS25" s="19"/>
      <c r="AT25" s="19"/>
      <c r="AU25" s="19">
        <v>0</v>
      </c>
      <c r="AV25" s="19"/>
      <c r="AW25" s="19">
        <v>0</v>
      </c>
      <c r="AX25" s="19"/>
      <c r="AY25" s="19">
        <f>19.94+5.023-4.971</f>
        <v>19.992000000000001</v>
      </c>
      <c r="AZ25" s="19"/>
      <c r="BA25" s="19">
        <v>11.191000000000001</v>
      </c>
      <c r="BB25" s="19"/>
      <c r="BC25" s="19">
        <f>27+0-27</f>
        <v>0</v>
      </c>
      <c r="BD25" s="19"/>
      <c r="BE25" s="19">
        <v>0</v>
      </c>
      <c r="BF25" s="19"/>
      <c r="BG25" s="19">
        <v>0</v>
      </c>
      <c r="BH25" s="19"/>
      <c r="BI25" s="19"/>
      <c r="BJ25" s="19"/>
      <c r="BK25" s="19"/>
      <c r="BM25" s="7">
        <v>528</v>
      </c>
      <c r="BN25" s="7"/>
      <c r="BO25" s="7">
        <v>382</v>
      </c>
      <c r="BQ25" s="7">
        <f>245+61-60</f>
        <v>246</v>
      </c>
      <c r="BS25" s="7">
        <v>55.243000000000002</v>
      </c>
      <c r="BT25" s="19"/>
      <c r="BU25" s="19"/>
      <c r="BV25" s="7"/>
      <c r="BW25" s="7">
        <v>1363</v>
      </c>
      <c r="BX25" s="7"/>
      <c r="BY25" s="7">
        <v>0</v>
      </c>
      <c r="BZ25" s="7"/>
      <c r="CA25" s="7">
        <v>56</v>
      </c>
      <c r="CB25" s="7"/>
      <c r="CC25" s="7">
        <v>149</v>
      </c>
      <c r="CD25" s="7"/>
      <c r="CE25" s="7">
        <v>438.04500000000002</v>
      </c>
      <c r="CF25" s="7"/>
      <c r="CG25" s="7"/>
      <c r="CH25" s="7"/>
      <c r="CI25" s="7">
        <f>402+35</f>
        <v>437</v>
      </c>
      <c r="CJ25" s="7"/>
      <c r="CK25" s="7"/>
      <c r="CL25" s="7"/>
      <c r="CM25" s="7"/>
      <c r="CN25" s="7"/>
      <c r="CO25" s="7">
        <v>1248</v>
      </c>
      <c r="CP25" s="7"/>
      <c r="CQ25">
        <v>55</v>
      </c>
    </row>
    <row r="26" spans="2:99" ht="17.25" outlineLevel="1" x14ac:dyDescent="0.4">
      <c r="B26" s="17" t="s">
        <v>74</v>
      </c>
      <c r="C26" s="17"/>
      <c r="D26" s="31">
        <v>0</v>
      </c>
      <c r="E26" s="17"/>
      <c r="F26" s="19"/>
      <c r="G26" s="19"/>
      <c r="H26" s="31">
        <v>0</v>
      </c>
      <c r="I26" s="19"/>
      <c r="J26" s="31">
        <v>0</v>
      </c>
      <c r="K26" s="31"/>
      <c r="L26" s="31">
        <v>0</v>
      </c>
      <c r="M26" s="31"/>
      <c r="N26" s="31">
        <v>0</v>
      </c>
      <c r="O26" s="31"/>
      <c r="P26" s="19"/>
      <c r="Q26" s="19"/>
      <c r="R26" s="19"/>
      <c r="S26" s="19"/>
      <c r="T26" s="31">
        <v>0</v>
      </c>
      <c r="U26" s="31"/>
      <c r="V26" s="31"/>
      <c r="W26" s="31"/>
      <c r="X26" s="31">
        <v>0</v>
      </c>
      <c r="Y26" s="19"/>
      <c r="Z26" s="31">
        <v>0</v>
      </c>
      <c r="AA26" s="19"/>
      <c r="AB26" s="19"/>
      <c r="AC26" s="19"/>
      <c r="AD26" s="31">
        <v>0</v>
      </c>
      <c r="AE26" s="19"/>
      <c r="AF26" s="31">
        <v>0</v>
      </c>
      <c r="AG26" s="31"/>
      <c r="AH26" s="31">
        <v>206.05099999999999</v>
      </c>
      <c r="AI26" s="19"/>
      <c r="AJ26" s="31">
        <f>97.055-53.714</f>
        <v>43.341000000000008</v>
      </c>
      <c r="AK26" s="31"/>
      <c r="AL26" s="31">
        <v>0</v>
      </c>
      <c r="AM26" s="31"/>
      <c r="AN26" s="31"/>
      <c r="AO26" s="31"/>
      <c r="AP26" s="31">
        <f>6.846+4.261-6.021</f>
        <v>5.0859999999999994</v>
      </c>
      <c r="AQ26" s="31"/>
      <c r="AR26" s="31"/>
      <c r="AS26" s="31"/>
      <c r="AT26" s="31"/>
      <c r="AU26" s="31">
        <v>11.013999999999999</v>
      </c>
      <c r="AV26" s="31"/>
      <c r="AW26" s="31">
        <v>5.1470000000000002</v>
      </c>
      <c r="AX26" s="31"/>
      <c r="AY26" s="31">
        <v>0</v>
      </c>
      <c r="AZ26" s="31"/>
      <c r="BA26" s="31">
        <v>0</v>
      </c>
      <c r="BB26" s="31"/>
      <c r="BC26" s="31">
        <f>180+21+0</f>
        <v>201</v>
      </c>
      <c r="BD26" s="31"/>
      <c r="BE26" s="31">
        <v>5.8</v>
      </c>
      <c r="BF26" s="31"/>
      <c r="BG26" s="31">
        <v>0</v>
      </c>
      <c r="BH26" s="19"/>
      <c r="BI26" s="19"/>
      <c r="BJ26" s="19"/>
      <c r="BK26" s="19"/>
      <c r="BM26" s="30">
        <v>2732</v>
      </c>
      <c r="BN26" s="30"/>
      <c r="BO26" s="30">
        <v>305</v>
      </c>
      <c r="BQ26" s="30">
        <v>0</v>
      </c>
      <c r="BS26" s="30">
        <v>0</v>
      </c>
      <c r="BT26" s="19"/>
      <c r="BU26" s="19"/>
      <c r="BV26" s="30"/>
      <c r="BW26" s="30">
        <v>2999</v>
      </c>
      <c r="BX26" s="30"/>
      <c r="BY26" s="30">
        <v>0</v>
      </c>
      <c r="BZ26" s="7"/>
      <c r="CA26" s="30">
        <v>250</v>
      </c>
      <c r="CB26" s="7"/>
      <c r="CC26" s="30">
        <v>2956</v>
      </c>
      <c r="CD26" s="7"/>
      <c r="CE26" s="30">
        <v>63.456000000000003</v>
      </c>
      <c r="CF26" s="30"/>
      <c r="CG26" s="7"/>
      <c r="CH26" s="7"/>
      <c r="CI26" s="30">
        <v>0</v>
      </c>
      <c r="CJ26" s="7"/>
      <c r="CK26" s="7"/>
      <c r="CL26" s="7"/>
      <c r="CM26" s="7"/>
      <c r="CN26" s="7"/>
      <c r="CO26" s="30">
        <v>2374</v>
      </c>
      <c r="CP26" s="30"/>
      <c r="CQ26" s="30">
        <v>179</v>
      </c>
    </row>
    <row r="27" spans="2:99" outlineLevel="1" x14ac:dyDescent="0.25">
      <c r="B27" t="s">
        <v>20</v>
      </c>
      <c r="D27" s="19">
        <f>+D24-D25-D26</f>
        <v>-126.027</v>
      </c>
      <c r="F27" s="19"/>
      <c r="G27" s="19"/>
      <c r="H27" s="19">
        <f>+H24-H25-H26</f>
        <v>9</v>
      </c>
      <c r="I27" s="19"/>
      <c r="J27" s="19">
        <f>+J24-J25-J26</f>
        <v>-288.98399999999987</v>
      </c>
      <c r="K27" s="19"/>
      <c r="L27" s="19">
        <f>+L24-L25-L26</f>
        <v>-418.40700000000015</v>
      </c>
      <c r="M27" s="19"/>
      <c r="N27" s="19">
        <f>+N24-N25-N26</f>
        <v>-259</v>
      </c>
      <c r="O27" s="19"/>
      <c r="P27" s="19"/>
      <c r="Q27" s="19"/>
      <c r="R27" s="19"/>
      <c r="S27" s="19"/>
      <c r="T27" s="19">
        <f>+T24-T25-T26</f>
        <v>-2.2080000000002116</v>
      </c>
      <c r="U27" s="19"/>
      <c r="V27" s="19"/>
      <c r="W27" s="19"/>
      <c r="X27" s="19">
        <f>+X24-X25-X26</f>
        <v>-63.607000000000468</v>
      </c>
      <c r="Y27" s="19"/>
      <c r="Z27" s="19">
        <f>+Z24-Z25-Z26</f>
        <v>-205</v>
      </c>
      <c r="AA27" s="19"/>
      <c r="AB27" s="19"/>
      <c r="AC27" s="19"/>
      <c r="AD27" s="19">
        <f>+AD24-AD25-AD26</f>
        <v>140.00099999999935</v>
      </c>
      <c r="AE27" s="19"/>
      <c r="AF27" s="19">
        <f>+AF24-AF25-AF26</f>
        <v>-266.37099999999987</v>
      </c>
      <c r="AG27" s="19"/>
      <c r="AH27" s="19">
        <f>+AH24-AH25-AH26</f>
        <v>-206.59</v>
      </c>
      <c r="AI27" s="19"/>
      <c r="AJ27" s="19">
        <f>+AJ24-AJ26-AJ25</f>
        <v>-290.17599999999982</v>
      </c>
      <c r="AK27" s="19"/>
      <c r="AL27" s="19">
        <f>+AL24-AL26-AL25</f>
        <v>-831.19899999999961</v>
      </c>
      <c r="AM27" s="19"/>
      <c r="AN27" s="19"/>
      <c r="AO27" s="19"/>
      <c r="AP27" s="19">
        <f>+AP24-AP26-AP25</f>
        <v>-864.20099999999968</v>
      </c>
      <c r="AQ27" s="19"/>
      <c r="AR27" s="19"/>
      <c r="AS27" s="19"/>
      <c r="AT27" s="19"/>
      <c r="AU27" s="19">
        <f>AU24-AU25-AU26</f>
        <v>-637.85000000000025</v>
      </c>
      <c r="AV27" s="19"/>
      <c r="AW27" s="19">
        <f>AW24-AW25-AW26</f>
        <v>-140.45900000000006</v>
      </c>
      <c r="AX27" s="19"/>
      <c r="AY27" s="19">
        <f>AY24-AY25-AY26</f>
        <v>85.277999999999352</v>
      </c>
      <c r="AZ27" s="19"/>
      <c r="BA27" s="19">
        <f>BA24-BA25-BA26</f>
        <v>-556.04999999999973</v>
      </c>
      <c r="BB27" s="19"/>
      <c r="BC27" s="19">
        <f>BC24-BC25-BC26</f>
        <v>-352</v>
      </c>
      <c r="BD27" s="19"/>
      <c r="BE27" s="19">
        <f>BE24-BE25-BE26</f>
        <v>-259.99999999999983</v>
      </c>
      <c r="BF27" s="19"/>
      <c r="BG27" s="19">
        <f>+BG24-BG25-BG26</f>
        <v>240.21800000000019</v>
      </c>
      <c r="BH27" s="19"/>
      <c r="BI27" s="19"/>
      <c r="BJ27" s="19"/>
      <c r="BK27" s="19"/>
      <c r="BM27" s="7">
        <f>+BM24-BM25-BM26</f>
        <v>-3571</v>
      </c>
      <c r="BN27" s="7"/>
      <c r="BO27" s="7">
        <f>+BO24-BO25-BO26</f>
        <v>-334</v>
      </c>
      <c r="BQ27" s="7">
        <f>+BQ24-BQ25-BQ26</f>
        <v>643</v>
      </c>
      <c r="BS27" s="7">
        <f>+BS24-BS25-BS26</f>
        <v>-60.622999999999998</v>
      </c>
      <c r="BT27" s="19"/>
      <c r="BU27" s="19"/>
      <c r="BV27" s="7"/>
      <c r="BW27" s="7">
        <f>+BW24-BW25-BW26</f>
        <v>1881</v>
      </c>
      <c r="BX27" s="7"/>
      <c r="BY27" s="7">
        <f>+BY24-BY25-BY26</f>
        <v>351.08599999999944</v>
      </c>
      <c r="BZ27" s="7"/>
      <c r="CA27" s="7">
        <f>+CA24-CA25-CA26</f>
        <v>-98</v>
      </c>
      <c r="CB27" s="7"/>
      <c r="CC27" s="7">
        <f>+CC24-CC25-CC26</f>
        <v>-3054</v>
      </c>
      <c r="CD27" s="7"/>
      <c r="CE27" s="7">
        <f>+CE24-CE25-CE26</f>
        <v>1779.9389999999978</v>
      </c>
      <c r="CF27" s="7"/>
      <c r="CG27" s="7"/>
      <c r="CH27" s="7"/>
      <c r="CI27" s="7">
        <f>+CI24-CI25-CI26</f>
        <v>-256</v>
      </c>
      <c r="CJ27" s="7"/>
      <c r="CK27" s="7"/>
      <c r="CL27" s="7"/>
      <c r="CM27" s="7"/>
      <c r="CN27" s="7"/>
      <c r="CO27" s="7">
        <f>+CO24-CO25-CO26</f>
        <v>-1123</v>
      </c>
      <c r="CP27" s="7"/>
      <c r="CQ27" s="7">
        <f>+CQ24-CQ25-CQ26</f>
        <v>-668</v>
      </c>
    </row>
    <row r="28" spans="2:99" outlineLevel="1" x14ac:dyDescent="0.25"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BT28" s="19"/>
    </row>
    <row r="29" spans="2:99" outlineLevel="1" x14ac:dyDescent="0.25">
      <c r="B29" s="12" t="s">
        <v>384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</row>
    <row r="30" spans="2:99" outlineLevel="1" x14ac:dyDescent="0.25">
      <c r="B30" s="12" t="s">
        <v>21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</row>
    <row r="31" spans="2:99" outlineLevel="1" x14ac:dyDescent="0.25">
      <c r="B31" t="s">
        <v>15</v>
      </c>
      <c r="D31" s="7">
        <f>+(((D36*D$42*(($B$90-D$88)*(1-D$87)+(D$87*0.5*($B$90-D$88)))+D$36*(1-D$42)*($B$91-D$89)*6)-(D$52+D$51+D$53)*D36))</f>
        <v>1085.6521667315649</v>
      </c>
      <c r="E31" s="7">
        <f>+(((E36*E$42*(($B$90-E$88)*(1-E$87)+(E$87*0.5*($B$90-E$88)))+E$36*(1-E$42)*($B$91-E$89)*6)-(E$52+E$51+E$53)*E36))</f>
        <v>0</v>
      </c>
      <c r="F31" s="7">
        <f>+(((F36*F$42*(($B$90-F$88)*(1-F$87)+(F$87*0.5*($B$90-F$88)))+F$36*(1-F$42)*($B$91-F$89)*6)-(F$52+F$51+F$53)*F36))</f>
        <v>1619.4925331167342</v>
      </c>
      <c r="G31" s="7"/>
      <c r="H31" s="7">
        <f>+(((H36*H$42*(($B$90-H$88)*(1-H$87)+(H$87*0.5*($B$90-H$88)))+H$36*(1-H$42)*($B$91-H$89)*6)-(H$52+H$51+H$53)*H36))</f>
        <v>995.73192964918326</v>
      </c>
      <c r="J31" s="7">
        <f>+(((J36*J$42*(($B$90-J$88)*(1-J$87)+(J$87*0.5*($B$90-J$88)))+J$36*(1-J$42)*($B$91-J$89)*6)-(J$52+J$51+J$53)*J36))</f>
        <v>801.17197049551066</v>
      </c>
      <c r="L31" s="7">
        <f>+(((L36*L$42*(($B$90-L$88)*(1-L$87)+(L$87*0.5*($B$90-L$88)))+L$36*(1-L$42)*($B$91-L$89)*6)-(L$52+L$51+L$53)*L36))</f>
        <v>616.13842724211554</v>
      </c>
      <c r="N31" s="7">
        <f>+(((N36*0.36*(($B$90-N$88)*(1-N$87)+(N$87*0.5*($B$90-N$88)))+N$36*(1-0.36)*($B$91-N$89)*6)-(N$52+N$51+N$53)*N36))</f>
        <v>2636.4288568378029</v>
      </c>
      <c r="P31" s="7">
        <f>+(((P36*P$42*(($B$90-P$88)*(1-P$87)+(P$87*0.5*($B$90-P$88)))+P$36*(1-P$42)*($B$91-P$89)*6)-(P$52+P$51+P$53)*P36))+300</f>
        <v>940.38213665778778</v>
      </c>
      <c r="T31" s="7">
        <f>+(((T36*T$42*(($B$90-T$88)*(1-T$87)+(T$87*0.5*($B$90-T$88)))+T$36*(1-T$42)*($B$91-T$89)*6)-(T$52+T$51+T$53)*T36))</f>
        <v>601.40402648642703</v>
      </c>
      <c r="X31" s="7">
        <f>+(((X36*X$42*(($B$90-X$88)*(1-X$87)+(X$87*0.5*($B$90-X$88)))+X$36*(1-X$42)*($B$91-X$89)*6)-(X$52+X$51+X$53)*X36))</f>
        <v>3555.1264876076448</v>
      </c>
      <c r="Z31" s="7">
        <f>+(((Z36*Z$42*(($B$90-Z$88)*(1-Z$87)+(Z$87*0.5*($B$90-Z$88)))+Z$36*(1-Z$42)*($B$91-Z$89)*6)-(Z$52+Z$51+Z$53)*Z36))</f>
        <v>654.69316548073505</v>
      </c>
      <c r="AD31" s="19">
        <f>+(((AD36*AD$42*(($B$90-AD$88)*(1-AD$87)+(AD$87*0.5*($B$90-AD$88)))+AD$36*(1-AD$42)*($B$91-AD$89)*6)-(AD$52+AD$51+AD$53)*AD36))</f>
        <v>845.72116763557074</v>
      </c>
      <c r="AF31" s="19">
        <f>+(((AF36*AF$42*(($B$90-AF$88)*(1-AF$87)+(AF$87*0.5*($B$90-AF$88)))+AF$36*(1-AF$42)*($B$91-AF$89)*6)-(AF$52+AF$51+AF$53)*AF36))</f>
        <v>427.61393515701252</v>
      </c>
      <c r="AJ31" s="57">
        <v>500.3</v>
      </c>
      <c r="AL31" s="19">
        <f>+(((AL36*AL$42*(($B$90-AL$88)*(1-AL$87)+(AL$87*0.5*($B$90-AL$88)))+AL$36*(1-AL$42)*($B$91-AL$89)*6)-(AL$52+AL$51+AL$53)*AL36))+100</f>
        <v>639.40428066196716</v>
      </c>
      <c r="AP31" s="19">
        <f>+(((AP36*AP$42*(($B$90-AP$88)*(1-AP$87)+(AP$87*0.5*($B$90-AP$88)))+AP$36*(1-AP$42)*($B$91-AP$89)*6)-(AP$52+AP$51+AP$53)*AP36))+150</f>
        <v>1038.7248783623349</v>
      </c>
      <c r="AU31" s="19">
        <f>+(((AU36*AU$42*(($B$90-AU$88)*(1-AU$87)+(AU$87*0.5*($B$90-AU$88)))+AU$36*(1-AU$42)*($B$91-AU$89)*6)-(AU$52+AU$51+AU$53)*AU36))</f>
        <v>1490.5467362514032</v>
      </c>
      <c r="AW31" s="19">
        <f>+(((AW36*AW$42*(($B$90-AW$88)*(1-AW$87)+(AW$87*0.5*($B$90-AW$88)))+AW$36*(1-AW$42)*($B$91-AW$89)*6)-(AW$52+AW$51+AW$53)*AW36))</f>
        <v>1195.8293098170473</v>
      </c>
      <c r="AY31" s="19">
        <f>+(((AY36*AY$42*(($B$90-AY$88)*(1-AY$87)+(AY$87*0.5*($B$90-AY$88)))+AY$36*(1-AY$42)*($B$91-AY$89)*6)-(AY$52+AY$51+AY$53)*AY36))</f>
        <v>1145.083099586873</v>
      </c>
      <c r="BA31" s="19">
        <f>+(((BA36*BA$42*(($B$90-BA$88)*(1-BA$87)+(BA$87*0.5*($B$90-BA$88)))+BA$36*(1-BA$42)*($B$91-BA$89)*6)-(BA$52+BA$51+BA$53)*BA36))</f>
        <v>1003.9809657494465</v>
      </c>
      <c r="BC31" s="19">
        <f>+(((BC36*BC$42*(($B$90-BC$88)*(1-BC$87)+(BC$87*0.5*($B$90-BC$88)))+BC$36*(1-BC$42)*($B$91-BC$89)*6)-(BC$52+BC$51+BC$53)*BC36))</f>
        <v>1109.1794308670487</v>
      </c>
      <c r="BE31" s="19">
        <f>+(((BE36*0.86*(($B$90-BE$88)*(1-BE$87)+(BE$87*0.4*($B$90-BE$88)))+BE$36*(0.14)*($B$91-BE$89)*6)-(BE$52+BE$51+BE$53)*BE36))</f>
        <v>816.38669114073264</v>
      </c>
      <c r="BG31" s="19">
        <f>+(((BG36*BG$42*(($B$90-BG$88)*(1-BG$87)+(BG$87*0.5*($B$90-BG$88)))+BG$36*(1-BG$42)*($B$91-BG$89)*6)-(BG$52+BG$51+BG$53)*BG36))</f>
        <v>1357.094665109169</v>
      </c>
      <c r="BI31" s="19">
        <f>+(((BI36*BI$42*(($B$90-BI$88)*(1-BI$87)+(BI$87*0.5*($B$90-BI$88)))+BI$36*(1-BI$42)*($B$91-BI$89)*6)-(BI$52+BI$51+BI$53)*BI36))</f>
        <v>1322.6037736148762</v>
      </c>
      <c r="BY31" s="19">
        <f>+(((BY36*BY$42*(($B$90-BY$88)*(1-BY$87)+(BY$87*0.5*($B$90-BY$88)))+BY$36*(1-BY$42)*($B$91-BY$89)*6)-(BY$52+BY$51+BY$53)*BY36))</f>
        <v>3404.642712409503</v>
      </c>
    </row>
    <row r="32" spans="2:99" outlineLevel="1" x14ac:dyDescent="0.25">
      <c r="B32" t="s">
        <v>16</v>
      </c>
      <c r="D32" s="7">
        <f>+(1100+1250)/2</f>
        <v>1175</v>
      </c>
      <c r="E32" s="7"/>
      <c r="F32" s="7">
        <f>+(1375+1550)/2</f>
        <v>1462.5</v>
      </c>
      <c r="G32" s="7"/>
      <c r="H32" s="7">
        <f>+(300+385)/2+150</f>
        <v>492.5</v>
      </c>
      <c r="J32" s="7">
        <v>550</v>
      </c>
      <c r="K32" s="4"/>
      <c r="L32" s="7">
        <f>+(765+925)/2</f>
        <v>845</v>
      </c>
      <c r="M32" s="4"/>
      <c r="N32" s="7">
        <v>2400</v>
      </c>
      <c r="O32" s="4"/>
      <c r="P32" s="7">
        <v>1040</v>
      </c>
      <c r="T32" s="7">
        <v>285</v>
      </c>
      <c r="X32" s="7">
        <v>2850</v>
      </c>
      <c r="Z32" s="7">
        <v>550</v>
      </c>
      <c r="AD32" s="19">
        <v>425</v>
      </c>
      <c r="AF32" s="19">
        <v>635</v>
      </c>
      <c r="AJ32" s="19">
        <v>365</v>
      </c>
      <c r="AL32" s="19">
        <v>725</v>
      </c>
      <c r="AP32" s="19">
        <f>550+20+150</f>
        <v>720</v>
      </c>
      <c r="AU32" s="19">
        <v>1450</v>
      </c>
      <c r="AW32" s="19">
        <v>840</v>
      </c>
      <c r="AY32" s="19">
        <v>756</v>
      </c>
      <c r="BA32" s="19">
        <v>1035</v>
      </c>
      <c r="BC32" s="19">
        <v>1080</v>
      </c>
      <c r="BE32" s="19">
        <v>640</v>
      </c>
      <c r="BG32" s="19">
        <v>850</v>
      </c>
      <c r="BI32" s="19">
        <f>+(1275+1100)/2</f>
        <v>1187.5</v>
      </c>
      <c r="BY32" s="19">
        <v>2600</v>
      </c>
    </row>
    <row r="33" spans="2:99" outlineLevel="1" x14ac:dyDescent="0.25">
      <c r="B33" t="s">
        <v>17</v>
      </c>
      <c r="D33" s="7">
        <f>+D22</f>
        <v>63.926000000000002</v>
      </c>
      <c r="E33" s="7"/>
      <c r="F33" s="7">
        <f>+F22</f>
        <v>224.977</v>
      </c>
      <c r="G33" s="7"/>
      <c r="H33" s="7">
        <f>+H22</f>
        <v>387</v>
      </c>
      <c r="J33" s="7">
        <f>+J22</f>
        <v>60.838999999999999</v>
      </c>
      <c r="L33" s="10">
        <f>+L22*2</f>
        <v>57.646000000000015</v>
      </c>
      <c r="N33" s="10">
        <f>+N22</f>
        <v>462</v>
      </c>
      <c r="P33" s="10">
        <f>+P22</f>
        <v>137.57300000000001</v>
      </c>
      <c r="T33" s="10">
        <f>+T22</f>
        <v>186.791</v>
      </c>
      <c r="X33" s="10">
        <f>1.25*X36</f>
        <v>125.46875</v>
      </c>
      <c r="Z33" s="10">
        <f>+Z22</f>
        <v>337</v>
      </c>
      <c r="AD33" s="19">
        <f>+AD22</f>
        <v>92.941999999999993</v>
      </c>
      <c r="AF33" s="19">
        <f>+AF22</f>
        <v>25.152000000000001</v>
      </c>
      <c r="AJ33" s="19">
        <v>58</v>
      </c>
      <c r="AK33" s="60"/>
      <c r="AL33" s="19">
        <f>+AL22</f>
        <v>50.765000000000001</v>
      </c>
      <c r="AP33" s="19">
        <f>+AP22</f>
        <v>166.40699999999998</v>
      </c>
      <c r="AU33" s="19">
        <f>+AU22</f>
        <v>131.46</v>
      </c>
      <c r="AW33" s="19">
        <f>+AW22</f>
        <v>57.961000000000006</v>
      </c>
      <c r="AY33" s="19">
        <f>+AY22</f>
        <v>205.12200000000001</v>
      </c>
      <c r="BA33" s="19">
        <f>+BA22</f>
        <v>150.727</v>
      </c>
      <c r="BC33" s="19">
        <f>+BC22</f>
        <v>99</v>
      </c>
      <c r="BE33" s="19">
        <f>+BE22</f>
        <v>142.4</v>
      </c>
      <c r="BG33" s="19">
        <f>+BG22</f>
        <v>166.774</v>
      </c>
      <c r="BI33" s="19">
        <f>+BI22</f>
        <v>163</v>
      </c>
      <c r="BY33" s="19">
        <f>+BY22</f>
        <v>284.97499999999997</v>
      </c>
    </row>
    <row r="34" spans="2:99" outlineLevel="1" x14ac:dyDescent="0.25">
      <c r="B34" t="s">
        <v>19</v>
      </c>
      <c r="D34" s="21">
        <f>+D23</f>
        <v>0</v>
      </c>
      <c r="E34" s="7"/>
      <c r="F34" s="21">
        <f>+F23</f>
        <v>0</v>
      </c>
      <c r="G34" s="7"/>
      <c r="H34" s="21">
        <f>+H23</f>
        <v>0</v>
      </c>
      <c r="J34" s="21">
        <f>+J23</f>
        <v>0.65399999999998437</v>
      </c>
      <c r="L34" s="21">
        <v>0</v>
      </c>
      <c r="N34" s="21">
        <f>+N23</f>
        <v>0</v>
      </c>
      <c r="P34" s="21">
        <v>0</v>
      </c>
      <c r="T34" s="21">
        <v>0</v>
      </c>
      <c r="X34" s="21">
        <v>0</v>
      </c>
      <c r="Z34" s="21">
        <v>0</v>
      </c>
      <c r="AD34" s="21">
        <v>1.1000000000000001</v>
      </c>
      <c r="AF34" s="21">
        <f>+AF23</f>
        <v>0</v>
      </c>
      <c r="AJ34" s="21">
        <v>0</v>
      </c>
      <c r="AL34" s="21">
        <v>0</v>
      </c>
      <c r="AP34" s="21">
        <f>+AP23</f>
        <v>2.2999999999999687E-2</v>
      </c>
      <c r="AU34" s="21">
        <v>0</v>
      </c>
      <c r="AW34" s="21">
        <v>0</v>
      </c>
      <c r="AY34" s="21">
        <v>0</v>
      </c>
      <c r="BA34" s="21">
        <v>0</v>
      </c>
      <c r="BC34" s="21">
        <v>0</v>
      </c>
      <c r="BE34" s="21">
        <v>0</v>
      </c>
      <c r="BG34" s="21">
        <v>0</v>
      </c>
      <c r="BI34" s="21">
        <v>0</v>
      </c>
      <c r="BY34" s="21">
        <v>0</v>
      </c>
    </row>
    <row r="35" spans="2:99" outlineLevel="1" x14ac:dyDescent="0.25">
      <c r="B35" t="s">
        <v>14</v>
      </c>
      <c r="D35" s="7">
        <f>+D31-D32-D33-D34</f>
        <v>-153.27383326843511</v>
      </c>
      <c r="E35" s="7"/>
      <c r="F35" s="7">
        <f>+F31-F32-F33-F34</f>
        <v>-67.98446688326581</v>
      </c>
      <c r="G35" s="7"/>
      <c r="H35" s="7">
        <f>+H31-H32-H33-H34</f>
        <v>116.23192964918326</v>
      </c>
      <c r="J35" s="7">
        <f>+J31-J32-J33-J34</f>
        <v>189.67897049551067</v>
      </c>
      <c r="L35" s="7">
        <f>+L31-L32-L33-L34</f>
        <v>-286.50757275788447</v>
      </c>
      <c r="N35" s="7">
        <f>+N31-N32-N33-N34</f>
        <v>-225.57114316219713</v>
      </c>
      <c r="P35" s="7">
        <f>+P31-P32-P33-P34</f>
        <v>-237.19086334221223</v>
      </c>
      <c r="T35" s="7">
        <f>+T31-T32-T33-T34</f>
        <v>129.61302648642703</v>
      </c>
      <c r="X35" s="7">
        <f>+X31-X32-X33-X34</f>
        <v>579.65773760764478</v>
      </c>
      <c r="Z35" s="7">
        <f>+Z31-Z32-Z33-Z34</f>
        <v>-232.30683451926495</v>
      </c>
      <c r="AD35" s="19">
        <f>+AD31-AD32-AD33-AD34</f>
        <v>326.67916763557071</v>
      </c>
      <c r="AF35" s="19">
        <f>+AF31-AF32-AF33-AF34</f>
        <v>-232.53806484298747</v>
      </c>
      <c r="AJ35" s="19">
        <f>+AJ31-AJ32-AJ33-AJ34</f>
        <v>77.300000000000011</v>
      </c>
      <c r="AL35" s="19">
        <f>+AL31-AL32-AL33-AL34</f>
        <v>-136.36071933803282</v>
      </c>
      <c r="AP35" s="19">
        <f>+AP31-AP32-AP33-AP34</f>
        <v>152.29487836233497</v>
      </c>
      <c r="AU35" s="19">
        <f>+AU31-AU32-AU33-AU34</f>
        <v>-90.91326374859679</v>
      </c>
      <c r="AW35" s="19">
        <f>+AW31-AW32-AW33-AW34</f>
        <v>297.86830981704725</v>
      </c>
      <c r="AY35" s="19">
        <f>+AY31-AY32-AY33-AY34</f>
        <v>183.96109958687299</v>
      </c>
      <c r="BA35" s="19">
        <f>+BA31-BA32-BA33-BA34</f>
        <v>-181.74603425055355</v>
      </c>
      <c r="BC35" s="19">
        <f>+BC31-BC32-BC33-BC34</f>
        <v>-69.820569132951277</v>
      </c>
      <c r="BE35" s="19">
        <f>+BE31-BE32-BE33-BE34</f>
        <v>33.986691140732631</v>
      </c>
      <c r="BG35" s="19">
        <f>+BG31-BG32-BG33-BG34</f>
        <v>340.320665109169</v>
      </c>
      <c r="BI35" s="19">
        <f>+BI31-BI32-BI33-BI34</f>
        <v>-27.896226385123782</v>
      </c>
      <c r="BY35" s="19">
        <f>+BY31-BY32-BY33-BY34</f>
        <v>519.66771240950311</v>
      </c>
    </row>
    <row r="36" spans="2:99" outlineLevel="1" x14ac:dyDescent="0.25">
      <c r="B36" t="s">
        <v>390</v>
      </c>
      <c r="D36" s="7">
        <f>2.1*365/6</f>
        <v>127.75</v>
      </c>
      <c r="E36" s="7"/>
      <c r="F36" s="7">
        <f>3.2*365/6</f>
        <v>194.66666666666666</v>
      </c>
      <c r="G36" s="7"/>
      <c r="H36" s="7">
        <f>135*365/1000</f>
        <v>49.274999999999999</v>
      </c>
      <c r="J36" s="7">
        <f>67.3*365/1000</f>
        <v>24.564499999999999</v>
      </c>
      <c r="L36" s="7">
        <f>+(61.5+70.5)/2*365/1000</f>
        <v>24.09</v>
      </c>
      <c r="N36" s="7">
        <v>179</v>
      </c>
      <c r="P36" s="7">
        <v>84.166666666666671</v>
      </c>
      <c r="T36" s="7">
        <f>58*0.365</f>
        <v>21.169999999999998</v>
      </c>
      <c r="X36" s="7">
        <f>275*0.365</f>
        <v>100.375</v>
      </c>
      <c r="Z36" s="7">
        <f>68*0.365</f>
        <v>24.82</v>
      </c>
      <c r="AD36" s="10">
        <f>116*0.365</f>
        <v>42.339999999999996</v>
      </c>
      <c r="AE36" s="10"/>
      <c r="AF36" s="10">
        <f>+(38.3+41.3)/2*0.365</f>
        <v>14.526999999999999</v>
      </c>
      <c r="AJ36" s="10">
        <f>74*0.365</f>
        <v>27.009999999999998</v>
      </c>
      <c r="AL36" s="10">
        <v>22.4</v>
      </c>
      <c r="AP36" s="10">
        <f>88.5*0.365</f>
        <v>32.302500000000002</v>
      </c>
      <c r="AU36" s="10">
        <f>129*0.365</f>
        <v>47.085000000000001</v>
      </c>
      <c r="AW36" s="10">
        <v>48</v>
      </c>
      <c r="AY36" s="10">
        <f>2335/6*0.365</f>
        <v>142.04583333333335</v>
      </c>
      <c r="BA36" s="10">
        <v>46.5</v>
      </c>
      <c r="BC36" s="10">
        <f>+(750+785)/2/6</f>
        <v>127.91666666666667</v>
      </c>
      <c r="BE36" s="10">
        <v>29</v>
      </c>
      <c r="BG36" s="10">
        <v>47.2</v>
      </c>
      <c r="BI36">
        <f>+(161+149)/2*0.365</f>
        <v>56.574999999999996</v>
      </c>
      <c r="BY36" s="10">
        <f>333*0.365</f>
        <v>121.545</v>
      </c>
    </row>
    <row r="37" spans="2:99" outlineLevel="1" x14ac:dyDescent="0.25">
      <c r="B37" t="s">
        <v>385</v>
      </c>
      <c r="D37" s="6">
        <f>+(D14+IF(D35&lt;0,-D35,0))/D31</f>
        <v>2.5024330227677574</v>
      </c>
      <c r="E37" s="6"/>
      <c r="F37" s="6">
        <f t="shared" ref="F37:P37" si="0">+(F14+IF(F35&lt;0,-F35,0))/F31</f>
        <v>3.0305693706643937</v>
      </c>
      <c r="G37" s="6" t="e">
        <f t="shared" si="0"/>
        <v>#DIV/0!</v>
      </c>
      <c r="H37" s="6">
        <f t="shared" si="0"/>
        <v>5.2915848564345795</v>
      </c>
      <c r="I37" s="6" t="e">
        <f t="shared" si="0"/>
        <v>#DIV/0!</v>
      </c>
      <c r="J37" s="6">
        <f t="shared" si="0"/>
        <v>2.1532742825900781</v>
      </c>
      <c r="K37" s="6" t="e">
        <f t="shared" si="0"/>
        <v>#DIV/0!</v>
      </c>
      <c r="L37" s="6">
        <f t="shared" si="0"/>
        <v>1.9257159110636655</v>
      </c>
      <c r="M37" s="6" t="e">
        <f t="shared" ref="M37:S37" si="1">+M14/M31</f>
        <v>#DIV/0!</v>
      </c>
      <c r="N37" s="6">
        <f>+(N14+IF(N35&lt;0,-N35,0))/N31</f>
        <v>3.8702243440775446</v>
      </c>
      <c r="O37" s="6" t="e">
        <f t="shared" si="0"/>
        <v>#DIV/0!</v>
      </c>
      <c r="P37" s="6">
        <f t="shared" si="0"/>
        <v>2.7812053859695705</v>
      </c>
      <c r="Q37" s="6" t="e">
        <f t="shared" si="1"/>
        <v>#DIV/0!</v>
      </c>
      <c r="R37" s="6" t="e">
        <f t="shared" si="1"/>
        <v>#DIV/0!</v>
      </c>
      <c r="S37" s="6" t="e">
        <f t="shared" si="1"/>
        <v>#DIV/0!</v>
      </c>
      <c r="T37" s="6">
        <f t="shared" ref="T37:BI37" si="2">+(T14+IF(T35&lt;0,-T35,0))/T31</f>
        <v>4.1996576157891781</v>
      </c>
      <c r="U37" s="6" t="e">
        <f t="shared" si="2"/>
        <v>#DIV/0!</v>
      </c>
      <c r="V37" s="6" t="e">
        <f t="shared" si="2"/>
        <v>#DIV/0!</v>
      </c>
      <c r="W37" s="6" t="e">
        <f t="shared" si="2"/>
        <v>#DIV/0!</v>
      </c>
      <c r="X37" s="6">
        <f t="shared" si="2"/>
        <v>1.2602927112770796</v>
      </c>
      <c r="Y37" s="6" t="e">
        <f t="shared" si="2"/>
        <v>#DIV/0!</v>
      </c>
      <c r="Z37" s="6">
        <f t="shared" si="2"/>
        <v>7.1335811655982431</v>
      </c>
      <c r="AA37" s="6" t="e">
        <f t="shared" si="2"/>
        <v>#DIV/0!</v>
      </c>
      <c r="AB37" s="6" t="e">
        <f t="shared" si="2"/>
        <v>#DIV/0!</v>
      </c>
      <c r="AC37" s="6" t="e">
        <f t="shared" si="2"/>
        <v>#DIV/0!</v>
      </c>
      <c r="AD37" s="6">
        <f t="shared" si="2"/>
        <v>1.9864703217691342</v>
      </c>
      <c r="AE37" s="6" t="e">
        <f t="shared" si="2"/>
        <v>#DIV/0!</v>
      </c>
      <c r="AF37" s="6">
        <f t="shared" si="2"/>
        <v>1.7130827707334002</v>
      </c>
      <c r="AG37" s="6" t="e">
        <f t="shared" si="2"/>
        <v>#DIV/0!</v>
      </c>
      <c r="AH37" s="6" t="e">
        <f t="shared" si="2"/>
        <v>#DIV/0!</v>
      </c>
      <c r="AI37" s="6" t="e">
        <f t="shared" si="2"/>
        <v>#DIV/0!</v>
      </c>
      <c r="AJ37" s="6">
        <f t="shared" si="2"/>
        <v>2.1387167699380369</v>
      </c>
      <c r="AK37" s="6" t="e">
        <f t="shared" si="2"/>
        <v>#DIV/0!</v>
      </c>
      <c r="AL37" s="6">
        <f t="shared" si="2"/>
        <v>2.4184397354004341</v>
      </c>
      <c r="AM37" s="6" t="e">
        <f t="shared" si="2"/>
        <v>#DIV/0!</v>
      </c>
      <c r="AN37" s="6" t="e">
        <f t="shared" si="2"/>
        <v>#DIV/0!</v>
      </c>
      <c r="AO37" s="6" t="e">
        <f t="shared" si="2"/>
        <v>#DIV/0!</v>
      </c>
      <c r="AP37" s="6">
        <f t="shared" si="2"/>
        <v>2.7701358270503298</v>
      </c>
      <c r="AQ37" s="6" t="e">
        <f t="shared" si="2"/>
        <v>#DIV/0!</v>
      </c>
      <c r="AR37" s="6" t="e">
        <f t="shared" si="2"/>
        <v>#DIV/0!</v>
      </c>
      <c r="AS37" s="6" t="e">
        <f t="shared" si="2"/>
        <v>#DIV/0!</v>
      </c>
      <c r="AT37" s="6" t="e">
        <f t="shared" si="2"/>
        <v>#DIV/0!</v>
      </c>
      <c r="AU37" s="6">
        <f t="shared" si="2"/>
        <v>1.5397808119191314</v>
      </c>
      <c r="AV37" s="6" t="e">
        <f t="shared" si="2"/>
        <v>#DIV/0!</v>
      </c>
      <c r="AW37" s="6">
        <f t="shared" si="2"/>
        <v>1.0306654886963451</v>
      </c>
      <c r="AX37" s="6" t="e">
        <f t="shared" si="2"/>
        <v>#DIV/0!</v>
      </c>
      <c r="AY37" s="6">
        <f t="shared" si="2"/>
        <v>3.3371630420348288</v>
      </c>
      <c r="AZ37" s="6" t="e">
        <f t="shared" si="2"/>
        <v>#DIV/0!</v>
      </c>
      <c r="BA37" s="6">
        <f t="shared" si="2"/>
        <v>2.6480004352134494</v>
      </c>
      <c r="BB37" s="6" t="e">
        <f t="shared" si="2"/>
        <v>#DIV/0!</v>
      </c>
      <c r="BC37" s="6">
        <f t="shared" si="2"/>
        <v>2.1744187658146745</v>
      </c>
      <c r="BD37" s="6" t="e">
        <f t="shared" si="2"/>
        <v>#DIV/0!</v>
      </c>
      <c r="BE37" s="6">
        <f>+(BE14+IF(BE35&lt;0,-BE35,0))/(BE31)</f>
        <v>2.5714529925355101</v>
      </c>
      <c r="BF37" s="6" t="e">
        <f t="shared" si="2"/>
        <v>#DIV/0!</v>
      </c>
      <c r="BG37" s="6">
        <f t="shared" si="2"/>
        <v>2.0956386264853686</v>
      </c>
      <c r="BH37" s="6" t="e">
        <f t="shared" si="2"/>
        <v>#DIV/0!</v>
      </c>
      <c r="BI37" s="6">
        <f t="shared" si="2"/>
        <v>1.9181075065674449</v>
      </c>
      <c r="BY37" s="6">
        <f>+(BY14+IF(BY35&lt;0,-BY35,0))/BY31</f>
        <v>1.6944582698714947</v>
      </c>
    </row>
    <row r="38" spans="2:99" outlineLevel="1" x14ac:dyDescent="0.25">
      <c r="X38" s="10"/>
    </row>
    <row r="39" spans="2:99" outlineLevel="1" x14ac:dyDescent="0.25">
      <c r="B39" s="12" t="s">
        <v>21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5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</row>
    <row r="40" spans="2:99" outlineLevel="1" x14ac:dyDescent="0.25">
      <c r="B40" s="12" t="s">
        <v>380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5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</row>
    <row r="41" spans="2:99" outlineLevel="1" x14ac:dyDescent="0.25">
      <c r="B41" t="s">
        <v>44</v>
      </c>
      <c r="D41" s="7">
        <f>(495.168/6-331.978/6)*4</f>
        <v>108.79333333333335</v>
      </c>
      <c r="F41" s="7">
        <f>3213*0.365/6</f>
        <v>195.45749999999998</v>
      </c>
      <c r="G41" s="7"/>
      <c r="H41" s="7">
        <f>133*0.365</f>
        <v>48.545000000000002</v>
      </c>
      <c r="I41" s="7"/>
      <c r="J41" s="7">
        <f>5.576*4</f>
        <v>22.303999999999998</v>
      </c>
      <c r="K41" s="7"/>
      <c r="L41" s="7">
        <f>6.483*4</f>
        <v>25.931999999999999</v>
      </c>
      <c r="M41" s="7"/>
      <c r="N41" s="7">
        <f>484*0.365</f>
        <v>176.66</v>
      </c>
      <c r="O41" s="7"/>
      <c r="P41" s="7">
        <f>1479.1/6*365/1000</f>
        <v>89.978583333333333</v>
      </c>
      <c r="Q41" s="7"/>
      <c r="R41" s="10">
        <f>28.253*4</f>
        <v>113.012</v>
      </c>
      <c r="S41" s="10"/>
      <c r="T41" s="10">
        <f>59.218*0.365</f>
        <v>21.614570000000001</v>
      </c>
      <c r="U41" s="10"/>
      <c r="V41" s="10"/>
      <c r="W41" s="10"/>
      <c r="X41" s="10">
        <f>182.8*0.365</f>
        <v>66.722000000000008</v>
      </c>
      <c r="Y41" s="10"/>
      <c r="Z41" s="10">
        <f>79.5*0.365</f>
        <v>29.017499999999998</v>
      </c>
      <c r="AA41" s="10"/>
      <c r="AB41" s="10"/>
      <c r="AC41" s="10"/>
      <c r="AD41" s="10">
        <f>10.943*4</f>
        <v>43.771999999999998</v>
      </c>
      <c r="AE41" s="10"/>
      <c r="AF41" s="10">
        <f>38.413*0.365</f>
        <v>14.020744999999998</v>
      </c>
      <c r="AG41" s="10"/>
      <c r="AH41" s="10">
        <f>6.027*4</f>
        <v>24.108000000000001</v>
      </c>
      <c r="AI41" s="10"/>
      <c r="AJ41" s="10">
        <f>75.276*0.365</f>
        <v>27.475739999999998</v>
      </c>
      <c r="AK41" s="10"/>
      <c r="AL41" s="10">
        <f>59.941*0.365</f>
        <v>21.878465000000002</v>
      </c>
      <c r="AM41" s="10"/>
      <c r="AN41" s="10"/>
      <c r="AO41" s="10"/>
      <c r="AP41" s="10">
        <f>91.714*0.365</f>
        <v>33.475609999999996</v>
      </c>
      <c r="AQ41" s="10"/>
      <c r="AR41" s="10"/>
      <c r="AS41" s="10"/>
      <c r="AT41" s="10"/>
      <c r="AU41" s="10">
        <f>11.026*4</f>
        <v>44.103999999999999</v>
      </c>
      <c r="AV41" s="10"/>
      <c r="AW41" s="10">
        <f>11.77*4</f>
        <v>47.08</v>
      </c>
      <c r="AX41" s="10"/>
      <c r="AY41" s="10">
        <f>203.030245*4/6</f>
        <v>135.35349666666667</v>
      </c>
      <c r="AZ41" s="10"/>
      <c r="BA41">
        <f>11.3*4</f>
        <v>45.2</v>
      </c>
      <c r="BC41" s="10">
        <f>182/6*4</f>
        <v>121.33333333333333</v>
      </c>
      <c r="BE41" s="10">
        <f>7.8063*4</f>
        <v>31.225200000000001</v>
      </c>
      <c r="BF41" s="10"/>
      <c r="BG41" s="10">
        <f>11.957*4</f>
        <v>47.828000000000003</v>
      </c>
      <c r="BH41" s="10"/>
      <c r="BI41" s="10">
        <f>156.4*365/1000</f>
        <v>57.085999999999999</v>
      </c>
      <c r="BJ41" s="10"/>
      <c r="BK41" s="10"/>
      <c r="BQ41" s="10">
        <f>447.27*0.365</f>
        <v>163.25354999999999</v>
      </c>
      <c r="BS41" s="10">
        <f>251.254*0.365</f>
        <v>91.707709999999992</v>
      </c>
      <c r="BT41" s="7"/>
      <c r="BU41" s="10">
        <f>28.253*4</f>
        <v>113.012</v>
      </c>
      <c r="BV41" s="10"/>
      <c r="BW41" s="33"/>
      <c r="BX41" s="33"/>
      <c r="BY41" s="10">
        <f>332.236*365/1000</f>
        <v>121.26613999999999</v>
      </c>
      <c r="BZ41" s="10"/>
      <c r="CA41" s="10"/>
      <c r="CB41" s="10"/>
      <c r="CC41" s="10">
        <f>532*0.365</f>
        <v>194.18</v>
      </c>
      <c r="CD41" s="10"/>
      <c r="CE41" s="10">
        <f>764.5*0.365</f>
        <v>279.04250000000002</v>
      </c>
      <c r="CF41" s="10"/>
      <c r="CG41" s="10"/>
      <c r="CH41" s="10"/>
      <c r="CI41" s="10">
        <f>304.2*0.365</f>
        <v>111.03299999999999</v>
      </c>
      <c r="CJ41" s="10"/>
      <c r="CK41" s="33"/>
      <c r="CL41" s="33"/>
      <c r="CM41" s="33"/>
      <c r="CN41" s="33"/>
      <c r="CO41">
        <f>702*0.365</f>
        <v>256.23</v>
      </c>
    </row>
    <row r="42" spans="2:99" outlineLevel="1" x14ac:dyDescent="0.25">
      <c r="B42" t="s">
        <v>22</v>
      </c>
      <c r="D42" s="2">
        <f>1-457.747/495.168</f>
        <v>7.5572331006850235E-2</v>
      </c>
      <c r="F42" s="2">
        <f>1- 0.697167755991285</f>
        <v>0.302832244008715</v>
      </c>
      <c r="G42" s="2"/>
      <c r="H42" s="2">
        <f>+(84+15)/133</f>
        <v>0.74436090225563911</v>
      </c>
      <c r="I42" s="2"/>
      <c r="J42" s="2">
        <f>+(3.665+0.891)/J41*4</f>
        <v>0.81707317073170738</v>
      </c>
      <c r="K42" s="2"/>
      <c r="L42" s="2">
        <f>(3.646+1.343)/L41*4</f>
        <v>0.76955113373438222</v>
      </c>
      <c r="M42" s="2"/>
      <c r="N42" s="2">
        <f>+(33+19)/N43</f>
        <v>0.31620553359683801</v>
      </c>
      <c r="O42" s="2"/>
      <c r="P42" s="2">
        <f>1-(0.1+14.8+34.4+79.2)/136.1</f>
        <v>5.5841293166789097E-2</v>
      </c>
      <c r="Q42" s="2"/>
      <c r="R42" s="2">
        <f>18.304/(R41/4)</f>
        <v>0.64786040420486313</v>
      </c>
      <c r="S42" s="2"/>
      <c r="T42" s="2">
        <f>291.965/294.577</f>
        <v>0.99113304840500094</v>
      </c>
      <c r="U42" s="2"/>
      <c r="V42" s="2"/>
      <c r="W42" s="2"/>
      <c r="X42" s="2">
        <f>+(34.367+7.465)/X43</f>
        <v>0.87863894139886567</v>
      </c>
      <c r="Y42" s="2"/>
      <c r="Z42" s="2">
        <f>+(16.726+5.227)/29.439</f>
        <v>0.74571147117768943</v>
      </c>
      <c r="AA42" s="2"/>
      <c r="AB42" s="2"/>
      <c r="AC42" s="2"/>
      <c r="AD42" s="2">
        <f>5.584/10.943</f>
        <v>0.51028054464040939</v>
      </c>
      <c r="AE42" s="2"/>
      <c r="AF42" s="2">
        <f>+(9.62+1.534)/AF43</f>
        <v>0.89332051898125897</v>
      </c>
      <c r="AG42" s="2"/>
      <c r="AH42" s="2">
        <f>+(17.901+0.179)/AH43</f>
        <v>0.97952107487268392</v>
      </c>
      <c r="AI42" s="2"/>
      <c r="AJ42" s="2">
        <f>+(2.534+2.099)/6.775</f>
        <v>0.68383763837638378</v>
      </c>
      <c r="AK42" s="2"/>
      <c r="AL42" s="2">
        <f>11.141/19.026</f>
        <v>0.58556711867970146</v>
      </c>
      <c r="AM42" s="2"/>
      <c r="AN42" s="2"/>
      <c r="AO42" s="2"/>
      <c r="AP42" s="2">
        <f>+(5507+437)/(7708+546)</f>
        <v>0.72013569178580084</v>
      </c>
      <c r="AQ42" s="2"/>
      <c r="AR42" s="2"/>
      <c r="AS42" s="2"/>
      <c r="AT42" s="2"/>
      <c r="AU42" s="2">
        <f>+(25.356+8.353)/AU43</f>
        <v>0.84405438565741053</v>
      </c>
      <c r="AV42" s="2"/>
      <c r="AW42" s="2">
        <f>+(16.963+8.527)/40.16</f>
        <v>0.63471115537848621</v>
      </c>
      <c r="AX42" s="2"/>
      <c r="AY42" s="2">
        <f>1-(140.521663/203.030245)</f>
        <v>0.30787817844577792</v>
      </c>
      <c r="AZ42" s="2"/>
      <c r="BA42" s="2">
        <f>+(5.1+2)/(BA41/4)</f>
        <v>0.62831858407079644</v>
      </c>
      <c r="BB42" s="2"/>
      <c r="BC42" s="2">
        <v>0.21</v>
      </c>
      <c r="BD42" s="2"/>
      <c r="BE42" s="2">
        <f>+(5.0836+1.1788)/7.8063</f>
        <v>0.80222384484326759</v>
      </c>
      <c r="BF42" s="2"/>
      <c r="BG42" s="2">
        <f>+(31.517+7.394)/BG43</f>
        <v>0.83299794485357082</v>
      </c>
      <c r="BH42" s="2"/>
      <c r="BI42" s="2">
        <f>+(86+26.3)/156.4</f>
        <v>0.71803069053708435</v>
      </c>
      <c r="BJ42" s="2"/>
      <c r="BK42" s="2"/>
      <c r="BM42" s="3">
        <f>+(140+38)/BM43</f>
        <v>0.73251028806584362</v>
      </c>
      <c r="BN42" s="3"/>
      <c r="BO42" s="3">
        <f>+(89.6+21.7)/BO43</f>
        <v>0.65457753381689865</v>
      </c>
      <c r="BQ42" s="3">
        <f>+((370.983+395.45+354.592+408.941)/4)/BQ44</f>
        <v>0.80740225078647887</v>
      </c>
      <c r="BS42" s="3">
        <f>+(79.904+67.706)/251.254</f>
        <v>0.58749313443766082</v>
      </c>
      <c r="BT42" s="2"/>
      <c r="BU42" s="2">
        <f>18.304/(BU41/4)</f>
        <v>0.64786040420486313</v>
      </c>
      <c r="BV42" s="3"/>
      <c r="BW42" s="3">
        <f>+(653+102+66)/1283</f>
        <v>0.63990646921278249</v>
      </c>
      <c r="BX42" s="3"/>
      <c r="BY42" s="3">
        <f>(193.921*0.365)/BY41</f>
        <v>0.58368448933890371</v>
      </c>
      <c r="BZ42" s="3"/>
      <c r="CA42" s="3">
        <v>0.47</v>
      </c>
      <c r="CB42" s="3"/>
      <c r="CC42" s="3">
        <f>+((246+106)*365/1000)/CC43</f>
        <v>0.65794392523364476</v>
      </c>
      <c r="CD42" s="3"/>
      <c r="CE42" s="3">
        <f>+(435.6+122.8)/(764.5)</f>
        <v>0.73041203400915633</v>
      </c>
      <c r="CF42" s="3"/>
      <c r="CG42" s="3"/>
      <c r="CH42" s="3"/>
      <c r="CI42" s="3">
        <f>+((9.4+36.8+124.2+21.4+12+8.4+2.5)*0.365)/CI43</f>
        <v>0.71758021390374327</v>
      </c>
      <c r="CJ42" s="3"/>
      <c r="CK42" s="3">
        <v>0.77</v>
      </c>
      <c r="CL42" s="3"/>
      <c r="CM42" s="3"/>
      <c r="CN42" s="3"/>
      <c r="CO42" s="3">
        <f>+(250+67+31+138+31)/658</f>
        <v>0.7857142857142857</v>
      </c>
      <c r="CP42" s="3"/>
      <c r="CQ42" s="3">
        <f>+(66.212+19.878)/CQ43</f>
        <v>0.83384183253426314</v>
      </c>
    </row>
    <row r="43" spans="2:99" outlineLevel="1" x14ac:dyDescent="0.25">
      <c r="B43" t="s">
        <v>45</v>
      </c>
      <c r="D43" s="10">
        <f>495.168/6</f>
        <v>82.528000000000006</v>
      </c>
      <c r="F43" s="10">
        <f>989/6</f>
        <v>164.83333333333334</v>
      </c>
      <c r="G43" s="10"/>
      <c r="H43" s="10">
        <f>(132*0.365*4+133*0.365-123*0.365)/4</f>
        <v>49.092500000000001</v>
      </c>
      <c r="I43" s="10"/>
      <c r="J43" s="10">
        <f>22.04+5.576-4.613</f>
        <v>23.003</v>
      </c>
      <c r="K43" s="10"/>
      <c r="L43" s="10">
        <f>22.295+6.483-4.866</f>
        <v>23.912000000000003</v>
      </c>
      <c r="M43" s="10"/>
      <c r="N43" s="10">
        <f>190+484*0.365-554*0.365</f>
        <v>164.44999999999996</v>
      </c>
      <c r="O43" s="10"/>
      <c r="P43" s="10">
        <f>507.104/6</f>
        <v>84.517333333333326</v>
      </c>
      <c r="Q43" s="10"/>
      <c r="R43" s="7">
        <v>95.971999999999994</v>
      </c>
      <c r="S43" s="7"/>
      <c r="T43" s="7">
        <f>(58.532+10.854/6)*0.365+59.218*0.091-60.338*0.091</f>
        <v>21.922544999999996</v>
      </c>
      <c r="U43" s="7"/>
      <c r="V43" s="7"/>
      <c r="W43" s="7"/>
      <c r="X43" s="7">
        <v>47.61</v>
      </c>
      <c r="Y43" s="7"/>
      <c r="Z43" s="7">
        <f>80.7*0.365</f>
        <v>29.455500000000001</v>
      </c>
      <c r="AA43" s="7"/>
      <c r="AB43" s="7"/>
      <c r="AC43" s="7"/>
      <c r="AD43" s="7">
        <f>42.914+10.943-11.634</f>
        <v>42.222999999999999</v>
      </c>
      <c r="AE43" s="7"/>
      <c r="AF43" s="7">
        <v>12.486000000000001</v>
      </c>
      <c r="AG43" s="7"/>
      <c r="AH43" s="7">
        <v>18.457999999999998</v>
      </c>
      <c r="AI43" s="7"/>
      <c r="AJ43" s="7">
        <f>24.881+6.775-5.698</f>
        <v>25.957999999999998</v>
      </c>
      <c r="AK43" s="7"/>
      <c r="AL43" s="7">
        <f>52.128*0.365+5.395-4.075</f>
        <v>20.346720000000001</v>
      </c>
      <c r="AM43" s="7"/>
      <c r="AN43" s="7"/>
      <c r="AO43" s="7"/>
      <c r="AP43" s="7">
        <f>82.525*0.365+91.714*0.091-76.819*0.091</f>
        <v>31.477069999999998</v>
      </c>
      <c r="AQ43" s="7"/>
      <c r="AR43" s="7"/>
      <c r="AS43" s="7"/>
      <c r="AT43" s="7"/>
      <c r="AU43" s="7">
        <v>39.936999999999998</v>
      </c>
      <c r="AV43" s="7"/>
      <c r="AW43" s="7">
        <v>40.200000000000003</v>
      </c>
      <c r="AX43" s="7"/>
      <c r="AY43" s="7">
        <f>(((2201*60.8333333333333/1000)*4)+203.030245/6-196.954885/6)/4</f>
        <v>134.14730666666659</v>
      </c>
      <c r="AZ43" s="7"/>
      <c r="BA43">
        <v>43.9</v>
      </c>
      <c r="BC43" s="10">
        <f>((946/6)+182/6-226/6)</f>
        <v>150.33333333333334</v>
      </c>
      <c r="BE43" s="10">
        <f>(51.8579*4+7.8063-11.7246)/4</f>
        <v>50.878324999999997</v>
      </c>
      <c r="BF43" s="10"/>
      <c r="BG43" s="10">
        <v>46.712000000000003</v>
      </c>
      <c r="BH43" s="10"/>
      <c r="BI43" s="10">
        <v>46.396000000000001</v>
      </c>
      <c r="BJ43" s="10"/>
      <c r="BK43" s="10"/>
      <c r="BM43" s="10">
        <v>243</v>
      </c>
      <c r="BN43" s="10"/>
      <c r="BO43" s="10">
        <f>89.6+21.7+352.4/6</f>
        <v>170.03333333333333</v>
      </c>
      <c r="BQ43" s="10">
        <f>483.752*0.365+447.27*0.091-487.464*0.091</f>
        <v>172.91182600000002</v>
      </c>
      <c r="BS43" s="10">
        <f>221.946*0.365</f>
        <v>81.010289999999998</v>
      </c>
      <c r="BT43" s="10"/>
      <c r="BU43" s="7">
        <v>95.971999999999994</v>
      </c>
      <c r="BV43" s="10"/>
      <c r="BW43" s="10">
        <f>1283*0.365</f>
        <v>468.29500000000002</v>
      </c>
      <c r="BX43" s="10"/>
      <c r="BY43" s="10">
        <f>(298.19*4+332.236-287.41)/4*365/1000</f>
        <v>112.9297225</v>
      </c>
      <c r="BZ43" s="10"/>
      <c r="CA43" s="10">
        <f>361.2*0.365</f>
        <v>131.83799999999999</v>
      </c>
      <c r="CB43" s="10"/>
      <c r="CC43" s="10">
        <f>535*0.365</f>
        <v>195.27500000000001</v>
      </c>
      <c r="CD43" s="10"/>
      <c r="CE43" s="10">
        <v>262.5</v>
      </c>
      <c r="CF43" s="10"/>
      <c r="CG43" s="10"/>
      <c r="CH43" s="10"/>
      <c r="CI43" s="10">
        <f>299.2*0.365</f>
        <v>109.208</v>
      </c>
      <c r="CJ43" s="10"/>
      <c r="CK43" s="10">
        <f>420*0.365</f>
        <v>153.29999999999998</v>
      </c>
      <c r="CL43" s="10"/>
      <c r="CM43" s="10"/>
      <c r="CN43" s="10"/>
      <c r="CO43">
        <f>658*0.365</f>
        <v>240.17</v>
      </c>
      <c r="CQ43">
        <v>103.245</v>
      </c>
    </row>
    <row r="44" spans="2:99" outlineLevel="1" x14ac:dyDescent="0.25">
      <c r="B44" t="s">
        <v>46</v>
      </c>
      <c r="D44" s="7">
        <f t="shared" ref="D44:AY44" si="3">+D41*1000/365</f>
        <v>298.06392694063936</v>
      </c>
      <c r="E44">
        <f t="shared" si="3"/>
        <v>0</v>
      </c>
      <c r="F44" s="7">
        <f t="shared" si="3"/>
        <v>535.49999999999989</v>
      </c>
      <c r="G44" s="7">
        <f t="shared" si="3"/>
        <v>0</v>
      </c>
      <c r="H44" s="7">
        <f t="shared" si="3"/>
        <v>133</v>
      </c>
      <c r="I44" s="7">
        <f t="shared" si="3"/>
        <v>0</v>
      </c>
      <c r="J44" s="7">
        <f t="shared" si="3"/>
        <v>61.106849315068494</v>
      </c>
      <c r="K44" s="7">
        <f t="shared" si="3"/>
        <v>0</v>
      </c>
      <c r="L44" s="7">
        <f t="shared" si="3"/>
        <v>71.046575342465758</v>
      </c>
      <c r="M44" s="7">
        <f t="shared" si="3"/>
        <v>0</v>
      </c>
      <c r="N44" s="7">
        <f t="shared" si="3"/>
        <v>484</v>
      </c>
      <c r="O44" s="7">
        <f t="shared" si="3"/>
        <v>0</v>
      </c>
      <c r="P44" s="10">
        <f t="shared" si="3"/>
        <v>246.51666666666665</v>
      </c>
      <c r="Q44" s="10">
        <f t="shared" si="3"/>
        <v>0</v>
      </c>
      <c r="R44" s="10">
        <f t="shared" si="3"/>
        <v>309.62191780821917</v>
      </c>
      <c r="S44" s="10">
        <f t="shared" si="3"/>
        <v>0</v>
      </c>
      <c r="T44" s="10">
        <f t="shared" si="3"/>
        <v>59.217999999999996</v>
      </c>
      <c r="U44" s="10">
        <f t="shared" si="3"/>
        <v>0</v>
      </c>
      <c r="V44" s="10">
        <f t="shared" si="3"/>
        <v>0</v>
      </c>
      <c r="W44" s="10">
        <f t="shared" si="3"/>
        <v>0</v>
      </c>
      <c r="X44" s="10">
        <f t="shared" si="3"/>
        <v>182.80000000000004</v>
      </c>
      <c r="Y44" s="10">
        <f t="shared" si="3"/>
        <v>0</v>
      </c>
      <c r="Z44" s="10">
        <f t="shared" si="3"/>
        <v>79.5</v>
      </c>
      <c r="AA44" s="10">
        <f t="shared" si="3"/>
        <v>0</v>
      </c>
      <c r="AB44" s="10">
        <f t="shared" si="3"/>
        <v>0</v>
      </c>
      <c r="AC44" s="10">
        <f t="shared" si="3"/>
        <v>0</v>
      </c>
      <c r="AD44" s="10">
        <f t="shared" si="3"/>
        <v>119.92328767123287</v>
      </c>
      <c r="AE44" s="10">
        <f t="shared" si="3"/>
        <v>0</v>
      </c>
      <c r="AF44" s="10">
        <f t="shared" si="3"/>
        <v>38.41299999999999</v>
      </c>
      <c r="AG44" s="10">
        <f t="shared" si="3"/>
        <v>0</v>
      </c>
      <c r="AH44" s="10">
        <f t="shared" si="3"/>
        <v>66.049315068493144</v>
      </c>
      <c r="AI44" s="10">
        <f t="shared" si="3"/>
        <v>0</v>
      </c>
      <c r="AJ44" s="10">
        <f t="shared" si="3"/>
        <v>75.275999999999996</v>
      </c>
      <c r="AK44" s="10">
        <f t="shared" si="3"/>
        <v>0</v>
      </c>
      <c r="AL44" s="10">
        <f t="shared" si="3"/>
        <v>59.94100000000001</v>
      </c>
      <c r="AM44" s="10">
        <f t="shared" si="3"/>
        <v>0</v>
      </c>
      <c r="AN44" s="10">
        <f t="shared" si="3"/>
        <v>0</v>
      </c>
      <c r="AO44" s="10">
        <f t="shared" si="3"/>
        <v>0</v>
      </c>
      <c r="AP44" s="10">
        <f t="shared" si="3"/>
        <v>91.713999999999984</v>
      </c>
      <c r="AQ44" s="10">
        <f t="shared" si="3"/>
        <v>0</v>
      </c>
      <c r="AR44" s="10">
        <f t="shared" si="3"/>
        <v>0</v>
      </c>
      <c r="AS44" s="10">
        <f t="shared" si="3"/>
        <v>0</v>
      </c>
      <c r="AT44" s="10">
        <f t="shared" si="3"/>
        <v>0</v>
      </c>
      <c r="AU44" s="7">
        <f t="shared" si="3"/>
        <v>120.83287671232877</v>
      </c>
      <c r="AV44" s="7">
        <f t="shared" si="3"/>
        <v>0</v>
      </c>
      <c r="AW44" s="7">
        <f t="shared" si="3"/>
        <v>128.98630136986301</v>
      </c>
      <c r="AX44" s="7">
        <f t="shared" si="3"/>
        <v>0</v>
      </c>
      <c r="AY44" s="7">
        <f t="shared" si="3"/>
        <v>370.831497716895</v>
      </c>
      <c r="AZ44" s="7"/>
      <c r="BA44" s="7">
        <f>+BA41*1000/365</f>
        <v>123.83561643835617</v>
      </c>
      <c r="BB44" s="7"/>
      <c r="BC44" s="7">
        <f t="shared" ref="BC44:BI44" si="4">+BC41*1000/365</f>
        <v>332.42009132420088</v>
      </c>
      <c r="BD44" s="7">
        <f t="shared" si="4"/>
        <v>0</v>
      </c>
      <c r="BE44" s="7">
        <f t="shared" si="4"/>
        <v>85.548493150684934</v>
      </c>
      <c r="BF44" s="7">
        <f t="shared" si="4"/>
        <v>0</v>
      </c>
      <c r="BG44" s="7">
        <f t="shared" si="4"/>
        <v>131.03561643835616</v>
      </c>
      <c r="BH44" s="7">
        <f t="shared" si="4"/>
        <v>0</v>
      </c>
      <c r="BI44" s="7">
        <f t="shared" si="4"/>
        <v>156.4</v>
      </c>
      <c r="BJ44" s="7"/>
      <c r="BK44" s="7"/>
      <c r="BL44" s="7"/>
      <c r="BM44" s="7">
        <f>+BM43*1000/365</f>
        <v>665.7534246575342</v>
      </c>
      <c r="BN44" s="7"/>
      <c r="BO44" s="7">
        <f>+BO43*1000/365</f>
        <v>465.84474885844753</v>
      </c>
      <c r="BP44" s="7"/>
      <c r="BQ44" s="7">
        <f>+BQ43*1000/365</f>
        <v>473.73103013698636</v>
      </c>
      <c r="BR44" s="7"/>
      <c r="BS44" s="7">
        <f>+BS43*1000/365</f>
        <v>221.94599999999997</v>
      </c>
      <c r="BT44" s="10"/>
      <c r="BU44" s="10">
        <f>+BU43*1000/365</f>
        <v>262.93698630136987</v>
      </c>
      <c r="BV44" s="7"/>
      <c r="BW44" s="7">
        <f>+BW43*1000/365</f>
        <v>1283</v>
      </c>
      <c r="BX44" s="7"/>
      <c r="BY44" s="7">
        <f>+BY43*1000/365</f>
        <v>309.3965</v>
      </c>
      <c r="BZ44" s="7"/>
      <c r="CA44" s="7">
        <f>+CA43*1000/365</f>
        <v>361.2</v>
      </c>
      <c r="CB44" s="7"/>
      <c r="CC44" s="7">
        <f>+CC43*1000/365</f>
        <v>535</v>
      </c>
      <c r="CD44" s="7"/>
      <c r="CE44" s="7">
        <f>+CE43*1000/365</f>
        <v>719.17808219178085</v>
      </c>
      <c r="CF44" s="7"/>
      <c r="CG44" s="7"/>
      <c r="CH44" s="7"/>
      <c r="CI44" s="7">
        <f>+CI43*1000/365</f>
        <v>299.2</v>
      </c>
      <c r="CJ44" s="7"/>
      <c r="CK44" s="7">
        <f>+CK43*1000/365</f>
        <v>419.99999999999994</v>
      </c>
      <c r="CL44" s="7"/>
      <c r="CM44" s="7"/>
      <c r="CN44" s="7"/>
      <c r="CO44" s="7">
        <f>+CO43*1000/365</f>
        <v>658</v>
      </c>
      <c r="CP44" s="7"/>
      <c r="CQ44" s="7">
        <f>+CQ43*1000/365</f>
        <v>282.86301369863014</v>
      </c>
    </row>
    <row r="45" spans="2:99" outlineLevel="1" x14ac:dyDescent="0.25">
      <c r="B45" t="s">
        <v>23</v>
      </c>
    </row>
    <row r="46" spans="2:99" outlineLevel="1" x14ac:dyDescent="0.25">
      <c r="B46" t="s">
        <v>24</v>
      </c>
      <c r="D46" s="8">
        <f>+D14/D41*1000</f>
        <v>23563.006311661251</v>
      </c>
      <c r="F46" s="8">
        <f>+F14/F41*1000</f>
        <v>24762.416382077947</v>
      </c>
      <c r="G46" s="8"/>
      <c r="H46" s="8">
        <f>+H14/H41*1000</f>
        <v>108538.46946132454</v>
      </c>
      <c r="I46" s="8"/>
      <c r="J46" s="8">
        <f>+J14/J41*1000</f>
        <v>77346.798780487807</v>
      </c>
      <c r="K46" s="8"/>
      <c r="L46" s="8">
        <f>+L14/L41*1000</f>
        <v>34706.154558074966</v>
      </c>
      <c r="M46" s="8"/>
      <c r="N46" s="8">
        <f>+N14/N41*1000</f>
        <v>56481.376655722859</v>
      </c>
      <c r="O46" s="8"/>
      <c r="P46" s="8">
        <f>+P14/P41*1000</f>
        <v>26430.789548994529</v>
      </c>
      <c r="Q46" s="8"/>
      <c r="R46" s="8">
        <f>+R14/R41*1000</f>
        <v>37111.103245673032</v>
      </c>
      <c r="S46" s="8"/>
      <c r="T46" s="8">
        <f>+T14/T41*1000</f>
        <v>116851.31834683733</v>
      </c>
      <c r="U46" s="8"/>
      <c r="V46" s="8"/>
      <c r="W46" s="8"/>
      <c r="X46" s="8">
        <f>+X14/X41*1000</f>
        <v>67151.764035850239</v>
      </c>
      <c r="Y46" s="8"/>
      <c r="Z46" s="8">
        <f>+Z14/Z41*1000</f>
        <v>152942.19005772378</v>
      </c>
      <c r="AA46" s="8"/>
      <c r="AB46" s="8"/>
      <c r="AC46" s="8"/>
      <c r="AD46" s="8">
        <f>+AD14/AD41*1000</f>
        <v>38380.699990861744</v>
      </c>
      <c r="AE46" s="8"/>
      <c r="AF46" s="8">
        <f>+AF14/AF41*1000</f>
        <v>35661.443097353251</v>
      </c>
      <c r="AG46" s="8"/>
      <c r="AH46" s="8">
        <f>+AH14/AH41*1000</f>
        <v>87960.303633648582</v>
      </c>
      <c r="AI46" s="8"/>
      <c r="AJ46" s="8">
        <f>+AJ14/AJ41*1000</f>
        <v>38943.446109185781</v>
      </c>
      <c r="AK46" s="8"/>
      <c r="AL46" s="8">
        <f>+AL14/AL41*1000</f>
        <v>64446.934462723962</v>
      </c>
      <c r="AM46" s="8"/>
      <c r="AN46" s="8"/>
      <c r="AO46" s="8"/>
      <c r="AP46" s="8">
        <f>+AP14/AP41*1000</f>
        <v>85955.386623275888</v>
      </c>
      <c r="AQ46" s="8"/>
      <c r="AR46" s="8"/>
      <c r="AS46" s="8"/>
      <c r="AT46" s="8"/>
      <c r="AU46" s="8">
        <f>+AU14/AU41*1000</f>
        <v>49977.371666968989</v>
      </c>
      <c r="AV46" s="8"/>
      <c r="AW46" s="8">
        <f>+AW14/AW41*1000</f>
        <v>26178.844519966016</v>
      </c>
      <c r="AX46" s="8"/>
      <c r="AY46" s="8">
        <f>+AY14/AY41*1000</f>
        <v>28232.214860401713</v>
      </c>
      <c r="AZ46" s="8"/>
      <c r="BA46" s="8">
        <f>+BA14/BA41*1000</f>
        <v>54796.37168141592</v>
      </c>
      <c r="BB46" s="8"/>
      <c r="BC46" s="8">
        <f>+BC14/BC41*1000</f>
        <v>19302.197802197803</v>
      </c>
      <c r="BD46" s="8"/>
      <c r="BE46" s="8">
        <f>+BE14/BE41*1000</f>
        <v>67230.954485479684</v>
      </c>
      <c r="BF46" s="8"/>
      <c r="BG46" s="8">
        <f>+BG14/BG41*1000</f>
        <v>59462.657857322061</v>
      </c>
      <c r="BH46" s="8"/>
      <c r="BI46" s="8">
        <f>+BI14/BI41*1000</f>
        <v>43951.231475317938</v>
      </c>
      <c r="BJ46" s="8"/>
      <c r="BK46" s="8"/>
      <c r="BQ46" s="8">
        <f>+BQ14/BQ41*1000</f>
        <v>51778.353365056995</v>
      </c>
      <c r="BS46" s="8">
        <f>+BS14/BS41*1000</f>
        <v>16356.312898882767</v>
      </c>
      <c r="BT46" s="8"/>
      <c r="BU46" s="8">
        <f>+BU14/BU41*1000</f>
        <v>37111.103245673032</v>
      </c>
      <c r="BV46" s="8"/>
      <c r="BW46" s="34"/>
      <c r="BX46" s="34"/>
      <c r="BY46" s="8">
        <f>+BY14/BY41*1000</f>
        <v>47573.254991046968</v>
      </c>
      <c r="BZ46" s="8"/>
      <c r="CA46" s="8" t="e">
        <f>+CA14/CA41*1000</f>
        <v>#DIV/0!</v>
      </c>
      <c r="CB46" s="8"/>
      <c r="CC46" s="8">
        <f>+CC14/CC41*1000</f>
        <v>30955.814193016788</v>
      </c>
      <c r="CD46" s="8"/>
      <c r="CE46" s="8">
        <f>+CE14/CE41*1000</f>
        <v>21645.448274008439</v>
      </c>
      <c r="CF46" s="8"/>
      <c r="CG46" s="8"/>
      <c r="CH46" s="8"/>
      <c r="CI46" s="8">
        <f>+CI14/CI41*1000</f>
        <v>50129.240856322001</v>
      </c>
      <c r="CJ46" s="8"/>
      <c r="CK46" s="34"/>
      <c r="CL46" s="34"/>
      <c r="CM46" s="34"/>
      <c r="CN46" s="34"/>
      <c r="CO46" s="8">
        <f>+CO14/CO41*1000</f>
        <v>40615.852944620063</v>
      </c>
      <c r="CP46" s="8"/>
    </row>
    <row r="47" spans="2:99" outlineLevel="1" x14ac:dyDescent="0.25">
      <c r="B47" t="s">
        <v>47</v>
      </c>
      <c r="D47" s="8">
        <f>+D14/D44*1000</f>
        <v>8600.4973037563559</v>
      </c>
      <c r="F47" s="8">
        <f>+F14/F44*1000</f>
        <v>9038.281979458452</v>
      </c>
      <c r="G47" s="8"/>
      <c r="H47" s="8">
        <f>+H14/H44*1000</f>
        <v>39616.541353383458</v>
      </c>
      <c r="I47" s="8"/>
      <c r="J47" s="8">
        <f>+J14/J44*1000</f>
        <v>28231.581554878045</v>
      </c>
      <c r="K47" s="8"/>
      <c r="L47" s="8">
        <f>+L14/L44*1000</f>
        <v>12667.746413697361</v>
      </c>
      <c r="M47" s="8"/>
      <c r="N47" s="8">
        <f>+N14/N44*1000</f>
        <v>20615.702479338845</v>
      </c>
      <c r="O47" s="8"/>
      <c r="P47" s="8">
        <f>+P14/P44*1000</f>
        <v>9647.2381853830029</v>
      </c>
      <c r="Q47" s="8"/>
      <c r="R47" s="8">
        <f>+R14/R44*1000</f>
        <v>13545.552684670654</v>
      </c>
      <c r="S47" s="8"/>
      <c r="T47" s="8">
        <f>+T14/T44*1000</f>
        <v>42650.731196595632</v>
      </c>
      <c r="U47" s="8"/>
      <c r="V47" s="8"/>
      <c r="W47" s="8"/>
      <c r="X47" s="8">
        <f>+X14/X44*1000</f>
        <v>24510.393873085333</v>
      </c>
      <c r="Y47" s="8"/>
      <c r="Z47" s="8">
        <f>+Z14/Z44*1000</f>
        <v>55823.899371069179</v>
      </c>
      <c r="AA47" s="8"/>
      <c r="AB47" s="8"/>
      <c r="AC47" s="8"/>
      <c r="AD47" s="8">
        <f>+AD14/AD44*1000</f>
        <v>14008.955496664536</v>
      </c>
      <c r="AE47" s="8"/>
      <c r="AF47" s="8">
        <f>+AF14/AF44*1000</f>
        <v>13016.426730533936</v>
      </c>
      <c r="AG47" s="8"/>
      <c r="AH47" s="8">
        <f>+AH14/AH44*1000</f>
        <v>32105.510826281738</v>
      </c>
      <c r="AI47" s="8"/>
      <c r="AJ47" s="8">
        <f>+AJ14/AJ44*1000</f>
        <v>14214.357829852808</v>
      </c>
      <c r="AK47" s="8"/>
      <c r="AL47" s="8">
        <f>+AL14/AL44*1000</f>
        <v>23523.131078894243</v>
      </c>
      <c r="AM47" s="8"/>
      <c r="AN47" s="8"/>
      <c r="AO47" s="8"/>
      <c r="AP47" s="8">
        <f>+AP14/AP44*1000</f>
        <v>31373.7161174957</v>
      </c>
      <c r="AQ47" s="8"/>
      <c r="AR47" s="8"/>
      <c r="AS47" s="8"/>
      <c r="AT47" s="8"/>
      <c r="AU47" s="8">
        <f>+AU14/AU44*1000</f>
        <v>18241.740658443683</v>
      </c>
      <c r="AV47" s="8"/>
      <c r="AW47" s="8">
        <f>+AW14/AW44*1000</f>
        <v>9555.278249787596</v>
      </c>
      <c r="AX47" s="8"/>
      <c r="AY47" s="8">
        <f>+AY14/AY44*1000</f>
        <v>10304.758424046624</v>
      </c>
      <c r="AZ47" s="8"/>
      <c r="BA47" s="8">
        <f>+BA14/BA44*1000</f>
        <v>20000.675663716811</v>
      </c>
      <c r="BB47" s="8"/>
      <c r="BC47" s="8">
        <f>+BC14/BC44*1000</f>
        <v>7045.302197802198</v>
      </c>
      <c r="BD47" s="8"/>
      <c r="BE47" s="8">
        <f>+BE14/BE44*1000</f>
        <v>24539.298387200084</v>
      </c>
      <c r="BF47" s="8"/>
      <c r="BG47" s="8">
        <f>+BG14/BG44*1000</f>
        <v>21703.870117922557</v>
      </c>
      <c r="BH47" s="8"/>
      <c r="BI47" s="8">
        <f>+BI14/BI44*1000</f>
        <v>16042.199488491047</v>
      </c>
      <c r="BJ47" s="8"/>
      <c r="BK47" s="8"/>
      <c r="BM47" s="8">
        <f>+BM14/BM44*1000</f>
        <v>19215.823045267491</v>
      </c>
      <c r="BN47" s="8"/>
      <c r="BO47" s="8">
        <f>+BO14/BO44*1000</f>
        <v>17611.017447559301</v>
      </c>
      <c r="BQ47" s="8">
        <f>+BQ14/BQ44*1000</f>
        <v>17843.458549792886</v>
      </c>
      <c r="BS47" s="8">
        <f>+BS14/BS44*1000</f>
        <v>6758.4006920602324</v>
      </c>
      <c r="BT47" s="8"/>
      <c r="BU47" s="8">
        <f>+BU14/BU44*1000</f>
        <v>15950.589755345309</v>
      </c>
      <c r="BV47" s="8"/>
      <c r="BW47" s="8">
        <f>+BW14/BW44*1000</f>
        <v>11666.406858924396</v>
      </c>
      <c r="BX47" s="8"/>
      <c r="BY47" s="8">
        <f>+BY14/BY44*1000</f>
        <v>18646.057728513413</v>
      </c>
      <c r="BZ47" s="8"/>
      <c r="CA47" s="8">
        <f>+CA14/CA44*1000</f>
        <v>11622.369878183832</v>
      </c>
      <c r="CB47" s="8"/>
      <c r="CC47" s="8">
        <f>+CC14/CC44*1000</f>
        <v>11235.514018691589</v>
      </c>
      <c r="CD47" s="8"/>
      <c r="CE47" s="8">
        <f>+CE14/CE44*1000</f>
        <v>8398.4761904761908</v>
      </c>
      <c r="CF47" s="8"/>
      <c r="CG47" s="8"/>
      <c r="CH47" s="8"/>
      <c r="CI47" s="8">
        <f>+CI14/CI44*1000</f>
        <v>18602.941176470591</v>
      </c>
      <c r="CJ47" s="8"/>
      <c r="CK47" s="8">
        <f>+CK14/CK44*1000</f>
        <v>13180.952380952382</v>
      </c>
      <c r="CL47" s="8"/>
      <c r="CM47" s="8"/>
      <c r="CN47" s="8"/>
      <c r="CO47" s="8">
        <f>+CO14/CO44*1000</f>
        <v>15816.109422492402</v>
      </c>
      <c r="CP47" s="8"/>
      <c r="CQ47" s="8">
        <f>+CQ14/CQ44*1000</f>
        <v>8131.1443653445676</v>
      </c>
    </row>
    <row r="48" spans="2:99" outlineLevel="1" x14ac:dyDescent="0.25">
      <c r="B48" t="s">
        <v>25</v>
      </c>
      <c r="D48" s="8">
        <f>+D14/D43*1000</f>
        <v>31062.16072120977</v>
      </c>
      <c r="F48" s="8">
        <f>+F14/F43*1000</f>
        <v>29362.992922143574</v>
      </c>
      <c r="G48" s="8"/>
      <c r="H48" s="8">
        <f>+H14/H43*1000</f>
        <v>107328.00325915363</v>
      </c>
      <c r="I48" s="8"/>
      <c r="J48" s="8">
        <f>+J14/J43*1000</f>
        <v>74996.435247576403</v>
      </c>
      <c r="K48" s="8"/>
      <c r="L48" s="8">
        <f>+L14/L43*1000</f>
        <v>37638.006022080961</v>
      </c>
      <c r="M48" s="8"/>
      <c r="N48" s="8">
        <f>+N14/N43*1000</f>
        <v>60674.97719671634</v>
      </c>
      <c r="O48" s="8"/>
      <c r="P48" s="8">
        <f>+P14/P43*1000</f>
        <v>28138.665835804888</v>
      </c>
      <c r="Q48" s="8"/>
      <c r="R48" s="8">
        <f>+R14/R43*1000</f>
        <v>43700.245905055643</v>
      </c>
      <c r="S48" s="8"/>
      <c r="T48" s="8">
        <f>+T14/T43*1000</f>
        <v>115209.75324717091</v>
      </c>
      <c r="U48" s="8"/>
      <c r="V48" s="8"/>
      <c r="W48" s="8"/>
      <c r="X48" s="8">
        <f>+X14/X43*1000</f>
        <v>94108.380592312547</v>
      </c>
      <c r="Y48" s="8"/>
      <c r="Z48" s="8">
        <f>+Z14/Z43*1000</f>
        <v>150667.95674831525</v>
      </c>
      <c r="AA48" s="8"/>
      <c r="AB48" s="8"/>
      <c r="AC48" s="8"/>
      <c r="AD48" s="8">
        <f>+AD14/AD43*1000</f>
        <v>39788.740733723331</v>
      </c>
      <c r="AE48" s="8"/>
      <c r="AF48" s="8">
        <f>+AF14/AF43*1000</f>
        <v>40044.850232260134</v>
      </c>
      <c r="AG48" s="8"/>
      <c r="AH48" s="8">
        <f>+AH14/AH43*1000</f>
        <v>114884.98212157331</v>
      </c>
      <c r="AI48" s="8"/>
      <c r="AJ48" s="8">
        <f>+AJ14/AJ43*1000</f>
        <v>41220.433007165426</v>
      </c>
      <c r="AK48" s="8"/>
      <c r="AL48" s="8">
        <f>+AL14/AL43*1000</f>
        <v>69298.638797801323</v>
      </c>
      <c r="AM48" s="8"/>
      <c r="AN48" s="8"/>
      <c r="AO48" s="8"/>
      <c r="AP48" s="8">
        <f>+AP14/AP43*1000</f>
        <v>91412.86021856546</v>
      </c>
      <c r="AQ48" s="8"/>
      <c r="AR48" s="8"/>
      <c r="AS48" s="8"/>
      <c r="AT48" s="8"/>
      <c r="AU48" s="8">
        <f>+AU14/AU43*1000</f>
        <v>55191.977364348859</v>
      </c>
      <c r="AV48" s="8"/>
      <c r="AW48" s="8">
        <f>+AW14/AW43*1000</f>
        <v>30659.203980099501</v>
      </c>
      <c r="AX48" s="8"/>
      <c r="AY48" s="8">
        <f>+AY14/AY43*1000</f>
        <v>28486.065765713491</v>
      </c>
      <c r="AZ48" s="8"/>
      <c r="BA48" s="8">
        <f>+BA14/BA43*1000</f>
        <v>56419.043280182232</v>
      </c>
      <c r="BB48" s="8"/>
      <c r="BC48" s="8">
        <f>+BC14/BC43*1000</f>
        <v>15578.713968957871</v>
      </c>
      <c r="BD48" s="8"/>
      <c r="BE48" s="8">
        <f>+BE14/BE43*1000</f>
        <v>41261.185386901008</v>
      </c>
      <c r="BF48" s="8"/>
      <c r="BG48" s="8">
        <f>+BG14/BG43*1000</f>
        <v>60883.284809042641</v>
      </c>
      <c r="BH48" s="8"/>
      <c r="BI48" s="8">
        <f>+BI14/BI43*1000</f>
        <v>54077.937753254591</v>
      </c>
      <c r="BJ48" s="8"/>
      <c r="BK48" s="8"/>
      <c r="BM48" s="8">
        <f>+BM14/BM43*1000</f>
        <v>52646.090534979419</v>
      </c>
      <c r="BN48" s="8"/>
      <c r="BO48" s="8">
        <f>+BO14/BO43*1000</f>
        <v>48249.362870025485</v>
      </c>
      <c r="BQ48" s="8">
        <f>+BQ14/BQ43*1000</f>
        <v>48886.187807651739</v>
      </c>
      <c r="BS48" s="8">
        <f>+BS14/BS43*1000</f>
        <v>18516.166279617071</v>
      </c>
      <c r="BT48" s="8"/>
      <c r="BU48" s="8">
        <f>+BU14/BU43*1000</f>
        <v>43700.245905055643</v>
      </c>
      <c r="BV48" s="8"/>
      <c r="BW48" s="8">
        <f>+BW14/BW43*1000</f>
        <v>31962.758517601083</v>
      </c>
      <c r="BX48" s="8"/>
      <c r="BY48" s="8">
        <f>+BY14/BY43*1000</f>
        <v>51085.089667160035</v>
      </c>
      <c r="BZ48" s="8"/>
      <c r="CA48" s="8">
        <f>+CA14/CA43*1000</f>
        <v>31842.109255298168</v>
      </c>
      <c r="CB48" s="8"/>
      <c r="CC48" s="8">
        <f>+CC14/CC43*1000</f>
        <v>30782.230188196136</v>
      </c>
      <c r="CD48" s="8"/>
      <c r="CE48" s="8">
        <f>+CE14/CE43*1000</f>
        <v>23009.523809523809</v>
      </c>
      <c r="CF48" s="8"/>
      <c r="CG48" s="8"/>
      <c r="CH48" s="8"/>
      <c r="CI48" s="8">
        <f>+CI14/CI43*1000</f>
        <v>50966.962127316685</v>
      </c>
      <c r="CJ48" s="8"/>
      <c r="CK48" s="8">
        <f>+CK14/CK43*1000</f>
        <v>36112.19830397913</v>
      </c>
      <c r="CL48" s="8"/>
      <c r="CM48" s="8"/>
      <c r="CN48" s="8"/>
      <c r="CO48" s="8">
        <f>+CO14/CO43*1000</f>
        <v>43331.806636965484</v>
      </c>
      <c r="CP48" s="8"/>
      <c r="CQ48" s="8">
        <f>+CQ14/CQ43*1000</f>
        <v>22277.107850259094</v>
      </c>
    </row>
    <row r="49" spans="2:99" outlineLevel="1" x14ac:dyDescent="0.25"/>
    <row r="50" spans="2:99" outlineLevel="1" x14ac:dyDescent="0.25">
      <c r="B50" s="12" t="s">
        <v>26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</row>
    <row r="51" spans="2:99" outlineLevel="1" x14ac:dyDescent="0.25">
      <c r="B51" t="s">
        <v>48</v>
      </c>
      <c r="D51" s="4">
        <f>+(50.163+658.117)/D43</f>
        <v>8.5822993408297776</v>
      </c>
      <c r="F51" s="9">
        <f>+(142.234+1792.898)/F43</f>
        <v>11.739931243680484</v>
      </c>
      <c r="G51" s="9"/>
      <c r="H51" s="9">
        <f>(912+233-212)/H43</f>
        <v>19.004939654733413</v>
      </c>
      <c r="I51" s="9"/>
      <c r="J51" s="9">
        <f>(161.596+42.031-39.273)/J43</f>
        <v>7.1448941442420555</v>
      </c>
      <c r="K51" s="9"/>
      <c r="L51" s="9">
        <f>(83.313+57.624+29.862-16.276+15.024-13.828)/L43</f>
        <v>6.5121696219471383</v>
      </c>
      <c r="M51" s="9"/>
      <c r="N51" s="9">
        <f>+(539+1398+132+274-147-356)/N43</f>
        <v>11.188811188811192</v>
      </c>
      <c r="O51" s="9"/>
      <c r="P51" s="9">
        <f>+(95.139+302.933+12.033+72.412)/P43</f>
        <v>5.7090892597968077</v>
      </c>
      <c r="Q51" s="9"/>
      <c r="R51" s="9">
        <f>(590+55)/R43</f>
        <v>6.7207102071437506</v>
      </c>
      <c r="S51" s="9"/>
      <c r="T51" s="9">
        <f>+(489.72+50.002+2.816+125.423+12.045+0.556-118.356-12.424-0.462)/T43</f>
        <v>25.057309723848221</v>
      </c>
      <c r="U51" s="9"/>
      <c r="V51" s="9"/>
      <c r="W51" s="9"/>
      <c r="X51" s="9">
        <f>(204.975+26.113)/X43</f>
        <v>4.8537702163411049</v>
      </c>
      <c r="Y51" s="9"/>
      <c r="Z51" s="9">
        <f>+(100+158)/Z43</f>
        <v>8.7589754035748832</v>
      </c>
      <c r="AA51" s="9"/>
      <c r="AB51" s="9"/>
      <c r="AC51" s="9"/>
      <c r="AD51" s="9">
        <f>+(688.1+33.132+0.469+187.701+8.086+1.74-177.79-7.185-1.838)/AD43</f>
        <v>17.346351514577368</v>
      </c>
      <c r="AE51" s="9"/>
      <c r="AF51" s="9">
        <f>42.406/AF43</f>
        <v>3.3962838378984461</v>
      </c>
      <c r="AG51" s="9"/>
      <c r="AH51" s="9">
        <f>+(224.727+6.955)/13.23</f>
        <v>17.511866969009827</v>
      </c>
      <c r="AI51" s="9"/>
      <c r="AJ51" s="9">
        <f>+(91.289+11.7+2.872+22.609+4.759-21.951+1.603-6.93)/AJ43</f>
        <v>4.0816318668618541</v>
      </c>
      <c r="AK51" s="9"/>
      <c r="AL51" s="9">
        <f>+(92.966+24.069+6.635+31.163-22.148+9.316-4.22+10.634)/AL43</f>
        <v>7.2942960831033217</v>
      </c>
      <c r="AM51" s="9"/>
      <c r="AN51" s="9"/>
      <c r="AO51" s="9"/>
      <c r="AP51" s="9">
        <f>+(193.912+41.2+107.913+58.444-44.781+6.97-7.387+34.95-21.013)/AP43</f>
        <v>11.761196324816767</v>
      </c>
      <c r="AQ51" s="9"/>
      <c r="AR51" s="9"/>
      <c r="AS51" s="9"/>
      <c r="AT51" s="9"/>
      <c r="AU51" s="9">
        <f>+(144.292+32.573)/AU43</f>
        <v>4.4286000450709873</v>
      </c>
      <c r="AV51" s="9"/>
      <c r="AW51" s="9">
        <f>+(130.957+37.403)/AW43</f>
        <v>4.1880597014925369</v>
      </c>
      <c r="AX51" s="9"/>
      <c r="AY51" s="9">
        <f>+(139.531+1117.816+33.227+302.655-38.122-244.628)/AY43</f>
        <v>9.7689549836160268</v>
      </c>
      <c r="AZ51" s="9"/>
      <c r="BA51" s="9">
        <f>487.367/BA43</f>
        <v>11.101753986332575</v>
      </c>
      <c r="BB51" s="9"/>
      <c r="BC51" s="4">
        <f>(789+165-189)/BC43</f>
        <v>5.0886917960088685</v>
      </c>
      <c r="BD51" s="9"/>
      <c r="BE51" s="4">
        <f>+(51+263.1+117.6+15.5+51.5+10.9-72.5-34)/BE43</f>
        <v>7.9228237171722942</v>
      </c>
      <c r="BF51" s="4"/>
      <c r="BG51" s="4">
        <f>(311.895+48.105)/BG43</f>
        <v>7.7067991094365471</v>
      </c>
      <c r="BH51" s="4"/>
      <c r="BI51" s="4">
        <f>(272+107)/BI43</f>
        <v>8.1688076558323992</v>
      </c>
      <c r="BJ51" s="4"/>
      <c r="BK51" s="4"/>
      <c r="BM51" s="4">
        <f>(1153+878)/BM43</f>
        <v>8.3580246913580254</v>
      </c>
      <c r="BN51" s="4"/>
      <c r="BO51" s="4">
        <f>(1439+348)/BO43</f>
        <v>10.509703979611841</v>
      </c>
      <c r="BQ51" s="4">
        <f>(5.56+3.43+-0.78+6.91+6.42+6.11+7.17+5.66+8.03+7.68+8.11+7.1)/4</f>
        <v>17.850000000000001</v>
      </c>
      <c r="BS51" s="4">
        <f>+(293.213+200.802)/BS43</f>
        <v>6.0981759230833514</v>
      </c>
      <c r="BT51" s="9"/>
      <c r="BU51" s="9">
        <f>(590+55)/BU43</f>
        <v>6.7207102071437506</v>
      </c>
      <c r="BV51" s="4"/>
      <c r="BW51" s="4">
        <f>5213/BW43</f>
        <v>11.131872003758314</v>
      </c>
      <c r="BX51" s="4"/>
      <c r="BY51" s="4">
        <f>(390.423+191.587+21.639+106.966+7.186+49.139-92.962-4.583-49.297)/BY43</f>
        <v>5.4910079142362198</v>
      </c>
      <c r="BZ51" s="4"/>
      <c r="CA51" s="4">
        <f>(1083+454)/CA43</f>
        <v>11.65824724282832</v>
      </c>
      <c r="CB51" s="4"/>
      <c r="CC51" s="4">
        <f>2225/CC43</f>
        <v>11.394187684035334</v>
      </c>
      <c r="CD51" s="4"/>
      <c r="CE51" s="4">
        <f>+(1282.678+746.876+436.973)/CE43</f>
        <v>9.3962933333333343</v>
      </c>
      <c r="CF51" s="4"/>
      <c r="CG51" s="4"/>
      <c r="CH51" s="4"/>
      <c r="CI51" s="4">
        <f>1527/CI43</f>
        <v>13.982492125119039</v>
      </c>
      <c r="CJ51" s="4"/>
      <c r="CK51" s="4">
        <f>+(842+575)/CK43</f>
        <v>9.2433137638617104</v>
      </c>
      <c r="CL51" s="4"/>
      <c r="CM51" s="4"/>
      <c r="CN51" s="4"/>
      <c r="CO51" s="29">
        <f>2877/CO43</f>
        <v>11.979014864471001</v>
      </c>
      <c r="CP51" s="29"/>
      <c r="CQ51" s="29">
        <f>855/CQ43</f>
        <v>8.2812727008571834</v>
      </c>
    </row>
    <row r="52" spans="2:99" outlineLevel="1" x14ac:dyDescent="0.25">
      <c r="B52" t="s">
        <v>27</v>
      </c>
      <c r="D52" s="4">
        <f>23.362/D43</f>
        <v>0.2830796820473051</v>
      </c>
      <c r="F52" s="4">
        <f>122.305/F43</f>
        <v>0.74199191102123352</v>
      </c>
      <c r="G52" s="4"/>
      <c r="H52" s="4">
        <f>(149+41-38)/H43</f>
        <v>3.096195956612517</v>
      </c>
      <c r="I52" s="4"/>
      <c r="J52" s="4">
        <f>+(50.591+10.422+14.894-12.548)/J43</f>
        <v>2.7543798634960659</v>
      </c>
      <c r="K52" s="4"/>
      <c r="L52" s="4">
        <f>(56.523+16.12-14.173)/L43</f>
        <v>2.4452157912345265</v>
      </c>
      <c r="M52" s="4"/>
      <c r="N52" s="4">
        <f>(124+34-31)/N43</f>
        <v>0.77227120705381591</v>
      </c>
      <c r="O52" s="4"/>
      <c r="P52" s="4">
        <f>32.75/P43</f>
        <v>0.38749447845017987</v>
      </c>
      <c r="Q52" s="4"/>
      <c r="R52" s="5">
        <f>305/R43</f>
        <v>3.1780102529904557</v>
      </c>
      <c r="S52" s="5"/>
      <c r="T52" s="5">
        <f>(104.67+23.785-27.319)/T43</f>
        <v>4.6133329866582562</v>
      </c>
      <c r="U52" s="5"/>
      <c r="V52" s="5"/>
      <c r="W52" s="5"/>
      <c r="X52" s="5">
        <f>132.661/X43</f>
        <v>2.786410417979416</v>
      </c>
      <c r="Y52" s="5"/>
      <c r="Z52" s="5">
        <f>77/Z43</f>
        <v>2.6141128142452175</v>
      </c>
      <c r="AA52" s="5"/>
      <c r="AB52" s="5"/>
      <c r="AC52" s="5"/>
      <c r="AD52" s="5">
        <f>(67.537+13.99-14.643)/AD43</f>
        <v>1.5840655566871138</v>
      </c>
      <c r="AE52" s="5"/>
      <c r="AF52" s="5">
        <f>34.642/AF43</f>
        <v>2.774467403491911</v>
      </c>
      <c r="AG52" s="5"/>
      <c r="AH52" s="5">
        <v>0</v>
      </c>
      <c r="AI52" s="5"/>
      <c r="AJ52" s="5">
        <f>(49.457+7.219-11.812)/AJ43</f>
        <v>1.7283303798443643</v>
      </c>
      <c r="AK52" s="5"/>
      <c r="AL52" s="5">
        <f>(76.138+19.665-17.791)/AL43</f>
        <v>3.8341314963787774</v>
      </c>
      <c r="AM52" s="5"/>
      <c r="AN52" s="5"/>
      <c r="AO52" s="5"/>
      <c r="AP52" s="5">
        <f>+(133.696+29.618-31)/AP43</f>
        <v>4.203504328706579</v>
      </c>
      <c r="AQ52" s="5"/>
      <c r="AR52" s="5"/>
      <c r="AS52" s="5"/>
      <c r="AT52" s="5"/>
      <c r="AU52" s="5">
        <f>108.342/AU43</f>
        <v>2.7128226957457997</v>
      </c>
      <c r="AV52" s="5"/>
      <c r="AW52" s="5">
        <f>90.357/AW43</f>
        <v>2.247686567164179</v>
      </c>
      <c r="AX52" s="5"/>
      <c r="AY52" s="5">
        <f>(46.149+11.31-9.926)/AY43</f>
        <v>0.35433435960150494</v>
      </c>
      <c r="AZ52" s="5"/>
      <c r="BA52">
        <v>0</v>
      </c>
      <c r="BC52" s="4">
        <f>(89+19-23)/BC43</f>
        <v>0.56541019955654104</v>
      </c>
      <c r="BE52" s="4">
        <f>(130.8+24-28.9)/BE43</f>
        <v>2.474531148578496</v>
      </c>
      <c r="BF52" s="4"/>
      <c r="BG52" s="4">
        <f>171.823/BG43</f>
        <v>3.6783481760575438</v>
      </c>
      <c r="BH52" s="4"/>
      <c r="BI52" s="4">
        <f>157/BI43</f>
        <v>3.3839124062419175</v>
      </c>
      <c r="BJ52" s="4"/>
      <c r="BK52" s="4"/>
      <c r="BM52" s="4">
        <f>826/BM43</f>
        <v>3.3991769547325101</v>
      </c>
      <c r="BN52" s="4"/>
      <c r="BO52" s="4">
        <f>215/BO43</f>
        <v>1.2644579494216821</v>
      </c>
      <c r="BQ52" s="4">
        <f>1/BQ43</f>
        <v>5.7832944289189329E-3</v>
      </c>
      <c r="BS52" s="4">
        <f>125.169/BS43</f>
        <v>1.5451000113689262</v>
      </c>
      <c r="BT52" s="4"/>
      <c r="BU52" s="5">
        <f>305/BU43</f>
        <v>3.1780102529904557</v>
      </c>
      <c r="BV52" s="4"/>
      <c r="BW52" s="4">
        <f>1048/BW43</f>
        <v>2.2379055936962811</v>
      </c>
      <c r="BX52" s="4"/>
      <c r="BY52" s="4">
        <f>(353.14+86.441-80.58)/BY43</f>
        <v>3.1789770846200391</v>
      </c>
      <c r="BZ52" s="4"/>
      <c r="CA52" s="4">
        <f>147/CA43</f>
        <v>1.1150047785919084</v>
      </c>
      <c r="CB52" s="4"/>
      <c r="CC52" s="4">
        <v>0</v>
      </c>
      <c r="CD52" s="4"/>
      <c r="CE52" s="4">
        <f>772.481/CE43</f>
        <v>2.942784761904762</v>
      </c>
      <c r="CF52" s="4"/>
      <c r="CG52" s="4"/>
      <c r="CH52" s="4"/>
      <c r="CI52" s="4">
        <v>0</v>
      </c>
      <c r="CJ52" s="4"/>
      <c r="CK52" s="4">
        <f>299/CK44</f>
        <v>0.71190476190476204</v>
      </c>
      <c r="CL52" s="4"/>
      <c r="CM52" s="4"/>
      <c r="CN52" s="4"/>
      <c r="CO52" s="29">
        <f>413/CO43</f>
        <v>1.7196152725153018</v>
      </c>
      <c r="CP52" s="29"/>
      <c r="CQ52" s="29">
        <f>284/CQ43</f>
        <v>2.7507385345537312</v>
      </c>
    </row>
    <row r="53" spans="2:99" outlineLevel="1" x14ac:dyDescent="0.25">
      <c r="B53" s="17" t="s">
        <v>28</v>
      </c>
      <c r="C53" s="17"/>
      <c r="D53" s="13">
        <f>63.794/D43</f>
        <v>0.77299825513765019</v>
      </c>
      <c r="E53" s="17"/>
      <c r="F53" s="13">
        <f>181.305/F43</f>
        <v>1.0999292214357936</v>
      </c>
      <c r="G53" s="13"/>
      <c r="H53" s="13">
        <f>(299+83-63)/H43</f>
        <v>6.4979375668381119</v>
      </c>
      <c r="I53" s="13"/>
      <c r="J53" s="13">
        <f>(68.617+24.732-27.292)/J43</f>
        <v>2.8716689127505108</v>
      </c>
      <c r="K53" s="13"/>
      <c r="L53" s="13">
        <f>(63.304+18.118-14.297)/L43</f>
        <v>2.8071679491468715</v>
      </c>
      <c r="M53" s="13"/>
      <c r="N53" s="13">
        <f>(280+103-87)/N43</f>
        <v>1.7999391912435394</v>
      </c>
      <c r="O53" s="13"/>
      <c r="P53" s="13">
        <f>134.806/P43</f>
        <v>1.5950100965482428</v>
      </c>
      <c r="Q53" s="13"/>
      <c r="R53" s="13">
        <f>311/R43</f>
        <v>3.240528487475514</v>
      </c>
      <c r="S53" s="13"/>
      <c r="T53" s="13">
        <f>(71.495+18.925-20.232)/T43</f>
        <v>3.2016355765263573</v>
      </c>
      <c r="U53" s="13"/>
      <c r="V53" s="13"/>
      <c r="W53" s="13"/>
      <c r="X53" s="13">
        <f>64.554/X43</f>
        <v>1.3558916194076875</v>
      </c>
      <c r="Y53" s="13"/>
      <c r="Z53" s="13">
        <f>89/Z43</f>
        <v>3.0215070190626538</v>
      </c>
      <c r="AA53" s="13"/>
      <c r="AB53" s="13"/>
      <c r="AC53" s="13"/>
      <c r="AD53" s="13">
        <f>(78.27+11.921-13.454)/AD43</f>
        <v>1.8174217843355516</v>
      </c>
      <c r="AE53" s="13"/>
      <c r="AF53" s="13">
        <f>(122.472)/AF43</f>
        <v>9.808745795290724</v>
      </c>
      <c r="AG53" s="13"/>
      <c r="AH53" s="13">
        <f>+(99.856)/13.23</f>
        <v>7.5476946334089181</v>
      </c>
      <c r="AI53" s="13"/>
      <c r="AJ53" s="13">
        <f>(96.138+21.519-24.725)/AJ44</f>
        <v>1.2345501886391417</v>
      </c>
      <c r="AK53" s="13"/>
      <c r="AL53" s="13">
        <f>(69.308+19.665-17.791)/AL43</f>
        <v>3.4984508559610599</v>
      </c>
      <c r="AM53" s="13"/>
      <c r="AN53" s="13"/>
      <c r="AO53" s="13"/>
      <c r="AP53" s="13">
        <f>(79.742+34.459-27.94)/AP43</f>
        <v>2.7404393102661722</v>
      </c>
      <c r="AQ53" s="13"/>
      <c r="AR53" s="13"/>
      <c r="AS53" s="13"/>
      <c r="AT53" s="13"/>
      <c r="AU53" s="13">
        <f>150.955/AU43</f>
        <v>3.7798282294614021</v>
      </c>
      <c r="AV53" s="13"/>
      <c r="AW53" s="13">
        <f>170.504/AW43</f>
        <v>4.2413930348258697</v>
      </c>
      <c r="AX53" s="13"/>
      <c r="AY53" s="13">
        <f>(209.812+46.638-68.417)/AY43</f>
        <v>1.4016904600793085</v>
      </c>
      <c r="AZ53" s="13"/>
      <c r="BA53" s="17">
        <v>2.65</v>
      </c>
      <c r="BB53" s="17"/>
      <c r="BC53" s="13">
        <f>(209+37-55)/BC43</f>
        <v>1.270509977827051</v>
      </c>
      <c r="BD53" s="17"/>
      <c r="BE53" s="13">
        <f>(221.7+63.3-60.1)/BE43</f>
        <v>4.4203499230762811</v>
      </c>
      <c r="BF53" s="13"/>
      <c r="BG53" s="13">
        <f>123.25/BG43</f>
        <v>2.638508306216818</v>
      </c>
      <c r="BH53" s="13"/>
      <c r="BI53" s="13">
        <f>182/BI43</f>
        <v>3.9227519613759805</v>
      </c>
      <c r="BJ53" s="13"/>
      <c r="BK53" s="13"/>
      <c r="BM53" s="13">
        <f>1084/BM43</f>
        <v>4.4609053497942384</v>
      </c>
      <c r="BN53" s="13"/>
      <c r="BO53" s="13">
        <f>431/BO43</f>
        <v>2.5347970986081161</v>
      </c>
      <c r="BQ53" s="51">
        <f>(391+72-120)/BQ43*0.5</f>
        <v>0.99183499455959701</v>
      </c>
      <c r="BS53" s="13">
        <f>80.85/BS43</f>
        <v>0.99802136247136009</v>
      </c>
      <c r="BT53" s="13"/>
      <c r="BU53" s="13">
        <f>311/BU43</f>
        <v>3.240528487475514</v>
      </c>
      <c r="BV53" s="13"/>
      <c r="BW53" s="13">
        <f>401/BW43</f>
        <v>0.85629784644294726</v>
      </c>
      <c r="BX53" s="13"/>
      <c r="BY53" s="13">
        <f>(183.569+47.617-43.043)/BY43</f>
        <v>1.6660184390340638</v>
      </c>
      <c r="BZ53" s="13"/>
      <c r="CA53" s="13">
        <f>157/CA43</f>
        <v>1.1908554438022423</v>
      </c>
      <c r="CB53" s="13"/>
      <c r="CC53" s="13">
        <f>650/CC43</f>
        <v>3.3286390987069518</v>
      </c>
      <c r="CD53" s="13"/>
      <c r="CE53" s="13">
        <f>426.969/CE43</f>
        <v>1.6265485714285715</v>
      </c>
      <c r="CF53" s="13"/>
      <c r="CG53" s="13"/>
      <c r="CH53" s="13"/>
      <c r="CI53" s="13">
        <f>296/CI43</f>
        <v>2.7104241447513004</v>
      </c>
      <c r="CJ53" s="13"/>
      <c r="CK53" s="13">
        <f>394/CK43</f>
        <v>2.5701239399869538</v>
      </c>
      <c r="CL53" s="13"/>
      <c r="CM53" s="13"/>
      <c r="CN53" s="13"/>
      <c r="CO53" s="13">
        <f>1613/CO43*10441/CO10</f>
        <v>3.9043736466179806</v>
      </c>
      <c r="CP53" s="13"/>
      <c r="CQ53" s="13">
        <f>381/CQ43</f>
        <v>3.6902513438907452</v>
      </c>
    </row>
    <row r="54" spans="2:99" outlineLevel="1" x14ac:dyDescent="0.25">
      <c r="B54" s="14" t="s">
        <v>26</v>
      </c>
      <c r="C54" s="14"/>
      <c r="D54" s="16">
        <f>+D53+D52+D51</f>
        <v>9.6383772780147332</v>
      </c>
      <c r="E54" s="14"/>
      <c r="F54" s="16">
        <f>+F53+F52+F51</f>
        <v>13.581852376137512</v>
      </c>
      <c r="G54" s="16"/>
      <c r="H54" s="16">
        <f>+H53+H52+H51</f>
        <v>28.599073178184042</v>
      </c>
      <c r="I54" s="16"/>
      <c r="J54" s="16">
        <f>+J53+J52+J51</f>
        <v>12.770942920488633</v>
      </c>
      <c r="K54" s="16"/>
      <c r="L54" s="16">
        <f>+L53+L52+L51</f>
        <v>11.764553362328536</v>
      </c>
      <c r="M54" s="16"/>
      <c r="N54" s="16">
        <f>+N53+N52+N51</f>
        <v>13.761021587108548</v>
      </c>
      <c r="O54" s="16"/>
      <c r="P54" s="16">
        <f>+P53+P52+P51</f>
        <v>7.6915938347952304</v>
      </c>
      <c r="Q54" s="16"/>
      <c r="R54" s="15">
        <f>+R53+R52+R51</f>
        <v>13.139248947609719</v>
      </c>
      <c r="S54" s="15"/>
      <c r="T54" s="15">
        <f>+T53+T52+T51</f>
        <v>32.872278287032834</v>
      </c>
      <c r="U54" s="15"/>
      <c r="V54" s="15"/>
      <c r="W54" s="15"/>
      <c r="X54" s="15">
        <f>+X53+X52+X51</f>
        <v>8.9960722537282081</v>
      </c>
      <c r="Y54" s="15"/>
      <c r="Z54" s="15">
        <f>+Z53+Z52+Z51</f>
        <v>14.394595236882754</v>
      </c>
      <c r="AA54" s="15"/>
      <c r="AB54" s="15"/>
      <c r="AC54" s="15"/>
      <c r="AD54" s="15">
        <f>+AD53+AD52+AD51</f>
        <v>20.747838855600033</v>
      </c>
      <c r="AE54" s="15"/>
      <c r="AF54" s="15">
        <f>+AF53+AF52+AF51</f>
        <v>15.979497036681082</v>
      </c>
      <c r="AG54" s="15"/>
      <c r="AH54" s="15">
        <f>+AH53+AH52+AH51</f>
        <v>25.059561602418746</v>
      </c>
      <c r="AI54" s="15"/>
      <c r="AJ54" s="15">
        <f>+AJ53+AJ52+AJ51</f>
        <v>7.0445124353453599</v>
      </c>
      <c r="AK54" s="15"/>
      <c r="AL54" s="15">
        <f>+AL53+AL52+AL51</f>
        <v>14.62687843544316</v>
      </c>
      <c r="AM54" s="15"/>
      <c r="AN54" s="15"/>
      <c r="AO54" s="15"/>
      <c r="AP54" s="15">
        <f>+AP53+AP52+AP51</f>
        <v>18.70513996378952</v>
      </c>
      <c r="AQ54" s="15"/>
      <c r="AR54" s="15"/>
      <c r="AS54" s="15"/>
      <c r="AT54" s="15"/>
      <c r="AU54" s="15">
        <f>+AU53+AU52+AU51</f>
        <v>10.921250970278189</v>
      </c>
      <c r="AV54" s="15"/>
      <c r="AW54" s="15">
        <f>+AW53+AW52+AW51</f>
        <v>10.677139303482587</v>
      </c>
      <c r="AX54" s="15"/>
      <c r="AY54" s="15">
        <f>+AY53+AY52+AY51</f>
        <v>11.524979803296841</v>
      </c>
      <c r="AZ54" s="15"/>
      <c r="BA54" s="15">
        <f>+BA53+BA52+BA51</f>
        <v>13.751753986332576</v>
      </c>
      <c r="BB54" s="15"/>
      <c r="BC54" s="15">
        <f>+BC53+BC52+BC51</f>
        <v>6.9246119733924605</v>
      </c>
      <c r="BD54" s="15"/>
      <c r="BE54" s="16">
        <f>+BE53+BE52+BE51</f>
        <v>14.817704788827072</v>
      </c>
      <c r="BF54" s="16"/>
      <c r="BG54" s="16">
        <f>+BG53+BG52+BG51</f>
        <v>14.023655591710909</v>
      </c>
      <c r="BH54" s="16"/>
      <c r="BI54" s="16">
        <f>+BI53+BI52+BI51</f>
        <v>15.475472023450298</v>
      </c>
      <c r="BJ54" s="16"/>
      <c r="BK54" s="16"/>
      <c r="BM54" s="15">
        <f>+BM53+BM52+BM51</f>
        <v>16.218106995884774</v>
      </c>
      <c r="BN54" s="15"/>
      <c r="BO54" s="15">
        <f>+BO53+BO52+BO51</f>
        <v>14.308959027641638</v>
      </c>
      <c r="BQ54" s="15">
        <f>+BQ53+BQ52+BQ51</f>
        <v>18.847618288988517</v>
      </c>
      <c r="BS54" s="15">
        <f>+BS53+BS52+BS51</f>
        <v>8.6412972969236375</v>
      </c>
      <c r="BT54" s="16"/>
      <c r="BU54" s="15">
        <f>+BU53+BU52+BU51</f>
        <v>13.139248947609719</v>
      </c>
      <c r="BV54" s="15"/>
      <c r="BW54" s="15">
        <f>+BW53+BW52+BW51</f>
        <v>14.226075443897543</v>
      </c>
      <c r="BX54" s="15"/>
      <c r="BY54" s="15">
        <f>+BY53+BY52+BY51</f>
        <v>10.336003437890323</v>
      </c>
      <c r="BZ54" s="15"/>
      <c r="CA54" s="15">
        <f>+CA53+CA52+CA51</f>
        <v>13.964107465222471</v>
      </c>
      <c r="CB54" s="15"/>
      <c r="CC54" s="15">
        <f>+CC53+CC52+CC51</f>
        <v>14.722826782742285</v>
      </c>
      <c r="CD54" s="15"/>
      <c r="CE54" s="15">
        <f>+CE53+CE52+CE51</f>
        <v>13.965626666666669</v>
      </c>
      <c r="CF54" s="15"/>
      <c r="CG54" s="15"/>
      <c r="CH54" s="15"/>
      <c r="CI54" s="15">
        <f>+CI53+CI52+CI51</f>
        <v>16.692916269870338</v>
      </c>
      <c r="CJ54" s="15"/>
      <c r="CK54" s="15">
        <f>+CK53+CK52+CK51</f>
        <v>12.525342465753425</v>
      </c>
      <c r="CL54" s="15"/>
      <c r="CM54" s="15"/>
      <c r="CN54" s="15"/>
      <c r="CO54" s="15">
        <f>+CO53+CO52+CO51</f>
        <v>17.603003783604283</v>
      </c>
      <c r="CP54" s="15"/>
      <c r="CQ54" s="15">
        <f>+CQ53+CQ52+CQ51</f>
        <v>14.72226257930166</v>
      </c>
    </row>
    <row r="55" spans="2:99" outlineLevel="1" x14ac:dyDescent="0.25">
      <c r="B55" s="17" t="s">
        <v>261</v>
      </c>
      <c r="C55" s="17"/>
      <c r="D55" s="13">
        <f>(3.404+953.393+2.269+683.616+17.136+265.28)/(668.304+2391.578+2470.372)*6</f>
        <v>2.0886179911447105</v>
      </c>
      <c r="E55" s="17"/>
      <c r="F55" s="13">
        <f>(1000.903+326.856+897.287+384.698+1164.8+323.773)/((2637+2148+2781)/6)</f>
        <v>3.2500531324345756</v>
      </c>
      <c r="G55" s="13"/>
      <c r="H55" s="13">
        <f>(38+652+25+357+21+102)/(20+3+34+30)</f>
        <v>13.735632183908047</v>
      </c>
      <c r="I55" s="13"/>
      <c r="J55" s="13">
        <f>+(48.57+91.098+37.508+809.637+569.982+374.134)/(58.572+80.754+131.007)</f>
        <v>7.1427794608871276</v>
      </c>
      <c r="K55" s="13"/>
      <c r="L55" s="13">
        <f>+(933.639+9.968+585.866+21.542+44.602+1.468+53.512+0.92)/(117.938+94.411+10.325+7.692)</f>
        <v>7.16910047489647</v>
      </c>
      <c r="M55" s="13"/>
      <c r="N55" s="13">
        <f>+(132+21+52+2009+2146+1312)/(270+723+580)</f>
        <v>3.6058486967577879</v>
      </c>
      <c r="O55" s="13"/>
      <c r="P55" s="13">
        <f>(844.081+544.809+138.813+61.604+48.02+32.259)/((720.146+1887.153+960.808)/6)</f>
        <v>2.8075155817916899</v>
      </c>
      <c r="Q55" s="13"/>
      <c r="R55" s="13">
        <f>+(1588+1050+1021+653+701+449)/(226+174+125)</f>
        <v>10.403809523809525</v>
      </c>
      <c r="S55" s="13"/>
      <c r="T55" s="44">
        <f>+(1.03+338.203+0.297+274.325+0.176+251.597)/(22.677+14.775-6.587)</f>
        <v>28.045618013931641</v>
      </c>
      <c r="U55" s="13"/>
      <c r="V55" s="13"/>
      <c r="W55" s="13"/>
      <c r="X55" s="48">
        <f>(493.084+1090.281+779.728+145.362+47.575+329.122)/(55.069+13.392+64.758/6+99.98+20.825+109.032/6+143.256+33.152+154.088/6)</f>
        <v>6.8641742290205645</v>
      </c>
      <c r="Y55" s="24"/>
      <c r="Z55" s="13">
        <f>(7+649+6+544+472+4)/(15.1+0+54.9)</f>
        <v>24.028571428571428</v>
      </c>
      <c r="AA55" s="13"/>
      <c r="AB55" s="13"/>
      <c r="AC55" s="13"/>
      <c r="AD55" s="13">
        <f>(438.7+54.5+454+34.9+407.3+40.1)/(62.525+50.611+66.625)</f>
        <v>7.9522254549095743</v>
      </c>
      <c r="AE55" s="13"/>
      <c r="AF55" s="13">
        <f>+(711.01+0.029+595.854+0.031+155.397+1.673)/(25.244+51.819+35.696)</f>
        <v>12.98338935251288</v>
      </c>
      <c r="AG55" s="13"/>
      <c r="AH55" s="51">
        <f>+AH21/(21)</f>
        <v>18.67138095238095</v>
      </c>
      <c r="AI55" s="13"/>
      <c r="AJ55" s="13">
        <f>(23.884+607.79+36.257+560.919+41.333+298.942)/(44.069+34.921+24.94)</f>
        <v>15.097902434330798</v>
      </c>
      <c r="AK55" s="13"/>
      <c r="AL55" s="13">
        <f>(229.974+467.426+167.213+326.012)/(14.666+54.98)</f>
        <v>17.095382362231859</v>
      </c>
      <c r="AM55" s="13"/>
      <c r="AN55" s="13"/>
      <c r="AO55" s="13"/>
      <c r="AP55" s="13">
        <f>+(923.562+511.905+207.766+53.938+11.6+1.792)/(14.876+51.153+38.358)</f>
        <v>16.386743560021841</v>
      </c>
      <c r="AQ55" s="13"/>
      <c r="AR55" s="13"/>
      <c r="AS55" s="13"/>
      <c r="AT55" s="13"/>
      <c r="AU55" s="13">
        <f>(1762.218+1207.41+495.971)/(159.778+47.998+98.672)</f>
        <v>11.308930063175483</v>
      </c>
      <c r="AV55" s="13"/>
      <c r="AW55" s="13">
        <f>(970.97+36.704+3.401+688.165+80.103+3.881+383.336+4.669)/(-5.1+71.7+0.6+89.8+2.6+3.5+10.8)</f>
        <v>12.485503162737205</v>
      </c>
      <c r="AX55" s="13"/>
      <c r="AY55" s="13">
        <f>+(1.38+2.03+37.68+32.196+50.92+30.027+1.921+2.742+2.298+834.552+1177.526+497.795)/(1394.134/6+3487.519/6+3143.898/6)</f>
        <v>1.9969223296942478</v>
      </c>
      <c r="AZ55" s="13"/>
      <c r="BA55" s="13">
        <f>+(1147.6+184.9+675.523+271.502+595.331+118.224)/(9.3+80.4+20.3/6+391.5/6+0.5+29+11.5+79+21.9/6+347.4/6+22.9+7.8+32.3+42.5/6+228.1/6+4.1+18.9)</f>
        <v>6.3549594819349604</v>
      </c>
      <c r="BB55" s="13"/>
      <c r="BC55" s="13">
        <f>+(1014+1024+433+5+22+17)/((282+8087+1009)/6)</f>
        <v>1.6090850927703135</v>
      </c>
      <c r="BD55" s="13"/>
      <c r="BE55" s="13">
        <f>(0.3+1133.1+32.7+1189.3+13.4+509.2)/(42.6+86.4+76.3)</f>
        <v>14.018509498295176</v>
      </c>
      <c r="BF55" s="13"/>
      <c r="BG55" s="13">
        <f>+(803.143+799.462+518.585+32.911+50.218+45.846)/(76.7+58.32+34.184)</f>
        <v>13.298533131604453</v>
      </c>
      <c r="BH55" s="13"/>
      <c r="BI55" s="13">
        <f>(1350+1048+471+7+5+5)/(110.5+142.7+136.7)</f>
        <v>7.4018979225442427</v>
      </c>
      <c r="BJ55" s="13"/>
      <c r="BK55" s="13"/>
      <c r="BM55" s="13">
        <f>(3753+569+979+2608+831+2117)/(149+222+113+40+114+164)</f>
        <v>13.537406483790523</v>
      </c>
      <c r="BN55" s="13"/>
      <c r="BO55" s="13">
        <f>(940+2381+891+1807+470+950)/(103.204+229.977+302.509)</f>
        <v>11.702244804857713</v>
      </c>
      <c r="BQ55" s="51">
        <f>+(211+887)/179</f>
        <v>6.1340782122905031</v>
      </c>
      <c r="BS55" s="13">
        <f>(6.341+1487.453+11.804+1140.548+5.814+672.842)/(158.512+156.786+53.998)</f>
        <v>9.0030815389281216</v>
      </c>
      <c r="BT55" s="13"/>
      <c r="BU55" s="13">
        <f>+(1588+1050+1021+653+701+449)/(226+174+125)</f>
        <v>10.403809523809525</v>
      </c>
      <c r="BV55" s="13"/>
      <c r="BW55" s="13">
        <f>+(975+5226+823+3579+1451+2166)/(16+194+6+523+2+414)</f>
        <v>12.311688311688311</v>
      </c>
      <c r="BX55" s="13"/>
      <c r="BY55" s="13">
        <f>(81.015+2478.327+123.461+1695.954+182.355+767.148)/(249.43+240.206+565.03)</f>
        <v>5.0520828394961059</v>
      </c>
      <c r="BZ55" s="13"/>
      <c r="CA55" s="13">
        <f>+(1961+3+1779+5+14+1115)/(275.7+303.1+476.2)</f>
        <v>4.6227488151658767</v>
      </c>
      <c r="CB55" s="13"/>
      <c r="CC55" s="13">
        <f>(764+1786+677+1261+360+929)/(243+237+126)</f>
        <v>9.5330033003300336</v>
      </c>
      <c r="CD55" s="13"/>
      <c r="CE55" s="13">
        <f>+(193.628+5615.029+223.599+3716.687+165.751+2313.876)/(208.963+420.798+669.75)</f>
        <v>9.4101319650237674</v>
      </c>
      <c r="CF55" s="13"/>
      <c r="CG55" s="13"/>
      <c r="CH55" s="13"/>
      <c r="CI55" s="13">
        <f>+(2446+245+167+1454+63+1190)/(234.5+31.2+219.6+2.2+14.7)</f>
        <v>11.081242532855438</v>
      </c>
      <c r="CJ55" s="13"/>
      <c r="CK55" s="13">
        <f>(921+1204+923+999+539+666)/(60+116+102)</f>
        <v>18.892086330935253</v>
      </c>
      <c r="CL55" s="13"/>
      <c r="CM55" s="13"/>
      <c r="CN55" s="13"/>
      <c r="CO55" s="13">
        <f>+(282+4288+256+2720+71+2162)/(2+5+7+185+201+294)</f>
        <v>14.090778097982708</v>
      </c>
      <c r="CP55" s="13"/>
      <c r="CQ55" s="13">
        <f>+(2654+949+2033+628+1454+509)/(264.859+240.591+162.269)</f>
        <v>12.321051220648206</v>
      </c>
    </row>
    <row r="56" spans="2:99" outlineLevel="1" x14ac:dyDescent="0.25">
      <c r="B56" s="14" t="s">
        <v>29</v>
      </c>
      <c r="C56" s="14"/>
      <c r="D56" s="55">
        <f>+D55+D54</f>
        <v>11.726995269159444</v>
      </c>
      <c r="E56" s="14"/>
      <c r="F56" s="15">
        <f>+F55+F54</f>
        <v>16.831905508572088</v>
      </c>
      <c r="G56" s="15"/>
      <c r="H56" s="15">
        <f>+H55+H54</f>
        <v>42.334705362092087</v>
      </c>
      <c r="I56" s="15"/>
      <c r="J56" s="15">
        <f>+J55+J54</f>
        <v>19.913722381375759</v>
      </c>
      <c r="K56" s="15"/>
      <c r="L56" s="15">
        <f>+L55+L54</f>
        <v>18.933653837225005</v>
      </c>
      <c r="M56" s="15"/>
      <c r="N56" s="15">
        <f>+N55+N54</f>
        <v>17.366870283866337</v>
      </c>
      <c r="O56" s="15"/>
      <c r="P56" s="15">
        <f>+P55+P54</f>
        <v>10.49910941658692</v>
      </c>
      <c r="Q56" s="15"/>
      <c r="R56" s="16">
        <f>+R55+R54</f>
        <v>23.543058471419243</v>
      </c>
      <c r="S56" s="16"/>
      <c r="T56" s="16">
        <f>+T55+T54</f>
        <v>60.917896300964472</v>
      </c>
      <c r="U56" s="16"/>
      <c r="V56" s="16"/>
      <c r="W56" s="16"/>
      <c r="X56" s="16">
        <f>+X55+X54</f>
        <v>15.860246482748773</v>
      </c>
      <c r="Y56" s="16"/>
      <c r="Z56" s="16">
        <f>+Z55+Z54</f>
        <v>38.423166665454183</v>
      </c>
      <c r="AA56" s="16"/>
      <c r="AB56" s="16"/>
      <c r="AC56" s="16"/>
      <c r="AD56" s="16">
        <f>+AD55+AD54</f>
        <v>28.700064310509607</v>
      </c>
      <c r="AE56" s="16"/>
      <c r="AF56" s="16">
        <f>+AF55+AF54</f>
        <v>28.962886389193962</v>
      </c>
      <c r="AG56" s="16"/>
      <c r="AH56" s="16">
        <f>+AH55+AH54</f>
        <v>43.730942554799697</v>
      </c>
      <c r="AI56" s="16"/>
      <c r="AJ56" s="16">
        <f>+AJ55+AJ54</f>
        <v>22.142414869676159</v>
      </c>
      <c r="AK56" s="16"/>
      <c r="AL56" s="16">
        <f>+AL55+AL54</f>
        <v>31.72226079767502</v>
      </c>
      <c r="AM56" s="16"/>
      <c r="AN56" s="16"/>
      <c r="AO56" s="16"/>
      <c r="AP56" s="16">
        <f>+AP55+AP54</f>
        <v>35.091883523811362</v>
      </c>
      <c r="AQ56" s="16"/>
      <c r="AR56" s="16"/>
      <c r="AS56" s="16"/>
      <c r="AT56" s="16"/>
      <c r="AU56" s="16">
        <f>+AU55+AU54</f>
        <v>22.230181033453672</v>
      </c>
      <c r="AV56" s="16"/>
      <c r="AW56" s="16">
        <f>+AW55+AW54</f>
        <v>23.162642466219793</v>
      </c>
      <c r="AX56" s="16"/>
      <c r="AY56" s="16">
        <f>+AY55+AY54</f>
        <v>13.521902132991089</v>
      </c>
      <c r="AZ56" s="16"/>
      <c r="BA56" s="16">
        <f>+BA55+BA54</f>
        <v>20.106713468267536</v>
      </c>
      <c r="BB56" s="16"/>
      <c r="BC56" s="16">
        <f t="shared" ref="BC56" si="5">+BC55+BC54</f>
        <v>8.5336970661627731</v>
      </c>
      <c r="BD56" s="16"/>
      <c r="BE56" s="16">
        <f>+BE55+BE54</f>
        <v>28.836214287122246</v>
      </c>
      <c r="BF56" s="16"/>
      <c r="BG56" s="16">
        <f>+BG55+BG54</f>
        <v>27.322188723315364</v>
      </c>
      <c r="BH56" s="16"/>
      <c r="BI56" s="16">
        <f>+BI55+BI54</f>
        <v>22.877369945994541</v>
      </c>
      <c r="BJ56" s="16"/>
      <c r="BK56" s="16"/>
      <c r="BM56" s="16">
        <f>+BM55+BM54</f>
        <v>29.755513479675297</v>
      </c>
      <c r="BN56" s="16"/>
      <c r="BO56" s="16">
        <f>+BO55+BO54</f>
        <v>26.011203832499351</v>
      </c>
      <c r="BQ56" s="16">
        <f>+BQ55+BQ54</f>
        <v>24.981696501279021</v>
      </c>
      <c r="BS56" s="16">
        <f>+BS55+BS54</f>
        <v>17.644378835851761</v>
      </c>
      <c r="BT56" s="15"/>
      <c r="BU56" s="16">
        <f>+BU55+BU54</f>
        <v>23.543058471419243</v>
      </c>
      <c r="BV56" s="16"/>
      <c r="BW56" s="16">
        <f>+BW55+BW54</f>
        <v>26.537763755585853</v>
      </c>
      <c r="BX56" s="16"/>
      <c r="BY56" s="16">
        <f>+BY55+BY54</f>
        <v>15.388086277386428</v>
      </c>
      <c r="BZ56" s="16"/>
      <c r="CA56" s="16">
        <f>+CA55+CA54</f>
        <v>18.586856280388346</v>
      </c>
      <c r="CB56" s="16"/>
      <c r="CC56" s="16">
        <f>+CC55+CC54</f>
        <v>24.255830083072318</v>
      </c>
      <c r="CD56" s="16"/>
      <c r="CE56" s="16">
        <f>+CE55+CE54</f>
        <v>23.375758631690438</v>
      </c>
      <c r="CF56" s="16"/>
      <c r="CG56" s="16"/>
      <c r="CH56" s="16"/>
      <c r="CI56" s="16">
        <f>+CI55+CI54</f>
        <v>27.774158802725776</v>
      </c>
      <c r="CJ56" s="16"/>
      <c r="CK56" s="16">
        <f>+CK55+CK54</f>
        <v>31.417428796688679</v>
      </c>
      <c r="CL56" s="16"/>
      <c r="CM56" s="16"/>
      <c r="CN56" s="16"/>
      <c r="CO56" s="16">
        <f>+CO55+CO54</f>
        <v>31.693781881586993</v>
      </c>
      <c r="CP56" s="16"/>
      <c r="CQ56" s="16">
        <f>+CQ55+CQ54</f>
        <v>27.043313799949864</v>
      </c>
    </row>
    <row r="57" spans="2:99" outlineLevel="1" x14ac:dyDescent="0.25">
      <c r="B57" t="s">
        <v>325</v>
      </c>
      <c r="D57" s="9">
        <f t="shared" ref="D57:R57" si="6">+(D60-(D22/D43))/D55</f>
        <v>4.4745163967135877</v>
      </c>
      <c r="F57" s="9">
        <f t="shared" si="6"/>
        <v>2.209696160826073</v>
      </c>
      <c r="G57" s="9"/>
      <c r="H57" s="9">
        <f t="shared" si="6"/>
        <v>1.0247413142681931</v>
      </c>
      <c r="I57" s="9"/>
      <c r="J57" s="9">
        <f t="shared" ref="J57:P57" si="7">+(J60-(J22/J43))/J55</f>
        <v>3.8617913358612204</v>
      </c>
      <c r="K57" s="9"/>
      <c r="L57" s="9">
        <f t="shared" si="7"/>
        <v>3.3808980279955758</v>
      </c>
      <c r="M57" s="9"/>
      <c r="N57" s="9">
        <f t="shared" si="7"/>
        <v>3.2513644447169927</v>
      </c>
      <c r="O57" s="9"/>
      <c r="P57" s="9">
        <f t="shared" si="7"/>
        <v>3.8274136999887918</v>
      </c>
      <c r="Q57" s="9"/>
      <c r="R57" s="5">
        <f t="shared" si="6"/>
        <v>2.5579023162849448</v>
      </c>
      <c r="S57" s="5"/>
      <c r="T57" s="5">
        <f t="shared" ref="T57" si="8">+(T60-(T22/T43))/T55</f>
        <v>0.54653201203299362</v>
      </c>
      <c r="U57" s="5"/>
      <c r="V57" s="5"/>
      <c r="W57" s="5"/>
      <c r="X57" s="5">
        <f t="shared" ref="X57:Z57" si="9">+(X60-(X22/X43))/X55</f>
        <v>4.8616364327729293</v>
      </c>
      <c r="Y57" s="5"/>
      <c r="Z57" s="5">
        <f t="shared" si="9"/>
        <v>0.64144806921810005</v>
      </c>
      <c r="AA57" s="5"/>
      <c r="AB57" s="5"/>
      <c r="AC57" s="5"/>
      <c r="AD57" s="5">
        <f t="shared" ref="AD57" si="10">+(AD60-(AD22/AD43))/AD55</f>
        <v>2.919267048123714</v>
      </c>
      <c r="AE57" s="5"/>
      <c r="AF57" s="5">
        <f t="shared" ref="AF57:AH57" si="11">+(AF60-(AF22/AF43))/AF55</f>
        <v>2.2020275120754427</v>
      </c>
      <c r="AG57" s="5"/>
      <c r="AH57" s="5">
        <f t="shared" si="11"/>
        <v>0.93704744812764373</v>
      </c>
      <c r="AI57" s="5"/>
      <c r="AJ57" s="5">
        <f t="shared" ref="AJ57:AL57" si="12">+(AJ60-(AJ22/AJ43))/AJ55</f>
        <v>1.1501900738626949</v>
      </c>
      <c r="AK57" s="5"/>
      <c r="AL57" s="5">
        <f t="shared" si="12"/>
        <v>1.5092905057348376</v>
      </c>
      <c r="AM57" s="5"/>
      <c r="AN57" s="5"/>
      <c r="AO57" s="5"/>
      <c r="AP57" s="5">
        <f t="shared" ref="AP57" si="13">+(AP60-(AP22/AP43))/AP55</f>
        <v>1.60394202232093</v>
      </c>
      <c r="AQ57" s="5"/>
      <c r="AR57" s="5"/>
      <c r="AS57" s="5"/>
      <c r="AT57" s="5"/>
      <c r="AU57" s="5">
        <f t="shared" ref="AU57:AW57" si="14">+(AU60-(AU22/AU43))/AU55</f>
        <v>2.6757025891172059</v>
      </c>
      <c r="AV57" s="5"/>
      <c r="AW57" s="5">
        <f t="shared" si="14"/>
        <v>1.5952869451388891</v>
      </c>
      <c r="AX57" s="5"/>
      <c r="AY57" s="5">
        <f t="shared" ref="AY57" si="15">+(AY60-(AY22/AY43))/AY55</f>
        <v>3.5372286181921333</v>
      </c>
      <c r="AZ57" s="5"/>
      <c r="BA57" s="5">
        <f t="shared" ref="BA57:BE57" si="16">+(BA60-(BA22/BA43))/BA55</f>
        <v>2.6880625316910458</v>
      </c>
      <c r="BB57" s="5"/>
      <c r="BC57" s="5">
        <f t="shared" ref="BC57" si="17">+(BC60-(BC22/BC43))/BC55</f>
        <v>5.2997297809594759</v>
      </c>
      <c r="BD57" s="5"/>
      <c r="BE57" s="4">
        <f t="shared" si="16"/>
        <v>1.0756573491238022</v>
      </c>
      <c r="BF57" s="4"/>
      <c r="BG57" s="4">
        <f t="shared" ref="BG57" si="18">+(BG60-(BG22/BG43))/BG55</f>
        <v>1.676639069265156</v>
      </c>
      <c r="BH57" s="4"/>
      <c r="BI57" s="4">
        <f t="shared" ref="BI57" si="19">+(BI60-(BI22/BI43))/BI55</f>
        <v>2.3411671269245202</v>
      </c>
      <c r="BJ57" s="4"/>
      <c r="BK57" s="4"/>
      <c r="BM57" s="9">
        <f>+(BM60-(BM22/BM43))/BM55</f>
        <v>2.0452398198655093</v>
      </c>
      <c r="BN57" s="9"/>
      <c r="BO57" s="9">
        <f>+(BO60-(BO22/BO43))/BO55</f>
        <v>2.2163346772398782</v>
      </c>
      <c r="BQ57" s="9">
        <f>+(BQ60-(BQ22/BQ43))/BQ55</f>
        <v>1.5840394306943411</v>
      </c>
      <c r="BS57" s="9">
        <f>+(BS60-(BS22/BS43))/BS55</f>
        <v>2.1582172263448793</v>
      </c>
      <c r="BT57" s="9"/>
      <c r="BU57" s="5">
        <f t="shared" ref="BU57" si="20">+(BU60-(BU22/BU43))/BU55</f>
        <v>2.5579023162849448</v>
      </c>
      <c r="BV57" s="9"/>
      <c r="BW57" s="9">
        <f>+(BW60-(BW22/BW43))/BW55</f>
        <v>2.9548163836825596</v>
      </c>
      <c r="BX57" s="9"/>
      <c r="BY57" s="9">
        <f>+(BY60-(BY22/BY43))/BY55</f>
        <v>5.6924757990315324</v>
      </c>
      <c r="BZ57" s="9"/>
      <c r="CA57" s="9">
        <f>+(CA60-(CA22/CA43))/CA55</f>
        <v>3.4916501419685884</v>
      </c>
      <c r="CB57" s="9"/>
      <c r="CC57" s="9">
        <f>+(CC60-(CC22/CC43))/CC55</f>
        <v>1.219946384803684</v>
      </c>
      <c r="CD57" s="9"/>
      <c r="CE57" s="9">
        <f>+(CE60-(CE22/CE43))/CE55</f>
        <v>3.1954205993681368</v>
      </c>
      <c r="CF57" s="9"/>
      <c r="CG57" s="9"/>
      <c r="CH57" s="9"/>
      <c r="CI57" s="9">
        <f>+(CI60-(CI22/CI43))/CI55</f>
        <v>1.5353337462713645</v>
      </c>
      <c r="CJ57" s="9"/>
      <c r="CK57" s="9">
        <f>+(CK60-(CK22/CK43))/CK55</f>
        <v>1.30927474465044</v>
      </c>
      <c r="CL57" s="9"/>
      <c r="CM57" s="9"/>
      <c r="CN57" s="9"/>
      <c r="CO57" s="9">
        <f>+(CO60-(CO22/CO43))/CO55</f>
        <v>1.7210322254379911</v>
      </c>
      <c r="CP57" s="9"/>
      <c r="CQ57" s="9">
        <f>+(CQ60-(CQ22/CQ43))/CQ55</f>
        <v>2.5776540220848414</v>
      </c>
    </row>
    <row r="58" spans="2:99" outlineLevel="1" x14ac:dyDescent="0.25">
      <c r="B58" t="s">
        <v>23</v>
      </c>
    </row>
    <row r="59" spans="2:99" outlineLevel="1" x14ac:dyDescent="0.25">
      <c r="B59" t="s">
        <v>30</v>
      </c>
      <c r="D59" s="9">
        <f>+D10/D43</f>
        <v>19.75853043815432</v>
      </c>
      <c r="F59" s="9">
        <f>+F10/F43</f>
        <v>22.128357937310412</v>
      </c>
      <c r="G59" s="9"/>
      <c r="H59" s="9">
        <f>+H10/H43</f>
        <v>50.557620817843862</v>
      </c>
      <c r="I59" s="9"/>
      <c r="J59" s="9">
        <f>+J10/J43</f>
        <v>42.999695691866279</v>
      </c>
      <c r="K59" s="9"/>
      <c r="L59" s="9">
        <f>+L10/L43</f>
        <v>37.207929073268645</v>
      </c>
      <c r="M59" s="9"/>
      <c r="N59" s="9">
        <f>+N10/N43</f>
        <v>28.294314381270908</v>
      </c>
      <c r="O59" s="9"/>
      <c r="P59" s="9">
        <f>+P10/P43</f>
        <v>20.064866378494354</v>
      </c>
      <c r="Q59" s="9"/>
      <c r="R59" s="9">
        <f>+R10/R43</f>
        <v>40.980702704955611</v>
      </c>
      <c r="S59" s="9"/>
      <c r="T59" s="9">
        <f>+T10/T43</f>
        <v>56.720604291153244</v>
      </c>
      <c r="U59" s="9"/>
      <c r="V59" s="9"/>
      <c r="W59" s="9"/>
      <c r="X59" s="9">
        <f>+X10/X43</f>
        <v>44.200336063852127</v>
      </c>
      <c r="Y59" s="9"/>
      <c r="Z59" s="9">
        <f>+Z10/Z43</f>
        <v>41.248663237765442</v>
      </c>
      <c r="AA59" s="9"/>
      <c r="AB59" s="9"/>
      <c r="AC59" s="9"/>
      <c r="AD59" s="9">
        <f>+AD10/AD43</f>
        <v>46.163725931364425</v>
      </c>
      <c r="AE59" s="9"/>
      <c r="AF59" s="9">
        <f>+AF10/AF43</f>
        <v>46.583693736985424</v>
      </c>
      <c r="AG59" s="9"/>
      <c r="AH59" s="9">
        <f>+AH10/AH43</f>
        <v>48.036948748510142</v>
      </c>
      <c r="AI59" s="9"/>
      <c r="AJ59" s="9">
        <f>+AJ10/AJ43</f>
        <v>30.571191925417995</v>
      </c>
      <c r="AK59" s="9"/>
      <c r="AL59" s="9">
        <f>+AL10/AL43</f>
        <v>42.923773463241247</v>
      </c>
      <c r="AM59" s="9"/>
      <c r="AN59" s="9"/>
      <c r="AO59" s="9"/>
      <c r="AP59" s="9">
        <f>+AP10/AP43</f>
        <v>50.275136790050681</v>
      </c>
      <c r="AQ59" s="9"/>
      <c r="AR59" s="9"/>
      <c r="AS59" s="9"/>
      <c r="AT59" s="9"/>
      <c r="AU59" s="9">
        <f>+AU10/AU43</f>
        <v>44.472268823396853</v>
      </c>
      <c r="AV59" s="9"/>
      <c r="AW59" s="9">
        <f>+AW10/AW43</f>
        <v>32.036915422885571</v>
      </c>
      <c r="AX59" s="9"/>
      <c r="AY59" s="9">
        <f>+AY10/AY43</f>
        <v>20.117630886961287</v>
      </c>
      <c r="AZ59" s="9"/>
      <c r="BA59" s="9">
        <f>+BA10/BA43</f>
        <v>34.267699316628708</v>
      </c>
      <c r="BB59" s="9"/>
      <c r="BC59" s="9">
        <f>+BC10/BC43</f>
        <v>16.110864745011085</v>
      </c>
      <c r="BD59" s="9"/>
      <c r="BE59" s="9">
        <f>+BE10/BE43</f>
        <v>32.695651832091563</v>
      </c>
      <c r="BF59" s="9"/>
      <c r="BG59" s="9">
        <f>+BG10/BG43</f>
        <v>39.890756122623735</v>
      </c>
      <c r="BH59" s="9"/>
      <c r="BI59" s="9">
        <f>+BI10/BI43</f>
        <v>36.317786016035868</v>
      </c>
      <c r="BJ59" s="9"/>
      <c r="BK59" s="9"/>
      <c r="BM59" s="4">
        <f>+BM10/BM43</f>
        <v>47.802469135802468</v>
      </c>
      <c r="BN59" s="4"/>
      <c r="BO59" s="4">
        <f>+BO10/BO43</f>
        <v>42.609292295628308</v>
      </c>
      <c r="BQ59" s="9">
        <f>((35.74-9.9)*4+(46.66-0.35)-(33.2-11.69))/4</f>
        <v>32.040000000000006</v>
      </c>
      <c r="BS59" s="9">
        <f>+BS10/BS43</f>
        <v>28.65663115142533</v>
      </c>
      <c r="BT59" s="9"/>
      <c r="BU59" s="9">
        <f>+BU10/BU43</f>
        <v>40.980702704955611</v>
      </c>
      <c r="BV59" s="9"/>
      <c r="BW59" s="9">
        <f>+BW10/BW43</f>
        <v>52.174377262195833</v>
      </c>
      <c r="BX59" s="9"/>
      <c r="BY59" s="9">
        <f>+BY10/BY43</f>
        <v>41.618334801097198</v>
      </c>
      <c r="BZ59" s="9"/>
      <c r="CA59" s="9">
        <f>+CA10/CA43</f>
        <v>32.767487370864245</v>
      </c>
      <c r="CB59" s="9"/>
      <c r="CC59" s="9">
        <f>+CC10/CC43</f>
        <v>29.082063756241197</v>
      </c>
      <c r="CD59" s="9"/>
      <c r="CE59" s="9">
        <f>+CE10/CE43</f>
        <v>44.968487619047607</v>
      </c>
      <c r="CF59" s="9"/>
      <c r="CG59" s="9"/>
      <c r="CH59" s="9"/>
      <c r="CI59" s="9">
        <f>3995/CI43</f>
        <v>36.581569115815689</v>
      </c>
      <c r="CJ59" s="9"/>
      <c r="CK59" s="9">
        <f>+CK10/CK43</f>
        <v>39.021526418786699</v>
      </c>
      <c r="CL59" s="9"/>
      <c r="CM59" s="9"/>
      <c r="CN59" s="9"/>
      <c r="CO59" s="9">
        <f>10441/CO43</f>
        <v>43.473373027438903</v>
      </c>
      <c r="CP59" s="9"/>
      <c r="CQ59" s="9">
        <f>+CQ10/CQ43</f>
        <v>47.702067896750442</v>
      </c>
    </row>
    <row r="60" spans="2:99" outlineLevel="1" x14ac:dyDescent="0.25">
      <c r="B60" t="s">
        <v>31</v>
      </c>
      <c r="D60" s="9">
        <f>+D59-D54</f>
        <v>10.120153160139587</v>
      </c>
      <c r="F60" s="9">
        <f>+F59-F54</f>
        <v>8.5465055611728999</v>
      </c>
      <c r="G60" s="9"/>
      <c r="H60" s="9">
        <f>+H59-H54</f>
        <v>21.95854763965982</v>
      </c>
      <c r="I60" s="9"/>
      <c r="J60" s="9">
        <f>+J59-J54</f>
        <v>30.228752771377646</v>
      </c>
      <c r="K60" s="9"/>
      <c r="L60" s="9">
        <f>+L59-L54</f>
        <v>25.44337571094011</v>
      </c>
      <c r="M60" s="9"/>
      <c r="N60" s="9">
        <f>+N59-N54</f>
        <v>14.53329279416236</v>
      </c>
      <c r="O60" s="9"/>
      <c r="P60" s="9">
        <f>+P59-P54</f>
        <v>12.373272543699123</v>
      </c>
      <c r="Q60" s="9"/>
      <c r="R60" s="9">
        <f>+R59-R54</f>
        <v>27.841453757345892</v>
      </c>
      <c r="S60" s="9"/>
      <c r="T60" s="9">
        <f>+T59-T54</f>
        <v>23.848326004120409</v>
      </c>
      <c r="U60" s="9"/>
      <c r="V60" s="9"/>
      <c r="W60" s="9"/>
      <c r="X60" s="9">
        <f>+X59-X54</f>
        <v>35.204263810123919</v>
      </c>
      <c r="Y60" s="9"/>
      <c r="Z60" s="9">
        <f>+Z59-Z54</f>
        <v>26.854068000882688</v>
      </c>
      <c r="AA60" s="9"/>
      <c r="AB60" s="9"/>
      <c r="AC60" s="9"/>
      <c r="AD60" s="9">
        <f>+AD59-AD54</f>
        <v>25.415887075764392</v>
      </c>
      <c r="AE60" s="9"/>
      <c r="AF60" s="9">
        <f>+AF59-AF54</f>
        <v>30.604196700304342</v>
      </c>
      <c r="AG60" s="9"/>
      <c r="AH60" s="9">
        <f>+AH59-AH54</f>
        <v>22.977387146091395</v>
      </c>
      <c r="AI60" s="9"/>
      <c r="AJ60" s="9">
        <f>+AJ59-AJ54</f>
        <v>23.526679490072635</v>
      </c>
      <c r="AK60" s="9"/>
      <c r="AL60" s="9">
        <f>+AL59-AL54</f>
        <v>28.296895027798087</v>
      </c>
      <c r="AM60" s="9"/>
      <c r="AN60" s="9"/>
      <c r="AO60" s="9"/>
      <c r="AP60" s="9">
        <f>+AP59-AP54</f>
        <v>31.569996826261161</v>
      </c>
      <c r="AQ60" s="9"/>
      <c r="AR60" s="9"/>
      <c r="AS60" s="9"/>
      <c r="AT60" s="9"/>
      <c r="AU60" s="9">
        <f>+AU59-AU54</f>
        <v>33.551017853118665</v>
      </c>
      <c r="AV60" s="9"/>
      <c r="AW60" s="9">
        <f>+AW59-AW54</f>
        <v>21.359776119402984</v>
      </c>
      <c r="AX60" s="9"/>
      <c r="AY60" s="9">
        <f>+AY59-AY54</f>
        <v>8.5926510836644461</v>
      </c>
      <c r="AZ60" s="9"/>
      <c r="BA60" s="9">
        <f>+BA59-BA54</f>
        <v>20.515945330296134</v>
      </c>
      <c r="BB60" s="9"/>
      <c r="BC60" s="9">
        <f>+BC59-BC54</f>
        <v>9.1862527716186246</v>
      </c>
      <c r="BD60" s="9"/>
      <c r="BE60" s="9">
        <f>+BE59-BE54</f>
        <v>17.877947043264491</v>
      </c>
      <c r="BF60" s="9"/>
      <c r="BG60" s="9">
        <f>+BG59-BG54</f>
        <v>25.867100530912825</v>
      </c>
      <c r="BH60" s="9"/>
      <c r="BI60" s="9">
        <f>+BI59-BI54</f>
        <v>20.84231399258557</v>
      </c>
      <c r="BJ60" s="9"/>
      <c r="BK60" s="9"/>
      <c r="BM60" s="4">
        <f>+BM59-BM54</f>
        <v>31.584362139917694</v>
      </c>
      <c r="BN60" s="4"/>
      <c r="BO60" s="4">
        <f>+BO59-BO54</f>
        <v>28.300333267986669</v>
      </c>
      <c r="BQ60" s="9">
        <f>+BQ59-BQ54</f>
        <v>13.192381711011489</v>
      </c>
      <c r="BS60" s="9">
        <f>+BS59-BS54</f>
        <v>20.015333854501691</v>
      </c>
      <c r="BT60" s="9"/>
      <c r="BU60" s="9">
        <f>+BU59-BU54</f>
        <v>27.841453757345892</v>
      </c>
      <c r="BV60" s="9"/>
      <c r="BW60" s="9">
        <f>+BW59-BW54</f>
        <v>37.94830181829829</v>
      </c>
      <c r="BX60" s="9"/>
      <c r="BY60" s="9">
        <f>+BY59-BY54</f>
        <v>31.282331363206875</v>
      </c>
      <c r="BZ60" s="9"/>
      <c r="CA60" s="9">
        <f>+CA59-CA54</f>
        <v>18.803379905641776</v>
      </c>
      <c r="CB60" s="9"/>
      <c r="CC60" s="9">
        <f>+CC59-CC54</f>
        <v>14.359236973498913</v>
      </c>
      <c r="CD60" s="9"/>
      <c r="CE60" s="9">
        <f>+CE59-CE54</f>
        <v>31.002860952380939</v>
      </c>
      <c r="CF60" s="9"/>
      <c r="CG60" s="9"/>
      <c r="CH60" s="9"/>
      <c r="CI60" s="9">
        <f>+CI59-CI54</f>
        <v>19.888652845945352</v>
      </c>
      <c r="CJ60" s="9"/>
      <c r="CK60" s="9">
        <f>+CK59-CK54</f>
        <v>26.496183953033274</v>
      </c>
      <c r="CL60" s="9"/>
      <c r="CM60" s="9"/>
      <c r="CN60" s="9"/>
      <c r="CO60" s="9">
        <f>+CO59-CO54</f>
        <v>25.87036924383462</v>
      </c>
      <c r="CP60" s="9"/>
      <c r="CQ60" s="9">
        <f>+CQ59-CQ54</f>
        <v>32.979805317448779</v>
      </c>
    </row>
    <row r="61" spans="2:99" outlineLevel="1" x14ac:dyDescent="0.25">
      <c r="B61" t="s">
        <v>23</v>
      </c>
      <c r="BA61" s="8"/>
      <c r="BC61" s="8"/>
    </row>
    <row r="62" spans="2:99" outlineLevel="1" x14ac:dyDescent="0.25"/>
    <row r="63" spans="2:99" outlineLevel="1" x14ac:dyDescent="0.25">
      <c r="B63" s="12" t="s">
        <v>32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8">
        <v>43465</v>
      </c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</row>
    <row r="64" spans="2:99" outlineLevel="1" x14ac:dyDescent="0.25">
      <c r="B64" t="s">
        <v>33</v>
      </c>
      <c r="D64" s="8">
        <f>7615.763/6</f>
        <v>1269.2938333333334</v>
      </c>
      <c r="E64" s="8"/>
      <c r="F64" s="8">
        <f>18011/6</f>
        <v>3001.8333333333335</v>
      </c>
      <c r="G64" s="8"/>
      <c r="H64" s="8">
        <v>712</v>
      </c>
      <c r="I64" s="8"/>
      <c r="J64" s="7">
        <v>329.4</v>
      </c>
      <c r="K64" s="7"/>
      <c r="L64" s="7">
        <v>261.82600000000002</v>
      </c>
      <c r="M64" s="7"/>
      <c r="N64" s="7">
        <v>1448</v>
      </c>
      <c r="O64" s="7"/>
      <c r="P64" s="7">
        <f>7881.335/6</f>
        <v>1313.5558333333333</v>
      </c>
      <c r="Q64" s="7"/>
      <c r="R64" s="7">
        <v>1187</v>
      </c>
      <c r="S64" s="7"/>
      <c r="T64" s="7">
        <v>262.20999999999998</v>
      </c>
      <c r="U64" s="7"/>
      <c r="V64" s="7"/>
      <c r="W64" s="7"/>
      <c r="X64" s="7">
        <v>992.00099999999998</v>
      </c>
      <c r="Y64" s="7"/>
      <c r="Z64" s="7">
        <v>325</v>
      </c>
      <c r="AA64" s="7"/>
      <c r="AB64" s="7"/>
      <c r="AC64" s="7"/>
      <c r="AD64" s="7">
        <v>644.995</v>
      </c>
      <c r="AE64" s="7"/>
      <c r="AF64" s="7">
        <v>118.89</v>
      </c>
      <c r="AG64" s="7"/>
      <c r="AH64" s="7">
        <v>167</v>
      </c>
      <c r="AI64" s="7"/>
      <c r="AJ64" s="7">
        <v>238.167</v>
      </c>
      <c r="AK64" s="7"/>
      <c r="AL64" s="7">
        <v>215.31299999999999</v>
      </c>
      <c r="AM64" s="7"/>
      <c r="AN64" s="7"/>
      <c r="AO64" s="7"/>
      <c r="AP64" s="7">
        <v>320.5</v>
      </c>
      <c r="AQ64" s="7"/>
      <c r="AR64" s="7"/>
      <c r="AS64" s="7"/>
      <c r="AT64" s="7"/>
      <c r="AU64" s="7">
        <v>521.70000000000005</v>
      </c>
      <c r="AV64" s="7"/>
      <c r="AW64" s="7">
        <v>544.9</v>
      </c>
      <c r="AX64" s="7"/>
      <c r="AY64" s="7">
        <f>18072/6</f>
        <v>3012</v>
      </c>
      <c r="AZ64" s="7"/>
      <c r="BA64" s="7">
        <v>503.4</v>
      </c>
      <c r="BB64" s="7"/>
      <c r="BC64" s="7">
        <f>11921/6</f>
        <v>1986.8333333333333</v>
      </c>
      <c r="BD64" s="7"/>
      <c r="BE64" s="59">
        <v>658.2</v>
      </c>
      <c r="BF64" s="7"/>
      <c r="BG64" s="7">
        <v>520.1</v>
      </c>
      <c r="BH64" s="7"/>
      <c r="BI64" s="7">
        <v>479.29500000000002</v>
      </c>
      <c r="BJ64" s="7"/>
      <c r="BM64" s="7">
        <v>1473</v>
      </c>
      <c r="BN64" s="7"/>
      <c r="BO64" s="7">
        <v>1234</v>
      </c>
      <c r="BP64" s="7"/>
      <c r="BQ64" s="7">
        <v>5167</v>
      </c>
      <c r="BR64" s="7"/>
      <c r="BS64" s="7">
        <v>591.19500000000005</v>
      </c>
      <c r="BT64" s="7"/>
      <c r="BU64" s="7">
        <v>1187</v>
      </c>
      <c r="BV64" s="7"/>
      <c r="BW64" s="7">
        <v>4383</v>
      </c>
      <c r="BX64" s="7"/>
      <c r="BY64" s="7">
        <v>1522.365</v>
      </c>
      <c r="BZ64" s="7"/>
      <c r="CA64" s="7">
        <v>1215.7</v>
      </c>
      <c r="CB64" s="7"/>
      <c r="CC64" s="7">
        <v>1927</v>
      </c>
      <c r="CD64" s="7"/>
      <c r="CE64" s="7">
        <v>2927.846</v>
      </c>
      <c r="CF64" s="7"/>
      <c r="CG64" s="7"/>
      <c r="CH64" s="7"/>
      <c r="CI64" s="7">
        <v>1222.5999999999999</v>
      </c>
      <c r="CJ64" s="7"/>
      <c r="CK64" s="7">
        <v>1281</v>
      </c>
      <c r="CL64" s="7"/>
      <c r="CM64" s="7"/>
      <c r="CN64" s="7"/>
      <c r="CO64" s="7">
        <v>2752</v>
      </c>
      <c r="CP64" s="7"/>
      <c r="CQ64">
        <v>1049.02</v>
      </c>
    </row>
    <row r="65" spans="2:99" outlineLevel="1" x14ac:dyDescent="0.25">
      <c r="B65" t="s">
        <v>23</v>
      </c>
    </row>
    <row r="66" spans="2:99" outlineLevel="1" x14ac:dyDescent="0.25">
      <c r="B66" t="s">
        <v>22</v>
      </c>
      <c r="D66" s="11">
        <f>1-6736.473/7615.763</f>
        <v>0.11545658655606794</v>
      </c>
      <c r="E66" s="11"/>
      <c r="F66" s="11">
        <v>0.37</v>
      </c>
      <c r="G66" s="11"/>
      <c r="H66" s="11">
        <f>+(530+60)/H64</f>
        <v>0.8286516853932584</v>
      </c>
      <c r="I66" s="11"/>
      <c r="J66" s="11">
        <v>0.76</v>
      </c>
      <c r="K66" s="11"/>
      <c r="L66" s="11">
        <f>+(142.766+51.918)/L64</f>
        <v>0.74356251861923561</v>
      </c>
      <c r="M66" s="11"/>
      <c r="N66" s="11">
        <f>+(215.5+103.3)/N64</f>
        <v>0.2201657458563536</v>
      </c>
      <c r="O66" s="11"/>
      <c r="P66" s="11"/>
      <c r="Q66" s="11"/>
      <c r="R66" s="3">
        <f>750/R64</f>
        <v>0.63184498736310024</v>
      </c>
      <c r="S66" s="3"/>
      <c r="T66" s="3">
        <f>255.042/T64</f>
        <v>0.97266313260363835</v>
      </c>
      <c r="U66" s="3"/>
      <c r="V66" s="3"/>
      <c r="W66" s="3"/>
      <c r="X66" s="3">
        <f>+(626.936+190.291)/X64</f>
        <v>0.8238167098621878</v>
      </c>
      <c r="Y66" s="3"/>
      <c r="Z66" s="3">
        <v>0.7</v>
      </c>
      <c r="AA66" s="3"/>
      <c r="AB66" s="3"/>
      <c r="AC66" s="3"/>
      <c r="AD66" s="3">
        <f>+(304.12+31.228)/AD64</f>
        <v>0.51992341025899425</v>
      </c>
      <c r="AE66" s="3"/>
      <c r="AF66" s="3">
        <f>+(91.704+13.787)/AF64</f>
        <v>0.8872991841197746</v>
      </c>
      <c r="AG66" s="3"/>
      <c r="AH66" s="3"/>
      <c r="AI66" s="3"/>
      <c r="AJ66" s="3">
        <f>+(61.894+86.647)/AJ64</f>
        <v>0.62368422157561709</v>
      </c>
      <c r="AK66" s="3"/>
      <c r="AL66" s="3">
        <f>123.401/AL64</f>
        <v>0.57312377794187996</v>
      </c>
      <c r="AM66" s="3"/>
      <c r="AN66" s="3"/>
      <c r="AO66" s="3"/>
      <c r="AP66" s="3">
        <f>228.4/AP64</f>
        <v>0.71263650546021839</v>
      </c>
      <c r="AQ66" s="3"/>
      <c r="AR66" s="3"/>
      <c r="AS66" s="3"/>
      <c r="AT66" s="3"/>
      <c r="AU66" s="3">
        <f>+(294.4+131.9)/AU64</f>
        <v>0.81713628522139148</v>
      </c>
      <c r="AV66" s="3"/>
      <c r="AW66" s="3">
        <f>+(190.4+132)/544.9</f>
        <v>0.5916681959992659</v>
      </c>
      <c r="AX66" s="3"/>
      <c r="AY66" s="3">
        <f>1-(12.028/18.072)</f>
        <v>0.33444001770694998</v>
      </c>
      <c r="AZ66" s="3"/>
      <c r="BA66" s="3">
        <f>+(175.7+107.4)/BA64</f>
        <v>0.56237584425903864</v>
      </c>
      <c r="BB66" s="3"/>
      <c r="BC66" s="3">
        <f>1-(8044/11921)</f>
        <v>0.32522439392668401</v>
      </c>
      <c r="BD66" s="3"/>
      <c r="BE66" s="3">
        <f>+(339.1+71.2)/BE64</f>
        <v>0.62336675782436946</v>
      </c>
      <c r="BF66" s="3"/>
      <c r="BG66" s="3">
        <f>+(287+111.3)/BG64</f>
        <v>0.76581426648721396</v>
      </c>
      <c r="BH66" s="3"/>
      <c r="BI66" s="3">
        <f>+(291.305+85.037)/BI64</f>
        <v>0.7851990945033851</v>
      </c>
      <c r="BJ66" s="3"/>
      <c r="BK66" s="3"/>
      <c r="BL66" s="22"/>
      <c r="BM66" s="22">
        <f>+(667+268)/BM64</f>
        <v>0.63475899524779367</v>
      </c>
      <c r="BN66" s="22"/>
      <c r="BO66" s="22">
        <f>+(581+234)/BO64</f>
        <v>0.66045380875202597</v>
      </c>
      <c r="BP66" s="22"/>
      <c r="BQ66" s="22">
        <f>+(4831+12+72)/BQ64</f>
        <v>0.95122895297077603</v>
      </c>
      <c r="BR66" s="22"/>
      <c r="BS66" s="22">
        <f>+(179.436+146.538)/BS64</f>
        <v>0.55138152386268491</v>
      </c>
      <c r="BT66" s="11"/>
      <c r="BU66" s="3">
        <f>750/BU64</f>
        <v>0.63184498736310024</v>
      </c>
      <c r="BV66" s="22"/>
      <c r="BW66" s="3">
        <f>+(2533+349+236)/BW64</f>
        <v>0.71138489618982437</v>
      </c>
      <c r="BX66" s="3"/>
      <c r="BY66" s="3">
        <f>757.096/BY64</f>
        <v>0.49731568973275136</v>
      </c>
      <c r="BZ66" s="3"/>
      <c r="CA66" s="3">
        <f>+(280.8+351.8)/CA64</f>
        <v>0.52035864111211649</v>
      </c>
      <c r="CB66" s="3"/>
      <c r="CC66" s="3">
        <f>+(426+314+393)/CC64</f>
        <v>0.58796056045666845</v>
      </c>
      <c r="CD66" s="3"/>
      <c r="CE66" s="3">
        <f>+(1532.312+614.329)/CE64</f>
        <v>0.7331809801471797</v>
      </c>
      <c r="CF66" s="3"/>
      <c r="CG66" s="3"/>
      <c r="CH66" s="3"/>
      <c r="CI66" s="3">
        <f>+(18.2+53.7+889.7+76.3)/CI64</f>
        <v>0.84892851300507133</v>
      </c>
      <c r="CJ66" s="3"/>
      <c r="CK66" s="3">
        <f>+((656+246)/CK64)</f>
        <v>0.70413739266198283</v>
      </c>
      <c r="CL66" s="3"/>
      <c r="CM66" s="3"/>
      <c r="CN66" s="3"/>
      <c r="CO66" s="3">
        <f>+(1583+486)/CO64</f>
        <v>0.75181686046511631</v>
      </c>
      <c r="CP66" s="3"/>
      <c r="CQ66" s="3">
        <f>+(565.01+240.914)/CQ64</f>
        <v>0.76826371279861205</v>
      </c>
    </row>
    <row r="67" spans="2:99" outlineLevel="1" x14ac:dyDescent="0.25">
      <c r="B67" t="s">
        <v>34</v>
      </c>
      <c r="D67" s="8">
        <f>+D14/D64*1000</f>
        <v>2019.6253481102287</v>
      </c>
      <c r="E67" s="8"/>
      <c r="F67" s="8">
        <f>+F14/F64*1000</f>
        <v>1612.3480095497196</v>
      </c>
      <c r="G67" s="8"/>
      <c r="H67" s="8">
        <f>+H14/H64*1000</f>
        <v>7400.2808988764045</v>
      </c>
      <c r="I67" s="8"/>
      <c r="J67" s="8">
        <f>+J14/J64*1000</f>
        <v>5237.2282938676381</v>
      </c>
      <c r="K67" s="8"/>
      <c r="L67" s="8">
        <f>+L14/L64*1000</f>
        <v>3437.3973554956342</v>
      </c>
      <c r="M67" s="8"/>
      <c r="N67" s="8">
        <f>+N14/N64*1000</f>
        <v>6890.8839779005521</v>
      </c>
      <c r="O67" s="8"/>
      <c r="P67" s="8">
        <f>+P14/P64*1000</f>
        <v>1810.5092601697554</v>
      </c>
      <c r="Q67" s="8"/>
      <c r="R67" s="8">
        <f>+R14/R64*1000</f>
        <v>3533.2771693344566</v>
      </c>
      <c r="S67" s="8"/>
      <c r="T67" s="8">
        <f>+T14/T64*1000</f>
        <v>9632.321421761184</v>
      </c>
      <c r="U67" s="8"/>
      <c r="V67" s="8"/>
      <c r="W67" s="8"/>
      <c r="X67" s="8">
        <f>+X14/X64*1000</f>
        <v>4516.6285114631946</v>
      </c>
      <c r="Y67" s="8"/>
      <c r="Z67" s="8">
        <f>+Z14/Z64*1000</f>
        <v>13655.384615384615</v>
      </c>
      <c r="AA67" s="8"/>
      <c r="AB67" s="8"/>
      <c r="AC67" s="8"/>
      <c r="AD67" s="8">
        <f>+AD14/AD64*1000</f>
        <v>2604.6713540415044</v>
      </c>
      <c r="AE67" s="8"/>
      <c r="AF67" s="8">
        <f>+AF14/AF64*1000</f>
        <v>4205.5681722600721</v>
      </c>
      <c r="AG67" s="8"/>
      <c r="AH67" s="8">
        <f>+AH14/AH64*1000</f>
        <v>12697.88622754491</v>
      </c>
      <c r="AI67" s="8"/>
      <c r="AJ67" s="8">
        <f>+AJ14/AJ64*1000</f>
        <v>4492.6459165207598</v>
      </c>
      <c r="AK67" s="8"/>
      <c r="AL67" s="8">
        <f>+AL14/AL64*1000</f>
        <v>6548.6059829178921</v>
      </c>
      <c r="AM67" s="8"/>
      <c r="AN67" s="8"/>
      <c r="AO67" s="8"/>
      <c r="AP67" s="8">
        <f>+AP14/AP64*1000</f>
        <v>8977.8751950078004</v>
      </c>
      <c r="AQ67" s="8"/>
      <c r="AR67" s="8"/>
      <c r="AS67" s="8"/>
      <c r="AT67" s="8"/>
      <c r="AU67" s="8">
        <f>+AU14/AU64*1000</f>
        <v>4225.0373778033354</v>
      </c>
      <c r="AV67" s="8"/>
      <c r="AW67" s="8">
        <f>+AW14/AW64*1000</f>
        <v>2261.8829142962013</v>
      </c>
      <c r="AX67" s="8"/>
      <c r="AY67" s="8">
        <f>+AY14/AY64*1000</f>
        <v>1268.7015272244357</v>
      </c>
      <c r="AZ67" s="8"/>
      <c r="BA67" s="8">
        <f>+BA14/BA64*1000</f>
        <v>4920.1350814461657</v>
      </c>
      <c r="BB67" s="8"/>
      <c r="BC67" s="8">
        <f>+BC14/BC64*1000</f>
        <v>1178.7601711265834</v>
      </c>
      <c r="BD67" s="8"/>
      <c r="BE67" s="8">
        <f>+BE14/BE64*1000</f>
        <v>3189.4560923731387</v>
      </c>
      <c r="BF67" s="8"/>
      <c r="BG67" s="8">
        <f>+BG14/BG64*1000</f>
        <v>5468.1407421649674</v>
      </c>
      <c r="BH67" s="8"/>
      <c r="BI67" s="8">
        <f>+BI14/BI64*1000</f>
        <v>5234.771904568167</v>
      </c>
      <c r="BJ67" s="8"/>
      <c r="BK67" s="8"/>
      <c r="BM67" s="7">
        <f>+BM14/BM64*1000</f>
        <v>8684.9966055668701</v>
      </c>
      <c r="BN67" s="7"/>
      <c r="BO67" s="7">
        <f>+BO14/BO64*1000</f>
        <v>6648.2982171799031</v>
      </c>
      <c r="BQ67" s="8">
        <f>+BQ14/BQ64*1000</f>
        <v>1635.9589703890072</v>
      </c>
      <c r="BS67" s="8">
        <f>+BS14/BS64*1000</f>
        <v>2537.2339075939408</v>
      </c>
      <c r="BT67" s="8"/>
      <c r="BU67" s="8">
        <f>+BU14/BU64*1000</f>
        <v>3533.2771693344566</v>
      </c>
      <c r="BV67" s="8"/>
      <c r="BW67" s="8">
        <f>+BW14/BW64*1000</f>
        <v>3415.012548482774</v>
      </c>
      <c r="BX67" s="8"/>
      <c r="BY67" s="8">
        <f>+BY14/BY64*1000</f>
        <v>3789.5149980458032</v>
      </c>
      <c r="BZ67" s="8"/>
      <c r="CA67" s="8">
        <f>+CA14/CA64*1000</f>
        <v>3453.1545611581805</v>
      </c>
      <c r="CB67" s="8"/>
      <c r="CC67" s="8">
        <f>+CC14/CC64*1000</f>
        <v>3119.3565127140632</v>
      </c>
      <c r="CD67" s="8"/>
      <c r="CE67" s="8">
        <f>+CE14/CE64*1000</f>
        <v>2062.9500322079784</v>
      </c>
      <c r="CF67" s="8"/>
      <c r="CG67" s="8"/>
      <c r="CH67" s="8"/>
      <c r="CI67" s="8">
        <f>+CI14/CI64*1000</f>
        <v>4552.5928349419282</v>
      </c>
      <c r="CJ67" s="8"/>
      <c r="CK67" s="8">
        <f>+CK14/CK64*1000</f>
        <v>4321.6237314597975</v>
      </c>
      <c r="CL67" s="8"/>
      <c r="CM67" s="8"/>
      <c r="CN67" s="8"/>
      <c r="CO67" s="8">
        <f>+CO14/CO64*1000</f>
        <v>3781.6133720930234</v>
      </c>
      <c r="CP67" s="8"/>
      <c r="CQ67" s="8">
        <f>+CQ14/CQ64*1000</f>
        <v>2192.5225448513852</v>
      </c>
    </row>
    <row r="68" spans="2:99" outlineLevel="1" x14ac:dyDescent="0.25">
      <c r="B68" t="s">
        <v>35</v>
      </c>
      <c r="D68" s="7">
        <f>+D64/D41</f>
        <v>11.667018506035907</v>
      </c>
      <c r="E68" s="7"/>
      <c r="F68" s="7">
        <f>+F64/F41</f>
        <v>15.357984898677891</v>
      </c>
      <c r="G68" s="7"/>
      <c r="H68" s="7">
        <f>+H64/H41</f>
        <v>14.666803996292099</v>
      </c>
      <c r="I68" s="8"/>
      <c r="J68" s="7">
        <f>+J64/J41</f>
        <v>14.768651362984219</v>
      </c>
      <c r="K68" s="7"/>
      <c r="L68" s="7">
        <f>+L64/L41</f>
        <v>10.096637359247264</v>
      </c>
      <c r="M68" s="7"/>
      <c r="N68" s="7">
        <f>+N64/N41</f>
        <v>8.1965357183289935</v>
      </c>
      <c r="O68" s="7"/>
      <c r="P68" s="7">
        <f>+P64/P41</f>
        <v>14.598538726345065</v>
      </c>
      <c r="Q68" s="7"/>
      <c r="R68" s="7">
        <f>+R64/R41</f>
        <v>10.503309383074363</v>
      </c>
      <c r="S68" s="7"/>
      <c r="T68" s="7">
        <f>+T64/T41</f>
        <v>12.131168929106614</v>
      </c>
      <c r="U68" s="7"/>
      <c r="V68" s="7"/>
      <c r="W68" s="7"/>
      <c r="X68" s="7">
        <f>+X64/X41</f>
        <v>14.867674829891188</v>
      </c>
      <c r="Y68" s="7"/>
      <c r="Z68" s="7">
        <f>+Z64/Z41</f>
        <v>11.200137847850435</v>
      </c>
      <c r="AA68" s="7"/>
      <c r="AB68" s="7"/>
      <c r="AC68" s="7"/>
      <c r="AD68" s="7">
        <f>+AD64/AD43</f>
        <v>15.275915969968974</v>
      </c>
      <c r="AE68" s="7"/>
      <c r="AF68" s="7">
        <f>+AF64/AF43</f>
        <v>9.5218644882268144</v>
      </c>
      <c r="AG68" s="7"/>
      <c r="AH68" s="7">
        <f>+AH64/AH43</f>
        <v>9.0475674504279997</v>
      </c>
      <c r="AI68" s="7"/>
      <c r="AJ68" s="7">
        <f>+AJ64/AJ43</f>
        <v>9.1750905308575401</v>
      </c>
      <c r="AK68" s="7"/>
      <c r="AL68" s="7">
        <f>+AL64/AL43</f>
        <v>10.582197032248931</v>
      </c>
      <c r="AM68" s="7"/>
      <c r="AN68" s="7"/>
      <c r="AO68" s="7"/>
      <c r="AP68" s="7">
        <f>+AP64/AP41</f>
        <v>9.5741347207713332</v>
      </c>
      <c r="AQ68" s="7"/>
      <c r="AR68" s="7"/>
      <c r="AS68" s="7"/>
      <c r="AT68" s="7"/>
      <c r="AU68" s="7">
        <f>+AU64/AU41</f>
        <v>11.828859060402685</v>
      </c>
      <c r="AV68" s="7"/>
      <c r="AW68" s="7">
        <f>+AW64/AW41</f>
        <v>11.573916737468139</v>
      </c>
      <c r="AX68" s="7"/>
      <c r="AY68" s="7">
        <f>+AY64/AY41</f>
        <v>22.252842181222803</v>
      </c>
      <c r="AZ68" s="7"/>
      <c r="BA68" s="7">
        <f>+BA64/BA41</f>
        <v>11.13716814159292</v>
      </c>
      <c r="BB68" s="7"/>
      <c r="BC68" s="7">
        <f>+BC64/BC41</f>
        <v>16.375</v>
      </c>
      <c r="BD68" s="7"/>
      <c r="BE68" s="7">
        <f>+BE64/BE41</f>
        <v>21.0791283962953</v>
      </c>
      <c r="BF68" s="7"/>
      <c r="BG68" s="7">
        <f>+BG64/BG41</f>
        <v>10.874383206489922</v>
      </c>
      <c r="BH68" s="7"/>
      <c r="BI68" s="7">
        <f>+BI64/BI41</f>
        <v>8.3960165364537716</v>
      </c>
      <c r="BJ68" s="10"/>
      <c r="BK68" s="10"/>
      <c r="BM68" s="7">
        <f>+BM64/BM43</f>
        <v>6.0617283950617287</v>
      </c>
      <c r="BN68" s="7"/>
      <c r="BO68" s="7">
        <f>+BO64/BO43</f>
        <v>7.25740050970398</v>
      </c>
      <c r="BQ68" s="7">
        <f>+BQ64/BQ43</f>
        <v>29.882282314224128</v>
      </c>
      <c r="BS68" s="7">
        <f>+BS64/BS43</f>
        <v>7.2977766157854767</v>
      </c>
      <c r="BT68" s="7"/>
      <c r="BU68" s="7">
        <f>+BU64/BU41</f>
        <v>10.503309383074363</v>
      </c>
      <c r="BV68" s="7"/>
      <c r="BW68" s="7">
        <f>+BW64/BW43</f>
        <v>9.359484940048473</v>
      </c>
      <c r="BX68" s="7"/>
      <c r="BY68" s="7">
        <f>+BY64/BY41</f>
        <v>12.553916534326895</v>
      </c>
      <c r="BZ68" s="7"/>
      <c r="CA68" s="7" t="e">
        <f>+CA64/CA41</f>
        <v>#DIV/0!</v>
      </c>
      <c r="CB68" s="7"/>
      <c r="CC68" s="7">
        <f>+CC64/CC41</f>
        <v>9.923782057884436</v>
      </c>
      <c r="CD68" s="7"/>
      <c r="CE68" s="7">
        <f>+CE64/CE41</f>
        <v>10.492473368752071</v>
      </c>
      <c r="CF68" s="7"/>
      <c r="CG68" s="7"/>
      <c r="CH68" s="7"/>
      <c r="CI68" s="7">
        <f>+CI64/CI43</f>
        <v>11.195150538422093</v>
      </c>
      <c r="CJ68" s="7"/>
      <c r="CK68" s="7">
        <f>+CK64/CK43</f>
        <v>8.3561643835616444</v>
      </c>
      <c r="CL68" s="7"/>
      <c r="CM68" s="7"/>
      <c r="CN68" s="7"/>
      <c r="CO68" s="7">
        <f>+CO64/CO43</f>
        <v>11.458550193612858</v>
      </c>
      <c r="CP68" s="7"/>
      <c r="CQ68" s="7">
        <f>+CQ64/CQ43</f>
        <v>10.160492033512519</v>
      </c>
    </row>
    <row r="69" spans="2:99" outlineLevel="1" x14ac:dyDescent="0.25"/>
    <row r="70" spans="2:99" outlineLevel="1" x14ac:dyDescent="0.25">
      <c r="B70" s="12" t="s">
        <v>36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8">
        <v>43465</v>
      </c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</row>
    <row r="71" spans="2:99" outlineLevel="1" x14ac:dyDescent="0.25">
      <c r="B71" t="s">
        <v>36</v>
      </c>
      <c r="D71" s="7">
        <v>5950.58</v>
      </c>
      <c r="E71" s="7"/>
      <c r="F71" s="7">
        <v>12589</v>
      </c>
      <c r="G71" s="7"/>
      <c r="H71" s="7">
        <v>9411</v>
      </c>
      <c r="J71">
        <v>4091.4</v>
      </c>
      <c r="L71" s="7">
        <v>2979</v>
      </c>
      <c r="N71" s="7">
        <v>9527</v>
      </c>
      <c r="P71" s="7">
        <v>6171.1845999999996</v>
      </c>
      <c r="Q71" s="7"/>
      <c r="R71" s="7">
        <v>17947</v>
      </c>
      <c r="S71" s="7"/>
      <c r="T71" s="7">
        <v>4025.1390000000001</v>
      </c>
      <c r="U71" s="7"/>
      <c r="V71" s="7"/>
      <c r="W71" s="7"/>
      <c r="X71" s="7">
        <v>13472.2</v>
      </c>
      <c r="Y71" s="7"/>
      <c r="Z71" s="7">
        <v>3457.4360000000001</v>
      </c>
      <c r="AA71" s="7"/>
      <c r="AB71" s="7"/>
      <c r="AC71" s="7"/>
      <c r="AD71" s="7">
        <v>7861</v>
      </c>
      <c r="AE71" s="7"/>
      <c r="AF71" s="7">
        <v>1832.135</v>
      </c>
      <c r="AG71" s="7"/>
      <c r="AH71" s="7">
        <v>4608.0020000000004</v>
      </c>
      <c r="AI71" s="7"/>
      <c r="AJ71" s="7">
        <v>2171.1869999999999</v>
      </c>
      <c r="AK71" s="7"/>
      <c r="AL71" s="7">
        <v>2579.3000000000002</v>
      </c>
      <c r="AM71" s="7"/>
      <c r="AN71" s="7"/>
      <c r="AO71" s="7"/>
      <c r="AP71" s="7">
        <v>4674.3</v>
      </c>
      <c r="AQ71" s="7"/>
      <c r="AR71" s="7"/>
      <c r="AS71" s="7"/>
      <c r="AT71" s="7"/>
      <c r="AU71" s="7">
        <v>6774.8608000000004</v>
      </c>
      <c r="AV71" s="7"/>
      <c r="AW71" s="7">
        <v>5321</v>
      </c>
      <c r="AX71" s="7"/>
      <c r="AY71" s="7">
        <v>13173.493</v>
      </c>
      <c r="AZ71" s="7"/>
      <c r="BA71" s="7">
        <v>5104.3</v>
      </c>
      <c r="BB71" s="7"/>
      <c r="BC71" s="7">
        <v>6545.1360000000004</v>
      </c>
      <c r="BD71" s="7"/>
      <c r="BE71" s="59">
        <v>6227.9179999999997</v>
      </c>
      <c r="BF71" s="7"/>
      <c r="BG71" s="7">
        <v>5503.3710000000001</v>
      </c>
      <c r="BH71" s="7"/>
      <c r="BI71" s="7">
        <v>5669.8620000000001</v>
      </c>
      <c r="BJ71" s="7"/>
      <c r="BK71" s="7"/>
      <c r="BM71" s="7">
        <v>22670.2</v>
      </c>
      <c r="BN71" s="7"/>
      <c r="BO71" s="7">
        <v>16173</v>
      </c>
      <c r="BQ71" s="7"/>
      <c r="BS71" s="7">
        <v>4780.6000000000004</v>
      </c>
      <c r="BT71" s="7"/>
      <c r="BU71" s="7">
        <v>17947</v>
      </c>
      <c r="BV71" s="7"/>
      <c r="BW71" s="7">
        <v>66977.7</v>
      </c>
      <c r="BX71" s="7"/>
      <c r="BY71" s="7">
        <v>18650</v>
      </c>
      <c r="BZ71" s="7"/>
      <c r="CA71" s="7">
        <f>9604+(1-0.45079201692686)*2259</f>
        <v>10844.660833762224</v>
      </c>
      <c r="CB71" s="7"/>
      <c r="CC71" s="7">
        <v>11891.4</v>
      </c>
      <c r="CD71" s="7"/>
      <c r="CE71" s="7">
        <v>32425.955000000002</v>
      </c>
      <c r="CF71" s="7"/>
      <c r="CG71" s="7"/>
      <c r="CH71" s="7"/>
      <c r="CI71" s="7">
        <v>13018.4</v>
      </c>
      <c r="CJ71" s="7"/>
      <c r="CK71" s="7">
        <v>13669</v>
      </c>
      <c r="CL71" s="7"/>
      <c r="CM71" s="7"/>
      <c r="CN71" s="7"/>
      <c r="CO71" s="7">
        <v>27833.200000000001</v>
      </c>
      <c r="CP71" s="7"/>
      <c r="CQ71">
        <v>12793.63</v>
      </c>
    </row>
    <row r="72" spans="2:99" outlineLevel="1" x14ac:dyDescent="0.25">
      <c r="B72" t="s">
        <v>37</v>
      </c>
      <c r="D72" s="7">
        <f>+D71/D14</f>
        <v>2.3212735098681567</v>
      </c>
      <c r="E72" s="7"/>
      <c r="F72" s="7">
        <f>+F71/F14</f>
        <v>2.6010330578512395</v>
      </c>
      <c r="G72" s="7"/>
      <c r="H72" s="7">
        <f>+H71/H14</f>
        <v>1.786107420762953</v>
      </c>
      <c r="I72" s="7"/>
      <c r="J72" s="7">
        <f>+J71/J14</f>
        <v>2.3716294823095829</v>
      </c>
      <c r="K72" s="7"/>
      <c r="L72" s="7">
        <f>+L71/L14</f>
        <v>3.31</v>
      </c>
      <c r="M72" s="7"/>
      <c r="N72" s="7">
        <f>+N71/N14</f>
        <v>0.95480056123471635</v>
      </c>
      <c r="O72" s="7"/>
      <c r="P72" s="7">
        <f>+P71/P14</f>
        <v>2.5948917776221982</v>
      </c>
      <c r="Q72" s="7"/>
      <c r="R72" s="7">
        <f>+R71/R14</f>
        <v>4.2792083929422988</v>
      </c>
      <c r="S72" s="7"/>
      <c r="T72" s="7">
        <f>+T71/T14</f>
        <v>1.5936783240705219</v>
      </c>
      <c r="U72" s="7"/>
      <c r="V72" s="7"/>
      <c r="W72" s="7"/>
      <c r="X72" s="7">
        <f>+X71/X14</f>
        <v>3.0068519138489012</v>
      </c>
      <c r="Y72" s="7"/>
      <c r="Z72" s="7">
        <f>+Z71/Z14</f>
        <v>0.77905272645335744</v>
      </c>
      <c r="AA72" s="7"/>
      <c r="AB72" s="7"/>
      <c r="AC72" s="7"/>
      <c r="AD72" s="7">
        <f>+AD71/AD14</f>
        <v>4.6791666666666663</v>
      </c>
      <c r="AE72" s="7"/>
      <c r="AF72" s="7">
        <f>+AF71/AF14</f>
        <v>3.6642700000000001</v>
      </c>
      <c r="AG72" s="7"/>
      <c r="AH72" s="7">
        <f>+AH71/AH14</f>
        <v>2.1730251675628978</v>
      </c>
      <c r="AI72" s="7"/>
      <c r="AJ72" s="7">
        <f>+AJ71/AJ14</f>
        <v>2.0291467289719627</v>
      </c>
      <c r="AK72" s="7"/>
      <c r="AL72" s="7">
        <f>+AL71/AL14</f>
        <v>1.8292907801418441</v>
      </c>
      <c r="AM72" s="7"/>
      <c r="AN72" s="7"/>
      <c r="AO72" s="7"/>
      <c r="AP72" s="7">
        <f>+AP71/AP14</f>
        <v>1.6244823033499931</v>
      </c>
      <c r="AQ72" s="7"/>
      <c r="AR72" s="7"/>
      <c r="AS72" s="7"/>
      <c r="AT72" s="7"/>
      <c r="AU72" s="7">
        <f>+AU71/AU14</f>
        <v>3.0736115836933275</v>
      </c>
      <c r="AV72" s="7"/>
      <c r="AW72" s="7">
        <f>+AW71/AW14</f>
        <v>4.317241379310345</v>
      </c>
      <c r="AX72" s="7"/>
      <c r="AY72" s="7">
        <f>+AY71/AY14</f>
        <v>3.4473590209060774</v>
      </c>
      <c r="AZ72" s="7"/>
      <c r="BA72" s="7">
        <f>+BA71/BA14</f>
        <v>2.0608479664857344</v>
      </c>
      <c r="BB72" s="7"/>
      <c r="BC72" s="7">
        <f>+BC71/BC14</f>
        <v>2.7946780529462001</v>
      </c>
      <c r="BD72" s="7"/>
      <c r="BE72" s="7">
        <f>+BE71/BE14</f>
        <v>2.9666641261372835</v>
      </c>
      <c r="BF72" s="7"/>
      <c r="BG72" s="7">
        <f>+BG71/BG14</f>
        <v>1.9350948318905197</v>
      </c>
      <c r="BH72" s="7"/>
      <c r="BI72" s="7">
        <f>+BI71/BI14</f>
        <v>2.2598094858509366</v>
      </c>
      <c r="BJ72" s="7"/>
      <c r="BK72" s="7"/>
      <c r="BM72" s="7">
        <f>+BM71/BM14</f>
        <v>1.7720784804189791</v>
      </c>
      <c r="BN72" s="7"/>
      <c r="BO72" s="7">
        <f>+BO71/BO14</f>
        <v>1.9713554363725012</v>
      </c>
      <c r="BQ72" s="10">
        <f>+BQ71/BQ14</f>
        <v>0</v>
      </c>
      <c r="BS72" s="10">
        <f>+BS71/BS14</f>
        <v>3.1870666666666669</v>
      </c>
      <c r="BT72" s="7"/>
      <c r="BU72" s="7">
        <f>+BU71/BU14</f>
        <v>4.2792083929422988</v>
      </c>
      <c r="BV72" s="10"/>
      <c r="BW72" s="10">
        <f>+BW71/BW14</f>
        <v>4.4747260823089254</v>
      </c>
      <c r="BX72" s="10"/>
      <c r="BY72" s="10">
        <f>+BY71/BY14</f>
        <v>3.2327819692235691</v>
      </c>
      <c r="BZ72" s="10"/>
      <c r="CA72" s="10">
        <f>+CA71/CA14</f>
        <v>2.5832922424397866</v>
      </c>
      <c r="CB72" s="10"/>
      <c r="CC72" s="10">
        <f>+CC71/CC14</f>
        <v>1.9782731658625852</v>
      </c>
      <c r="CD72" s="10"/>
      <c r="CE72" s="10">
        <f>+CE71/CE14</f>
        <v>5.36853559602649</v>
      </c>
      <c r="CF72" s="10"/>
      <c r="CG72" s="10"/>
      <c r="CH72" s="10"/>
      <c r="CI72" s="10">
        <f>+CI71/CI14</f>
        <v>2.3389148401006108</v>
      </c>
      <c r="CJ72" s="10"/>
      <c r="CK72" s="10">
        <f>+CK71/CK14</f>
        <v>2.4691112716763004</v>
      </c>
      <c r="CL72" s="10"/>
      <c r="CM72" s="10"/>
      <c r="CN72" s="10"/>
      <c r="CO72" s="10">
        <f>+CO71/CO14</f>
        <v>2.6744691073316038</v>
      </c>
      <c r="CP72" s="10"/>
      <c r="CQ72" s="10">
        <f>+CQ71/CQ14</f>
        <v>5.5624478260869559</v>
      </c>
    </row>
    <row r="73" spans="2:99" outlineLevel="1" x14ac:dyDescent="0.25"/>
    <row r="74" spans="2:99" outlineLevel="1" x14ac:dyDescent="0.25">
      <c r="B74" s="12" t="s">
        <v>38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</row>
    <row r="75" spans="2:99" outlineLevel="1" x14ac:dyDescent="0.25">
      <c r="B75" t="s">
        <v>39</v>
      </c>
      <c r="F75" s="11">
        <v>0</v>
      </c>
      <c r="G75" s="11"/>
      <c r="H75" s="11">
        <v>0.46</v>
      </c>
      <c r="I75" s="11"/>
      <c r="J75" s="45">
        <v>0.63</v>
      </c>
      <c r="K75" s="38"/>
      <c r="L75" s="45">
        <v>0</v>
      </c>
      <c r="M75" s="38"/>
      <c r="N75" s="11">
        <f>(7+6+1.75)/43.5</f>
        <v>0.33908045977011492</v>
      </c>
      <c r="O75" s="11"/>
      <c r="P75" s="11">
        <v>0</v>
      </c>
      <c r="Q75" s="11"/>
      <c r="R75" s="2">
        <f>(50.323+4.7415)/(R43*R42*1.28)</f>
        <v>0.69188791893121759</v>
      </c>
      <c r="S75" s="2"/>
      <c r="T75" s="2">
        <f>(38*0.365)/T36</f>
        <v>0.65517241379310343</v>
      </c>
      <c r="U75" s="2"/>
      <c r="V75" s="2"/>
      <c r="W75" s="2"/>
      <c r="X75" s="2">
        <f>(29+18/4+22/4+80/4+11/4+26/4)/(0.7*282)</f>
        <v>0.34574468085106386</v>
      </c>
      <c r="Y75" s="2"/>
      <c r="Z75" s="2">
        <f>13.7/(Z42*Z41)</f>
        <v>0.6331254191309833</v>
      </c>
      <c r="AA75" s="2"/>
      <c r="AB75" s="2"/>
      <c r="AC75" s="2"/>
      <c r="AD75" s="2">
        <v>0.48</v>
      </c>
      <c r="AE75" s="2"/>
      <c r="AF75" s="2">
        <v>0.7</v>
      </c>
      <c r="AG75" s="2"/>
      <c r="AH75" s="2"/>
      <c r="AI75" s="2"/>
      <c r="AJ75" s="2">
        <f>6.875*4/3/(AJ42*AJ41)</f>
        <v>0.48787553486451823</v>
      </c>
      <c r="AK75" s="27"/>
      <c r="AL75" s="2">
        <f>+(5.85+0.99)/(AL36*0.75*AL66)</f>
        <v>0.71039254138945407</v>
      </c>
      <c r="AM75" s="27"/>
      <c r="AN75" s="27"/>
      <c r="AO75" s="27"/>
      <c r="AP75" s="2">
        <f>45.1*0.365/AP36</f>
        <v>0.50960451977401133</v>
      </c>
      <c r="AQ75" s="2"/>
      <c r="AR75" s="2"/>
      <c r="AS75" s="2"/>
      <c r="AT75" s="2"/>
      <c r="AU75" s="2"/>
      <c r="AV75" s="2"/>
      <c r="AW75" s="2"/>
      <c r="AX75" s="2"/>
      <c r="AY75" s="2">
        <f>7/(11.585)</f>
        <v>0.60422960725075525</v>
      </c>
      <c r="AZ75" s="2"/>
      <c r="BA75" s="11">
        <v>0.7</v>
      </c>
      <c r="BB75" s="11"/>
      <c r="BC75" s="11">
        <v>0</v>
      </c>
      <c r="BD75" s="11"/>
      <c r="BE75" s="2">
        <f>(9.5+1.4+0.2)/21</f>
        <v>0.52857142857142858</v>
      </c>
      <c r="BF75" s="2"/>
      <c r="BG75" s="2">
        <v>0.55000000000000004</v>
      </c>
      <c r="BH75" s="2"/>
      <c r="BI75" s="2">
        <f>+(42.575+5+7.321)/(98+24.5)</f>
        <v>0.44813061224489797</v>
      </c>
      <c r="BJ75" s="2"/>
      <c r="BK75" s="2"/>
      <c r="BM75" s="2">
        <f>(87)/(BM44*BM42)</f>
        <v>0.17839887640449439</v>
      </c>
      <c r="BN75" s="2"/>
      <c r="BO75" s="2"/>
      <c r="BQ75" s="2"/>
      <c r="BS75" s="2">
        <f>(28)/(260*(BS42))</f>
        <v>0.183308197797731</v>
      </c>
      <c r="BT75" s="11"/>
      <c r="BU75" s="2">
        <f>(50.323+4.7415)/(BU43*BU42*1.28)</f>
        <v>0.69188791893121759</v>
      </c>
      <c r="BV75" s="2"/>
      <c r="BW75" s="11"/>
      <c r="BX75" s="11"/>
      <c r="BY75" s="11">
        <v>0</v>
      </c>
      <c r="BZ75" s="11"/>
      <c r="CA75" s="11"/>
      <c r="CB75" s="11"/>
      <c r="CC75" s="11">
        <f>+(51719+5000)*0.365/CC43/1000/CC42</f>
        <v>0.16113352272727274</v>
      </c>
      <c r="CD75" s="11"/>
      <c r="CE75" s="11"/>
      <c r="CF75" s="11"/>
      <c r="CG75" s="11"/>
      <c r="CH75" s="11"/>
      <c r="CI75" s="11"/>
      <c r="CJ75" s="11"/>
      <c r="CK75" s="11">
        <f>60/(412*0.365*CK42)</f>
        <v>0.51816782765047165</v>
      </c>
      <c r="CL75" s="11"/>
      <c r="CM75" s="11"/>
      <c r="CN75" s="11"/>
    </row>
    <row r="76" spans="2:99" hidden="1" outlineLevel="1" x14ac:dyDescent="0.25">
      <c r="F76" s="11"/>
      <c r="G76" s="11"/>
      <c r="H76" s="11"/>
      <c r="I76" s="11"/>
      <c r="J76" s="45"/>
      <c r="K76" s="38"/>
      <c r="L76" s="45"/>
      <c r="M76" s="38"/>
      <c r="N76" s="11"/>
      <c r="O76" s="11"/>
      <c r="P76" s="11"/>
      <c r="Q76" s="11"/>
      <c r="R76" s="2"/>
      <c r="S76" s="2"/>
      <c r="T76" s="52">
        <v>57.19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7"/>
      <c r="AL76" s="2"/>
      <c r="AM76" s="27"/>
      <c r="AN76" s="27"/>
      <c r="AO76" s="27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11"/>
      <c r="BB76" s="11"/>
      <c r="BC76" s="11"/>
      <c r="BD76" s="11"/>
      <c r="BE76" s="2"/>
      <c r="BF76" s="2"/>
      <c r="BG76" s="2"/>
      <c r="BH76" s="2"/>
      <c r="BI76" s="2"/>
      <c r="BJ76" s="2"/>
      <c r="BK76" s="2"/>
      <c r="BM76" s="2"/>
      <c r="BN76" s="2"/>
      <c r="BO76" s="2"/>
      <c r="BQ76" s="2"/>
      <c r="BS76" s="2"/>
      <c r="BT76" s="11"/>
      <c r="BU76" s="2"/>
      <c r="BV76" s="2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</row>
    <row r="77" spans="2:99" outlineLevel="1" x14ac:dyDescent="0.25">
      <c r="B77" t="s">
        <v>40</v>
      </c>
      <c r="F77" s="11"/>
      <c r="G77" s="11"/>
      <c r="H77" s="11">
        <v>0</v>
      </c>
      <c r="I77" s="11"/>
      <c r="J77" s="11">
        <v>0.2</v>
      </c>
      <c r="K77" s="11"/>
      <c r="L77" s="11">
        <f>((10.965+5.475)/6)/(66.58*(1-L42))</f>
        <v>0.17857974402868304</v>
      </c>
      <c r="M77" s="11"/>
      <c r="N77" s="11">
        <f>+(453+55+88)/730</f>
        <v>0.81643835616438354</v>
      </c>
      <c r="O77" s="11"/>
      <c r="P77" s="11">
        <f>(386.088/475)</f>
        <v>0.81281684210526317</v>
      </c>
      <c r="Q77" s="11"/>
      <c r="R77" s="11">
        <f>(62.640992/6)/(R43*1.15*(1-R42))</f>
        <v>0.26862728903822802</v>
      </c>
      <c r="S77" s="11"/>
      <c r="T77" s="11">
        <v>0</v>
      </c>
      <c r="U77" s="11"/>
      <c r="V77" s="11"/>
      <c r="W77" s="11"/>
      <c r="X77" s="11">
        <f>70/(0.12*282*6)</f>
        <v>0.34475965327029162</v>
      </c>
      <c r="Y77" s="11"/>
      <c r="Z77" s="11">
        <f>25.6/((1-Z42)*Z43*6)</f>
        <v>0.56963353201510436</v>
      </c>
      <c r="AA77" s="11"/>
      <c r="AB77" s="11"/>
      <c r="AC77" s="11"/>
      <c r="AD77" s="11">
        <v>0.48</v>
      </c>
      <c r="AE77" s="11"/>
      <c r="AF77" s="11">
        <v>0</v>
      </c>
      <c r="AG77" s="11"/>
      <c r="AH77" s="11"/>
      <c r="AI77" s="11"/>
      <c r="AJ77" s="11">
        <f>29.425*4/3/((1-AJ42)*AJ41*6)</f>
        <v>0.75273895665708856</v>
      </c>
      <c r="AK77" s="28"/>
      <c r="AL77" s="11">
        <f>((1.8+3.6)/6)/(AL36*0.75*(1-AL42))</f>
        <v>0.12926442612555489</v>
      </c>
      <c r="AM77" s="28"/>
      <c r="AN77" s="28"/>
      <c r="AO77" s="28"/>
      <c r="AP77" s="11">
        <v>0</v>
      </c>
      <c r="AQ77" s="11"/>
      <c r="AR77" s="11"/>
      <c r="AS77" s="11"/>
      <c r="AT77" s="11"/>
      <c r="AU77" s="11"/>
      <c r="AV77" s="11"/>
      <c r="AW77" s="11"/>
      <c r="AX77" s="11"/>
      <c r="AY77" s="11">
        <f>+((1385+1455+1455+1428)/4)/(2335*(1-AY42))</f>
        <v>0.88530787539921318</v>
      </c>
      <c r="AZ77" s="11"/>
      <c r="BA77" s="11">
        <v>0.65</v>
      </c>
      <c r="BB77" s="11"/>
      <c r="BC77" s="11">
        <f>443/((BC43*6)*(1-BC42)*1.05)</f>
        <v>0.59208055503208323</v>
      </c>
      <c r="BD77" s="11"/>
      <c r="BE77" s="11">
        <v>0</v>
      </c>
      <c r="BF77" s="11"/>
      <c r="BG77" s="11">
        <v>0</v>
      </c>
      <c r="BH77" s="11"/>
      <c r="BI77" s="11">
        <f>+(108.47/195)</f>
        <v>0.55625641025641026</v>
      </c>
      <c r="BJ77" s="11"/>
      <c r="BK77" s="11"/>
      <c r="BQ77" s="2"/>
      <c r="BS77" s="2">
        <f>(240/6)/(260*(1-BS42))</f>
        <v>0.37295416559049777</v>
      </c>
      <c r="BT77" s="11"/>
      <c r="BU77" s="11">
        <f>(62.640992/6)/(BU43*1.15*(1-BU42))</f>
        <v>0.26862728903822802</v>
      </c>
      <c r="BV77" s="2"/>
      <c r="BY77" s="2">
        <f>(4.95+95.425+4.95)/(1.1*BY43*(1-BY42)*6)</f>
        <v>0.33943504542189296</v>
      </c>
      <c r="BZ77" s="2"/>
      <c r="CA77" s="2"/>
      <c r="CB77" s="2"/>
      <c r="CC77" s="2">
        <f>+(266293/6)*0.365/CC43/1000/(1-CC42)</f>
        <v>0.24252550091074673</v>
      </c>
      <c r="CD77" s="2"/>
      <c r="CE77" s="2"/>
      <c r="CF77" s="2"/>
      <c r="CG77" s="2"/>
      <c r="CH77" s="2"/>
      <c r="CI77" s="2"/>
      <c r="CJ77" s="2"/>
      <c r="CK77" s="2">
        <f>50/(429+430)</f>
        <v>5.8207217694994179E-2</v>
      </c>
      <c r="CL77" s="2"/>
      <c r="CM77" s="2"/>
      <c r="CN77" s="2"/>
    </row>
    <row r="78" spans="2:99" outlineLevel="1" x14ac:dyDescent="0.25">
      <c r="B78" t="s">
        <v>41</v>
      </c>
      <c r="F78" s="11">
        <v>0</v>
      </c>
      <c r="G78" s="11"/>
      <c r="H78" s="11">
        <v>0.12</v>
      </c>
      <c r="I78" s="11"/>
      <c r="J78" s="11"/>
      <c r="K78" s="11"/>
      <c r="L78" s="11">
        <v>0</v>
      </c>
      <c r="M78" s="11"/>
      <c r="N78" s="11">
        <f>+(7+2)/43.5</f>
        <v>0.20689655172413793</v>
      </c>
      <c r="O78" s="11"/>
      <c r="P78" s="11">
        <v>0</v>
      </c>
      <c r="Q78" s="11"/>
      <c r="R78" s="11">
        <f>(39.34)/(R43*R42*1.4)</f>
        <v>0.45193953759896188</v>
      </c>
      <c r="S78" s="11"/>
      <c r="T78" s="11">
        <v>0.3</v>
      </c>
      <c r="U78" s="11"/>
      <c r="V78" s="11"/>
      <c r="W78" s="11"/>
      <c r="X78" s="11">
        <v>0</v>
      </c>
      <c r="Y78" s="11"/>
      <c r="Z78" s="11">
        <f>11.7/(Z42*Z41)</f>
        <v>0.54069835064470839</v>
      </c>
      <c r="AA78" s="11"/>
      <c r="AB78" s="11"/>
      <c r="AC78" s="11"/>
      <c r="AD78" s="11">
        <v>0</v>
      </c>
      <c r="AE78" s="11"/>
      <c r="AF78" s="11">
        <f>0.380952380952381*AF75</f>
        <v>0.26666666666666666</v>
      </c>
      <c r="AG78" s="11"/>
      <c r="AH78" s="11"/>
      <c r="AI78" s="11"/>
      <c r="AJ78" s="11">
        <f>7.539/8.687*AJ75</f>
        <v>0.42340205563987604</v>
      </c>
      <c r="AK78" s="28"/>
      <c r="AL78" s="11">
        <f>2.64/(AL36*AL42)</f>
        <v>0.20127008347545106</v>
      </c>
      <c r="AM78" s="28"/>
      <c r="AN78" s="28"/>
      <c r="AO78" s="28"/>
      <c r="AP78" s="11">
        <f>12.5*0.365/AP36</f>
        <v>0.14124293785310735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>
        <v>0.25</v>
      </c>
      <c r="BB78" s="11"/>
      <c r="BC78" s="11">
        <v>0</v>
      </c>
      <c r="BD78" s="11"/>
      <c r="BE78" s="2">
        <f>(5.5+0.4)/21</f>
        <v>0.28095238095238095</v>
      </c>
      <c r="BF78" s="2"/>
      <c r="BG78" s="2">
        <v>2.5000000000000001E-2</v>
      </c>
      <c r="BH78" s="2"/>
      <c r="BI78" s="2">
        <v>0</v>
      </c>
      <c r="BJ78" s="2"/>
      <c r="BK78" s="2"/>
      <c r="BT78" s="11"/>
      <c r="BU78" s="11">
        <f>(39.34)/(BU43*BU42*1.4)</f>
        <v>0.45193953759896188</v>
      </c>
      <c r="BW78" s="11"/>
      <c r="BX78" s="11"/>
      <c r="BY78" s="11">
        <v>0</v>
      </c>
      <c r="BZ78" s="11"/>
      <c r="CA78" s="11"/>
      <c r="CB78" s="11"/>
      <c r="CC78" s="11">
        <f>+(1740)*0.365/CC43/1000/(1-CC42)</f>
        <v>9.5081967213114724E-3</v>
      </c>
      <c r="CD78" s="11"/>
      <c r="CE78" s="11"/>
      <c r="CF78" s="11"/>
      <c r="CG78" s="11"/>
      <c r="CH78" s="11"/>
      <c r="CI78" s="11"/>
      <c r="CJ78" s="11"/>
      <c r="CK78" s="11">
        <v>0</v>
      </c>
      <c r="CL78" s="11"/>
      <c r="CM78" s="11"/>
      <c r="CN78" s="11"/>
    </row>
    <row r="79" spans="2:99" outlineLevel="1" x14ac:dyDescent="0.25">
      <c r="B79" t="s">
        <v>42</v>
      </c>
      <c r="H79">
        <v>0</v>
      </c>
      <c r="L79">
        <v>0</v>
      </c>
      <c r="N79" s="11">
        <f>+(217+22+106)/730</f>
        <v>0.4726027397260274</v>
      </c>
      <c r="O79" s="11"/>
      <c r="P79" s="11">
        <v>0</v>
      </c>
      <c r="Q79" s="11"/>
      <c r="R79" s="11">
        <f>(24.703/6)/(R43*1.225*(1-R42))</f>
        <v>9.9449579823137679E-2</v>
      </c>
      <c r="S79" s="11"/>
      <c r="T79" s="11">
        <v>0</v>
      </c>
      <c r="U79" s="11"/>
      <c r="V79" s="11"/>
      <c r="W79" s="11"/>
      <c r="X79" s="11">
        <v>0</v>
      </c>
      <c r="Y79" s="11"/>
      <c r="Z79" s="11">
        <v>0</v>
      </c>
      <c r="AA79" s="11"/>
      <c r="AB79" s="11"/>
      <c r="AC79" s="11"/>
      <c r="AD79" s="11">
        <v>0</v>
      </c>
      <c r="AE79" s="11"/>
      <c r="AF79" s="11">
        <v>0</v>
      </c>
      <c r="AG79" s="11"/>
      <c r="AH79" s="11"/>
      <c r="AI79" s="11"/>
      <c r="AJ79" s="11">
        <f>23.79*4/3/((1-AJ42)*AJ41*6)</f>
        <v>0.60858656852581594</v>
      </c>
      <c r="AK79" s="4"/>
      <c r="AL79" s="11">
        <v>0</v>
      </c>
      <c r="AM79" s="4"/>
      <c r="AN79" s="4"/>
      <c r="AO79" s="4"/>
      <c r="AP79" s="11">
        <v>0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>
        <v>0</v>
      </c>
      <c r="BB79" s="11"/>
      <c r="BC79" s="11">
        <f>108/((BC43*6)*(1-BC42)*1.1)</f>
        <v>0.13778357262597626</v>
      </c>
      <c r="BD79" s="11"/>
      <c r="BE79" s="11">
        <v>0</v>
      </c>
      <c r="BF79" s="11"/>
      <c r="BG79" s="11">
        <v>0</v>
      </c>
      <c r="BH79" s="11"/>
      <c r="BI79" s="11">
        <v>0</v>
      </c>
      <c r="BJ79" s="11"/>
      <c r="BK79" s="11"/>
      <c r="BT79" s="11"/>
      <c r="BU79" s="11">
        <f>(24.703/6)/(BU43*1.225*(1-BU42))</f>
        <v>9.9449579823137679E-2</v>
      </c>
      <c r="BW79" s="11"/>
      <c r="BX79" s="11"/>
      <c r="BY79" s="11">
        <v>0</v>
      </c>
      <c r="BZ79" s="11"/>
      <c r="CA79" s="2"/>
      <c r="CB79" s="11"/>
      <c r="CC79" s="2">
        <f>+(26480/6)*0.365/CC43/1000/(1-CC42)</f>
        <v>2.411657559198542E-2</v>
      </c>
      <c r="CD79" s="2"/>
      <c r="CE79" s="2"/>
      <c r="CF79" s="2"/>
      <c r="CG79" s="2"/>
      <c r="CH79" s="2"/>
      <c r="CI79" s="2"/>
      <c r="CJ79" s="2"/>
      <c r="CK79" s="2">
        <v>0</v>
      </c>
      <c r="CL79" s="2"/>
      <c r="CM79" s="2"/>
      <c r="CN79" s="2"/>
    </row>
    <row r="80" spans="2:99" outlineLevel="1" x14ac:dyDescent="0.25"/>
    <row r="81" spans="1:99" hidden="1" outlineLevel="1" x14ac:dyDescent="0.25">
      <c r="B81" s="12" t="s">
        <v>262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</row>
    <row r="82" spans="1:99" hidden="1" outlineLevel="1" x14ac:dyDescent="0.25">
      <c r="D82" t="s">
        <v>377</v>
      </c>
      <c r="F82" s="37" t="s">
        <v>263</v>
      </c>
      <c r="G82" s="37"/>
      <c r="H82" s="37" t="s">
        <v>264</v>
      </c>
      <c r="I82" s="37"/>
      <c r="J82" s="37" t="s">
        <v>265</v>
      </c>
      <c r="K82" s="37"/>
      <c r="L82" s="37" t="s">
        <v>268</v>
      </c>
      <c r="M82" s="37"/>
      <c r="N82" s="37" t="s">
        <v>266</v>
      </c>
      <c r="O82" s="37"/>
      <c r="P82" s="37" t="s">
        <v>267</v>
      </c>
      <c r="Q82" s="37"/>
      <c r="R82" s="37" t="s">
        <v>268</v>
      </c>
      <c r="S82" s="37"/>
      <c r="T82" s="37" t="s">
        <v>269</v>
      </c>
      <c r="U82" s="37"/>
      <c r="V82" s="37" t="s">
        <v>268</v>
      </c>
      <c r="W82" s="37"/>
      <c r="X82" s="37" t="s">
        <v>268</v>
      </c>
      <c r="Y82" s="37"/>
      <c r="Z82" s="37" t="s">
        <v>270</v>
      </c>
      <c r="AA82" s="37"/>
      <c r="AB82" s="37" t="s">
        <v>271</v>
      </c>
      <c r="AC82" s="37"/>
      <c r="AD82" s="37"/>
      <c r="AE82" s="37"/>
      <c r="AF82" s="37"/>
      <c r="AG82" s="37"/>
      <c r="AH82" s="37"/>
      <c r="AI82" s="37"/>
      <c r="AJ82" s="37" t="s">
        <v>268</v>
      </c>
      <c r="AK82" s="37"/>
      <c r="AL82" s="37" t="s">
        <v>272</v>
      </c>
      <c r="AM82" s="37"/>
      <c r="AN82" s="37" t="s">
        <v>273</v>
      </c>
      <c r="AO82" s="37"/>
      <c r="AP82" s="37" t="s">
        <v>274</v>
      </c>
      <c r="AQ82" s="37"/>
      <c r="AR82" s="37"/>
      <c r="AS82" s="37" t="s">
        <v>275</v>
      </c>
      <c r="AT82" s="37"/>
      <c r="AU82" s="37" t="s">
        <v>268</v>
      </c>
      <c r="AV82" s="37"/>
      <c r="AW82" s="37" t="s">
        <v>276</v>
      </c>
      <c r="AX82" s="37"/>
      <c r="AY82" s="37" t="s">
        <v>277</v>
      </c>
      <c r="AZ82" s="37"/>
      <c r="BA82" s="37" t="s">
        <v>278</v>
      </c>
      <c r="BB82" s="37"/>
      <c r="BC82" s="37" t="s">
        <v>263</v>
      </c>
      <c r="BD82" s="37"/>
      <c r="BE82" s="37" t="s">
        <v>289</v>
      </c>
      <c r="BF82" s="37"/>
      <c r="BG82" s="37" t="s">
        <v>279</v>
      </c>
      <c r="BH82" s="37"/>
      <c r="BI82" s="37" t="s">
        <v>280</v>
      </c>
      <c r="BJ82" s="37"/>
      <c r="BK82" s="37"/>
      <c r="BL82" s="37"/>
      <c r="BM82" s="37"/>
      <c r="BN82" s="37"/>
      <c r="BO82" s="37"/>
      <c r="BP82" s="37"/>
      <c r="BQ82" s="37" t="s">
        <v>358</v>
      </c>
      <c r="BR82" s="37"/>
      <c r="BS82" s="37"/>
      <c r="BT82" s="37"/>
      <c r="BU82" s="37" t="s">
        <v>268</v>
      </c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</row>
    <row r="83" spans="1:99" hidden="1" outlineLevel="1" x14ac:dyDescent="0.25"/>
    <row r="84" spans="1:99" outlineLevel="1" x14ac:dyDescent="0.25">
      <c r="B84" s="12" t="s">
        <v>85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</row>
    <row r="85" spans="1:99" outlineLevel="2" x14ac:dyDescent="0.25">
      <c r="A85" t="s">
        <v>321</v>
      </c>
      <c r="D85" s="11">
        <v>0.25</v>
      </c>
      <c r="F85" s="11">
        <v>0.25</v>
      </c>
      <c r="G85" s="11"/>
      <c r="H85" s="11">
        <v>0.15</v>
      </c>
      <c r="J85" s="11">
        <v>0.35</v>
      </c>
      <c r="K85" s="11"/>
      <c r="L85" s="11">
        <v>0.35</v>
      </c>
      <c r="M85" s="11">
        <v>0.2</v>
      </c>
      <c r="N85" s="11">
        <v>0.25</v>
      </c>
      <c r="P85" s="11">
        <v>0.25</v>
      </c>
      <c r="Q85" s="11"/>
      <c r="R85" s="11">
        <v>0.25</v>
      </c>
      <c r="S85" s="11"/>
      <c r="T85" s="11">
        <v>0.12</v>
      </c>
      <c r="U85">
        <v>0.2</v>
      </c>
      <c r="V85">
        <v>0.2</v>
      </c>
      <c r="W85">
        <v>0.2</v>
      </c>
      <c r="X85" s="11">
        <v>0.3</v>
      </c>
      <c r="Y85">
        <v>0.2</v>
      </c>
      <c r="Z85" s="11">
        <v>0.25</v>
      </c>
      <c r="AA85">
        <v>0.2</v>
      </c>
      <c r="AB85">
        <v>0.2</v>
      </c>
      <c r="AC85">
        <v>0.2</v>
      </c>
      <c r="AD85" s="2">
        <v>0.15</v>
      </c>
      <c r="AF85" s="2">
        <v>0.35</v>
      </c>
      <c r="AG85" s="2"/>
      <c r="AH85" s="2">
        <v>0.25</v>
      </c>
      <c r="AJ85" s="11">
        <v>0.35</v>
      </c>
      <c r="AK85" s="11"/>
      <c r="AL85" s="11">
        <v>0.35</v>
      </c>
      <c r="AM85" s="11"/>
      <c r="AP85" s="2">
        <v>0.25</v>
      </c>
      <c r="AU85" s="11">
        <v>0.3</v>
      </c>
      <c r="AV85" s="11"/>
      <c r="AW85" s="2">
        <v>0.3</v>
      </c>
      <c r="AY85" s="11">
        <v>0.25</v>
      </c>
      <c r="BA85" s="11">
        <v>0.3</v>
      </c>
      <c r="BB85" s="11"/>
      <c r="BC85" s="11">
        <v>0.25</v>
      </c>
      <c r="BD85" s="11"/>
      <c r="BE85" s="11">
        <v>0.25</v>
      </c>
      <c r="BF85" s="11"/>
      <c r="BG85" s="2">
        <v>0.25</v>
      </c>
      <c r="BI85" s="11">
        <v>0.3</v>
      </c>
      <c r="BM85" s="2">
        <v>0.2</v>
      </c>
      <c r="BO85" s="2">
        <v>0.2</v>
      </c>
      <c r="BP85" s="2"/>
      <c r="BQ85" s="2">
        <v>0.1</v>
      </c>
      <c r="BR85" s="2"/>
      <c r="BS85" s="2">
        <v>0.3</v>
      </c>
      <c r="BT85" s="11"/>
      <c r="BU85" s="11">
        <v>0.25</v>
      </c>
      <c r="BV85" s="2"/>
      <c r="BW85" s="2">
        <v>0.2</v>
      </c>
      <c r="BX85" s="2"/>
      <c r="BY85" s="2">
        <v>0.25</v>
      </c>
      <c r="BZ85" s="2"/>
      <c r="CA85" s="2">
        <v>0.25</v>
      </c>
      <c r="CB85" s="2"/>
      <c r="CC85" s="2">
        <v>0.25</v>
      </c>
      <c r="CD85" s="2"/>
      <c r="CE85" s="2">
        <v>0.2</v>
      </c>
      <c r="CF85" s="2"/>
      <c r="CG85" s="2"/>
      <c r="CH85" s="2"/>
      <c r="CI85" s="2">
        <v>0.2</v>
      </c>
      <c r="CJ85" s="2"/>
      <c r="CK85" s="2">
        <v>0.25</v>
      </c>
      <c r="CL85" s="2"/>
      <c r="CM85" s="2"/>
      <c r="CN85" s="2"/>
      <c r="CO85" s="2">
        <v>0.2</v>
      </c>
      <c r="CP85" s="2"/>
      <c r="CQ85" s="2">
        <v>0.25</v>
      </c>
    </row>
    <row r="86" spans="1:99" outlineLevel="2" x14ac:dyDescent="0.25">
      <c r="A86" t="s">
        <v>322</v>
      </c>
      <c r="D86" s="11">
        <v>0.15</v>
      </c>
      <c r="F86" s="11">
        <v>0.15</v>
      </c>
      <c r="G86" s="11"/>
      <c r="H86" s="11">
        <v>0.12</v>
      </c>
      <c r="J86" s="11">
        <v>0.2</v>
      </c>
      <c r="K86" s="11"/>
      <c r="L86" s="11">
        <v>0.2</v>
      </c>
      <c r="M86" s="11"/>
      <c r="N86" s="11">
        <v>0.15</v>
      </c>
      <c r="P86" s="11">
        <v>0.15</v>
      </c>
      <c r="Q86" s="11"/>
      <c r="R86" s="11">
        <v>0.15</v>
      </c>
      <c r="S86" s="11"/>
      <c r="T86" s="11">
        <v>0.12</v>
      </c>
      <c r="X86" s="11">
        <v>0.2</v>
      </c>
      <c r="Z86" s="11">
        <v>0.15</v>
      </c>
      <c r="AD86" s="2">
        <v>0.15</v>
      </c>
      <c r="AF86" s="2">
        <v>0.2</v>
      </c>
      <c r="AG86" s="2"/>
      <c r="AH86" s="2">
        <v>0.15</v>
      </c>
      <c r="AJ86" s="11">
        <v>0.2</v>
      </c>
      <c r="AK86" s="11"/>
      <c r="AL86" s="11">
        <v>0.2</v>
      </c>
      <c r="AM86" s="11"/>
      <c r="AP86" s="2">
        <v>0.15</v>
      </c>
      <c r="AU86" s="11">
        <v>0.2</v>
      </c>
      <c r="AV86" s="11"/>
      <c r="AW86" s="2">
        <v>0.2</v>
      </c>
      <c r="AY86" s="11">
        <v>0.15</v>
      </c>
      <c r="BA86" s="11">
        <v>0.2</v>
      </c>
      <c r="BB86" s="11"/>
      <c r="BC86" s="11">
        <v>0.15</v>
      </c>
      <c r="BD86" s="11"/>
      <c r="BE86" s="11">
        <v>0.15</v>
      </c>
      <c r="BF86" s="11"/>
      <c r="BG86" s="2">
        <v>0.15</v>
      </c>
      <c r="BI86" s="11">
        <v>0.2</v>
      </c>
      <c r="BM86" s="2">
        <v>0.15</v>
      </c>
      <c r="BO86" s="2">
        <v>0.15</v>
      </c>
      <c r="BP86" s="2"/>
      <c r="BQ86" s="2">
        <v>0.1</v>
      </c>
      <c r="BR86" s="2"/>
      <c r="BS86" s="2">
        <v>0.2</v>
      </c>
      <c r="BT86" s="11"/>
      <c r="BU86" s="11">
        <v>0.15</v>
      </c>
      <c r="BV86" s="2"/>
      <c r="BW86" s="2">
        <v>0.15</v>
      </c>
      <c r="BX86" s="2"/>
      <c r="BY86" s="2">
        <v>0.15</v>
      </c>
      <c r="BZ86" s="2"/>
      <c r="CA86" s="2">
        <v>0.15</v>
      </c>
      <c r="CB86" s="2"/>
      <c r="CC86" s="2">
        <v>0.15</v>
      </c>
      <c r="CD86" s="2"/>
      <c r="CE86" s="2">
        <v>0.15</v>
      </c>
      <c r="CF86" s="2"/>
      <c r="CG86" s="2"/>
      <c r="CH86" s="2"/>
      <c r="CI86" s="2">
        <v>0.15</v>
      </c>
      <c r="CJ86" s="2"/>
      <c r="CK86" s="2">
        <v>0.15</v>
      </c>
      <c r="CL86" s="2"/>
      <c r="CM86" s="2"/>
      <c r="CN86" s="2"/>
      <c r="CO86" s="2">
        <v>0.15</v>
      </c>
      <c r="CP86" s="2"/>
      <c r="CQ86" s="2">
        <v>0.15</v>
      </c>
    </row>
    <row r="87" spans="1:99" outlineLevel="2" x14ac:dyDescent="0.25">
      <c r="A87" t="s">
        <v>291</v>
      </c>
      <c r="D87" s="11">
        <f>3974/(2262+3974)</f>
        <v>0.6372674791533034</v>
      </c>
      <c r="F87" s="11">
        <f>+(102.86+46.988)/(102.86+46.988+12.229)</f>
        <v>0.92454820856753284</v>
      </c>
      <c r="G87" s="11"/>
      <c r="H87" s="11">
        <v>0.15686274509803899</v>
      </c>
      <c r="J87" s="11">
        <v>0.21</v>
      </c>
      <c r="K87" s="11"/>
      <c r="L87" s="11">
        <f>4332/(12679+4332)</f>
        <v>0.2546587502204456</v>
      </c>
      <c r="M87" s="11"/>
      <c r="N87" s="11">
        <f>42/(42+87)</f>
        <v>0.32558139534883723</v>
      </c>
      <c r="P87" s="11">
        <f>+(0.4+5.1)/(5.1+0.1+0.4)</f>
        <v>0.98214285714285721</v>
      </c>
      <c r="Q87" s="11"/>
      <c r="R87" s="11">
        <v>0</v>
      </c>
      <c r="S87" s="11"/>
      <c r="T87" s="11">
        <v>0</v>
      </c>
      <c r="X87" s="2">
        <f>7.465/(34.367+7.465)</f>
        <v>0.17845190284949322</v>
      </c>
      <c r="Z87" s="11">
        <f>5227/(16726+5227)</f>
        <v>0.23809957636769463</v>
      </c>
      <c r="AD87" s="2">
        <f>5/51</f>
        <v>9.8039215686274508E-2</v>
      </c>
      <c r="AF87" s="2">
        <f>533/3534/AF42</f>
        <v>0.16883145151396425</v>
      </c>
      <c r="AG87" s="2"/>
      <c r="AH87" s="2"/>
      <c r="AJ87" s="11">
        <f>21/(21+27.9)</f>
        <v>0.42944785276073622</v>
      </c>
      <c r="AK87" s="11"/>
      <c r="AL87" s="11">
        <v>0</v>
      </c>
      <c r="AM87" s="11"/>
      <c r="AP87" s="2">
        <v>0</v>
      </c>
      <c r="AU87" s="11">
        <f>2323/(9696+2323)</f>
        <v>0.19327731092436976</v>
      </c>
      <c r="AV87" s="11"/>
      <c r="AW87" s="11">
        <f>2323/(9696+2323)</f>
        <v>0.19327731092436976</v>
      </c>
      <c r="AY87" s="11">
        <v>0.91</v>
      </c>
      <c r="BA87" s="11">
        <f>1962/(1962+5091)</f>
        <v>0.27817949808592091</v>
      </c>
      <c r="BB87" s="11"/>
      <c r="BC87" s="11">
        <f>5434/(5434+1073)</f>
        <v>0.8351006608268019</v>
      </c>
      <c r="BD87" s="11"/>
      <c r="BE87" s="11">
        <f>1188.9/(5749.9+1188.9)</f>
        <v>0.1713408658557676</v>
      </c>
      <c r="BF87" s="11"/>
      <c r="BG87" s="11">
        <f>1.78/(1.78+8.16)</f>
        <v>0.17907444668008049</v>
      </c>
      <c r="BI87" s="11">
        <f>26.3/(96+26.3)</f>
        <v>0.21504497138184792</v>
      </c>
      <c r="BM87" s="2">
        <f>38/(38+140)</f>
        <v>0.21348314606741572</v>
      </c>
      <c r="BO87" s="2"/>
      <c r="BP87" s="2"/>
      <c r="BQ87" s="2">
        <f>+(26.538/(483.752-0.528*6))</f>
        <v>5.5220315283072259E-2</v>
      </c>
      <c r="BR87" s="2"/>
      <c r="BS87" s="2">
        <v>0.37</v>
      </c>
      <c r="BT87" s="11"/>
      <c r="BU87" s="11">
        <v>0</v>
      </c>
      <c r="BV87" s="2"/>
      <c r="BW87" s="2">
        <v>0</v>
      </c>
      <c r="BX87" s="2"/>
      <c r="BY87" s="2">
        <v>0</v>
      </c>
      <c r="BZ87" s="2"/>
      <c r="CA87" s="2">
        <f>78.2/(78.2+89.9)</f>
        <v>0.46519928613920281</v>
      </c>
      <c r="CB87" s="2"/>
      <c r="CC87" s="2">
        <v>0.28999999999999998</v>
      </c>
      <c r="CD87" s="2"/>
      <c r="CE87" s="2">
        <f>42.5/(42.5+146)</f>
        <v>0.22546419098143236</v>
      </c>
      <c r="CF87" s="2"/>
      <c r="CG87" s="2"/>
      <c r="CH87" s="2"/>
      <c r="CI87" s="2">
        <f>22.9/214.7</f>
        <v>0.10666045645086167</v>
      </c>
      <c r="CJ87" s="2"/>
      <c r="CK87" s="2">
        <f>55/(180+55)</f>
        <v>0.23404255319148937</v>
      </c>
      <c r="CL87" s="2"/>
      <c r="CM87" s="2"/>
      <c r="CN87" s="2"/>
      <c r="CO87" s="2">
        <f>36/(36+153)</f>
        <v>0.19047619047619047</v>
      </c>
      <c r="CP87" s="2"/>
      <c r="CQ87" s="2">
        <f>54.459/(181.402+54.459)</f>
        <v>0.23089446750416562</v>
      </c>
    </row>
    <row r="88" spans="1:99" outlineLevel="2" x14ac:dyDescent="0.25">
      <c r="A88" t="s">
        <v>300</v>
      </c>
      <c r="D88" s="4">
        <v>4</v>
      </c>
      <c r="F88" s="52">
        <v>0</v>
      </c>
      <c r="G88" s="11"/>
      <c r="H88" s="52">
        <v>-5</v>
      </c>
      <c r="I88" s="52">
        <v>0</v>
      </c>
      <c r="J88" s="52">
        <v>0</v>
      </c>
      <c r="K88" s="52">
        <v>0</v>
      </c>
      <c r="L88" s="52">
        <v>8</v>
      </c>
      <c r="M88" s="52">
        <v>0</v>
      </c>
      <c r="N88" s="52">
        <v>-1.4</v>
      </c>
      <c r="O88" s="52">
        <v>0</v>
      </c>
      <c r="P88" s="52">
        <v>10</v>
      </c>
      <c r="Q88" s="52">
        <v>0</v>
      </c>
      <c r="R88" s="52">
        <v>2.25</v>
      </c>
      <c r="S88" s="52">
        <v>0</v>
      </c>
      <c r="T88" s="52">
        <v>-1.7</v>
      </c>
      <c r="U88" s="52">
        <v>0</v>
      </c>
      <c r="V88" s="52">
        <v>0</v>
      </c>
      <c r="W88" s="52">
        <v>0</v>
      </c>
      <c r="X88" s="52">
        <v>6</v>
      </c>
      <c r="Y88" s="52">
        <v>0</v>
      </c>
      <c r="Z88" s="52">
        <v>2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6</v>
      </c>
      <c r="AG88" s="52">
        <v>0</v>
      </c>
      <c r="AH88" s="52">
        <v>0</v>
      </c>
      <c r="AI88" s="52">
        <v>0</v>
      </c>
      <c r="AJ88" s="52">
        <f>0.05*B90</f>
        <v>3</v>
      </c>
      <c r="AK88" s="52">
        <v>0</v>
      </c>
      <c r="AL88" s="52">
        <v>6</v>
      </c>
      <c r="AM88" s="52">
        <v>0</v>
      </c>
      <c r="AN88" s="52">
        <v>0</v>
      </c>
      <c r="AO88" s="52">
        <v>0</v>
      </c>
      <c r="AP88" s="52">
        <v>2</v>
      </c>
      <c r="AQ88" s="52">
        <v>0</v>
      </c>
      <c r="AR88" s="52">
        <v>0</v>
      </c>
      <c r="AS88" s="52">
        <v>0</v>
      </c>
      <c r="AT88" s="52">
        <v>0</v>
      </c>
      <c r="AU88" s="52">
        <v>6</v>
      </c>
      <c r="AV88" s="52">
        <v>0</v>
      </c>
      <c r="AW88" s="52">
        <v>5</v>
      </c>
      <c r="AX88" s="52">
        <v>0</v>
      </c>
      <c r="AY88" s="52">
        <v>7</v>
      </c>
      <c r="AZ88" s="52">
        <v>0</v>
      </c>
      <c r="BA88" s="52">
        <v>6</v>
      </c>
      <c r="BB88" s="52">
        <v>0</v>
      </c>
      <c r="BC88" s="52">
        <v>10</v>
      </c>
      <c r="BD88" s="52">
        <v>0</v>
      </c>
      <c r="BE88" s="52">
        <v>7</v>
      </c>
      <c r="BF88" s="52">
        <v>0</v>
      </c>
      <c r="BG88" s="52">
        <v>5.25</v>
      </c>
      <c r="BH88" s="52">
        <v>0</v>
      </c>
      <c r="BI88" s="52">
        <f>65.56-61.57</f>
        <v>3.990000000000002</v>
      </c>
      <c r="BM88" s="2"/>
      <c r="BO88" s="2"/>
      <c r="BP88" s="2"/>
      <c r="BQ88" s="52">
        <v>25</v>
      </c>
      <c r="BR88" s="2"/>
      <c r="BS88" s="2"/>
      <c r="BT88" s="11"/>
      <c r="BU88" s="11"/>
      <c r="BV88" s="2"/>
      <c r="BW88" s="2"/>
      <c r="BX88" s="2"/>
      <c r="BY88" s="4">
        <v>5</v>
      </c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9" outlineLevel="2" x14ac:dyDescent="0.25">
      <c r="A89" t="s">
        <v>301</v>
      </c>
      <c r="D89" s="4">
        <v>0</v>
      </c>
      <c r="F89" s="52">
        <v>-0.15</v>
      </c>
      <c r="G89" s="11"/>
      <c r="H89" s="52">
        <v>0</v>
      </c>
      <c r="I89" s="52">
        <v>0</v>
      </c>
      <c r="J89" s="52">
        <f>0.5*B91</f>
        <v>1.375</v>
      </c>
      <c r="K89" s="52">
        <v>0</v>
      </c>
      <c r="L89" s="52">
        <v>1</v>
      </c>
      <c r="M89" s="52">
        <v>0</v>
      </c>
      <c r="N89" s="52">
        <v>0.15</v>
      </c>
      <c r="O89" s="52">
        <v>0</v>
      </c>
      <c r="P89" s="52">
        <v>0.3</v>
      </c>
      <c r="Q89" s="52">
        <v>0</v>
      </c>
      <c r="R89" s="52">
        <f>0.1*B91</f>
        <v>0.27500000000000002</v>
      </c>
      <c r="S89" s="52">
        <v>0</v>
      </c>
      <c r="T89" s="52">
        <v>0.35</v>
      </c>
      <c r="U89" s="52">
        <v>0</v>
      </c>
      <c r="V89" s="52">
        <v>0</v>
      </c>
      <c r="W89" s="52">
        <v>0</v>
      </c>
      <c r="X89" s="52">
        <v>1.1000000000000001</v>
      </c>
      <c r="Y89" s="52">
        <v>0</v>
      </c>
      <c r="Z89" s="52">
        <v>1</v>
      </c>
      <c r="AA89" s="52">
        <v>0</v>
      </c>
      <c r="AB89" s="52">
        <v>0</v>
      </c>
      <c r="AC89" s="52">
        <v>0</v>
      </c>
      <c r="AD89" s="52">
        <v>-1.2</v>
      </c>
      <c r="AE89" s="52">
        <v>0</v>
      </c>
      <c r="AF89" s="52">
        <v>0.8</v>
      </c>
      <c r="AG89" s="52">
        <v>0</v>
      </c>
      <c r="AH89" s="52">
        <v>0</v>
      </c>
      <c r="AI89" s="52">
        <v>0</v>
      </c>
      <c r="AJ89" s="52">
        <v>2.5</v>
      </c>
      <c r="AK89" s="52">
        <v>0</v>
      </c>
      <c r="AL89" s="52">
        <v>-0.1</v>
      </c>
      <c r="AM89" s="52">
        <v>0</v>
      </c>
      <c r="AN89" s="52">
        <v>0</v>
      </c>
      <c r="AO89" s="52">
        <v>0</v>
      </c>
      <c r="AP89" s="52">
        <v>0.1</v>
      </c>
      <c r="AQ89" s="52">
        <v>0</v>
      </c>
      <c r="AR89" s="52">
        <v>0</v>
      </c>
      <c r="AS89" s="52">
        <v>0</v>
      </c>
      <c r="AT89" s="52">
        <v>0</v>
      </c>
      <c r="AU89" s="52">
        <v>1.25</v>
      </c>
      <c r="AV89" s="52">
        <v>0</v>
      </c>
      <c r="AW89" s="52">
        <v>0.9</v>
      </c>
      <c r="AX89" s="52">
        <v>0</v>
      </c>
      <c r="AY89" s="52">
        <v>0.17499999999999999</v>
      </c>
      <c r="AZ89" s="52">
        <v>0</v>
      </c>
      <c r="BA89" s="52">
        <v>0</v>
      </c>
      <c r="BB89" s="52">
        <v>0</v>
      </c>
      <c r="BC89" s="52">
        <v>0.75</v>
      </c>
      <c r="BD89" s="52">
        <v>0</v>
      </c>
      <c r="BE89" s="52">
        <f>3.1-2.82</f>
        <v>0.28000000000000025</v>
      </c>
      <c r="BF89" s="52">
        <v>0</v>
      </c>
      <c r="BG89" s="52">
        <v>1.5</v>
      </c>
      <c r="BH89" s="52">
        <v>0</v>
      </c>
      <c r="BI89" s="52">
        <v>1</v>
      </c>
      <c r="BM89" s="2"/>
      <c r="BO89" s="2"/>
      <c r="BP89" s="2"/>
      <c r="BQ89" s="52"/>
      <c r="BR89" s="2"/>
      <c r="BS89" s="2"/>
      <c r="BT89" s="11"/>
      <c r="BU89" s="11"/>
      <c r="BV89" s="2"/>
      <c r="BW89" s="2"/>
      <c r="BX89" s="2"/>
      <c r="BY89" s="4">
        <v>0.25</v>
      </c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9" outlineLevel="2" x14ac:dyDescent="0.25">
      <c r="A90" t="s">
        <v>86</v>
      </c>
      <c r="B90" s="32">
        <f>+'E&amp;P Sensitivity Rankings'!D13</f>
        <v>60</v>
      </c>
      <c r="C90" s="32"/>
      <c r="D90" s="4">
        <f>+SUM(D91:D109)</f>
        <v>3003.3907521702949</v>
      </c>
      <c r="E90" s="32"/>
      <c r="F90" s="4">
        <f>+SUM(F91:F109)</f>
        <v>5482.0032514009736</v>
      </c>
      <c r="G90" s="4"/>
      <c r="H90" s="4">
        <f>+SUM(H91:H109)</f>
        <v>4936.7200389891623</v>
      </c>
      <c r="I90" s="4"/>
      <c r="J90" s="4">
        <f>+SUM(J91:J109)</f>
        <v>1661.2313947127634</v>
      </c>
      <c r="K90" s="4"/>
      <c r="L90" s="4">
        <f>+SUM(L91:L109)</f>
        <v>1591.0081278202449</v>
      </c>
      <c r="M90" s="4">
        <f t="shared" ref="M90" si="21">+SUM(M91:M109)</f>
        <v>0</v>
      </c>
      <c r="N90" s="4">
        <f>+SUM(N91:N109)</f>
        <v>8809.6766661717666</v>
      </c>
      <c r="O90" s="4"/>
      <c r="P90" s="4">
        <f>+SUM(P91:P109)</f>
        <v>2465.8335215483758</v>
      </c>
      <c r="Q90" s="4"/>
      <c r="R90" s="4">
        <f>+SUM(R91:R109)</f>
        <v>11018.789366493911</v>
      </c>
      <c r="S90" s="4"/>
      <c r="T90" s="4">
        <f>+SUM(T91:T109)</f>
        <v>2693.556105001413</v>
      </c>
      <c r="U90" s="4">
        <f t="shared" ref="U90:AD90" si="22">+SUM(U91:U109)</f>
        <v>0</v>
      </c>
      <c r="V90" s="4">
        <f t="shared" si="22"/>
        <v>0</v>
      </c>
      <c r="W90" s="4">
        <f t="shared" si="22"/>
        <v>0</v>
      </c>
      <c r="X90" s="4">
        <f>+SUM(X91:X109)</f>
        <v>7851.8243971875818</v>
      </c>
      <c r="Y90" s="4">
        <f t="shared" si="22"/>
        <v>0</v>
      </c>
      <c r="Z90" s="4">
        <f t="shared" si="22"/>
        <v>2540.1881461250568</v>
      </c>
      <c r="AA90" s="4">
        <f t="shared" si="22"/>
        <v>0</v>
      </c>
      <c r="AB90" s="4">
        <f t="shared" si="22"/>
        <v>0</v>
      </c>
      <c r="AC90" s="4">
        <f t="shared" si="22"/>
        <v>0</v>
      </c>
      <c r="AD90" s="4">
        <f t="shared" si="22"/>
        <v>3105.0868604367274</v>
      </c>
      <c r="AE90" s="4"/>
      <c r="AF90" s="4">
        <f>+SUM(AF91:AF109)</f>
        <v>1189.3727209058841</v>
      </c>
      <c r="AG90" s="4"/>
      <c r="AH90" s="4">
        <f>+SUM(AH91:AH109)</f>
        <v>2986.0522383240036</v>
      </c>
      <c r="AI90" s="4"/>
      <c r="AJ90" s="4">
        <f>+SUM(AJ91:AJ109)</f>
        <v>1401.5813720640069</v>
      </c>
      <c r="AK90" s="4"/>
      <c r="AL90" s="4">
        <f>+SUM(AL91:AL109)</f>
        <v>1304.2560879644493</v>
      </c>
      <c r="AM90" s="4"/>
      <c r="AN90" s="4"/>
      <c r="AO90" s="4"/>
      <c r="AP90" s="4">
        <f>+SUM(AP91:AP109)</f>
        <v>3015.5615481771147</v>
      </c>
      <c r="AQ90" s="4"/>
      <c r="AR90" s="4"/>
      <c r="AS90" s="4"/>
      <c r="AT90" s="4"/>
      <c r="AU90" s="4">
        <f>+SUM(AU91:AU109)</f>
        <v>3638.1367131637057</v>
      </c>
      <c r="AV90" s="4"/>
      <c r="AW90" s="4">
        <f>+SUM(AW91:AW109)</f>
        <v>3195.172525130492</v>
      </c>
      <c r="AX90" s="4"/>
      <c r="AY90" s="4">
        <f>+SUM(AY91:AY109)</f>
        <v>3813.9226018436725</v>
      </c>
      <c r="AZ90" s="4"/>
      <c r="BA90" s="4">
        <f>+SUM(BA91:BA109)</f>
        <v>2550.5918482629763</v>
      </c>
      <c r="BB90" s="4"/>
      <c r="BC90" s="4">
        <f>+SUM(BC91:BC109)</f>
        <v>3591.7685697328666</v>
      </c>
      <c r="BD90" s="4"/>
      <c r="BE90" s="4">
        <f>+SUM(BE91:BE109)</f>
        <v>2920.3224015735591</v>
      </c>
      <c r="BF90" s="4"/>
      <c r="BG90" s="4">
        <f>+SUM(BG91:BG109)</f>
        <v>4470.4549702745444</v>
      </c>
      <c r="BH90" s="4"/>
      <c r="BI90" s="4">
        <f>+SUM(BI91:BI109)</f>
        <v>3627.8939226418388</v>
      </c>
      <c r="BJ90" s="4"/>
      <c r="BK90" s="4"/>
      <c r="BL90" s="4"/>
      <c r="BM90" s="4">
        <f t="shared" ref="BM90:CQ90" si="23">+SUM(BM91:BM109)</f>
        <v>24632.563096950165</v>
      </c>
      <c r="BN90" s="4">
        <f t="shared" si="23"/>
        <v>0</v>
      </c>
      <c r="BO90" s="4">
        <f t="shared" si="23"/>
        <v>17929.634702932555</v>
      </c>
      <c r="BP90" s="4">
        <f t="shared" ref="BP90:BQ90" si="24">+SUM(BP91:BP109)</f>
        <v>0</v>
      </c>
      <c r="BQ90" s="4">
        <f t="shared" si="24"/>
        <v>9740.436381409796</v>
      </c>
      <c r="BR90" s="4">
        <f t="shared" si="23"/>
        <v>0</v>
      </c>
      <c r="BS90" s="4">
        <f t="shared" si="23"/>
        <v>5954.2895794518727</v>
      </c>
      <c r="BT90" s="4">
        <f t="shared" si="23"/>
        <v>0</v>
      </c>
      <c r="BU90" s="4">
        <f t="shared" si="23"/>
        <v>11704.834079681264</v>
      </c>
      <c r="BV90" s="4">
        <f t="shared" si="23"/>
        <v>0</v>
      </c>
      <c r="BW90" s="4">
        <f t="shared" si="23"/>
        <v>46058.160540904915</v>
      </c>
      <c r="BX90" s="4">
        <f t="shared" si="23"/>
        <v>0</v>
      </c>
      <c r="BY90" s="4">
        <f t="shared" si="23"/>
        <v>10716.09124492646</v>
      </c>
      <c r="BZ90" s="4">
        <f t="shared" si="23"/>
        <v>0</v>
      </c>
      <c r="CA90" s="4">
        <f t="shared" si="23"/>
        <v>6914.0284558411358</v>
      </c>
      <c r="CB90" s="4">
        <f t="shared" si="23"/>
        <v>0</v>
      </c>
      <c r="CC90" s="4">
        <f t="shared" si="23"/>
        <v>16190.813594512334</v>
      </c>
      <c r="CD90" s="4">
        <f t="shared" si="23"/>
        <v>0</v>
      </c>
      <c r="CE90" s="4">
        <f t="shared" si="23"/>
        <v>27468.7738620891</v>
      </c>
      <c r="CF90" s="4">
        <f t="shared" si="23"/>
        <v>0</v>
      </c>
      <c r="CG90" s="4">
        <f t="shared" si="23"/>
        <v>0</v>
      </c>
      <c r="CH90" s="4">
        <f t="shared" si="23"/>
        <v>0</v>
      </c>
      <c r="CI90" s="4">
        <f t="shared" si="23"/>
        <v>11086.153093301493</v>
      </c>
      <c r="CJ90" s="4">
        <f t="shared" si="23"/>
        <v>0</v>
      </c>
      <c r="CK90" s="4">
        <f t="shared" si="23"/>
        <v>15809.14354997127</v>
      </c>
      <c r="CL90" s="4">
        <f t="shared" si="23"/>
        <v>0</v>
      </c>
      <c r="CM90" s="4">
        <f t="shared" si="23"/>
        <v>0</v>
      </c>
      <c r="CN90" s="4">
        <f t="shared" si="23"/>
        <v>0</v>
      </c>
      <c r="CO90" s="4">
        <f t="shared" si="23"/>
        <v>26441.21654273638</v>
      </c>
      <c r="CP90" s="4">
        <f t="shared" si="23"/>
        <v>0</v>
      </c>
      <c r="CQ90" s="4">
        <f t="shared" si="23"/>
        <v>11056.325267494412</v>
      </c>
      <c r="CR90" s="4"/>
    </row>
    <row r="91" spans="1:99" outlineLevel="2" x14ac:dyDescent="0.25">
      <c r="A91" t="s">
        <v>87</v>
      </c>
      <c r="B91" s="32">
        <f>+'E&amp;P Sensitivity Rankings'!D14</f>
        <v>2.75</v>
      </c>
      <c r="C91" s="32"/>
      <c r="D91" s="9">
        <f>+(((D41*(1-D$85)*D$42*(($B$90-D$88)*(1-D$87)+(D$87*0.5*($B$90-D$88)))+D$41*(1-D$85)*(1-D$42)*($B$91-D$89)*6)-(D$52+D$51)*D41*(1-D$85))/(1.1))</f>
        <v>687.71633376753948</v>
      </c>
      <c r="E91" s="32"/>
      <c r="F91" s="9">
        <f>+(((F41*(1-F$85)*F$42*(($B$90-F$88)*(1-F$87)+(F$87*0.5*($B$90-F$88)))+F$41*(1-F$85)*(1-F$42)*($B$91-F$89)*6)-(F$52+F$51)*F41*(1-F$85))/(1.1))</f>
        <v>1255.2689572713457</v>
      </c>
      <c r="G91" s="4"/>
      <c r="H91">
        <f t="shared" ref="H91:M91" si="25">+(((H41*(1-H$85)*H$42*(($B$90-H$88)*(1-H$87)+(H$87*0.5*($B$90-H$88)))+H$41*(1-H$85)*(1-H$42)*($B$91-H$89)*6)-(H$52+H$51)*H41*(1-H$85))/(1.1))</f>
        <v>1001.7811963501181</v>
      </c>
      <c r="I91">
        <f t="shared" si="25"/>
        <v>0</v>
      </c>
      <c r="J91">
        <f>+(((J41*(1-J$85)*J$42*(($B$90-J$88)*(1-J$87)+(J$87*0.4*($B$90-J$88)))+J$41*(1-J$85)*(1-J$42)*($B$91-J$89)*6)-(J$52+J$51)*J41*(1-J$85))/(1.1))</f>
        <v>454.13322649583267</v>
      </c>
      <c r="K91">
        <f t="shared" si="25"/>
        <v>0</v>
      </c>
      <c r="L91">
        <f t="shared" si="25"/>
        <v>434.93619056785968</v>
      </c>
      <c r="M91">
        <f t="shared" si="25"/>
        <v>0</v>
      </c>
      <c r="N91">
        <f>+(((N36*(1-N$85)*0.36*(($B$90-N$88)*(1-N$87)+(N$87*0.5*($B$90-N$88)))+N$36*(1-N$85)*(1-0.36)*($B$91-N$89)*6)-(N$52+N$51)*N36*(1-N$85))/(1.1))</f>
        <v>2017.2395264116335</v>
      </c>
      <c r="O91">
        <f t="shared" ref="O91:W91" si="26">+(((O41*(1-O$85)*O$42*(($B$90-O$88)*(1-O$87)+(O$87*0.5*($B$90-O$88)))+O$41*(1-O$85)*(1-O$42)*($B$91-O$89)*6)-(O$52+O$51)*O41*(1-O$85))/(1.1))</f>
        <v>0</v>
      </c>
      <c r="P91">
        <f t="shared" si="26"/>
        <v>564.62649353732741</v>
      </c>
      <c r="Q91" s="4">
        <f t="shared" si="26"/>
        <v>0</v>
      </c>
      <c r="R91" s="4">
        <f t="shared" si="26"/>
        <v>2523.0820931995308</v>
      </c>
      <c r="S91" s="4">
        <f t="shared" si="26"/>
        <v>0</v>
      </c>
      <c r="T91">
        <f t="shared" si="26"/>
        <v>546.5883898607691</v>
      </c>
      <c r="U91">
        <f t="shared" si="26"/>
        <v>0</v>
      </c>
      <c r="V91">
        <f t="shared" si="26"/>
        <v>0</v>
      </c>
      <c r="W91">
        <f t="shared" si="26"/>
        <v>0</v>
      </c>
      <c r="X91">
        <f>+((((X41+25)*(1-X$85)*X$42*(($B$90-X$88)*(1-X$87)+(X$87*0.5*($B$90-X$88)))+(X$41+25)*(1-X$85)*(1-X$42)*($B$91-X$89)*6)-(X$52+X$51)*(X41+25)*(1-X$85))/(1.1))</f>
        <v>2146.4645796620262</v>
      </c>
      <c r="Y91">
        <f>+(((Y41*(1-Y$85)*Y$42*(($B$90-Y$88)*(1-Y$87)+(Y$87*0.5*($B$90-Y$88)))+Y$41*(1-Y$85)*(1-Y$42)*($B$91-Y$89)*6)-(Y$52+Y$51)*Y41*(1-Y$85))/(1.1))</f>
        <v>0</v>
      </c>
      <c r="Z91">
        <f>+(((Z41*(1-Z$85)*Z$42*(($B$90-Z$88)*(1-Z$87)+(Z$87*0.5*($B$90-Z$88)))+Z$41*(1-Z$85)*(1-Z$42)*($B$91-Z$89)*6)-(Z$52+Z$51)*Z41*(1-Z$85))/(1.1))</f>
        <v>581.65221347589579</v>
      </c>
      <c r="AA91">
        <f>+(((AA41*(1-AA$85)*AA$42*(($B$90-AA$88)*(1-AA$87)+(AA$87*0.5*($B$90-AA$88)))+AA$41*(1-AA$85)*(1-AA$42)*($B$91-AA$89)*6)-(AA$52+AA$51)*AA41*(1-AA$85))/(1.1))</f>
        <v>0</v>
      </c>
      <c r="AB91">
        <f>+(((AB41*(1-AB$85)*AB$42*(($B$90-AB$88)*(1-AB$87)+(AB$87*0.5*($B$90-AB$88)))+AB$41*(1-AB$85)*(1-AB$42)*($B$91-AB$89)*6)-(AB$52+AB$51)*AB41*(1-AB$85))/(1.1))</f>
        <v>0</v>
      </c>
      <c r="AC91">
        <f>+(((AC41*(1-AC$85)*AC$42*(($B$90-AC$88)*(1-AC$87)+(AC$87*0.5*($B$90-AC$88)))+AC$41*(1-AC$85)*(1-AC$42)*($B$91-AC$89)*6)-(AC$52+AC$51)*AC41*(1-AC$85))/(1.1))</f>
        <v>0</v>
      </c>
      <c r="AD91">
        <f>+(((AD43*(1-AD$85)*AD$42*(($B$90-AD$88)*(1-AD$87)+(AD$87*0.5*($B$90-AD$88)))+AD$43*(1-AD$85)*(1-AD$42)*($B$91-AD$89)*6)-(AD$52+AD$51)*AD43*(1-AD$85))/(1.1))</f>
        <v>711.0027059070552</v>
      </c>
      <c r="AE91">
        <f t="shared" ref="AE91:BB91" si="27">+(((AE41*(1-AE$85)*AE$42*(($B$90-AE$88)*(1-AE$87)+(AE$87*0.5*($B$90-AE$88)))+AE$41*(1-AE$85)*(1-AE$42)*($B$91-AE$89)*6)-(AE$52+AE$51)*AE41*(1-AE$85))/(1.1))</f>
        <v>0</v>
      </c>
      <c r="AF91">
        <f t="shared" si="27"/>
        <v>325.14053910262703</v>
      </c>
      <c r="AG91">
        <f t="shared" si="27"/>
        <v>0</v>
      </c>
      <c r="AH91">
        <f t="shared" si="27"/>
        <v>683.74616133268967</v>
      </c>
      <c r="AI91">
        <f t="shared" si="27"/>
        <v>0</v>
      </c>
      <c r="AJ91" s="4">
        <f>+(((AJ41*(1-AJ$85)*AJ$42*(($B$90-AJ$88)*(1-AJ$87)+(AJ$87*0.4*($B$90-AJ$88)))+AJ$41*(1-AJ$85)*(1-AJ$42)*($B$91-AJ$89)*6)-(AJ$52+AJ$51)*AJ41*(1-AJ$85))/(1.1))</f>
        <v>383.15232466572729</v>
      </c>
      <c r="AK91" s="4">
        <f t="shared" si="27"/>
        <v>0</v>
      </c>
      <c r="AL91" s="4">
        <f t="shared" si="27"/>
        <v>356.5463711372617</v>
      </c>
      <c r="AM91" s="4">
        <f t="shared" si="27"/>
        <v>0</v>
      </c>
      <c r="AN91" s="4">
        <f t="shared" si="27"/>
        <v>0</v>
      </c>
      <c r="AO91" s="4">
        <f t="shared" si="27"/>
        <v>0</v>
      </c>
      <c r="AP91" s="4">
        <f t="shared" si="27"/>
        <v>690.50320231030048</v>
      </c>
      <c r="AQ91" s="4">
        <f t="shared" si="27"/>
        <v>0</v>
      </c>
      <c r="AR91" s="4">
        <f t="shared" si="27"/>
        <v>0</v>
      </c>
      <c r="AS91" s="4">
        <f t="shared" si="27"/>
        <v>0</v>
      </c>
      <c r="AT91" s="4">
        <f t="shared" si="27"/>
        <v>0</v>
      </c>
      <c r="AU91" s="4">
        <f t="shared" si="27"/>
        <v>994.56268960511204</v>
      </c>
      <c r="AV91" s="4">
        <f t="shared" si="27"/>
        <v>0</v>
      </c>
      <c r="AW91" s="4">
        <f t="shared" si="27"/>
        <v>873.4689295341899</v>
      </c>
      <c r="AX91" s="4">
        <f t="shared" si="27"/>
        <v>0</v>
      </c>
      <c r="AY91" s="4">
        <f t="shared" si="27"/>
        <v>873.31189493666147</v>
      </c>
      <c r="AZ91" s="4">
        <f t="shared" si="27"/>
        <v>0</v>
      </c>
      <c r="BA91" s="4">
        <f t="shared" si="27"/>
        <v>697.25897861803492</v>
      </c>
      <c r="BB91" s="4">
        <f t="shared" si="27"/>
        <v>0</v>
      </c>
      <c r="BC91" s="4">
        <f>+(((BC41*(1-BC$85)*BC$42*(($B$90-BC$88)*(1-BC$87)+(BC$87*0.5*($B$90-BC$88)))+BC$41*(1-BC$85)*(1-BC$42)*($B$91-BC$89)*6)-(BC$52+BC$51)*BC41*(1-BC$85))/(1.1))</f>
        <v>822.44307063049382</v>
      </c>
      <c r="BD91" s="4">
        <f>+(((BD41*(1-BD$85)*BD$42*(($B$90-BD$88)*(1-BD$87)+(BD$87*0.5*($B$90-BD$88)))+BD$41*(1-BD$85)*(1-BD$42)*($B$91-BD$89)*6)-(BD$52+BD$51)*BD41*(1-BD$85))/(1.1))</f>
        <v>0</v>
      </c>
      <c r="BE91" s="4">
        <f>+(((BE41*(1-BE$85)*BE$42*(($B$90-BE$88)*(1-BE$87)+(BE$87*0.5*($B$90-BE$88)))+BE$41*(1-BE$85)*(1-BE$42)*($B$91-BE$89)*6)-(BE$52+BE$51)*BE41*(1-BE$85))/(1.1))</f>
        <v>668.69534507893059</v>
      </c>
      <c r="BF91" s="4">
        <f>+(((BF41*(1-BF$85)*BF$42*(($B$90-BF$88)*(1-BF$87)+(BF$87*0.5*($B$90-BF$88)))+BF$41*(1-BF$85)*(1-BF$42)*($B$91-BF$89)*6)-(BF$52+BF$51)*BF41*(1-BF$85))/(1.1))</f>
        <v>0</v>
      </c>
      <c r="BG91" s="4">
        <f t="shared" ref="BG91" si="28">+(((BG41*(1-BG$85)*BG$42*(($B$90-BG$88)*(1-BG$87)+(BG$87*0.5*($B$90-BG$88)))+BG$41*(1-BG$85)*(1-BG$42)*($B$91-BG$89)*6)-(BG$52+BG$51)*BG41*(1-BG$85))/(1.1))</f>
        <v>1023.6446590269592</v>
      </c>
      <c r="BH91" s="4">
        <f>+(((BH41*(1-BH$85)*BH$42*(($B$90-BH$88)*(1-BH$87)+(BH$87*0.5*($B$90-BH$88)))+BH$41*(1-BH$85)*(1-BH$42)*($B$91-BH$89)*6)-(BH$52+BH$51)*BH41*(1-BH$85))/(1.1))</f>
        <v>0</v>
      </c>
      <c r="BI91" s="4">
        <f>+(((BI41*(1-BI$85)*BI$42*(($B$90-BI$88)*(1-BI$87)+(BI$87*0.5*($B$90-BI$88)))+BI$41*(1-BI$85)*(1-BI$42)*($B$91-BI$89)*6)-(BI$52+BI$51)*BI41*(1-BI$85))/(1.1))</f>
        <v>991.76260316151308</v>
      </c>
      <c r="BJ91" s="4"/>
      <c r="BK91" s="4"/>
      <c r="BL91" s="4"/>
      <c r="BM91" s="4">
        <f>+(((BM43*(1-BM$85)*BM$42*(($B$90-BM$88)*(1-BM$87)+(BM$87*0.5*($B$90-BM$88)))+BM$43*(1-BM$85)*(1-BM$42)*($B$91-BM$89)*6)-(BM$52+BM$51)*BM43*(1-BM$85))/(1.1))</f>
        <v>5640.3636363636351</v>
      </c>
      <c r="BN91" s="4">
        <f t="shared" ref="BN91:CP91" si="29">+(((BN41*(1-BN$85)*BN$42*(($B$90-BN$88)*(1-BN$87)+(BN$87*0.5*($B$90-BN$88)))+BN$41*(1-BN$85)*(1-BN$42)*($B$91-BN$89)*6)-(BN$52+BN$51)*BN41*(1-BN$85))/(1.1))</f>
        <v>0</v>
      </c>
      <c r="BO91" s="4">
        <f>+(((BO43*(1-BO$85)*BO$42*(($B$90-BO$88)*(1-BO$87)+(BO$87*0.5*($B$90-BO$88)))+BO$43*(1-BO$85)*(1-BO$42)*($B$91-BO$89)*6)-(BO$52+BO$51)*BO43*(1-BO$85))/(1.1))</f>
        <v>4105.5272727272722</v>
      </c>
      <c r="BP91" s="4">
        <f t="shared" ref="BP91" si="30">+(((BP41*(1-BP$85)*BP$42*(($B$90-BP$88)*(1-BP$87)+(BP$87*0.5*($B$90-BP$88)))+BP$41*(1-BP$85)*(1-BP$42)*($B$91-BP$89)*6)-(BP$52+BP$51)*BP41*(1-BP$85))/(1.1))</f>
        <v>0</v>
      </c>
      <c r="BQ91" s="4">
        <f>+(((BQ43*(1-BQ$85)*BQ$42*(($B$90-BQ$88)*(1-BQ$87)+(BQ$87*0.5*($B$90-BQ$88)))+BQ$43*(1-BQ$85)*(1-BQ$42)*($B$91-BQ$89)*6)-(BQ$52+BQ$51)*BQ43*(1-BQ$85))/(1.1))</f>
        <v>1810.9886539806653</v>
      </c>
      <c r="BR91" s="4">
        <f t="shared" si="29"/>
        <v>0</v>
      </c>
      <c r="BS91" s="4">
        <f t="shared" si="29"/>
        <v>1627.7327450066268</v>
      </c>
      <c r="BT91" s="4">
        <f t="shared" si="29"/>
        <v>0</v>
      </c>
      <c r="BU91" s="4">
        <f t="shared" si="29"/>
        <v>2680.1725931995306</v>
      </c>
      <c r="BV91" s="4">
        <f t="shared" si="29"/>
        <v>0</v>
      </c>
      <c r="BW91" s="4">
        <f>+(((BW43*(1-BW$85)*BW$42*(($B$90-BW$88)*(1-BW$87)+(BW$87*0.5*($B$90-BW$88)))+BW$43*(1-BW$85)*(1-BW$42)*($B$91-BW$89)*6)-(BW$52+BW$51)*BW43*(1-BW$85))/(1.1))</f>
        <v>10546.396363636362</v>
      </c>
      <c r="BX91" s="4">
        <f t="shared" si="29"/>
        <v>0</v>
      </c>
      <c r="BY91" s="4">
        <f t="shared" si="29"/>
        <v>2453.7702854528161</v>
      </c>
      <c r="BZ91" s="4">
        <f t="shared" si="29"/>
        <v>0</v>
      </c>
      <c r="CA91" s="4">
        <f>+(((CA43*(1-CA$85)*CA$42*(($B$90-CA$88)*(1-CA$87)+(CA$87*0.5*($B$90-CA$88)))+CA$43*(1-CA$85)*(1-CA$42)*($B$91-CA$89)*6)-(CA$52+CA$51)*CA43*(1-CA$85))/(1.1))</f>
        <v>1583.1740501230329</v>
      </c>
      <c r="CB91" s="4">
        <f t="shared" si="29"/>
        <v>0</v>
      </c>
      <c r="CC91" s="4">
        <f t="shared" si="29"/>
        <v>3707.3720620220888</v>
      </c>
      <c r="CD91" s="4">
        <f t="shared" si="29"/>
        <v>0</v>
      </c>
      <c r="CE91" s="4">
        <f t="shared" si="29"/>
        <v>6289.7991011908171</v>
      </c>
      <c r="CF91" s="4">
        <f t="shared" si="29"/>
        <v>0</v>
      </c>
      <c r="CG91" s="4">
        <f t="shared" si="29"/>
        <v>0</v>
      </c>
      <c r="CH91" s="4">
        <f t="shared" si="29"/>
        <v>0</v>
      </c>
      <c r="CI91" s="4">
        <f t="shared" si="29"/>
        <v>2538.5070375546907</v>
      </c>
      <c r="CJ91" s="4">
        <f t="shared" si="29"/>
        <v>0</v>
      </c>
      <c r="CK91" s="4">
        <f>+(((CK43*(1-CK$85)*CK$42*(($B$90-CK$88)*(1-CK$87)+(CK$87*0.5*($B$90-CK$88)))+CK$43*(1-CK$85)*(1-CK$42)*($B$91-CK$89)*6)-(CK$52+CK$51)*CK43*(1-CK$85))/(1.1))</f>
        <v>3619.9772654738872</v>
      </c>
      <c r="CL91" s="4">
        <f t="shared" si="29"/>
        <v>0</v>
      </c>
      <c r="CM91" s="4">
        <f t="shared" si="29"/>
        <v>0</v>
      </c>
      <c r="CN91" s="4">
        <f t="shared" si="29"/>
        <v>0</v>
      </c>
      <c r="CO91" s="4">
        <f t="shared" si="29"/>
        <v>6054.509053803341</v>
      </c>
      <c r="CP91" s="4">
        <f t="shared" si="29"/>
        <v>0</v>
      </c>
      <c r="CQ91" s="4">
        <f>+(((CQ43*(1-CQ$85)*CQ$42*(($B$90-CQ$88)*(1-CQ$87)+(CQ$87*0.5*($B$90-CQ$88)))+CQ$43*(1-CQ$85)*(1-CQ$42)*($B$91-CQ$89)*6)-(CQ$52+CQ$51)*CQ43*(1-CQ$85))/(1.1))</f>
        <v>2531.6770628024938</v>
      </c>
    </row>
    <row r="92" spans="1:99" outlineLevel="2" x14ac:dyDescent="0.25">
      <c r="B92">
        <v>1</v>
      </c>
      <c r="D92" s="4">
        <f t="shared" ref="D92:D112" si="31">+(((D$41*((1-D$85)*(1-D$86)^$B92)*D$42*((1-D$87)*($B$90-D$88)+(D$87*0.5*($B$90-D$88)))+D$41*6*((1-D$85)*(1-D$86)^$B92)*(1-D$42)*($B$91-D$89))-(D$52+D$51)*D$41*(1-D$85)*(1-D$86)^$B92)/(1.1^$B93))</f>
        <v>531.41716700218956</v>
      </c>
      <c r="F92" s="4">
        <f t="shared" ref="F92:F112" si="32">+(((F$41*((1-F$85)*(1-F$86)^$B92)*F$42*((1-F$87)*($B$90-F$88)+(F$87*0.5*($B$90-F$88)))+F$41*6*((1-F$85)*(1-F$86)^$B92)*(1-F$42)*($B$91-F$89))-(F$52+F$51)*F$41*(1-F$85)*(1-F$86)^$B92)/(1.1^$B93))</f>
        <v>969.98055789149407</v>
      </c>
      <c r="G92" s="4"/>
      <c r="H92">
        <f t="shared" ref="H92:H112" si="33">+(((H$41*((1-H$85)*(1-H$86)^$B92)*H$42*((1-H$87)*($B$90-H$88)+(H$87*0.5*($B$90-H$88)))+H$41*6*((1-H$85)*(1-H$86)^$B92)*(1-H$42)*($B$91-H$89))-(H$52+H$51)*H$41*(1-H$85)*(1-H$86)^$B92)/(1.1^$B93))</f>
        <v>801.42495708009471</v>
      </c>
      <c r="I92">
        <f t="shared" ref="I92:I112" si="34">+(((I$41*((1-I$85)*(1-I$86)^$B92)*I$42*((1-I$87)*($B$90-I$88)+(I$87*0.5*($B$90-I$88)))+I$41*6*((1-I$85)*(1-I$86)^$B92)*(1-I$42)*($B$91-I$89))-(I$52+I$51)*I$41*(1-I$85)*(1-I$86)^$B92)/(1.1^$B93))</f>
        <v>0</v>
      </c>
      <c r="J92">
        <f>+(((J$41*((1-J$85)*(1-J$86)^$B92)*J$42*((1-J$87)*($B$90-J$88)+(J$87*0.4*($B$90-J$88)))+J$41*6*((1-J$85)*(1-J$86)^$B92)*(1-J$42)*($B$91-J$89))-(J$52+J$51)*J$41*(1-J$85)*(1-J$86)^$B92)/(1.1^$B93))</f>
        <v>330.27871017878732</v>
      </c>
      <c r="K92">
        <f t="shared" ref="K92:K112" si="35">+(((K$41*((1-K$85)*(1-K$86)^$B92)*K$42*((1-K$87)*($B$90-K$88)+(K$87*0.5*($B$90-K$88)))+K$41*6*((1-K$85)*(1-K$86)^$B92)*(1-K$42)*($B$91-K$89))-(K$52+K$51)*K$41*(1-K$85)*(1-K$86)^$B92)/(1.1^$B93))</f>
        <v>0</v>
      </c>
      <c r="L92">
        <f t="shared" ref="L92:L112" si="36">+(((L$41*((1-L$85)*(1-L$86)^$B92)*L$42*((1-L$87)*($B$90-L$88)+(L$87*0.5*($B$90-L$88)))+L$41*6*((1-L$85)*(1-L$86)^$B92)*(1-L$42)*($B$91-L$89))-(L$52+L$51)*L$41*(1-L$85)*(1-L$86)^$B92)/(1.1^$B93))</f>
        <v>316.31722950389798</v>
      </c>
      <c r="M92">
        <f t="shared" ref="M92:M112" si="37">+(((M$41*((1-M$85)*(1-M$86)^$B92)*M$42*((1-M$87)*($B$90-M$88)+(M$87*0.5*($B$90-M$88)))+M$41*6*((1-M$85)*(1-M$86)^$B92)*(1-M$42)*($B$91-M$89))-(M$52+M$51)*M$41*(1-M$85)*(1-M$86)^$B92)/(1.1^$B93))</f>
        <v>0</v>
      </c>
      <c r="N92">
        <f>+(((N$36*((1-N$85)*(1-N$86)^$B92)*0.36*((1-N$87)*($B$90-N$88)+(N$87*0.5*($B$90-N$88)))+N$36*6*((1-N$85)*(1-N$86)^$B92)*(1-0.36)*($B$91-N$89))-(N$52+N$51)*N$36*(1-N$85)*(1-N$86)^$B92)/(1.1^$B93))</f>
        <v>1558.7759976817172</v>
      </c>
      <c r="O92">
        <f t="shared" ref="O92:O112" si="38">+(((O$41*((1-O$85)*(1-O$86)^$B92)*O$42*((1-O$87)*($B$90-O$88)+(O$87*0.5*($B$90-O$88)))+O$41*6*((1-O$85)*(1-O$86)^$B92)*(1-O$42)*($B$91-O$89))-(O$52+O$51)*O$41*(1-O$85)*(1-O$86)^$B92)/(1.1^$B93))</f>
        <v>0</v>
      </c>
      <c r="P92">
        <f t="shared" ref="P92:P112" si="39">+(((P$41*((1-P$85)*(1-P$86)^$B92)*P$42*((1-P$87)*($B$90-P$88)+(P$87*0.5*($B$90-P$88)))+P$41*6*((1-P$85)*(1-P$86)^$B92)*(1-P$42)*($B$91-P$89))-(P$52+P$51)*P$41*(1-P$85)*(1-P$86)^$B92)/(1.1^$B93))</f>
        <v>436.30229046066211</v>
      </c>
      <c r="Q92" s="4">
        <f t="shared" ref="Q92:Q112" si="40">+(((Q$41*((1-Q$85)*(1-Q$86)^$B92)*Q$42*((1-Q$87)*($B$90-Q$88)+(Q$87*0.5*($B$90-Q$88)))+Q$41*6*((1-Q$85)*(1-Q$86)^$B92)*(1-Q$42)*($B$91-Q$89))-(Q$52+Q$51)*Q$41*(1-Q$85)*(1-Q$86)^$B92)/(1.1^$B93))</f>
        <v>0</v>
      </c>
      <c r="R92" s="4">
        <f t="shared" ref="R92:R112" si="41">+(((R$41*((1-R$85)*(1-R$86)^$B92)*R$42*((1-R$87)*($B$90-R$88)+(R$87*0.5*($B$90-R$88)))+R$41*6*((1-R$85)*(1-R$86)^$B92)*(1-R$42)*($B$91-R$89))-(R$52+R$51)*R$41*(1-R$85)*(1-R$86)^$B92)/(1.1^$B93))</f>
        <v>1949.6543447450917</v>
      </c>
      <c r="S92" s="4">
        <f t="shared" ref="S92:S112" si="42">+(((S$41*((1-S$85)*(1-S$86)^$B92)*S$42*((1-S$87)*($B$90-S$88)+(S$87*0.5*($B$90-S$88)))+S$41*6*((1-S$85)*(1-S$86)^$B92)*(1-S$42)*($B$91-S$89))-(S$52+S$51)*S$41*(1-S$85)*(1-S$86)^$B92)/(1.1^$B93))</f>
        <v>0</v>
      </c>
      <c r="T92">
        <f t="shared" ref="T92:T112" si="43">+(((T$41*((1-T$85)*(1-T$86)^$B92)*T$42*((1-T$87)*($B$90-T$88)+(T$87*0.5*($B$90-T$88)))+T$41*6*((1-T$85)*(1-T$86)^$B92)*(1-T$42)*($B$91-T$89))-(T$52+T$51)*T$41*(1-T$85)*(1-T$86)^$B92)/(1.1^$B93))</f>
        <v>437.2707118886151</v>
      </c>
      <c r="U92">
        <f t="shared" ref="U92:U112" si="44">+(((U$41*((1-U$85)*(1-U$86)^$B92)*U$42*((1-U$87)*($B$90-U$88)+(U$87*0.5*($B$90-U$88)))+U$41*6*((1-U$85)*(1-U$86)^$B92)*(1-U$42)*($B$91-U$89))-(U$52+U$51)*U$41*(1-U$85)*(1-U$86)^$B92)/(1.1^$B93))</f>
        <v>0</v>
      </c>
      <c r="V92">
        <f t="shared" ref="V92:V112" si="45">+(((V$41*((1-V$85)*(1-V$86)^$B92)*V$42*((1-V$87)*($B$90-V$88)+(V$87*0.5*($B$90-V$88)))+V$41*6*((1-V$85)*(1-V$86)^$B92)*(1-V$42)*($B$91-V$89))-(V$52+V$51)*V$41*(1-V$85)*(1-V$86)^$B92)/(1.1^$B93))</f>
        <v>0</v>
      </c>
      <c r="W92">
        <f t="shared" ref="W92:W112" si="46">+(((W$41*((1-W$85)*(1-W$86)^$B92)*W$42*((1-W$87)*($B$90-W$88)+(W$87*0.5*($B$90-W$88)))+W$41*6*((1-W$85)*(1-W$86)^$B92)*(1-W$42)*($B$91-W$89))-(W$52+W$51)*W$41*(1-W$85)*(1-W$86)^$B92)/(1.1^$B93))</f>
        <v>0</v>
      </c>
      <c r="X92">
        <f t="shared" ref="X92:X112" si="47">+((((X$41+25)*((1-X$85)*(1-X$86)^$B92)*X$42*((1-X$87)*($B$90-X$88)+(X$87*0.5*($B$90-X$88)))+(X$41+25)*6*((1-X$85)*(1-X$86)^$B92)*(1-X$42)*($B$91-X$89))-(X$52+X$51)*(X$41+25)*(1-X$85)*(1-X$86)^$B92)/(1.1^$B93))</f>
        <v>1561.0651488451099</v>
      </c>
      <c r="Y92">
        <f t="shared" ref="Y92:Y112" si="48">+(((Y$41*((1-Y$85)*(1-Y$86)^$B92)*Y$42*((1-Y$87)*($B$90-Y$88)+(Y$87*0.5*($B$90-Y$88)))+Y$41*6*((1-Y$85)*(1-Y$86)^$B92)*(1-Y$42)*($B$91-Y$89))-(Y$52+Y$51)*Y$41*(1-Y$85)*(1-Y$86)^$B92)/(1.1^$B93))</f>
        <v>0</v>
      </c>
      <c r="Z92">
        <f t="shared" ref="Z92:Z112" si="49">+(((Z$41*((1-Z$85)*(1-Z$86)^$B92)*Z$42*((1-Z$87)*($B$90-Z$88)+(Z$87*0.5*($B$90-Z$88)))+Z$41*6*((1-Z$85)*(1-Z$86)^$B92)*(1-Z$42)*($B$91-Z$89))-(Z$52+Z$51)*Z$41*(1-Z$85)*(1-Z$86)^$B92)/(1.1^$B93))</f>
        <v>449.45852859501019</v>
      </c>
      <c r="AA92">
        <f t="shared" ref="AA92:AA112" si="50">+(((AA$41*((1-AA$85)*(1-AA$86)^$B92)*AA$42*((1-AA$87)*($B$90-AA$88)+(AA$87*0.5*($B$90-AA$88)))+AA$41*6*((1-AA$85)*(1-AA$86)^$B92)*(1-AA$42)*($B$91-AA$89))-(AA$52+AA$51)*AA$41*(1-AA$85)*(1-AA$86)^$B92)/(1.1^$B93))</f>
        <v>0</v>
      </c>
      <c r="AB92">
        <f t="shared" ref="AB92:AB112" si="51">+(((AB$41*((1-AB$85)*(1-AB$86)^$B92)*AB$42*((1-AB$87)*($B$90-AB$88)+(AB$87*0.5*($B$90-AB$88)))+AB$41*6*((1-AB$85)*(1-AB$86)^$B92)*(1-AB$42)*($B$91-AB$89))-(AB$52+AB$51)*AB$41*(1-AB$85)*(1-AB$86)^$B92)/(1.1^$B93))</f>
        <v>0</v>
      </c>
      <c r="AC92">
        <f t="shared" ref="AC92:AC112" si="52">+(((AC$41*((1-AC$85)*(1-AC$86)^$B92)*AC$42*((1-AC$87)*($B$90-AC$88)+(AC$87*0.5*($B$90-AC$88)))+AC$41*6*((1-AC$85)*(1-AC$86)^$B92)*(1-AC$42)*($B$91-AC$89))-(AC$52+AC$51)*AC$41*(1-AC$85)*(1-AC$86)^$B92)/(1.1^$B93))</f>
        <v>0</v>
      </c>
      <c r="AD92">
        <f t="shared" ref="AD92:AD112" si="53">+(((AD$43*((1-AD$85)*(1-AD$86)^$B92)*AD$42*((1-AD$87)*($B$90-AD$88)+(AD$87*0.5*($B$90-AD$88)))+AD$43*6*((1-AD$85)*(1-AD$86)^$B92)*(1-AD$42)*($B$91-AD$89))-(AD$52+AD$51)*AD$43*(1-AD$85)*(1-AD$86)^$B92)/(1.1^$B93))</f>
        <v>549.41118183726985</v>
      </c>
      <c r="AE92">
        <f t="shared" ref="AE92:BI92" si="54">+(((AE$41*((1-AE$85)*(1-AE$86)^$B92)*AE$42*((1-AE$87)*($B$90-AE$88)+(AE$87*0.5*($B$90-AE$88)))+AE$41*6*((1-AE$85)*(1-AE$86)^$B92)*(1-AE$42)*($B$91-AE$89))-(AE$52+AE$51)*AE$41*(1-AE$85)*(1-AE$86)^$B92)/(1.1^$B93))</f>
        <v>0</v>
      </c>
      <c r="AF92">
        <f t="shared" si="54"/>
        <v>236.46584662009232</v>
      </c>
      <c r="AG92">
        <f t="shared" si="54"/>
        <v>0</v>
      </c>
      <c r="AH92">
        <f t="shared" si="54"/>
        <v>528.34930648435102</v>
      </c>
      <c r="AI92">
        <f t="shared" si="54"/>
        <v>0</v>
      </c>
      <c r="AJ92" s="4">
        <f>+(((AJ$41*((1-AJ$85)*(1-AJ$86)^$B92)*AJ$42*((1-AJ$87)*($B$90-AJ$88)+(AJ$87*0.4*($B$90-AJ$88)))+AJ$41*6*((1-AJ$85)*(1-AJ$86)^$B92)*(1-AJ$42)*($B$91-AJ$89))-(AJ$52+AJ$51)*AJ$41*(1-AJ$85)*(1-AJ$86)^$B92)/(1.1^$B93))</f>
        <v>278.65623612052883</v>
      </c>
      <c r="AK92" s="4">
        <f t="shared" si="54"/>
        <v>0</v>
      </c>
      <c r="AL92" s="4">
        <f t="shared" si="54"/>
        <v>259.30645173619035</v>
      </c>
      <c r="AM92" s="4">
        <f t="shared" si="54"/>
        <v>0</v>
      </c>
      <c r="AN92" s="4">
        <f t="shared" si="54"/>
        <v>0</v>
      </c>
      <c r="AO92" s="4">
        <f t="shared" si="54"/>
        <v>0</v>
      </c>
      <c r="AP92" s="4">
        <f t="shared" si="54"/>
        <v>533.5706563306868</v>
      </c>
      <c r="AQ92" s="4">
        <f t="shared" si="54"/>
        <v>0</v>
      </c>
      <c r="AR92" s="4">
        <f t="shared" si="54"/>
        <v>0</v>
      </c>
      <c r="AS92" s="4">
        <f t="shared" si="54"/>
        <v>0</v>
      </c>
      <c r="AT92" s="4">
        <f t="shared" si="54"/>
        <v>0</v>
      </c>
      <c r="AU92" s="4">
        <f t="shared" si="54"/>
        <v>723.31831971280872</v>
      </c>
      <c r="AV92" s="4">
        <f t="shared" si="54"/>
        <v>0</v>
      </c>
      <c r="AW92" s="4">
        <f t="shared" si="54"/>
        <v>635.25013057031993</v>
      </c>
      <c r="AX92" s="4">
        <f t="shared" si="54"/>
        <v>0</v>
      </c>
      <c r="AY92" s="4">
        <f t="shared" si="54"/>
        <v>674.83191881469304</v>
      </c>
      <c r="AZ92" s="4">
        <f t="shared" si="54"/>
        <v>0</v>
      </c>
      <c r="BA92" s="4">
        <f t="shared" si="54"/>
        <v>507.09743899493429</v>
      </c>
      <c r="BB92" s="4">
        <f t="shared" si="54"/>
        <v>0</v>
      </c>
      <c r="BC92" s="4">
        <f t="shared" si="54"/>
        <v>635.52419094174513</v>
      </c>
      <c r="BD92" s="4">
        <f t="shared" si="54"/>
        <v>0</v>
      </c>
      <c r="BE92" s="4">
        <f t="shared" si="54"/>
        <v>516.71913028826441</v>
      </c>
      <c r="BF92" s="4">
        <f t="shared" si="54"/>
        <v>0</v>
      </c>
      <c r="BG92" s="4">
        <f t="shared" si="54"/>
        <v>790.99814561174105</v>
      </c>
      <c r="BH92" s="4">
        <f t="shared" si="54"/>
        <v>0</v>
      </c>
      <c r="BI92" s="4">
        <f t="shared" si="54"/>
        <v>721.28189320837305</v>
      </c>
      <c r="BJ92" s="4"/>
      <c r="BK92" s="4"/>
      <c r="BL92" s="4"/>
      <c r="BM92" s="4">
        <f t="shared" ref="BM92:BM112" si="55">+(((BM$43*((1-BM$85)*(1-BM$86)^$B92)*BM$42*((1-BM$87)*($B$90-BM$88)+(BM$87*0.5*($B$90-BM$88)))+BM$43*6*((1-BM$85)*(1-BM$86)^$B92)*(1-BM$42)*($B$91-BM$89))-(BM$52+BM$51)*BM$43*(1-BM$85)*(1-BM$86)^$B92)/(1.1^$B93))</f>
        <v>4358.4628099173551</v>
      </c>
      <c r="BN92" s="4">
        <f t="shared" ref="BN92:BN112" si="56">+(((BN$41*((1-BN$85)*(1-BN$86)^$B92)*BN$42*((1-BN$87)*($B$90-BN$88)+(BN$87*0.5*($B$90-BN$88)))+BN$41*6*((1-BN$85)*(1-BN$86)^$B92)*(1-BN$42)*($B$91-BN$89))-(BN$52+BN$51)*BN$41*(1-BN$85)*(1-BN$86)^$B92)/(1.1^$B93))</f>
        <v>0</v>
      </c>
      <c r="BO92" s="4">
        <f t="shared" ref="BO92:BO112" si="57">+(((BO$43*((1-BO$85)*(1-BO$86)^$B92)*BO$42*((1-BO$87)*($B$90-BO$88)+(BO$87*0.5*($B$90-BO$88)))+BO$43*6*((1-BO$85)*(1-BO$86)^$B92)*(1-BO$42)*($B$91-BO$89))-(BO$52+BO$51)*BO$43*(1-BO$85)*(1-BO$86)^$B92)/(1.1^$B93))</f>
        <v>3172.4528925619838</v>
      </c>
      <c r="BP92" s="4">
        <f t="shared" ref="BP92:BP112" si="58">+(((BP$41*((1-BP$85)*(1-BP$86)^$B92)*BP$42*((1-BP$87)*($B$90-BP$88)+(BP$87*0.5*($B$90-BP$88)))+BP$41*6*((1-BP$85)*(1-BP$86)^$B92)*(1-BP$42)*($B$91-BP$89))-(BP$52+BP$51)*BP$41*(1-BP$85)*(1-BP$86)^$B92)/(1.1^$B93))</f>
        <v>0</v>
      </c>
      <c r="BQ92" s="4">
        <f t="shared" ref="BQ92:BQ112" si="59">+(((BQ$43*((1-BQ$85)*(1-BQ$86)^$B92)*BQ$42*((1-BQ$87)*($B$90-BQ$88)+(BQ$87*0.5*($B$90-BQ$88)))+BQ$43*6*((1-BQ$85)*(1-BQ$86)^$B92)*(1-BQ$42)*($B$91-BQ$89))-(BQ$52+BQ$51)*BQ$43*(1-BQ$85)*(1-BQ$86)^$B92)/(1.1^$B93))</f>
        <v>1481.7179896205437</v>
      </c>
      <c r="BR92" s="4">
        <f t="shared" ref="BR92:BR112" si="60">+(((BR$41*((1-BR$85)*(1-BR$86)^$B92)*BR$42*((1-BR$87)*($B$90-BR$88)+(BR$87*0.5*($B$90-BR$88)))+BR$41*6*((1-BR$85)*(1-BR$86)^$B92)*(1-BR$42)*($B$91-BR$89))-(BR$52+BR$51)*BR$41*(1-BR$85)*(1-BR$86)^$B92)/(1.1^$B93))</f>
        <v>0</v>
      </c>
      <c r="BS92" s="4">
        <f t="shared" ref="BS92:BS112" si="61">+(((BS$41*((1-BS$85)*(1-BS$86)^$B92)*BS$42*((1-BS$87)*($B$90-BS$88)+(BS$87*0.5*($B$90-BS$88)))+BS$41*6*((1-BS$85)*(1-BS$86)^$B92)*(1-BS$42)*($B$91-BS$89))-(BS$52+BS$51)*BS$41*(1-BS$85)*(1-BS$86)^$B92)/(1.1^$B93))</f>
        <v>1183.8056327320921</v>
      </c>
      <c r="BT92" s="4">
        <f t="shared" ref="BT92:BT112" si="62">+(((BT$41*((1-BT$85)*(1-BT$86)^$B92)*BT$42*((1-BT$87)*($B$90-BT$88)+(BT$87*0.5*($B$90-BT$88)))+BT$41*6*((1-BT$85)*(1-BT$86)^$B92)*(1-BT$42)*($B$91-BT$89))-(BT$52+BT$51)*BT$41*(1-BT$85)*(1-BT$86)^$B92)/(1.1^$B93))</f>
        <v>0</v>
      </c>
      <c r="BU92" s="4">
        <f t="shared" ref="BU92:BU112" si="63">+(((BU$41*((1-BU$85)*(1-BU$86)^$B92)*BU$42*((1-BU$87)*($B$90-BU$88)+(BU$87*0.5*($B$90-BU$88)))+BU$41*6*((1-BU$85)*(1-BU$86)^$B92)*(1-BU$42)*($B$91-BU$89))-(BU$52+BU$51)*BU$41*(1-BU$85)*(1-BU$86)^$B92)/(1.1^$B93))</f>
        <v>2071.0424583814552</v>
      </c>
      <c r="BV92" s="4">
        <f t="shared" ref="BV92:BV112" si="64">+(((BV$41*((1-BV$85)*(1-BV$86)^$B92)*BV$42*((1-BV$87)*($B$90-BV$88)+(BV$87*0.5*($B$90-BV$88)))+BV$41*6*((1-BV$85)*(1-BV$86)^$B92)*(1-BV$42)*($B$91-BV$89))-(BV$52+BV$51)*BV$41*(1-BV$85)*(1-BV$86)^$B92)/(1.1^$B93))</f>
        <v>0</v>
      </c>
      <c r="BW92" s="4">
        <f t="shared" ref="BW92:BW112" si="65">+(((BW$43*((1-BW$85)*(1-BW$86)^$B92)*BW$42*((1-BW$87)*($B$90-BW$88)+(BW$87*0.5*($B$90-BW$88)))+BW$43*6*((1-BW$85)*(1-BW$86)^$B92)*(1-BW$42)*($B$91-BW$89))-(BW$52+BW$51)*BW$43*(1-BW$85)*(1-BW$86)^$B92)/(1.1^$B93))</f>
        <v>8149.4880991735527</v>
      </c>
      <c r="BX92" s="4">
        <f t="shared" ref="BX92:BX112" si="66">+(((BX$41*((1-BX$85)*(1-BX$86)^$B92)*BX$42*((1-BX$87)*($B$90-BX$88)+(BX$87*0.5*($B$90-BX$88)))+BX$41*6*((1-BX$85)*(1-BX$86)^$B92)*(1-BX$42)*($B$91-BX$89))-(BX$52+BX$51)*BX$41*(1-BX$85)*(1-BX$86)^$B92)/(1.1^$B93))</f>
        <v>0</v>
      </c>
      <c r="BY92" s="4">
        <f t="shared" ref="BY92:BY112" si="67">+(((BY$41*((1-BY$85)*(1-BY$86)^$B92)*BY$42*((1-BY$87)*($B$90-BY$88)+(BY$87*0.5*($B$90-BY$88)))+BY$41*6*((1-BY$85)*(1-BY$86)^$B92)*(1-BY$42)*($B$91-BY$89))-(BY$52+BY$51)*BY$41*(1-BY$85)*(1-BY$86)^$B92)/(1.1^$B93))</f>
        <v>1896.0952205771757</v>
      </c>
      <c r="BZ92" s="4">
        <f t="shared" ref="BZ92:BZ112" si="68">+(((BZ$41*((1-BZ$85)*(1-BZ$86)^$B92)*BZ$42*((1-BZ$87)*($B$90-BZ$88)+(BZ$87*0.5*($B$90-BZ$88)))+BZ$41*6*((1-BZ$85)*(1-BZ$86)^$B92)*(1-BZ$42)*($B$91-BZ$89))-(BZ$52+BZ$51)*BZ$41*(1-BZ$85)*(1-BZ$86)^$B92)/(1.1^$B93))</f>
        <v>0</v>
      </c>
      <c r="CA92" s="4">
        <f t="shared" ref="CA92:CA112" si="69">+(((CA$43*((1-CA$85)*(1-CA$86)^$B92)*CA$42*((1-CA$87)*($B$90-CA$88)+(CA$87*0.5*($B$90-CA$88)))+CA$43*6*((1-CA$85)*(1-CA$86)^$B92)*(1-CA$42)*($B$91-CA$89))-(CA$52+CA$51)*CA$43*(1-CA$85)*(1-CA$86)^$B92)/(1.1^$B93))</f>
        <v>1223.3617660041616</v>
      </c>
      <c r="CB92" s="4">
        <f t="shared" ref="CB92:CB112" si="70">+(((CB$41*((1-CB$85)*(1-CB$86)^$B92)*CB$42*((1-CB$87)*($B$90-CB$88)+(CB$87*0.5*($B$90-CB$88)))+CB$41*6*((1-CB$85)*(1-CB$86)^$B92)*(1-CB$42)*($B$91-CB$89))-(CB$52+CB$51)*CB$41*(1-CB$85)*(1-CB$86)^$B92)/(1.1^$B93))</f>
        <v>0</v>
      </c>
      <c r="CC92" s="4">
        <f t="shared" ref="CC92:CC112" si="71">+(((CC$41*((1-CC$85)*(1-CC$86)^$B92)*CC$42*((1-CC$87)*($B$90-CC$88)+(CC$87*0.5*($B$90-CC$88)))+CC$41*6*((1-CC$85)*(1-CC$86)^$B92)*(1-CC$42)*($B$91-CC$89))-(CC$52+CC$51)*CC$41*(1-CC$85)*(1-CC$86)^$B92)/(1.1^$B93))</f>
        <v>2864.7875024716145</v>
      </c>
      <c r="CD92" s="4">
        <f t="shared" ref="CD92:CD112" si="72">+(((CD$41*((1-CD$85)*(1-CD$86)^$B92)*CD$42*((1-CD$87)*($B$90-CD$88)+(CD$87*0.5*($B$90-CD$88)))+CD$41*6*((1-CD$85)*(1-CD$86)^$B92)*(1-CD$42)*($B$91-CD$89))-(CD$52+CD$51)*CD$41*(1-CD$85)*(1-CD$86)^$B92)/(1.1^$B93))</f>
        <v>0</v>
      </c>
      <c r="CE92" s="4">
        <f t="shared" ref="CE92:CE112" si="73">+(((CE$41*((1-CE$85)*(1-CE$86)^$B92)*CE$42*((1-CE$87)*($B$90-CE$88)+(CE$87*0.5*($B$90-CE$88)))+CE$41*6*((1-CE$85)*(1-CE$86)^$B92)*(1-CE$42)*($B$91-CE$89))-(CE$52+CE$51)*CE$41*(1-CE$85)*(1-CE$86)^$B92)/(1.1^$B93))</f>
        <v>4860.2993054656317</v>
      </c>
      <c r="CF92" s="4">
        <f t="shared" ref="CF92:CF112" si="74">+(((CF$41*((1-CF$85)*(1-CF$86)^$B92)*CF$42*((1-CF$87)*($B$90-CF$88)+(CF$87*0.5*($B$90-CF$88)))+CF$41*6*((1-CF$85)*(1-CF$86)^$B92)*(1-CF$42)*($B$91-CF$89))-(CF$52+CF$51)*CF$41*(1-CF$85)*(1-CF$86)^$B92)/(1.1^$B93))</f>
        <v>0</v>
      </c>
      <c r="CG92" s="4">
        <f t="shared" ref="CG92:CG112" si="75">+(((CG$41*((1-CG$85)*(1-CG$86)^$B92)*CG$42*((1-CG$87)*($B$90-CG$88)+(CG$87*0.5*($B$90-CG$88)))+CG$41*6*((1-CG$85)*(1-CG$86)^$B92)*(1-CG$42)*($B$91-CG$89))-(CG$52+CG$51)*CG$41*(1-CG$85)*(1-CG$86)^$B92)/(1.1^$B93))</f>
        <v>0</v>
      </c>
      <c r="CH92" s="4">
        <f t="shared" ref="CH92:CH112" si="76">+(((CH$41*((1-CH$85)*(1-CH$86)^$B92)*CH$42*((1-CH$87)*($B$90-CH$88)+(CH$87*0.5*($B$90-CH$88)))+CH$41*6*((1-CH$85)*(1-CH$86)^$B92)*(1-CH$42)*($B$91-CH$89))-(CH$52+CH$51)*CH$41*(1-CH$85)*(1-CH$86)^$B92)/(1.1^$B93))</f>
        <v>0</v>
      </c>
      <c r="CI92" s="4">
        <f t="shared" ref="CI92:CI112" si="77">+(((CI$41*((1-CI$85)*(1-CI$86)^$B92)*CI$42*((1-CI$87)*($B$90-CI$88)+(CI$87*0.5*($B$90-CI$88)))+CI$41*6*((1-CI$85)*(1-CI$86)^$B92)*(1-CI$42)*($B$91-CI$89))-(CI$52+CI$51)*CI$41*(1-CI$85)*(1-CI$86)^$B92)/(1.1^$B93))</f>
        <v>1961.5736199286241</v>
      </c>
      <c r="CJ92" s="4">
        <f t="shared" ref="CJ92:CJ112" si="78">+(((CJ$41*((1-CJ$85)*(1-CJ$86)^$B92)*CJ$42*((1-CJ$87)*($B$90-CJ$88)+(CJ$87*0.5*($B$90-CJ$88)))+CJ$41*6*((1-CJ$85)*(1-CJ$86)^$B92)*(1-CJ$42)*($B$91-CJ$89))-(CJ$52+CJ$51)*CJ$41*(1-CJ$85)*(1-CJ$86)^$B92)/(1.1^$B93))</f>
        <v>0</v>
      </c>
      <c r="CK92" s="4">
        <f t="shared" ref="CK92:CK112" si="79">+(((CK$43*((1-CK$85)*(1-CK$86)^$B92)*CK$42*((1-CK$87)*($B$90-CK$88)+(CK$87*0.5*($B$90-CK$88)))+CK$43*6*((1-CK$85)*(1-CK$86)^$B92)*(1-CK$42)*($B$91-CK$89))-(CK$52+CK$51)*CK$43*(1-CK$85)*(1-CK$86)^$B92)/(1.1^$B93))</f>
        <v>2797.2551596843664</v>
      </c>
      <c r="CL92" s="4">
        <f t="shared" ref="CL92:CL112" si="80">+(((CL$41*((1-CL$85)*(1-CL$86)^$B92)*CL$42*((1-CL$87)*($B$90-CL$88)+(CL$87*0.5*($B$90-CL$88)))+CL$41*6*((1-CL$85)*(1-CL$86)^$B92)*(1-CL$42)*($B$91-CL$89))-(CL$52+CL$51)*CL$41*(1-CL$85)*(1-CL$86)^$B92)/(1.1^$B93))</f>
        <v>0</v>
      </c>
      <c r="CM92" s="4">
        <f t="shared" ref="CM92:CM112" si="81">+(((CM$41*((1-CM$85)*(1-CM$86)^$B92)*CM$42*((1-CM$87)*($B$90-CM$88)+(CM$87*0.5*($B$90-CM$88)))+CM$41*6*((1-CM$85)*(1-CM$86)^$B92)*(1-CM$42)*($B$91-CM$89))-(CM$52+CM$51)*CM$41*(1-CM$85)*(1-CM$86)^$B92)/(1.1^$B93))</f>
        <v>0</v>
      </c>
      <c r="CN92" s="4">
        <f t="shared" ref="CN92:CN112" si="82">+(((CN$41*((1-CN$85)*(1-CN$86)^$B92)*CN$42*((1-CN$87)*($B$90-CN$88)+(CN$87*0.5*($B$90-CN$88)))+CN$41*6*((1-CN$85)*(1-CN$86)^$B92)*(1-CN$42)*($B$91-CN$89))-(CN$52+CN$51)*CN$41*(1-CN$85)*(1-CN$86)^$B92)/(1.1^$B93))</f>
        <v>0</v>
      </c>
      <c r="CO92" s="4">
        <f t="shared" ref="CO92:CO112" si="83">+(((CO$41*((1-CO$85)*(1-CO$86)^$B92)*CO$42*((1-CO$87)*($B$90-CO$88)+(CO$87*0.5*($B$90-CO$88)))+CO$41*6*((1-CO$85)*(1-CO$86)^$B92)*(1-CO$42)*($B$91-CO$89))-(CO$52+CO$51)*CO$41*(1-CO$85)*(1-CO$86)^$B92)/(1.1^$B93))</f>
        <v>4678.4842688480358</v>
      </c>
      <c r="CP92" s="4">
        <f t="shared" ref="CP92:CP112" si="84">+(((CP$41*((1-CP$85)*(1-CP$86)^$B92)*CP$42*((1-CP$87)*($B$90-CP$88)+(CP$87*0.5*($B$90-CP$88)))+CP$41*6*((1-CP$85)*(1-CP$86)^$B92)*(1-CP$42)*($B$91-CP$89))-(CP$52+CP$51)*CP$41*(1-CP$85)*(1-CP$86)^$B92)/(1.1^$B93))</f>
        <v>0</v>
      </c>
      <c r="CQ92" s="4">
        <f t="shared" ref="CQ92:CQ112" si="85">+(((CQ$43*((1-CQ$85)*(1-CQ$86)^$B92)*CQ$42*((1-CQ$87)*($B$90-CQ$88)+(CQ$87*0.5*($B$90-CQ$88)))+CQ$43*6*((1-CQ$85)*(1-CQ$86)^$B92)*(1-CQ$42)*($B$91-CQ$89))-(CQ$52+CQ$51)*CQ$43*(1-CQ$85)*(1-CQ$86)^$B92)/(1.1^$B93))</f>
        <v>1956.2959121655631</v>
      </c>
    </row>
    <row r="93" spans="1:99" outlineLevel="2" x14ac:dyDescent="0.25">
      <c r="B93">
        <v>2</v>
      </c>
      <c r="D93" s="4">
        <f t="shared" si="31"/>
        <v>410.64053813805538</v>
      </c>
      <c r="F93" s="4">
        <f t="shared" si="32"/>
        <v>749.53043109797284</v>
      </c>
      <c r="G93" s="4"/>
      <c r="H93">
        <f t="shared" si="33"/>
        <v>641.13996566407559</v>
      </c>
      <c r="I93">
        <f t="shared" si="34"/>
        <v>0</v>
      </c>
      <c r="J93">
        <f t="shared" ref="J93:J112" si="86">+(((J$41*((1-J$85)*(1-J$86)^$B93)*J$42*((1-J$87)*($B$90-J$88)+(J$87*0.4*($B$90-J$88)))+J$41*6*((1-J$85)*(1-J$86)^$B93)*(1-J$42)*($B$91-J$89))-(J$52+J$51)*J$41*(1-J$85)*(1-J$86)^$B93)/(1.1^$B94))</f>
        <v>240.20269831184535</v>
      </c>
      <c r="K93">
        <f t="shared" si="35"/>
        <v>0</v>
      </c>
      <c r="L93">
        <f t="shared" si="36"/>
        <v>230.04889418465314</v>
      </c>
      <c r="M93">
        <f t="shared" si="37"/>
        <v>0</v>
      </c>
      <c r="N93">
        <f t="shared" ref="N93:N112" si="87">+(((N$36*((1-N$85)*(1-N$86)^$B93)*0.36*((1-N$87)*($B$90-N$88)+(N$87*0.5*($B$90-N$88)))+N$36*6*((1-N$85)*(1-N$86)^$B93)*(1-0.36)*($B$91-N$89))-(N$52+N$51)*N$36*(1-N$85)*(1-N$86)^$B93)/(1.1^$B94))</f>
        <v>1204.5087254813261</v>
      </c>
      <c r="O93">
        <f t="shared" si="38"/>
        <v>0</v>
      </c>
      <c r="P93">
        <f t="shared" si="39"/>
        <v>337.14267899232971</v>
      </c>
      <c r="Q93" s="4">
        <f t="shared" si="40"/>
        <v>0</v>
      </c>
      <c r="R93" s="4">
        <f t="shared" si="41"/>
        <v>1506.5510845757524</v>
      </c>
      <c r="S93" s="4">
        <f t="shared" si="42"/>
        <v>0</v>
      </c>
      <c r="T93">
        <f t="shared" si="43"/>
        <v>349.81656951089201</v>
      </c>
      <c r="U93">
        <f t="shared" si="44"/>
        <v>0</v>
      </c>
      <c r="V93">
        <f t="shared" si="45"/>
        <v>0</v>
      </c>
      <c r="W93">
        <f t="shared" si="46"/>
        <v>0</v>
      </c>
      <c r="X93">
        <f t="shared" si="47"/>
        <v>1135.3201082509893</v>
      </c>
      <c r="Y93">
        <f t="shared" si="48"/>
        <v>0</v>
      </c>
      <c r="Z93">
        <f t="shared" si="49"/>
        <v>347.30886300523514</v>
      </c>
      <c r="AA93">
        <f t="shared" si="50"/>
        <v>0</v>
      </c>
      <c r="AB93">
        <f t="shared" si="51"/>
        <v>0</v>
      </c>
      <c r="AC93">
        <f t="shared" si="52"/>
        <v>0</v>
      </c>
      <c r="AD93">
        <f t="shared" si="53"/>
        <v>424.54500414698123</v>
      </c>
      <c r="AE93">
        <f t="shared" ref="AE93:AE112" si="88">+(((AE$41*((1-AE$85)*(1-AE$86)^$B93)*AE$42*((1-AE$87)*($B$90-AE$88)+(AE$87*0.5*($B$90-AE$88)))+AE$41*6*((1-AE$85)*(1-AE$86)^$B93)*(1-AE$42)*($B$91-AE$89))-(AE$52+AE$51)*AE$41*(1-AE$85)*(1-AE$86)^$B93)/(1.1^$B94))</f>
        <v>0</v>
      </c>
      <c r="AF93">
        <f t="shared" ref="AF93:AF112" si="89">+(((AF$41*((1-AF$85)*(1-AF$86)^$B93)*AF$42*((1-AF$87)*($B$90-AF$88)+(AF$87*0.5*($B$90-AF$88)))+AF$41*6*((1-AF$85)*(1-AF$86)^$B93)*(1-AF$42)*($B$91-AF$89))-(AF$52+AF$51)*AF$41*(1-AF$85)*(1-AF$86)^$B93)/(1.1^$B94))</f>
        <v>171.97516117824901</v>
      </c>
      <c r="AG93">
        <f t="shared" ref="AG93:AG112" si="90">+(((AG$41*((1-AG$85)*(1-AG$86)^$B93)*AG$42*((1-AG$87)*($B$90-AG$88)+(AG$87*0.5*($B$90-AG$88)))+AG$41*6*((1-AG$85)*(1-AG$86)^$B93)*(1-AG$42)*($B$91-AG$89))-(AG$52+AG$51)*AG$41*(1-AG$85)*(1-AG$86)^$B93)/(1.1^$B94))</f>
        <v>0</v>
      </c>
      <c r="AH93">
        <f t="shared" ref="AH93:AH112" si="91">+(((AH$41*((1-AH$85)*(1-AH$86)^$B93)*AH$42*((1-AH$87)*($B$90-AH$88)+(AH$87*0.5*($B$90-AH$88)))+AH$41*6*((1-AH$85)*(1-AH$86)^$B93)*(1-AH$42)*($B$91-AH$89))-(AH$52+AH$51)*AH$41*(1-AH$85)*(1-AH$86)^$B93)/(1.1^$B94))</f>
        <v>408.26991864699841</v>
      </c>
      <c r="AI93">
        <f t="shared" ref="AI93:AI112" si="92">+(((AI$41*((1-AI$85)*(1-AI$86)^$B93)*AI$42*((1-AI$87)*($B$90-AI$88)+(AI$87*0.5*($B$90-AI$88)))+AI$41*6*((1-AI$85)*(1-AI$86)^$B93)*(1-AI$42)*($B$91-AI$89))-(AI$52+AI$51)*AI$41*(1-AI$85)*(1-AI$86)^$B93)/(1.1^$B94))</f>
        <v>0</v>
      </c>
      <c r="AJ93" s="4">
        <f t="shared" ref="AJ93:AJ112" si="93">+(((AJ$41*((1-AJ$85)*(1-AJ$86)^$B93)*AJ$42*((1-AJ$87)*($B$90-AJ$88)+(AJ$87*0.4*($B$90-AJ$88)))+AJ$41*6*((1-AJ$85)*(1-AJ$86)^$B93)*(1-AJ$42)*($B$91-AJ$89))-(AJ$52+AJ$51)*AJ$41*(1-AJ$85)*(1-AJ$86)^$B93)/(1.1^$B94))</f>
        <v>202.65908081493006</v>
      </c>
      <c r="AK93" s="4">
        <f t="shared" ref="AK93:AK112" si="94">+(((AK$41*((1-AK$85)*(1-AK$86)^$B93)*AK$42*((1-AK$87)*($B$90-AK$88)+(AK$87*0.5*($B$90-AK$88)))+AK$41*6*((1-AK$85)*(1-AK$86)^$B93)*(1-AK$42)*($B$91-AK$89))-(AK$52+AK$51)*AK$41*(1-AK$85)*(1-AK$86)^$B93)/(1.1^$B94))</f>
        <v>0</v>
      </c>
      <c r="AL93" s="4">
        <f t="shared" ref="AL93:AL112" si="95">+(((AL$41*((1-AL$85)*(1-AL$86)^$B93)*AL$42*((1-AL$87)*($B$90-AL$88)+(AL$87*0.5*($B$90-AL$88)))+AL$41*6*((1-AL$85)*(1-AL$86)^$B93)*(1-AL$42)*($B$91-AL$89))-(AL$52+AL$51)*AL$41*(1-AL$85)*(1-AL$86)^$B93)/(1.1^$B94))</f>
        <v>188.58651035359296</v>
      </c>
      <c r="AM93" s="4">
        <f t="shared" ref="AM93:AM112" si="96">+(((AM$41*((1-AM$85)*(1-AM$86)^$B93)*AM$42*((1-AM$87)*($B$90-AM$88)+(AM$87*0.5*($B$90-AM$88)))+AM$41*6*((1-AM$85)*(1-AM$86)^$B93)*(1-AM$42)*($B$91-AM$89))-(AM$52+AM$51)*AM$41*(1-AM$85)*(1-AM$86)^$B93)/(1.1^$B94))</f>
        <v>0</v>
      </c>
      <c r="AN93" s="4">
        <f t="shared" ref="AN93:AN112" si="97">+(((AN$41*((1-AN$85)*(1-AN$86)^$B93)*AN$42*((1-AN$87)*($B$90-AN$88)+(AN$87*0.5*($B$90-AN$88)))+AN$41*6*((1-AN$85)*(1-AN$86)^$B93)*(1-AN$42)*($B$91-AN$89))-(AN$52+AN$51)*AN$41*(1-AN$85)*(1-AN$86)^$B93)/(1.1^$B94))</f>
        <v>0</v>
      </c>
      <c r="AO93" s="4">
        <f t="shared" ref="AO93:AO112" si="98">+(((AO$41*((1-AO$85)*(1-AO$86)^$B93)*AO$42*((1-AO$87)*($B$90-AO$88)+(AO$87*0.5*($B$90-AO$88)))+AO$41*6*((1-AO$85)*(1-AO$86)^$B93)*(1-AO$42)*($B$91-AO$89))-(AO$52+AO$51)*AO$41*(1-AO$85)*(1-AO$86)^$B93)/(1.1^$B94))</f>
        <v>0</v>
      </c>
      <c r="AP93" s="4">
        <f t="shared" ref="AP93:AP112" si="99">+(((AP$41*((1-AP$85)*(1-AP$86)^$B93)*AP$42*((1-AP$87)*($B$90-AP$88)+(AP$87*0.5*($B$90-AP$88)))+AP$41*6*((1-AP$85)*(1-AP$86)^$B93)*(1-AP$42)*($B$91-AP$89))-(AP$52+AP$51)*AP$41*(1-AP$85)*(1-AP$86)^$B93)/(1.1^$B94))</f>
        <v>412.30459807371221</v>
      </c>
      <c r="AQ93" s="4">
        <f t="shared" ref="AQ93:AQ112" si="100">+(((AQ$41*((1-AQ$85)*(1-AQ$86)^$B93)*AQ$42*((1-AQ$87)*($B$90-AQ$88)+(AQ$87*0.5*($B$90-AQ$88)))+AQ$41*6*((1-AQ$85)*(1-AQ$86)^$B93)*(1-AQ$42)*($B$91-AQ$89))-(AQ$52+AQ$51)*AQ$41*(1-AQ$85)*(1-AQ$86)^$B93)/(1.1^$B94))</f>
        <v>0</v>
      </c>
      <c r="AR93" s="4">
        <f t="shared" ref="AR93:AR112" si="101">+(((AR$41*((1-AR$85)*(1-AR$86)^$B93)*AR$42*((1-AR$87)*($B$90-AR$88)+(AR$87*0.5*($B$90-AR$88)))+AR$41*6*((1-AR$85)*(1-AR$86)^$B93)*(1-AR$42)*($B$91-AR$89))-(AR$52+AR$51)*AR$41*(1-AR$85)*(1-AR$86)^$B93)/(1.1^$B94))</f>
        <v>0</v>
      </c>
      <c r="AS93" s="4">
        <f t="shared" ref="AS93:AS112" si="102">+(((AS$41*((1-AS$85)*(1-AS$86)^$B93)*AS$42*((1-AS$87)*($B$90-AS$88)+(AS$87*0.5*($B$90-AS$88)))+AS$41*6*((1-AS$85)*(1-AS$86)^$B93)*(1-AS$42)*($B$91-AS$89))-(AS$52+AS$51)*AS$41*(1-AS$85)*(1-AS$86)^$B93)/(1.1^$B94))</f>
        <v>0</v>
      </c>
      <c r="AT93" s="4">
        <f t="shared" ref="AT93:AT112" si="103">+(((AT$41*((1-AT$85)*(1-AT$86)^$B93)*AT$42*((1-AT$87)*($B$90-AT$88)+(AT$87*0.5*($B$90-AT$88)))+AT$41*6*((1-AT$85)*(1-AT$86)^$B93)*(1-AT$42)*($B$91-AT$89))-(AT$52+AT$51)*AT$41*(1-AT$85)*(1-AT$86)^$B93)/(1.1^$B94))</f>
        <v>0</v>
      </c>
      <c r="AU93" s="4">
        <f t="shared" ref="AU93:AU112" si="104">+(((AU$41*((1-AU$85)*(1-AU$86)^$B93)*AU$42*((1-AU$87)*($B$90-AU$88)+(AU$87*0.5*($B$90-AU$88)))+AU$41*6*((1-AU$85)*(1-AU$86)^$B93)*(1-AU$42)*($B$91-AU$89))-(AU$52+AU$51)*AU$41*(1-AU$85)*(1-AU$86)^$B93)/(1.1^$B94))</f>
        <v>526.04968706386092</v>
      </c>
      <c r="AV93" s="4">
        <f t="shared" ref="AV93:AV112" si="105">+(((AV$41*((1-AV$85)*(1-AV$86)^$B93)*AV$42*((1-AV$87)*($B$90-AV$88)+(AV$87*0.5*($B$90-AV$88)))+AV$41*6*((1-AV$85)*(1-AV$86)^$B93)*(1-AV$42)*($B$91-AV$89))-(AV$52+AV$51)*AV$41*(1-AV$85)*(1-AV$86)^$B93)/(1.1^$B94))</f>
        <v>0</v>
      </c>
      <c r="AW93" s="4">
        <f t="shared" ref="AW93:AW112" si="106">+(((AW$41*((1-AW$85)*(1-AW$86)^$B93)*AW$42*((1-AW$87)*($B$90-AW$88)+(AW$87*0.5*($B$90-AW$88)))+AW$41*6*((1-AW$85)*(1-AW$86)^$B93)*(1-AW$42)*($B$91-AW$89))-(AW$52+AW$51)*AW$41*(1-AW$85)*(1-AW$86)^$B93)/(1.1^$B94))</f>
        <v>462.00009496023262</v>
      </c>
      <c r="AX93" s="4">
        <f t="shared" ref="AX93:AX112" si="107">+(((AX$41*((1-AX$85)*(1-AX$86)^$B93)*AX$42*((1-AX$87)*($B$90-AX$88)+(AX$87*0.5*($B$90-AX$88)))+AX$41*6*((1-AX$85)*(1-AX$86)^$B93)*(1-AX$42)*($B$91-AX$89))-(AX$52+AX$51)*AX$41*(1-AX$85)*(1-AX$86)^$B93)/(1.1^$B94))</f>
        <v>0</v>
      </c>
      <c r="AY93" s="4">
        <f t="shared" ref="AY93:AY112" si="108">+(((AY$41*((1-AY$85)*(1-AY$86)^$B93)*AY$42*((1-AY$87)*($B$90-AY$88)+(AY$87*0.5*($B$90-AY$88)))+AY$41*6*((1-AY$85)*(1-AY$86)^$B93)*(1-AY$42)*($B$91-AY$89))-(AY$52+AY$51)*AY$41*(1-AY$85)*(1-AY$86)^$B93)/(1.1^$B94))</f>
        <v>521.46102817498979</v>
      </c>
      <c r="AZ93" s="4">
        <f t="shared" ref="AZ93:AZ112" si="109">+(((AZ$41*((1-AZ$85)*(1-AZ$86)^$B93)*AZ$42*((1-AZ$87)*($B$90-AZ$88)+(AZ$87*0.5*($B$90-AZ$88)))+AZ$41*6*((1-AZ$85)*(1-AZ$86)^$B93)*(1-AZ$42)*($B$91-AZ$89))-(AZ$52+AZ$51)*AZ$41*(1-AZ$85)*(1-AZ$86)^$B93)/(1.1^$B94))</f>
        <v>0</v>
      </c>
      <c r="BA93" s="4">
        <f t="shared" ref="BA93:BA112" si="110">+(((BA$41*((1-BA$85)*(1-BA$86)^$B93)*BA$42*((1-BA$87)*($B$90-BA$88)+(BA$87*0.5*($B$90-BA$88)))+BA$41*6*((1-BA$85)*(1-BA$86)^$B93)*(1-BA$42)*($B$91-BA$89))-(BA$52+BA$51)*BA$41*(1-BA$85)*(1-BA$86)^$B93)/(1.1^$B94))</f>
        <v>368.79813745086142</v>
      </c>
      <c r="BB93" s="4">
        <f t="shared" ref="BB93:BB112" si="111">+(((BB$41*((1-BB$85)*(1-BB$86)^$B93)*BB$42*((1-BB$87)*($B$90-BB$88)+(BB$87*0.5*($B$90-BB$88)))+BB$41*6*((1-BB$85)*(1-BB$86)^$B93)*(1-BB$42)*($B$91-BB$89))-(BB$52+BB$51)*BB$41*(1-BB$85)*(1-BB$86)^$B93)/(1.1^$B94))</f>
        <v>0</v>
      </c>
      <c r="BC93" s="4">
        <f t="shared" ref="BC93:BC112" si="112">+(((BC$41*((1-BC$85)*(1-BC$86)^$B93)*BC$42*((1-BC$87)*($B$90-BC$88)+(BC$87*0.5*($B$90-BC$88)))+BC$41*6*((1-BC$85)*(1-BC$86)^$B93)*(1-BC$42)*($B$91-BC$89))-(BC$52+BC$51)*BC$41*(1-BC$85)*(1-BC$86)^$B93)/(1.1^$B94))</f>
        <v>491.08687481862103</v>
      </c>
      <c r="BD93" s="4">
        <f t="shared" ref="BD93:BD112" si="113">+(((BD$41*((1-BD$85)*(1-BD$86)^$B93)*BD$42*((1-BD$87)*($B$90-BD$88)+(BD$87*0.5*($B$90-BD$88)))+BD$41*6*((1-BD$85)*(1-BD$86)^$B93)*(1-BD$42)*($B$91-BD$89))-(BD$52+BD$51)*BD$41*(1-BD$85)*(1-BD$86)^$B93)/(1.1^$B94))</f>
        <v>0</v>
      </c>
      <c r="BE93" s="4">
        <f t="shared" ref="BE93:BE112" si="114">+(((BE$41*((1-BE$85)*(1-BE$86)^$B93)*BE$42*((1-BE$87)*($B$90-BE$88)+(BE$87*0.5*($B$90-BE$88)))+BE$41*6*((1-BE$85)*(1-BE$86)^$B93)*(1-BE$42)*($B$91-BE$89))-(BE$52+BE$51)*BE$41*(1-BE$85)*(1-BE$86)^$B93)/(1.1^$B94))</f>
        <v>399.28296431365885</v>
      </c>
      <c r="BF93" s="4">
        <f t="shared" ref="BF93:BF112" si="115">+(((BF$41*((1-BF$85)*(1-BF$86)^$B93)*BF$42*((1-BF$87)*($B$90-BF$88)+(BF$87*0.5*($B$90-BF$88)))+BF$41*6*((1-BF$85)*(1-BF$86)^$B93)*(1-BF$42)*($B$91-BF$89))-(BF$52+BF$51)*BF$41*(1-BF$85)*(1-BF$86)^$B93)/(1.1^$B94))</f>
        <v>0</v>
      </c>
      <c r="BG93" s="4">
        <f t="shared" ref="BG93:BG112" si="116">+(((BG$41*((1-BG$85)*(1-BG$86)^$B93)*BG$42*((1-BG$87)*($B$90-BG$88)+(BG$87*0.5*($B$90-BG$88)))+BG$41*6*((1-BG$85)*(1-BG$86)^$B93)*(1-BG$42)*($B$91-BG$89))-(BG$52+BG$51)*BG$41*(1-BG$85)*(1-BG$86)^$B93)/(1.1^$B94))</f>
        <v>611.22583979089063</v>
      </c>
      <c r="BH93" s="4">
        <f t="shared" ref="BH93:BH112" si="117">+(((BH$41*((1-BH$85)*(1-BH$86)^$B93)*BH$42*((1-BH$87)*($B$90-BH$88)+(BH$87*0.5*($B$90-BH$88)))+BH$41*6*((1-BH$85)*(1-BH$86)^$B93)*(1-BH$42)*($B$91-BH$89))-(BH$52+BH$51)*BH$41*(1-BH$85)*(1-BH$86)^$B93)/(1.1^$B94))</f>
        <v>0</v>
      </c>
      <c r="BI93" s="4">
        <f t="shared" ref="BI93:BI112" si="118">+(((BI$41*((1-BI$85)*(1-BI$86)^$B93)*BI$42*((1-BI$87)*($B$90-BI$88)+(BI$87*0.5*($B$90-BI$88)))+BI$41*6*((1-BI$85)*(1-BI$86)^$B93)*(1-BI$42)*($B$91-BI$89))-(BI$52+BI$51)*BI$41*(1-BI$85)*(1-BI$86)^$B93)/(1.1^$B94))</f>
        <v>524.56864960608959</v>
      </c>
      <c r="BJ93" s="4"/>
      <c r="BK93" s="4"/>
      <c r="BL93" s="4"/>
      <c r="BM93" s="4">
        <f t="shared" si="55"/>
        <v>3367.9030803906812</v>
      </c>
      <c r="BN93" s="4">
        <f t="shared" si="56"/>
        <v>0</v>
      </c>
      <c r="BO93" s="4">
        <f t="shared" si="57"/>
        <v>2451.4408715251675</v>
      </c>
      <c r="BP93" s="4">
        <f t="shared" si="58"/>
        <v>0</v>
      </c>
      <c r="BQ93" s="4">
        <f t="shared" si="59"/>
        <v>1212.3147187804448</v>
      </c>
      <c r="BR93" s="4">
        <f t="shared" si="60"/>
        <v>0</v>
      </c>
      <c r="BS93" s="4">
        <f t="shared" si="61"/>
        <v>860.94955107788519</v>
      </c>
      <c r="BT93" s="4">
        <f t="shared" si="62"/>
        <v>0</v>
      </c>
      <c r="BU93" s="4">
        <f t="shared" si="63"/>
        <v>1600.350990567488</v>
      </c>
      <c r="BV93" s="4">
        <f t="shared" si="64"/>
        <v>0</v>
      </c>
      <c r="BW93" s="4">
        <f t="shared" si="65"/>
        <v>6297.331712997744</v>
      </c>
      <c r="BX93" s="4">
        <f t="shared" si="66"/>
        <v>0</v>
      </c>
      <c r="BY93" s="4">
        <f t="shared" si="67"/>
        <v>1465.164488627817</v>
      </c>
      <c r="BZ93" s="4">
        <f t="shared" si="68"/>
        <v>0</v>
      </c>
      <c r="CA93" s="4">
        <f t="shared" si="69"/>
        <v>945.32500100321499</v>
      </c>
      <c r="CB93" s="4">
        <f t="shared" si="70"/>
        <v>0</v>
      </c>
      <c r="CC93" s="4">
        <f t="shared" si="71"/>
        <v>2213.6994337280644</v>
      </c>
      <c r="CD93" s="4">
        <f t="shared" si="72"/>
        <v>0</v>
      </c>
      <c r="CE93" s="4">
        <f t="shared" si="73"/>
        <v>3755.6858269507143</v>
      </c>
      <c r="CF93" s="4">
        <f t="shared" si="74"/>
        <v>0</v>
      </c>
      <c r="CG93" s="4">
        <f t="shared" si="75"/>
        <v>0</v>
      </c>
      <c r="CH93" s="4">
        <f t="shared" si="76"/>
        <v>0</v>
      </c>
      <c r="CI93" s="4">
        <f t="shared" si="77"/>
        <v>1515.7614335812095</v>
      </c>
      <c r="CJ93" s="4">
        <f t="shared" si="78"/>
        <v>0</v>
      </c>
      <c r="CK93" s="4">
        <f t="shared" si="79"/>
        <v>2161.5153506651923</v>
      </c>
      <c r="CL93" s="4">
        <f t="shared" si="80"/>
        <v>0</v>
      </c>
      <c r="CM93" s="4">
        <f t="shared" si="81"/>
        <v>0</v>
      </c>
      <c r="CN93" s="4">
        <f t="shared" si="82"/>
        <v>0</v>
      </c>
      <c r="CO93" s="4">
        <f t="shared" si="83"/>
        <v>3615.1923895643899</v>
      </c>
      <c r="CP93" s="4">
        <f t="shared" si="84"/>
        <v>0</v>
      </c>
      <c r="CQ93" s="4">
        <f t="shared" si="85"/>
        <v>1511.6832048552078</v>
      </c>
    </row>
    <row r="94" spans="1:99" outlineLevel="2" x14ac:dyDescent="0.25">
      <c r="B94">
        <v>3</v>
      </c>
      <c r="D94" s="4">
        <f t="shared" si="31"/>
        <v>317.31314310667915</v>
      </c>
      <c r="F94" s="4">
        <f t="shared" si="32"/>
        <v>579.18260584843324</v>
      </c>
      <c r="G94" s="4"/>
      <c r="H94">
        <f t="shared" si="33"/>
        <v>512.9119725312604</v>
      </c>
      <c r="I94">
        <f t="shared" si="34"/>
        <v>0</v>
      </c>
      <c r="J94">
        <f t="shared" si="86"/>
        <v>174.69287149952387</v>
      </c>
      <c r="K94">
        <f t="shared" si="35"/>
        <v>0</v>
      </c>
      <c r="L94">
        <f t="shared" si="36"/>
        <v>167.30828667974774</v>
      </c>
      <c r="M94">
        <f t="shared" si="37"/>
        <v>0</v>
      </c>
      <c r="N94">
        <f t="shared" si="87"/>
        <v>930.75674241738841</v>
      </c>
      <c r="O94">
        <f t="shared" si="38"/>
        <v>0</v>
      </c>
      <c r="P94">
        <f t="shared" si="39"/>
        <v>260.51934285770932</v>
      </c>
      <c r="Q94" s="4">
        <f t="shared" si="40"/>
        <v>0</v>
      </c>
      <c r="R94" s="4">
        <f t="shared" si="41"/>
        <v>1164.1531108085362</v>
      </c>
      <c r="S94" s="4">
        <f t="shared" si="42"/>
        <v>0</v>
      </c>
      <c r="T94">
        <f t="shared" si="43"/>
        <v>279.85325560871371</v>
      </c>
      <c r="U94">
        <f t="shared" si="44"/>
        <v>0</v>
      </c>
      <c r="V94">
        <f t="shared" si="45"/>
        <v>0</v>
      </c>
      <c r="W94">
        <f t="shared" si="46"/>
        <v>0</v>
      </c>
      <c r="X94">
        <f t="shared" si="47"/>
        <v>825.68735145526466</v>
      </c>
      <c r="Y94">
        <f t="shared" si="48"/>
        <v>0</v>
      </c>
      <c r="Z94">
        <f t="shared" si="49"/>
        <v>268.37503050404536</v>
      </c>
      <c r="AA94">
        <f t="shared" si="50"/>
        <v>0</v>
      </c>
      <c r="AB94">
        <f t="shared" si="51"/>
        <v>0</v>
      </c>
      <c r="AC94">
        <f t="shared" si="52"/>
        <v>0</v>
      </c>
      <c r="AD94">
        <f t="shared" si="53"/>
        <v>328.05750320448544</v>
      </c>
      <c r="AE94">
        <f t="shared" si="88"/>
        <v>0</v>
      </c>
      <c r="AF94">
        <f t="shared" si="89"/>
        <v>125.07284449327199</v>
      </c>
      <c r="AG94">
        <f t="shared" si="90"/>
        <v>0</v>
      </c>
      <c r="AH94">
        <f t="shared" si="91"/>
        <v>315.4813007726807</v>
      </c>
      <c r="AI94">
        <f t="shared" si="92"/>
        <v>0</v>
      </c>
      <c r="AJ94" s="4">
        <f t="shared" si="93"/>
        <v>147.38842241085828</v>
      </c>
      <c r="AK94" s="4">
        <f t="shared" si="94"/>
        <v>0</v>
      </c>
      <c r="AL94" s="4">
        <f t="shared" si="95"/>
        <v>137.153825711704</v>
      </c>
      <c r="AM94" s="4">
        <f t="shared" si="96"/>
        <v>0</v>
      </c>
      <c r="AN94" s="4">
        <f t="shared" si="97"/>
        <v>0</v>
      </c>
      <c r="AO94" s="4">
        <f t="shared" si="98"/>
        <v>0</v>
      </c>
      <c r="AP94" s="4">
        <f t="shared" si="99"/>
        <v>318.59900760241408</v>
      </c>
      <c r="AQ94" s="4">
        <f t="shared" si="100"/>
        <v>0</v>
      </c>
      <c r="AR94" s="4">
        <f t="shared" si="101"/>
        <v>0</v>
      </c>
      <c r="AS94" s="4">
        <f t="shared" si="102"/>
        <v>0</v>
      </c>
      <c r="AT94" s="4">
        <f t="shared" si="103"/>
        <v>0</v>
      </c>
      <c r="AU94" s="4">
        <f t="shared" si="104"/>
        <v>382.58159059189882</v>
      </c>
      <c r="AV94" s="4">
        <f t="shared" si="105"/>
        <v>0</v>
      </c>
      <c r="AW94" s="4">
        <f t="shared" si="106"/>
        <v>336.00006906198735</v>
      </c>
      <c r="AX94" s="4">
        <f t="shared" si="107"/>
        <v>0</v>
      </c>
      <c r="AY94" s="4">
        <f t="shared" si="108"/>
        <v>402.94715813521952</v>
      </c>
      <c r="AZ94" s="4">
        <f t="shared" si="109"/>
        <v>0</v>
      </c>
      <c r="BA94" s="4">
        <f t="shared" si="110"/>
        <v>268.21682723699013</v>
      </c>
      <c r="BB94" s="4">
        <f t="shared" si="111"/>
        <v>0</v>
      </c>
      <c r="BC94" s="4">
        <f t="shared" si="112"/>
        <v>379.47622145075263</v>
      </c>
      <c r="BD94" s="4">
        <f t="shared" si="113"/>
        <v>0</v>
      </c>
      <c r="BE94" s="4">
        <f t="shared" si="114"/>
        <v>308.53683606055455</v>
      </c>
      <c r="BF94" s="4">
        <f t="shared" si="115"/>
        <v>0</v>
      </c>
      <c r="BG94" s="4">
        <f t="shared" si="116"/>
        <v>472.31087620205187</v>
      </c>
      <c r="BH94" s="4">
        <f t="shared" si="117"/>
        <v>0</v>
      </c>
      <c r="BI94" s="4">
        <f t="shared" si="118"/>
        <v>381.50447244079248</v>
      </c>
      <c r="BJ94" s="4"/>
      <c r="BK94" s="4"/>
      <c r="BL94" s="4"/>
      <c r="BM94" s="4">
        <f t="shared" si="55"/>
        <v>2602.4705621200728</v>
      </c>
      <c r="BN94" s="4">
        <f t="shared" si="56"/>
        <v>0</v>
      </c>
      <c r="BO94" s="4">
        <f t="shared" si="57"/>
        <v>1894.2952189058115</v>
      </c>
      <c r="BP94" s="4">
        <f t="shared" si="58"/>
        <v>0</v>
      </c>
      <c r="BQ94" s="4">
        <f t="shared" si="59"/>
        <v>991.89386082036435</v>
      </c>
      <c r="BR94" s="4">
        <f t="shared" si="60"/>
        <v>0</v>
      </c>
      <c r="BS94" s="4">
        <f t="shared" si="61"/>
        <v>626.14512805664401</v>
      </c>
      <c r="BT94" s="4">
        <f t="shared" si="62"/>
        <v>0</v>
      </c>
      <c r="BU94" s="4">
        <f t="shared" si="63"/>
        <v>1236.6348563476045</v>
      </c>
      <c r="BV94" s="4">
        <f t="shared" si="64"/>
        <v>0</v>
      </c>
      <c r="BW94" s="4">
        <f t="shared" si="65"/>
        <v>4866.1199600437103</v>
      </c>
      <c r="BX94" s="4">
        <f t="shared" si="66"/>
        <v>0</v>
      </c>
      <c r="BY94" s="4">
        <f t="shared" si="67"/>
        <v>1132.1725593942222</v>
      </c>
      <c r="BZ94" s="4">
        <f t="shared" si="68"/>
        <v>0</v>
      </c>
      <c r="CA94" s="4">
        <f t="shared" si="69"/>
        <v>730.47840986612107</v>
      </c>
      <c r="CB94" s="4">
        <f t="shared" si="70"/>
        <v>0</v>
      </c>
      <c r="CC94" s="4">
        <f t="shared" si="71"/>
        <v>1710.5859260625957</v>
      </c>
      <c r="CD94" s="4">
        <f t="shared" si="72"/>
        <v>0</v>
      </c>
      <c r="CE94" s="4">
        <f t="shared" si="73"/>
        <v>2902.1208662800982</v>
      </c>
      <c r="CF94" s="4">
        <f t="shared" si="74"/>
        <v>0</v>
      </c>
      <c r="CG94" s="4">
        <f t="shared" si="75"/>
        <v>0</v>
      </c>
      <c r="CH94" s="4">
        <f t="shared" si="76"/>
        <v>0</v>
      </c>
      <c r="CI94" s="4">
        <f t="shared" si="77"/>
        <v>1171.2701986763891</v>
      </c>
      <c r="CJ94" s="4">
        <f t="shared" si="78"/>
        <v>0</v>
      </c>
      <c r="CK94" s="4">
        <f t="shared" si="79"/>
        <v>1670.2618618776485</v>
      </c>
      <c r="CL94" s="4">
        <f t="shared" si="80"/>
        <v>0</v>
      </c>
      <c r="CM94" s="4">
        <f t="shared" si="81"/>
        <v>0</v>
      </c>
      <c r="CN94" s="4">
        <f t="shared" si="82"/>
        <v>0</v>
      </c>
      <c r="CO94" s="4">
        <f t="shared" si="83"/>
        <v>2793.5577555724831</v>
      </c>
      <c r="CP94" s="4">
        <f t="shared" si="84"/>
        <v>0</v>
      </c>
      <c r="CQ94" s="4">
        <f t="shared" si="85"/>
        <v>1168.1188401153875</v>
      </c>
    </row>
    <row r="95" spans="1:99" outlineLevel="2" x14ac:dyDescent="0.25">
      <c r="B95">
        <v>4</v>
      </c>
      <c r="D95" s="4">
        <f t="shared" si="31"/>
        <v>245.19651967334295</v>
      </c>
      <c r="F95" s="4">
        <f t="shared" si="32"/>
        <v>447.5501954283348</v>
      </c>
      <c r="G95" s="4"/>
      <c r="H95">
        <f t="shared" si="33"/>
        <v>410.32957802500835</v>
      </c>
      <c r="I95">
        <f t="shared" si="34"/>
        <v>0</v>
      </c>
      <c r="J95">
        <f t="shared" si="86"/>
        <v>127.04936109056285</v>
      </c>
      <c r="K95">
        <f t="shared" si="35"/>
        <v>0</v>
      </c>
      <c r="L95">
        <f t="shared" si="36"/>
        <v>121.67875394890747</v>
      </c>
      <c r="M95">
        <f t="shared" si="37"/>
        <v>0</v>
      </c>
      <c r="N95">
        <f t="shared" si="87"/>
        <v>719.22111914070899</v>
      </c>
      <c r="O95">
        <f t="shared" si="38"/>
        <v>0</v>
      </c>
      <c r="P95">
        <f t="shared" si="39"/>
        <v>201.31040129913902</v>
      </c>
      <c r="Q95" s="4">
        <f t="shared" si="40"/>
        <v>0</v>
      </c>
      <c r="R95" s="4">
        <f t="shared" si="41"/>
        <v>899.5728583520505</v>
      </c>
      <c r="S95" s="4">
        <f t="shared" si="42"/>
        <v>0</v>
      </c>
      <c r="T95">
        <f t="shared" si="43"/>
        <v>223.88260448697088</v>
      </c>
      <c r="U95">
        <f t="shared" si="44"/>
        <v>0</v>
      </c>
      <c r="V95">
        <f t="shared" si="45"/>
        <v>0</v>
      </c>
      <c r="W95">
        <f t="shared" si="46"/>
        <v>0</v>
      </c>
      <c r="X95">
        <f t="shared" si="47"/>
        <v>600.49989196746549</v>
      </c>
      <c r="Y95">
        <f t="shared" si="48"/>
        <v>0</v>
      </c>
      <c r="Z95">
        <f t="shared" si="49"/>
        <v>207.38070538948952</v>
      </c>
      <c r="AA95">
        <f t="shared" si="50"/>
        <v>0</v>
      </c>
      <c r="AB95">
        <f t="shared" si="51"/>
        <v>0</v>
      </c>
      <c r="AC95">
        <f t="shared" si="52"/>
        <v>0</v>
      </c>
      <c r="AD95">
        <f t="shared" si="53"/>
        <v>253.49897974892065</v>
      </c>
      <c r="AE95">
        <f t="shared" si="88"/>
        <v>0</v>
      </c>
      <c r="AF95">
        <f t="shared" si="89"/>
        <v>90.962068722379641</v>
      </c>
      <c r="AG95">
        <f t="shared" si="90"/>
        <v>0</v>
      </c>
      <c r="AH95">
        <f t="shared" si="91"/>
        <v>243.78100514252588</v>
      </c>
      <c r="AI95">
        <f t="shared" si="92"/>
        <v>0</v>
      </c>
      <c r="AJ95" s="4">
        <f t="shared" si="93"/>
        <v>107.19157993516966</v>
      </c>
      <c r="AK95" s="4">
        <f t="shared" si="94"/>
        <v>0</v>
      </c>
      <c r="AL95" s="4">
        <f t="shared" si="95"/>
        <v>99.748236881239293</v>
      </c>
      <c r="AM95" s="4">
        <f t="shared" si="96"/>
        <v>0</v>
      </c>
      <c r="AN95" s="4">
        <f t="shared" si="97"/>
        <v>0</v>
      </c>
      <c r="AO95" s="4">
        <f t="shared" si="98"/>
        <v>0</v>
      </c>
      <c r="AP95" s="4">
        <f t="shared" si="99"/>
        <v>246.19014223822901</v>
      </c>
      <c r="AQ95" s="4">
        <f t="shared" si="100"/>
        <v>0</v>
      </c>
      <c r="AR95" s="4">
        <f t="shared" si="101"/>
        <v>0</v>
      </c>
      <c r="AS95" s="4">
        <f t="shared" si="102"/>
        <v>0</v>
      </c>
      <c r="AT95" s="4">
        <f t="shared" si="103"/>
        <v>0</v>
      </c>
      <c r="AU95" s="4">
        <f t="shared" si="104"/>
        <v>278.24115679410824</v>
      </c>
      <c r="AV95" s="4">
        <f t="shared" si="105"/>
        <v>0</v>
      </c>
      <c r="AW95" s="4">
        <f t="shared" si="106"/>
        <v>244.3636865905363</v>
      </c>
      <c r="AX95" s="4">
        <f t="shared" si="107"/>
        <v>0</v>
      </c>
      <c r="AY95" s="4">
        <f t="shared" si="108"/>
        <v>311.36825855903311</v>
      </c>
      <c r="AZ95" s="4">
        <f t="shared" si="109"/>
        <v>0</v>
      </c>
      <c r="BA95" s="4">
        <f t="shared" si="110"/>
        <v>195.06678344508376</v>
      </c>
      <c r="BB95" s="4">
        <f t="shared" si="111"/>
        <v>0</v>
      </c>
      <c r="BC95" s="4">
        <f t="shared" si="112"/>
        <v>293.23162566649057</v>
      </c>
      <c r="BD95" s="4">
        <f t="shared" si="113"/>
        <v>0</v>
      </c>
      <c r="BE95" s="4">
        <f t="shared" si="114"/>
        <v>238.41482786497394</v>
      </c>
      <c r="BF95" s="4">
        <f t="shared" si="115"/>
        <v>0</v>
      </c>
      <c r="BG95" s="4">
        <f t="shared" si="116"/>
        <v>364.96749524704006</v>
      </c>
      <c r="BH95" s="4">
        <f t="shared" si="117"/>
        <v>0</v>
      </c>
      <c r="BI95" s="4">
        <f t="shared" si="118"/>
        <v>277.45779813875811</v>
      </c>
      <c r="BJ95" s="4"/>
      <c r="BK95" s="4"/>
      <c r="BL95" s="4"/>
      <c r="BM95" s="4">
        <f t="shared" si="55"/>
        <v>2010.9999798200561</v>
      </c>
      <c r="BN95" s="4">
        <f t="shared" si="56"/>
        <v>0</v>
      </c>
      <c r="BO95" s="4">
        <f t="shared" si="57"/>
        <v>1463.7735782453999</v>
      </c>
      <c r="BP95" s="4">
        <f t="shared" si="58"/>
        <v>0</v>
      </c>
      <c r="BQ95" s="4">
        <f t="shared" si="59"/>
        <v>811.54952248938901</v>
      </c>
      <c r="BR95" s="4">
        <f t="shared" si="60"/>
        <v>0</v>
      </c>
      <c r="BS95" s="4">
        <f t="shared" si="61"/>
        <v>455.3782749502866</v>
      </c>
      <c r="BT95" s="4">
        <f t="shared" si="62"/>
        <v>0</v>
      </c>
      <c r="BU95" s="4">
        <f t="shared" si="63"/>
        <v>955.58147990496707</v>
      </c>
      <c r="BV95" s="4">
        <f t="shared" si="64"/>
        <v>0</v>
      </c>
      <c r="BW95" s="4">
        <f t="shared" si="65"/>
        <v>3760.1836054883224</v>
      </c>
      <c r="BX95" s="4">
        <f t="shared" si="66"/>
        <v>0</v>
      </c>
      <c r="BY95" s="4">
        <f t="shared" si="67"/>
        <v>874.8606140773536</v>
      </c>
      <c r="BZ95" s="4">
        <f t="shared" si="68"/>
        <v>0</v>
      </c>
      <c r="CA95" s="4">
        <f t="shared" si="69"/>
        <v>564.46058944200263</v>
      </c>
      <c r="CB95" s="4">
        <f t="shared" si="70"/>
        <v>0</v>
      </c>
      <c r="CC95" s="4">
        <f t="shared" si="71"/>
        <v>1321.8163974120055</v>
      </c>
      <c r="CD95" s="4">
        <f t="shared" si="72"/>
        <v>0</v>
      </c>
      <c r="CE95" s="4">
        <f t="shared" si="73"/>
        <v>2242.54794212553</v>
      </c>
      <c r="CF95" s="4">
        <f t="shared" si="74"/>
        <v>0</v>
      </c>
      <c r="CG95" s="4">
        <f t="shared" si="75"/>
        <v>0</v>
      </c>
      <c r="CH95" s="4">
        <f t="shared" si="76"/>
        <v>0</v>
      </c>
      <c r="CI95" s="4">
        <f t="shared" si="77"/>
        <v>905.07242624993694</v>
      </c>
      <c r="CJ95" s="4">
        <f t="shared" si="78"/>
        <v>0</v>
      </c>
      <c r="CK95" s="4">
        <f t="shared" si="79"/>
        <v>1290.6568932690916</v>
      </c>
      <c r="CL95" s="4">
        <f t="shared" si="80"/>
        <v>0</v>
      </c>
      <c r="CM95" s="4">
        <f t="shared" si="81"/>
        <v>0</v>
      </c>
      <c r="CN95" s="4">
        <f t="shared" si="82"/>
        <v>0</v>
      </c>
      <c r="CO95" s="4">
        <f t="shared" si="83"/>
        <v>2158.6582656696455</v>
      </c>
      <c r="CP95" s="4">
        <f t="shared" si="84"/>
        <v>0</v>
      </c>
      <c r="CQ95" s="4">
        <f t="shared" si="85"/>
        <v>902.63728554370869</v>
      </c>
    </row>
    <row r="96" spans="1:99" outlineLevel="2" x14ac:dyDescent="0.25">
      <c r="B96">
        <v>5</v>
      </c>
      <c r="D96" s="4">
        <f t="shared" si="31"/>
        <v>189.47003792940134</v>
      </c>
      <c r="F96" s="4">
        <f t="shared" si="32"/>
        <v>345.83424192189511</v>
      </c>
      <c r="G96" s="4"/>
      <c r="H96">
        <f t="shared" si="33"/>
        <v>328.26366242000643</v>
      </c>
      <c r="I96">
        <f t="shared" si="34"/>
        <v>0</v>
      </c>
      <c r="J96">
        <f t="shared" si="86"/>
        <v>92.399535338591164</v>
      </c>
      <c r="K96">
        <f t="shared" si="35"/>
        <v>0</v>
      </c>
      <c r="L96">
        <f t="shared" si="36"/>
        <v>88.493639235569049</v>
      </c>
      <c r="M96">
        <f t="shared" si="37"/>
        <v>0</v>
      </c>
      <c r="N96">
        <f t="shared" si="87"/>
        <v>555.76177388145686</v>
      </c>
      <c r="O96">
        <f t="shared" si="38"/>
        <v>0</v>
      </c>
      <c r="P96">
        <f t="shared" si="39"/>
        <v>155.5580373675165</v>
      </c>
      <c r="Q96" s="4">
        <f t="shared" si="40"/>
        <v>0</v>
      </c>
      <c r="R96" s="4">
        <f t="shared" si="41"/>
        <v>695.12448145385713</v>
      </c>
      <c r="S96" s="4">
        <f t="shared" si="42"/>
        <v>0</v>
      </c>
      <c r="T96">
        <f t="shared" si="43"/>
        <v>179.10608358957668</v>
      </c>
      <c r="U96">
        <f t="shared" si="44"/>
        <v>0</v>
      </c>
      <c r="V96">
        <f t="shared" si="45"/>
        <v>0</v>
      </c>
      <c r="W96">
        <f t="shared" si="46"/>
        <v>0</v>
      </c>
      <c r="X96">
        <f t="shared" si="47"/>
        <v>436.72719415815669</v>
      </c>
      <c r="Y96">
        <f t="shared" si="48"/>
        <v>0</v>
      </c>
      <c r="Z96">
        <f t="shared" si="49"/>
        <v>160.24872689187825</v>
      </c>
      <c r="AA96">
        <f t="shared" si="50"/>
        <v>0</v>
      </c>
      <c r="AB96">
        <f t="shared" si="51"/>
        <v>0</v>
      </c>
      <c r="AC96">
        <f t="shared" si="52"/>
        <v>0</v>
      </c>
      <c r="AD96">
        <f t="shared" si="53"/>
        <v>195.88557526052941</v>
      </c>
      <c r="AE96">
        <f t="shared" si="88"/>
        <v>0</v>
      </c>
      <c r="AF96">
        <f t="shared" si="89"/>
        <v>66.154231798094287</v>
      </c>
      <c r="AG96">
        <f t="shared" si="90"/>
        <v>0</v>
      </c>
      <c r="AH96">
        <f t="shared" si="91"/>
        <v>188.3762312464973</v>
      </c>
      <c r="AI96">
        <f t="shared" si="92"/>
        <v>0</v>
      </c>
      <c r="AJ96" s="4">
        <f t="shared" si="93"/>
        <v>77.957512680123386</v>
      </c>
      <c r="AK96" s="4">
        <f t="shared" si="94"/>
        <v>0</v>
      </c>
      <c r="AL96" s="4">
        <f t="shared" si="95"/>
        <v>72.544172277264934</v>
      </c>
      <c r="AM96" s="4">
        <f t="shared" si="96"/>
        <v>0</v>
      </c>
      <c r="AN96" s="4">
        <f t="shared" si="97"/>
        <v>0</v>
      </c>
      <c r="AO96" s="4">
        <f t="shared" si="98"/>
        <v>0</v>
      </c>
      <c r="AP96" s="4">
        <f t="shared" si="99"/>
        <v>190.23783718408612</v>
      </c>
      <c r="AQ96" s="4">
        <f t="shared" si="100"/>
        <v>0</v>
      </c>
      <c r="AR96" s="4">
        <f t="shared" si="101"/>
        <v>0</v>
      </c>
      <c r="AS96" s="4">
        <f t="shared" si="102"/>
        <v>0</v>
      </c>
      <c r="AT96" s="4">
        <f t="shared" si="103"/>
        <v>0</v>
      </c>
      <c r="AU96" s="4">
        <f t="shared" si="104"/>
        <v>202.35720494116964</v>
      </c>
      <c r="AV96" s="4">
        <f t="shared" si="105"/>
        <v>0</v>
      </c>
      <c r="AW96" s="4">
        <f t="shared" si="106"/>
        <v>177.71904479311732</v>
      </c>
      <c r="AX96" s="4">
        <f t="shared" si="107"/>
        <v>0</v>
      </c>
      <c r="AY96" s="4">
        <f t="shared" si="108"/>
        <v>240.60274525016197</v>
      </c>
      <c r="AZ96" s="4">
        <f t="shared" si="109"/>
        <v>0</v>
      </c>
      <c r="BA96" s="4">
        <f t="shared" si="110"/>
        <v>141.86675159642454</v>
      </c>
      <c r="BB96" s="4">
        <f t="shared" si="111"/>
        <v>0</v>
      </c>
      <c r="BC96" s="4">
        <f t="shared" si="112"/>
        <v>226.58807437865184</v>
      </c>
      <c r="BD96" s="4">
        <f t="shared" si="113"/>
        <v>0</v>
      </c>
      <c r="BE96" s="4">
        <f t="shared" si="114"/>
        <v>184.22963971384345</v>
      </c>
      <c r="BF96" s="4">
        <f t="shared" si="115"/>
        <v>0</v>
      </c>
      <c r="BG96" s="4">
        <f t="shared" si="116"/>
        <v>282.02033723634901</v>
      </c>
      <c r="BH96" s="4">
        <f t="shared" si="117"/>
        <v>0</v>
      </c>
      <c r="BI96" s="4">
        <f t="shared" si="118"/>
        <v>201.78748955546047</v>
      </c>
      <c r="BJ96" s="4"/>
      <c r="BK96" s="4"/>
      <c r="BL96" s="4"/>
      <c r="BM96" s="4">
        <f t="shared" si="55"/>
        <v>1553.9545298609521</v>
      </c>
      <c r="BN96" s="4">
        <f t="shared" si="56"/>
        <v>0</v>
      </c>
      <c r="BO96" s="4">
        <f t="shared" si="57"/>
        <v>1131.0977650078089</v>
      </c>
      <c r="BP96" s="4">
        <f t="shared" si="58"/>
        <v>0</v>
      </c>
      <c r="BQ96" s="4">
        <f t="shared" si="59"/>
        <v>663.99506385495431</v>
      </c>
      <c r="BR96" s="4">
        <f t="shared" si="60"/>
        <v>0</v>
      </c>
      <c r="BS96" s="4">
        <f t="shared" si="61"/>
        <v>331.18419996384478</v>
      </c>
      <c r="BT96" s="4">
        <f t="shared" si="62"/>
        <v>0</v>
      </c>
      <c r="BU96" s="4">
        <f t="shared" si="63"/>
        <v>738.40387083565599</v>
      </c>
      <c r="BV96" s="4">
        <f t="shared" si="64"/>
        <v>0</v>
      </c>
      <c r="BW96" s="4">
        <f t="shared" si="65"/>
        <v>2905.5964224227932</v>
      </c>
      <c r="BX96" s="4">
        <f t="shared" si="66"/>
        <v>0</v>
      </c>
      <c r="BY96" s="4">
        <f t="shared" si="67"/>
        <v>676.02865633250053</v>
      </c>
      <c r="BZ96" s="4">
        <f t="shared" si="68"/>
        <v>0</v>
      </c>
      <c r="CA96" s="4">
        <f t="shared" si="69"/>
        <v>436.17409184154735</v>
      </c>
      <c r="CB96" s="4">
        <f t="shared" si="70"/>
        <v>0</v>
      </c>
      <c r="CC96" s="4">
        <f t="shared" si="71"/>
        <v>1021.403579818368</v>
      </c>
      <c r="CD96" s="4">
        <f t="shared" si="72"/>
        <v>0</v>
      </c>
      <c r="CE96" s="4">
        <f t="shared" si="73"/>
        <v>1732.877955278818</v>
      </c>
      <c r="CF96" s="4">
        <f t="shared" si="74"/>
        <v>0</v>
      </c>
      <c r="CG96" s="4">
        <f t="shared" si="75"/>
        <v>0</v>
      </c>
      <c r="CH96" s="4">
        <f t="shared" si="76"/>
        <v>0</v>
      </c>
      <c r="CI96" s="4">
        <f t="shared" si="77"/>
        <v>699.37414755676934</v>
      </c>
      <c r="CJ96" s="4">
        <f t="shared" si="78"/>
        <v>0</v>
      </c>
      <c r="CK96" s="4">
        <f t="shared" si="79"/>
        <v>997.32578116247998</v>
      </c>
      <c r="CL96" s="4">
        <f t="shared" si="80"/>
        <v>0</v>
      </c>
      <c r="CM96" s="4">
        <f t="shared" si="81"/>
        <v>0</v>
      </c>
      <c r="CN96" s="4">
        <f t="shared" si="82"/>
        <v>0</v>
      </c>
      <c r="CO96" s="4">
        <f t="shared" si="83"/>
        <v>1668.0541143810899</v>
      </c>
      <c r="CP96" s="4">
        <f t="shared" si="84"/>
        <v>0</v>
      </c>
      <c r="CQ96" s="4">
        <f t="shared" si="85"/>
        <v>697.49244792013837</v>
      </c>
    </row>
    <row r="97" spans="2:95" outlineLevel="2" x14ac:dyDescent="0.25">
      <c r="B97">
        <v>6</v>
      </c>
      <c r="D97" s="4">
        <f t="shared" si="31"/>
        <v>146.40866567271928</v>
      </c>
      <c r="F97" s="4">
        <f t="shared" si="32"/>
        <v>267.23555057600987</v>
      </c>
      <c r="G97" s="4"/>
      <c r="H97">
        <f t="shared" si="33"/>
        <v>262.61092993600516</v>
      </c>
      <c r="I97">
        <f t="shared" si="34"/>
        <v>0</v>
      </c>
      <c r="J97">
        <f t="shared" si="86"/>
        <v>67.19966206442993</v>
      </c>
      <c r="K97">
        <f t="shared" si="35"/>
        <v>0</v>
      </c>
      <c r="L97">
        <f t="shared" si="36"/>
        <v>64.359010353141144</v>
      </c>
      <c r="M97">
        <f t="shared" si="37"/>
        <v>0</v>
      </c>
      <c r="N97">
        <f t="shared" si="87"/>
        <v>429.45227981748951</v>
      </c>
      <c r="O97">
        <f t="shared" si="38"/>
        <v>0</v>
      </c>
      <c r="P97">
        <f t="shared" si="39"/>
        <v>120.20393796580821</v>
      </c>
      <c r="Q97" s="4">
        <f t="shared" si="40"/>
        <v>0</v>
      </c>
      <c r="R97" s="4">
        <f t="shared" si="41"/>
        <v>537.14164475979851</v>
      </c>
      <c r="S97" s="4">
        <f t="shared" si="42"/>
        <v>0</v>
      </c>
      <c r="T97">
        <f t="shared" si="43"/>
        <v>143.28486687166128</v>
      </c>
      <c r="U97">
        <f t="shared" si="44"/>
        <v>0</v>
      </c>
      <c r="V97">
        <f t="shared" si="45"/>
        <v>0</v>
      </c>
      <c r="W97">
        <f t="shared" si="46"/>
        <v>0</v>
      </c>
      <c r="X97">
        <f t="shared" si="47"/>
        <v>317.61977756956844</v>
      </c>
      <c r="Y97">
        <f t="shared" si="48"/>
        <v>0</v>
      </c>
      <c r="Z97">
        <f t="shared" si="49"/>
        <v>123.82856168917866</v>
      </c>
      <c r="AA97">
        <f t="shared" si="50"/>
        <v>0</v>
      </c>
      <c r="AB97">
        <f t="shared" si="51"/>
        <v>0</v>
      </c>
      <c r="AC97">
        <f t="shared" si="52"/>
        <v>0</v>
      </c>
      <c r="AD97">
        <f t="shared" si="53"/>
        <v>151.36612633768181</v>
      </c>
      <c r="AE97">
        <f t="shared" si="88"/>
        <v>0</v>
      </c>
      <c r="AF97">
        <f t="shared" si="89"/>
        <v>48.112168580432211</v>
      </c>
      <c r="AG97">
        <f t="shared" si="90"/>
        <v>0</v>
      </c>
      <c r="AH97">
        <f t="shared" si="91"/>
        <v>145.56345141774784</v>
      </c>
      <c r="AI97">
        <f t="shared" si="92"/>
        <v>0</v>
      </c>
      <c r="AJ97" s="4">
        <f t="shared" si="93"/>
        <v>56.696372858271545</v>
      </c>
      <c r="AK97" s="4">
        <f t="shared" si="94"/>
        <v>0</v>
      </c>
      <c r="AL97" s="4">
        <f t="shared" si="95"/>
        <v>52.759398019829028</v>
      </c>
      <c r="AM97" s="4">
        <f t="shared" si="96"/>
        <v>0</v>
      </c>
      <c r="AN97" s="4">
        <f t="shared" si="97"/>
        <v>0</v>
      </c>
      <c r="AO97" s="4">
        <f t="shared" si="98"/>
        <v>0</v>
      </c>
      <c r="AP97" s="4">
        <f t="shared" si="99"/>
        <v>147.00196509679375</v>
      </c>
      <c r="AQ97" s="4">
        <f t="shared" si="100"/>
        <v>0</v>
      </c>
      <c r="AR97" s="4">
        <f t="shared" si="101"/>
        <v>0</v>
      </c>
      <c r="AS97" s="4">
        <f t="shared" si="102"/>
        <v>0</v>
      </c>
      <c r="AT97" s="4">
        <f t="shared" si="103"/>
        <v>0</v>
      </c>
      <c r="AU97" s="4">
        <f t="shared" si="104"/>
        <v>147.16887632085061</v>
      </c>
      <c r="AV97" s="4">
        <f t="shared" si="105"/>
        <v>0</v>
      </c>
      <c r="AW97" s="4">
        <f t="shared" si="106"/>
        <v>129.25021439499443</v>
      </c>
      <c r="AX97" s="4">
        <f t="shared" si="107"/>
        <v>0</v>
      </c>
      <c r="AY97" s="4">
        <f t="shared" si="108"/>
        <v>185.92030314785248</v>
      </c>
      <c r="AZ97" s="4">
        <f t="shared" si="109"/>
        <v>0</v>
      </c>
      <c r="BA97" s="4">
        <f t="shared" si="110"/>
        <v>103.17581934285424</v>
      </c>
      <c r="BB97" s="4">
        <f t="shared" si="111"/>
        <v>0</v>
      </c>
      <c r="BC97" s="4">
        <f t="shared" si="112"/>
        <v>175.09078474713999</v>
      </c>
      <c r="BD97" s="4">
        <f t="shared" si="113"/>
        <v>0</v>
      </c>
      <c r="BE97" s="4">
        <f t="shared" si="114"/>
        <v>142.35926705160631</v>
      </c>
      <c r="BF97" s="4">
        <f t="shared" si="115"/>
        <v>0</v>
      </c>
      <c r="BG97" s="4">
        <f t="shared" si="116"/>
        <v>217.92480604626974</v>
      </c>
      <c r="BH97" s="4">
        <f t="shared" si="117"/>
        <v>0</v>
      </c>
      <c r="BI97" s="4">
        <f t="shared" si="118"/>
        <v>146.75453785851673</v>
      </c>
      <c r="BJ97" s="4"/>
      <c r="BK97" s="4"/>
      <c r="BL97" s="4"/>
      <c r="BM97" s="4">
        <f t="shared" si="55"/>
        <v>1200.7830458016444</v>
      </c>
      <c r="BN97" s="4">
        <f t="shared" si="56"/>
        <v>0</v>
      </c>
      <c r="BO97" s="4">
        <f t="shared" si="57"/>
        <v>874.0300911423974</v>
      </c>
      <c r="BP97" s="4">
        <f t="shared" si="58"/>
        <v>0</v>
      </c>
      <c r="BQ97" s="4">
        <f t="shared" si="59"/>
        <v>543.26868860859895</v>
      </c>
      <c r="BR97" s="4">
        <f t="shared" si="60"/>
        <v>0</v>
      </c>
      <c r="BS97" s="4">
        <f t="shared" si="61"/>
        <v>240.86123633734164</v>
      </c>
      <c r="BT97" s="4">
        <f t="shared" si="62"/>
        <v>0</v>
      </c>
      <c r="BU97" s="4">
        <f t="shared" si="63"/>
        <v>570.58480928209792</v>
      </c>
      <c r="BV97" s="4">
        <f t="shared" si="64"/>
        <v>0</v>
      </c>
      <c r="BW97" s="4">
        <f t="shared" si="65"/>
        <v>2245.2335991448858</v>
      </c>
      <c r="BX97" s="4">
        <f t="shared" si="66"/>
        <v>0</v>
      </c>
      <c r="BY97" s="4">
        <f t="shared" si="67"/>
        <v>522.38577989329565</v>
      </c>
      <c r="BZ97" s="4">
        <f t="shared" si="68"/>
        <v>0</v>
      </c>
      <c r="CA97" s="4">
        <f t="shared" si="69"/>
        <v>337.04361642301393</v>
      </c>
      <c r="CB97" s="4">
        <f t="shared" si="70"/>
        <v>0</v>
      </c>
      <c r="CC97" s="4">
        <f t="shared" si="71"/>
        <v>789.26640258692044</v>
      </c>
      <c r="CD97" s="4">
        <f t="shared" si="72"/>
        <v>0</v>
      </c>
      <c r="CE97" s="4">
        <f t="shared" si="73"/>
        <v>1339.0420563518135</v>
      </c>
      <c r="CF97" s="4">
        <f t="shared" si="74"/>
        <v>0</v>
      </c>
      <c r="CG97" s="4">
        <f t="shared" si="75"/>
        <v>0</v>
      </c>
      <c r="CH97" s="4">
        <f t="shared" si="76"/>
        <v>0</v>
      </c>
      <c r="CI97" s="4">
        <f t="shared" si="77"/>
        <v>540.42547765750339</v>
      </c>
      <c r="CJ97" s="4">
        <f t="shared" si="78"/>
        <v>0</v>
      </c>
      <c r="CK97" s="4">
        <f t="shared" si="79"/>
        <v>770.66083089827976</v>
      </c>
      <c r="CL97" s="4">
        <f t="shared" si="80"/>
        <v>0</v>
      </c>
      <c r="CM97" s="4">
        <f t="shared" si="81"/>
        <v>0</v>
      </c>
      <c r="CN97" s="4">
        <f t="shared" si="82"/>
        <v>0</v>
      </c>
      <c r="CO97" s="4">
        <f t="shared" si="83"/>
        <v>1288.9509065672053</v>
      </c>
      <c r="CP97" s="4">
        <f t="shared" si="84"/>
        <v>0</v>
      </c>
      <c r="CQ97" s="4">
        <f t="shared" si="85"/>
        <v>538.97143702919777</v>
      </c>
    </row>
    <row r="98" spans="2:95" outlineLevel="2" x14ac:dyDescent="0.25">
      <c r="B98">
        <v>7</v>
      </c>
      <c r="D98" s="4">
        <f t="shared" si="31"/>
        <v>113.13396892891939</v>
      </c>
      <c r="F98" s="4">
        <f t="shared" si="32"/>
        <v>206.50019817237117</v>
      </c>
      <c r="G98" s="4"/>
      <c r="H98">
        <f t="shared" si="33"/>
        <v>210.08874394880422</v>
      </c>
      <c r="I98">
        <f t="shared" si="34"/>
        <v>0</v>
      </c>
      <c r="J98">
        <f t="shared" si="86"/>
        <v>48.872481501403612</v>
      </c>
      <c r="K98">
        <f t="shared" si="35"/>
        <v>0</v>
      </c>
      <c r="L98">
        <f t="shared" si="36"/>
        <v>46.806552984102652</v>
      </c>
      <c r="M98">
        <f t="shared" si="37"/>
        <v>0</v>
      </c>
      <c r="N98">
        <f t="shared" si="87"/>
        <v>331.84948894987821</v>
      </c>
      <c r="O98">
        <f t="shared" si="38"/>
        <v>0</v>
      </c>
      <c r="P98">
        <f t="shared" si="39"/>
        <v>92.884861155397218</v>
      </c>
      <c r="Q98" s="4">
        <f t="shared" si="40"/>
        <v>0</v>
      </c>
      <c r="R98" s="4">
        <f t="shared" si="41"/>
        <v>415.06399822348072</v>
      </c>
      <c r="S98" s="4">
        <f t="shared" si="42"/>
        <v>0</v>
      </c>
      <c r="T98">
        <f t="shared" si="43"/>
        <v>114.62789349732911</v>
      </c>
      <c r="U98">
        <f t="shared" si="44"/>
        <v>0</v>
      </c>
      <c r="V98">
        <f t="shared" si="45"/>
        <v>0</v>
      </c>
      <c r="W98">
        <f t="shared" si="46"/>
        <v>0</v>
      </c>
      <c r="X98">
        <f t="shared" si="47"/>
        <v>230.99620186877712</v>
      </c>
      <c r="Y98">
        <f t="shared" si="48"/>
        <v>0</v>
      </c>
      <c r="Z98">
        <f t="shared" si="49"/>
        <v>95.68570675981988</v>
      </c>
      <c r="AA98">
        <f t="shared" si="50"/>
        <v>0</v>
      </c>
      <c r="AB98">
        <f t="shared" si="51"/>
        <v>0</v>
      </c>
      <c r="AC98">
        <f t="shared" si="52"/>
        <v>0</v>
      </c>
      <c r="AD98">
        <f t="shared" si="53"/>
        <v>116.96473398820869</v>
      </c>
      <c r="AE98">
        <f t="shared" si="88"/>
        <v>0</v>
      </c>
      <c r="AF98">
        <f t="shared" si="89"/>
        <v>34.990668058496155</v>
      </c>
      <c r="AG98">
        <f t="shared" si="90"/>
        <v>0</v>
      </c>
      <c r="AH98">
        <f t="shared" si="91"/>
        <v>112.48084882280517</v>
      </c>
      <c r="AI98">
        <f t="shared" si="92"/>
        <v>0</v>
      </c>
      <c r="AJ98" s="4">
        <f t="shared" si="93"/>
        <v>41.233725715106594</v>
      </c>
      <c r="AK98" s="4">
        <f t="shared" si="94"/>
        <v>0</v>
      </c>
      <c r="AL98" s="4">
        <f t="shared" si="95"/>
        <v>38.370471287148398</v>
      </c>
      <c r="AM98" s="4">
        <f t="shared" si="96"/>
        <v>0</v>
      </c>
      <c r="AN98" s="4">
        <f t="shared" si="97"/>
        <v>0</v>
      </c>
      <c r="AO98" s="4">
        <f t="shared" si="98"/>
        <v>0</v>
      </c>
      <c r="AP98" s="4">
        <f t="shared" si="99"/>
        <v>113.59242757479521</v>
      </c>
      <c r="AQ98" s="4">
        <f t="shared" si="100"/>
        <v>0</v>
      </c>
      <c r="AR98" s="4">
        <f t="shared" si="101"/>
        <v>0</v>
      </c>
      <c r="AS98" s="4">
        <f t="shared" si="102"/>
        <v>0</v>
      </c>
      <c r="AT98" s="4">
        <f t="shared" si="103"/>
        <v>0</v>
      </c>
      <c r="AU98" s="4">
        <f t="shared" si="104"/>
        <v>107.03191005152776</v>
      </c>
      <c r="AV98" s="4">
        <f t="shared" si="105"/>
        <v>0</v>
      </c>
      <c r="AW98" s="4">
        <f t="shared" si="106"/>
        <v>94.000155923632306</v>
      </c>
      <c r="AX98" s="4">
        <f t="shared" si="107"/>
        <v>0</v>
      </c>
      <c r="AY98" s="4">
        <f t="shared" si="108"/>
        <v>143.66568879606777</v>
      </c>
      <c r="AZ98" s="4">
        <f t="shared" si="109"/>
        <v>0</v>
      </c>
      <c r="BA98" s="4">
        <f t="shared" si="110"/>
        <v>75.036959522075804</v>
      </c>
      <c r="BB98" s="4">
        <f t="shared" si="111"/>
        <v>0</v>
      </c>
      <c r="BC98" s="4">
        <f t="shared" si="112"/>
        <v>135.29742457733551</v>
      </c>
      <c r="BD98" s="4">
        <f t="shared" si="113"/>
        <v>0</v>
      </c>
      <c r="BE98" s="4">
        <f t="shared" si="114"/>
        <v>110.00488817624124</v>
      </c>
      <c r="BF98" s="4">
        <f t="shared" si="115"/>
        <v>0</v>
      </c>
      <c r="BG98" s="4">
        <f t="shared" si="116"/>
        <v>168.39644103575387</v>
      </c>
      <c r="BH98" s="4">
        <f t="shared" si="117"/>
        <v>0</v>
      </c>
      <c r="BI98" s="4">
        <f t="shared" si="118"/>
        <v>106.73057298801217</v>
      </c>
      <c r="BJ98" s="4"/>
      <c r="BK98" s="4"/>
      <c r="BL98" s="4"/>
      <c r="BM98" s="4">
        <f t="shared" si="55"/>
        <v>927.87780811945265</v>
      </c>
      <c r="BN98" s="4">
        <f t="shared" si="56"/>
        <v>0</v>
      </c>
      <c r="BO98" s="4">
        <f t="shared" si="57"/>
        <v>675.38688861003448</v>
      </c>
      <c r="BP98" s="4">
        <f t="shared" si="58"/>
        <v>0</v>
      </c>
      <c r="BQ98" s="4">
        <f t="shared" si="59"/>
        <v>444.49256340703573</v>
      </c>
      <c r="BR98" s="4">
        <f t="shared" si="60"/>
        <v>0</v>
      </c>
      <c r="BS98" s="4">
        <f t="shared" si="61"/>
        <v>175.17180824533938</v>
      </c>
      <c r="BT98" s="4">
        <f t="shared" si="62"/>
        <v>0</v>
      </c>
      <c r="BU98" s="4">
        <f t="shared" si="63"/>
        <v>440.90644353616653</v>
      </c>
      <c r="BV98" s="4">
        <f t="shared" si="64"/>
        <v>0</v>
      </c>
      <c r="BW98" s="4">
        <f t="shared" si="65"/>
        <v>1734.9532357028661</v>
      </c>
      <c r="BX98" s="4">
        <f t="shared" si="66"/>
        <v>0</v>
      </c>
      <c r="BY98" s="4">
        <f t="shared" si="67"/>
        <v>403.66173900845581</v>
      </c>
      <c r="BZ98" s="4">
        <f t="shared" si="68"/>
        <v>0</v>
      </c>
      <c r="CA98" s="4">
        <f t="shared" si="69"/>
        <v>260.44279450869254</v>
      </c>
      <c r="CB98" s="4">
        <f t="shared" si="70"/>
        <v>0</v>
      </c>
      <c r="CC98" s="4">
        <f t="shared" si="71"/>
        <v>609.88767472625659</v>
      </c>
      <c r="CD98" s="4">
        <f t="shared" si="72"/>
        <v>0</v>
      </c>
      <c r="CE98" s="4">
        <f t="shared" si="73"/>
        <v>1034.7143162718562</v>
      </c>
      <c r="CF98" s="4">
        <f t="shared" si="74"/>
        <v>0</v>
      </c>
      <c r="CG98" s="4">
        <f t="shared" si="75"/>
        <v>0</v>
      </c>
      <c r="CH98" s="4">
        <f t="shared" si="76"/>
        <v>0</v>
      </c>
      <c r="CI98" s="4">
        <f t="shared" si="77"/>
        <v>417.60150546261622</v>
      </c>
      <c r="CJ98" s="4">
        <f t="shared" si="78"/>
        <v>0</v>
      </c>
      <c r="CK98" s="4">
        <f t="shared" si="79"/>
        <v>595.51064205776163</v>
      </c>
      <c r="CL98" s="4">
        <f t="shared" si="80"/>
        <v>0</v>
      </c>
      <c r="CM98" s="4">
        <f t="shared" si="81"/>
        <v>0</v>
      </c>
      <c r="CN98" s="4">
        <f t="shared" si="82"/>
        <v>0</v>
      </c>
      <c r="CO98" s="4">
        <f t="shared" si="83"/>
        <v>996.00751871102204</v>
      </c>
      <c r="CP98" s="4">
        <f t="shared" si="84"/>
        <v>0</v>
      </c>
      <c r="CQ98" s="4">
        <f t="shared" si="85"/>
        <v>416.47792861347097</v>
      </c>
    </row>
    <row r="99" spans="2:95" outlineLevel="2" x14ac:dyDescent="0.25">
      <c r="B99">
        <v>8</v>
      </c>
      <c r="D99" s="4">
        <f t="shared" si="31"/>
        <v>87.421703263255907</v>
      </c>
      <c r="F99" s="4">
        <f t="shared" si="32"/>
        <v>159.56833495137769</v>
      </c>
      <c r="G99" s="4"/>
      <c r="H99">
        <f t="shared" si="33"/>
        <v>168.07099515904335</v>
      </c>
      <c r="I99">
        <f t="shared" si="34"/>
        <v>0</v>
      </c>
      <c r="J99">
        <f t="shared" si="86"/>
        <v>35.543622910111708</v>
      </c>
      <c r="K99">
        <f t="shared" si="35"/>
        <v>0</v>
      </c>
      <c r="L99">
        <f t="shared" si="36"/>
        <v>34.041129442983745</v>
      </c>
      <c r="M99">
        <f t="shared" si="37"/>
        <v>0</v>
      </c>
      <c r="N99">
        <f t="shared" si="87"/>
        <v>256.42915055217861</v>
      </c>
      <c r="O99">
        <f t="shared" si="38"/>
        <v>0</v>
      </c>
      <c r="P99">
        <f t="shared" si="39"/>
        <v>71.774665438261493</v>
      </c>
      <c r="Q99" s="4">
        <f t="shared" si="40"/>
        <v>0</v>
      </c>
      <c r="R99" s="4">
        <f t="shared" si="41"/>
        <v>320.73127135450784</v>
      </c>
      <c r="S99" s="4">
        <f t="shared" si="42"/>
        <v>0</v>
      </c>
      <c r="T99">
        <f t="shared" si="43"/>
        <v>91.702314797863266</v>
      </c>
      <c r="U99">
        <f t="shared" si="44"/>
        <v>0</v>
      </c>
      <c r="V99">
        <f t="shared" si="45"/>
        <v>0</v>
      </c>
      <c r="W99">
        <f t="shared" si="46"/>
        <v>0</v>
      </c>
      <c r="X99">
        <f t="shared" si="47"/>
        <v>167.997237722747</v>
      </c>
      <c r="Y99">
        <f t="shared" si="48"/>
        <v>0</v>
      </c>
      <c r="Z99">
        <f t="shared" si="49"/>
        <v>73.938955223497175</v>
      </c>
      <c r="AA99">
        <f t="shared" si="50"/>
        <v>0</v>
      </c>
      <c r="AB99">
        <f t="shared" si="51"/>
        <v>0</v>
      </c>
      <c r="AC99">
        <f t="shared" si="52"/>
        <v>0</v>
      </c>
      <c r="AD99">
        <f t="shared" si="53"/>
        <v>90.381839899979454</v>
      </c>
      <c r="AE99">
        <f t="shared" si="88"/>
        <v>0</v>
      </c>
      <c r="AF99">
        <f t="shared" si="89"/>
        <v>25.447758587997207</v>
      </c>
      <c r="AG99">
        <f t="shared" si="90"/>
        <v>0</v>
      </c>
      <c r="AH99">
        <f t="shared" si="91"/>
        <v>86.917019544894913</v>
      </c>
      <c r="AI99">
        <f t="shared" si="92"/>
        <v>0</v>
      </c>
      <c r="AJ99" s="4">
        <f t="shared" si="93"/>
        <v>29.988164156441158</v>
      </c>
      <c r="AK99" s="4">
        <f t="shared" si="94"/>
        <v>0</v>
      </c>
      <c r="AL99" s="4">
        <f t="shared" si="95"/>
        <v>27.905797299744293</v>
      </c>
      <c r="AM99" s="4">
        <f t="shared" si="96"/>
        <v>0</v>
      </c>
      <c r="AN99" s="4">
        <f t="shared" si="97"/>
        <v>0</v>
      </c>
      <c r="AO99" s="4">
        <f t="shared" si="98"/>
        <v>0</v>
      </c>
      <c r="AP99" s="4">
        <f t="shared" si="99"/>
        <v>87.775966762341724</v>
      </c>
      <c r="AQ99" s="4">
        <f t="shared" si="100"/>
        <v>0</v>
      </c>
      <c r="AR99" s="4">
        <f t="shared" si="101"/>
        <v>0</v>
      </c>
      <c r="AS99" s="4">
        <f t="shared" si="102"/>
        <v>0</v>
      </c>
      <c r="AT99" s="4">
        <f t="shared" si="103"/>
        <v>0</v>
      </c>
      <c r="AU99" s="4">
        <f t="shared" si="104"/>
        <v>77.841389128383838</v>
      </c>
      <c r="AV99" s="4">
        <f t="shared" si="105"/>
        <v>0</v>
      </c>
      <c r="AW99" s="4">
        <f t="shared" si="106"/>
        <v>68.363749762641675</v>
      </c>
      <c r="AX99" s="4">
        <f t="shared" si="107"/>
        <v>0</v>
      </c>
      <c r="AY99" s="4">
        <f t="shared" si="108"/>
        <v>111.01439588787055</v>
      </c>
      <c r="AZ99" s="4">
        <f t="shared" si="109"/>
        <v>0</v>
      </c>
      <c r="BA99" s="4">
        <f t="shared" si="110"/>
        <v>54.572334197873317</v>
      </c>
      <c r="BB99" s="4">
        <f t="shared" si="111"/>
        <v>0</v>
      </c>
      <c r="BC99" s="4">
        <f t="shared" si="112"/>
        <v>104.54800990066835</v>
      </c>
      <c r="BD99" s="4">
        <f t="shared" si="113"/>
        <v>0</v>
      </c>
      <c r="BE99" s="4">
        <f t="shared" si="114"/>
        <v>85.003777227095483</v>
      </c>
      <c r="BF99" s="4">
        <f t="shared" si="115"/>
        <v>0</v>
      </c>
      <c r="BG99" s="4">
        <f t="shared" si="116"/>
        <v>130.12452261853707</v>
      </c>
      <c r="BH99" s="4">
        <f t="shared" si="117"/>
        <v>0</v>
      </c>
      <c r="BI99" s="4">
        <f t="shared" si="118"/>
        <v>77.622234900372504</v>
      </c>
      <c r="BJ99" s="4"/>
      <c r="BK99" s="4"/>
      <c r="BL99" s="4"/>
      <c r="BM99" s="4">
        <f t="shared" si="55"/>
        <v>716.99648809230439</v>
      </c>
      <c r="BN99" s="4">
        <f t="shared" si="56"/>
        <v>0</v>
      </c>
      <c r="BO99" s="4">
        <f t="shared" si="57"/>
        <v>521.88986847139017</v>
      </c>
      <c r="BP99" s="4">
        <f t="shared" si="58"/>
        <v>0</v>
      </c>
      <c r="BQ99" s="4">
        <f t="shared" si="59"/>
        <v>363.67573369666553</v>
      </c>
      <c r="BR99" s="4">
        <f t="shared" si="60"/>
        <v>0</v>
      </c>
      <c r="BS99" s="4">
        <f t="shared" si="61"/>
        <v>127.39767872388323</v>
      </c>
      <c r="BT99" s="4">
        <f t="shared" si="62"/>
        <v>0</v>
      </c>
      <c r="BU99" s="4">
        <f t="shared" si="63"/>
        <v>340.70043364158323</v>
      </c>
      <c r="BV99" s="4">
        <f t="shared" si="64"/>
        <v>0</v>
      </c>
      <c r="BW99" s="4">
        <f t="shared" si="65"/>
        <v>1340.6456821340332</v>
      </c>
      <c r="BX99" s="4">
        <f t="shared" si="66"/>
        <v>0</v>
      </c>
      <c r="BY99" s="4">
        <f t="shared" si="67"/>
        <v>311.92043468835215</v>
      </c>
      <c r="BZ99" s="4">
        <f t="shared" si="68"/>
        <v>0</v>
      </c>
      <c r="CA99" s="4">
        <f t="shared" si="69"/>
        <v>201.25125030217146</v>
      </c>
      <c r="CB99" s="4">
        <f t="shared" si="70"/>
        <v>0</v>
      </c>
      <c r="CC99" s="4">
        <f t="shared" si="71"/>
        <v>471.2768395611983</v>
      </c>
      <c r="CD99" s="4">
        <f t="shared" si="72"/>
        <v>0</v>
      </c>
      <c r="CE99" s="4">
        <f t="shared" si="73"/>
        <v>799.55197166461585</v>
      </c>
      <c r="CF99" s="4">
        <f t="shared" si="74"/>
        <v>0</v>
      </c>
      <c r="CG99" s="4">
        <f t="shared" si="75"/>
        <v>0</v>
      </c>
      <c r="CH99" s="4">
        <f t="shared" si="76"/>
        <v>0</v>
      </c>
      <c r="CI99" s="4">
        <f t="shared" si="77"/>
        <v>322.69207240293076</v>
      </c>
      <c r="CJ99" s="4">
        <f t="shared" si="78"/>
        <v>0</v>
      </c>
      <c r="CK99" s="4">
        <f t="shared" si="79"/>
        <v>460.16731431736133</v>
      </c>
      <c r="CL99" s="4">
        <f t="shared" si="80"/>
        <v>0</v>
      </c>
      <c r="CM99" s="4">
        <f t="shared" si="81"/>
        <v>0</v>
      </c>
      <c r="CN99" s="4">
        <f t="shared" si="82"/>
        <v>0</v>
      </c>
      <c r="CO99" s="4">
        <f t="shared" si="83"/>
        <v>769.64217354942616</v>
      </c>
      <c r="CP99" s="4">
        <f t="shared" si="84"/>
        <v>0</v>
      </c>
      <c r="CQ99" s="4">
        <f t="shared" si="85"/>
        <v>321.82385392859123</v>
      </c>
    </row>
    <row r="100" spans="2:95" outlineLevel="2" x14ac:dyDescent="0.25">
      <c r="B100">
        <v>9</v>
      </c>
      <c r="D100" s="4">
        <f t="shared" si="31"/>
        <v>67.553134339788627</v>
      </c>
      <c r="F100" s="4">
        <f t="shared" si="32"/>
        <v>123.30280428061005</v>
      </c>
      <c r="G100" s="4"/>
      <c r="H100">
        <f t="shared" si="33"/>
        <v>134.4567961272347</v>
      </c>
      <c r="I100">
        <f t="shared" si="34"/>
        <v>0</v>
      </c>
      <c r="J100">
        <f t="shared" si="86"/>
        <v>25.849907570990329</v>
      </c>
      <c r="K100">
        <f t="shared" si="35"/>
        <v>0</v>
      </c>
      <c r="L100">
        <f t="shared" si="36"/>
        <v>24.757185049442715</v>
      </c>
      <c r="M100">
        <f t="shared" si="37"/>
        <v>0</v>
      </c>
      <c r="N100">
        <f t="shared" si="87"/>
        <v>198.14979815395611</v>
      </c>
      <c r="O100">
        <f t="shared" si="38"/>
        <v>0</v>
      </c>
      <c r="P100">
        <f t="shared" si="39"/>
        <v>55.462241475020228</v>
      </c>
      <c r="Q100" s="4">
        <f t="shared" si="40"/>
        <v>0</v>
      </c>
      <c r="R100" s="4">
        <f t="shared" si="41"/>
        <v>247.83780059211961</v>
      </c>
      <c r="S100" s="4">
        <f t="shared" si="42"/>
        <v>0</v>
      </c>
      <c r="T100">
        <f t="shared" si="43"/>
        <v>73.361851838290633</v>
      </c>
      <c r="U100">
        <f t="shared" si="44"/>
        <v>0</v>
      </c>
      <c r="V100">
        <f t="shared" si="45"/>
        <v>0</v>
      </c>
      <c r="W100">
        <f t="shared" si="46"/>
        <v>0</v>
      </c>
      <c r="X100">
        <f t="shared" si="47"/>
        <v>122.17980925290691</v>
      </c>
      <c r="Y100">
        <f t="shared" si="48"/>
        <v>0</v>
      </c>
      <c r="Z100">
        <f t="shared" si="49"/>
        <v>57.134647218156886</v>
      </c>
      <c r="AA100">
        <f t="shared" si="50"/>
        <v>0</v>
      </c>
      <c r="AB100">
        <f t="shared" si="51"/>
        <v>0</v>
      </c>
      <c r="AC100">
        <f t="shared" si="52"/>
        <v>0</v>
      </c>
      <c r="AD100">
        <f t="shared" si="53"/>
        <v>69.840512649984106</v>
      </c>
      <c r="AE100">
        <f t="shared" si="88"/>
        <v>0</v>
      </c>
      <c r="AF100">
        <f t="shared" si="89"/>
        <v>18.507460791270695</v>
      </c>
      <c r="AG100">
        <f t="shared" si="90"/>
        <v>0</v>
      </c>
      <c r="AH100">
        <f t="shared" si="91"/>
        <v>67.163151466509689</v>
      </c>
      <c r="AI100">
        <f t="shared" si="92"/>
        <v>0</v>
      </c>
      <c r="AJ100" s="4">
        <f t="shared" si="93"/>
        <v>21.809573931957203</v>
      </c>
      <c r="AK100" s="4">
        <f t="shared" si="94"/>
        <v>0</v>
      </c>
      <c r="AL100" s="4">
        <f t="shared" si="95"/>
        <v>20.295125308904932</v>
      </c>
      <c r="AM100" s="4">
        <f t="shared" si="96"/>
        <v>0</v>
      </c>
      <c r="AN100" s="4">
        <f t="shared" si="97"/>
        <v>0</v>
      </c>
      <c r="AO100" s="4">
        <f t="shared" si="98"/>
        <v>0</v>
      </c>
      <c r="AP100" s="4">
        <f t="shared" si="99"/>
        <v>67.826883407264049</v>
      </c>
      <c r="AQ100" s="4">
        <f t="shared" si="100"/>
        <v>0</v>
      </c>
      <c r="AR100" s="4">
        <f t="shared" si="101"/>
        <v>0</v>
      </c>
      <c r="AS100" s="4">
        <f t="shared" si="102"/>
        <v>0</v>
      </c>
      <c r="AT100" s="4">
        <f t="shared" si="103"/>
        <v>0</v>
      </c>
      <c r="AU100" s="4">
        <f t="shared" si="104"/>
        <v>56.611919366097325</v>
      </c>
      <c r="AV100" s="4">
        <f t="shared" si="105"/>
        <v>0</v>
      </c>
      <c r="AW100" s="4">
        <f t="shared" si="106"/>
        <v>49.719090736466683</v>
      </c>
      <c r="AX100" s="4">
        <f t="shared" si="107"/>
        <v>0</v>
      </c>
      <c r="AY100" s="4">
        <f t="shared" si="108"/>
        <v>85.783851367899942</v>
      </c>
      <c r="AZ100" s="4">
        <f t="shared" si="109"/>
        <v>0</v>
      </c>
      <c r="BA100" s="4">
        <f t="shared" si="110"/>
        <v>39.688970325726068</v>
      </c>
      <c r="BB100" s="4">
        <f t="shared" si="111"/>
        <v>0</v>
      </c>
      <c r="BC100" s="4">
        <f t="shared" si="112"/>
        <v>80.78709855960733</v>
      </c>
      <c r="BD100" s="4">
        <f t="shared" si="113"/>
        <v>0</v>
      </c>
      <c r="BE100" s="4">
        <f t="shared" si="114"/>
        <v>65.684736948210144</v>
      </c>
      <c r="BF100" s="4">
        <f t="shared" si="115"/>
        <v>0</v>
      </c>
      <c r="BG100" s="4">
        <f t="shared" si="116"/>
        <v>100.55076747796042</v>
      </c>
      <c r="BH100" s="4">
        <f t="shared" si="117"/>
        <v>0</v>
      </c>
      <c r="BI100" s="4">
        <f t="shared" si="118"/>
        <v>56.452534472998167</v>
      </c>
      <c r="BJ100" s="4"/>
      <c r="BK100" s="4"/>
      <c r="BL100" s="4"/>
      <c r="BM100" s="4">
        <f t="shared" si="55"/>
        <v>554.04274079859863</v>
      </c>
      <c r="BN100" s="4">
        <f t="shared" si="56"/>
        <v>0</v>
      </c>
      <c r="BO100" s="4">
        <f t="shared" si="57"/>
        <v>403.27853472789235</v>
      </c>
      <c r="BP100" s="4">
        <f t="shared" si="58"/>
        <v>0</v>
      </c>
      <c r="BQ100" s="4">
        <f t="shared" si="59"/>
        <v>297.55287302454457</v>
      </c>
      <c r="BR100" s="4">
        <f t="shared" si="60"/>
        <v>0</v>
      </c>
      <c r="BS100" s="4">
        <f t="shared" si="61"/>
        <v>92.652857253733245</v>
      </c>
      <c r="BT100" s="4">
        <f t="shared" si="62"/>
        <v>0</v>
      </c>
      <c r="BU100" s="4">
        <f t="shared" si="63"/>
        <v>263.26851690485967</v>
      </c>
      <c r="BV100" s="4">
        <f t="shared" si="64"/>
        <v>0</v>
      </c>
      <c r="BW100" s="4">
        <f t="shared" si="65"/>
        <v>1035.9534816490252</v>
      </c>
      <c r="BX100" s="4">
        <f t="shared" si="66"/>
        <v>0</v>
      </c>
      <c r="BY100" s="4">
        <f t="shared" si="67"/>
        <v>241.0294268046357</v>
      </c>
      <c r="BZ100" s="4">
        <f t="shared" si="68"/>
        <v>0</v>
      </c>
      <c r="CA100" s="4">
        <f t="shared" si="69"/>
        <v>155.51232977895063</v>
      </c>
      <c r="CB100" s="4">
        <f t="shared" si="70"/>
        <v>0</v>
      </c>
      <c r="CC100" s="4">
        <f t="shared" si="71"/>
        <v>364.16846693365312</v>
      </c>
      <c r="CD100" s="4">
        <f t="shared" si="72"/>
        <v>0</v>
      </c>
      <c r="CE100" s="4">
        <f t="shared" si="73"/>
        <v>617.83561446811234</v>
      </c>
      <c r="CF100" s="4">
        <f t="shared" si="74"/>
        <v>0</v>
      </c>
      <c r="CG100" s="4">
        <f t="shared" si="75"/>
        <v>0</v>
      </c>
      <c r="CH100" s="4">
        <f t="shared" si="76"/>
        <v>0</v>
      </c>
      <c r="CI100" s="4">
        <f t="shared" si="77"/>
        <v>249.35296503862824</v>
      </c>
      <c r="CJ100" s="4">
        <f t="shared" si="78"/>
        <v>0</v>
      </c>
      <c r="CK100" s="4">
        <f t="shared" si="79"/>
        <v>355.58383379068817</v>
      </c>
      <c r="CL100" s="4">
        <f t="shared" si="80"/>
        <v>0</v>
      </c>
      <c r="CM100" s="4">
        <f t="shared" si="81"/>
        <v>0</v>
      </c>
      <c r="CN100" s="4">
        <f t="shared" si="82"/>
        <v>0</v>
      </c>
      <c r="CO100" s="4">
        <f t="shared" si="83"/>
        <v>594.72349774273823</v>
      </c>
      <c r="CP100" s="4">
        <f t="shared" si="84"/>
        <v>0</v>
      </c>
      <c r="CQ100" s="4">
        <f t="shared" si="85"/>
        <v>248.68206894482043</v>
      </c>
    </row>
    <row r="101" spans="2:95" outlineLevel="2" x14ac:dyDescent="0.25">
      <c r="B101">
        <v>10</v>
      </c>
      <c r="D101" s="4">
        <f t="shared" si="31"/>
        <v>52.200149262563947</v>
      </c>
      <c r="F101" s="4">
        <f t="shared" si="32"/>
        <v>95.279439671380516</v>
      </c>
      <c r="G101" s="4"/>
      <c r="H101">
        <f t="shared" si="33"/>
        <v>107.56543690178776</v>
      </c>
      <c r="I101">
        <f t="shared" si="34"/>
        <v>0</v>
      </c>
      <c r="J101">
        <f t="shared" si="86"/>
        <v>18.799932778902061</v>
      </c>
      <c r="K101">
        <f t="shared" si="35"/>
        <v>0</v>
      </c>
      <c r="L101">
        <f t="shared" si="36"/>
        <v>18.005225490503797</v>
      </c>
      <c r="M101">
        <f t="shared" si="37"/>
        <v>0</v>
      </c>
      <c r="N101">
        <f t="shared" si="87"/>
        <v>153.11575311896607</v>
      </c>
      <c r="O101">
        <f t="shared" si="38"/>
        <v>0</v>
      </c>
      <c r="P101">
        <f t="shared" si="39"/>
        <v>42.85718659433379</v>
      </c>
      <c r="Q101" s="4">
        <f t="shared" si="40"/>
        <v>0</v>
      </c>
      <c r="R101" s="4">
        <f t="shared" si="41"/>
        <v>191.51102773027426</v>
      </c>
      <c r="S101" s="4">
        <f t="shared" si="42"/>
        <v>0</v>
      </c>
      <c r="T101">
        <f t="shared" si="43"/>
        <v>58.689481470632472</v>
      </c>
      <c r="U101">
        <f t="shared" si="44"/>
        <v>0</v>
      </c>
      <c r="V101">
        <f t="shared" si="45"/>
        <v>0</v>
      </c>
      <c r="W101">
        <f t="shared" si="46"/>
        <v>0</v>
      </c>
      <c r="X101">
        <f t="shared" si="47"/>
        <v>88.858043093023198</v>
      </c>
      <c r="Y101">
        <f t="shared" si="48"/>
        <v>0</v>
      </c>
      <c r="Z101">
        <f t="shared" si="49"/>
        <v>44.149500123121229</v>
      </c>
      <c r="AA101">
        <f t="shared" si="50"/>
        <v>0</v>
      </c>
      <c r="AB101">
        <f t="shared" si="51"/>
        <v>0</v>
      </c>
      <c r="AC101">
        <f t="shared" si="52"/>
        <v>0</v>
      </c>
      <c r="AD101">
        <f t="shared" si="53"/>
        <v>53.967668865896805</v>
      </c>
      <c r="AE101">
        <f t="shared" si="88"/>
        <v>0</v>
      </c>
      <c r="AF101">
        <f t="shared" si="89"/>
        <v>13.459971484560505</v>
      </c>
      <c r="AG101">
        <f t="shared" si="90"/>
        <v>0</v>
      </c>
      <c r="AH101">
        <f t="shared" si="91"/>
        <v>51.898798860484732</v>
      </c>
      <c r="AI101">
        <f t="shared" si="92"/>
        <v>0</v>
      </c>
      <c r="AJ101" s="4">
        <f t="shared" si="93"/>
        <v>15.861508314150692</v>
      </c>
      <c r="AK101" s="4">
        <f t="shared" si="94"/>
        <v>0</v>
      </c>
      <c r="AL101" s="4">
        <f t="shared" si="95"/>
        <v>14.760091133749047</v>
      </c>
      <c r="AM101" s="4">
        <f t="shared" si="96"/>
        <v>0</v>
      </c>
      <c r="AN101" s="4">
        <f t="shared" si="97"/>
        <v>0</v>
      </c>
      <c r="AO101" s="4">
        <f t="shared" si="98"/>
        <v>0</v>
      </c>
      <c r="AP101" s="4">
        <f t="shared" si="99"/>
        <v>52.411682632885842</v>
      </c>
      <c r="AQ101" s="4">
        <f t="shared" si="100"/>
        <v>0</v>
      </c>
      <c r="AR101" s="4">
        <f t="shared" si="101"/>
        <v>0</v>
      </c>
      <c r="AS101" s="4">
        <f t="shared" si="102"/>
        <v>0</v>
      </c>
      <c r="AT101" s="4">
        <f t="shared" si="103"/>
        <v>0</v>
      </c>
      <c r="AU101" s="4">
        <f t="shared" si="104"/>
        <v>41.17230499352533</v>
      </c>
      <c r="AV101" s="4">
        <f t="shared" si="105"/>
        <v>0</v>
      </c>
      <c r="AW101" s="4">
        <f t="shared" si="106"/>
        <v>36.159338717430309</v>
      </c>
      <c r="AX101" s="4">
        <f t="shared" si="107"/>
        <v>0</v>
      </c>
      <c r="AY101" s="4">
        <f t="shared" si="108"/>
        <v>66.287521511559049</v>
      </c>
      <c r="AZ101" s="4">
        <f t="shared" si="109"/>
        <v>0</v>
      </c>
      <c r="BA101" s="4">
        <f t="shared" si="110"/>
        <v>28.864705691437123</v>
      </c>
      <c r="BB101" s="4">
        <f t="shared" si="111"/>
        <v>0</v>
      </c>
      <c r="BC101" s="4">
        <f t="shared" si="112"/>
        <v>62.426394341514751</v>
      </c>
      <c r="BD101" s="4">
        <f t="shared" si="113"/>
        <v>0</v>
      </c>
      <c r="BE101" s="4">
        <f t="shared" si="114"/>
        <v>50.756387641798739</v>
      </c>
      <c r="BF101" s="4">
        <f t="shared" si="115"/>
        <v>0</v>
      </c>
      <c r="BG101" s="4">
        <f t="shared" si="116"/>
        <v>77.698320323878519</v>
      </c>
      <c r="BH101" s="4">
        <f t="shared" si="117"/>
        <v>0</v>
      </c>
      <c r="BI101" s="4">
        <f t="shared" si="118"/>
        <v>41.056388707635037</v>
      </c>
      <c r="BJ101" s="4"/>
      <c r="BK101" s="4"/>
      <c r="BL101" s="4"/>
      <c r="BM101" s="4">
        <f t="shared" si="55"/>
        <v>428.12393607164432</v>
      </c>
      <c r="BN101" s="4">
        <f t="shared" si="56"/>
        <v>0</v>
      </c>
      <c r="BO101" s="4">
        <f t="shared" si="57"/>
        <v>311.62432228973495</v>
      </c>
      <c r="BP101" s="4">
        <f t="shared" si="58"/>
        <v>0</v>
      </c>
      <c r="BQ101" s="4">
        <f t="shared" si="59"/>
        <v>243.4523506564455</v>
      </c>
      <c r="BR101" s="4">
        <f t="shared" si="60"/>
        <v>0</v>
      </c>
      <c r="BS101" s="4">
        <f t="shared" si="61"/>
        <v>67.38389618453327</v>
      </c>
      <c r="BT101" s="4">
        <f t="shared" si="62"/>
        <v>0</v>
      </c>
      <c r="BU101" s="4">
        <f t="shared" si="63"/>
        <v>203.43476306284612</v>
      </c>
      <c r="BV101" s="4">
        <f t="shared" si="64"/>
        <v>0</v>
      </c>
      <c r="BW101" s="4">
        <f t="shared" si="65"/>
        <v>800.50950854697385</v>
      </c>
      <c r="BX101" s="4">
        <f t="shared" si="66"/>
        <v>0</v>
      </c>
      <c r="BY101" s="4">
        <f t="shared" si="67"/>
        <v>186.25001162176392</v>
      </c>
      <c r="BZ101" s="4">
        <f t="shared" si="68"/>
        <v>0</v>
      </c>
      <c r="CA101" s="4">
        <f t="shared" si="69"/>
        <v>120.16861846555275</v>
      </c>
      <c r="CB101" s="4">
        <f t="shared" si="70"/>
        <v>0</v>
      </c>
      <c r="CC101" s="4">
        <f t="shared" si="71"/>
        <v>281.40290626691382</v>
      </c>
      <c r="CD101" s="4">
        <f t="shared" si="72"/>
        <v>0</v>
      </c>
      <c r="CE101" s="4">
        <f t="shared" si="73"/>
        <v>477.41842936172299</v>
      </c>
      <c r="CF101" s="4">
        <f t="shared" si="74"/>
        <v>0</v>
      </c>
      <c r="CG101" s="4">
        <f t="shared" si="75"/>
        <v>0</v>
      </c>
      <c r="CH101" s="4">
        <f t="shared" si="76"/>
        <v>0</v>
      </c>
      <c r="CI101" s="4">
        <f t="shared" si="77"/>
        <v>192.68183662075813</v>
      </c>
      <c r="CJ101" s="4">
        <f t="shared" si="78"/>
        <v>0</v>
      </c>
      <c r="CK101" s="4">
        <f t="shared" si="79"/>
        <v>274.76932611098624</v>
      </c>
      <c r="CL101" s="4">
        <f t="shared" si="80"/>
        <v>0</v>
      </c>
      <c r="CM101" s="4">
        <f t="shared" si="81"/>
        <v>0</v>
      </c>
      <c r="CN101" s="4">
        <f t="shared" si="82"/>
        <v>0</v>
      </c>
      <c r="CO101" s="4">
        <f t="shared" si="83"/>
        <v>459.55906643757038</v>
      </c>
      <c r="CP101" s="4">
        <f t="shared" si="84"/>
        <v>0</v>
      </c>
      <c r="CQ101" s="4">
        <f t="shared" si="85"/>
        <v>192.16341691190661</v>
      </c>
    </row>
    <row r="102" spans="2:95" outlineLevel="2" x14ac:dyDescent="0.25">
      <c r="B102">
        <v>11</v>
      </c>
      <c r="D102" s="4">
        <f t="shared" si="31"/>
        <v>40.336478975617588</v>
      </c>
      <c r="F102" s="4">
        <f t="shared" si="32"/>
        <v>73.625021564248556</v>
      </c>
      <c r="G102" s="4"/>
      <c r="H102">
        <f t="shared" si="33"/>
        <v>86.052349521430187</v>
      </c>
      <c r="I102">
        <f t="shared" si="34"/>
        <v>0</v>
      </c>
      <c r="J102">
        <f t="shared" si="86"/>
        <v>13.672678384656042</v>
      </c>
      <c r="K102">
        <f t="shared" si="35"/>
        <v>0</v>
      </c>
      <c r="L102">
        <f t="shared" si="36"/>
        <v>13.094709447639122</v>
      </c>
      <c r="M102">
        <f t="shared" si="37"/>
        <v>0</v>
      </c>
      <c r="N102">
        <f t="shared" si="87"/>
        <v>118.31671831920106</v>
      </c>
      <c r="O102">
        <f t="shared" si="38"/>
        <v>0</v>
      </c>
      <c r="P102">
        <f t="shared" si="39"/>
        <v>33.116916913803394</v>
      </c>
      <c r="Q102" s="4">
        <f t="shared" si="40"/>
        <v>0</v>
      </c>
      <c r="R102" s="4">
        <f t="shared" si="41"/>
        <v>147.98579415521192</v>
      </c>
      <c r="S102" s="4">
        <f t="shared" si="42"/>
        <v>0</v>
      </c>
      <c r="T102">
        <f t="shared" si="43"/>
        <v>46.951585176505994</v>
      </c>
      <c r="U102">
        <f t="shared" si="44"/>
        <v>0</v>
      </c>
      <c r="V102">
        <f t="shared" si="45"/>
        <v>0</v>
      </c>
      <c r="W102">
        <f t="shared" si="46"/>
        <v>0</v>
      </c>
      <c r="X102">
        <f t="shared" si="47"/>
        <v>64.624031340380512</v>
      </c>
      <c r="Y102">
        <f t="shared" si="48"/>
        <v>0</v>
      </c>
      <c r="Z102">
        <f t="shared" si="49"/>
        <v>34.115522822411855</v>
      </c>
      <c r="AA102">
        <f t="shared" si="50"/>
        <v>0</v>
      </c>
      <c r="AB102">
        <f t="shared" si="51"/>
        <v>0</v>
      </c>
      <c r="AC102">
        <f t="shared" si="52"/>
        <v>0</v>
      </c>
      <c r="AD102">
        <f t="shared" si="53"/>
        <v>41.702289578192982</v>
      </c>
      <c r="AE102">
        <f t="shared" si="88"/>
        <v>0</v>
      </c>
      <c r="AF102">
        <f t="shared" si="89"/>
        <v>9.7890701705894578</v>
      </c>
      <c r="AG102">
        <f t="shared" si="90"/>
        <v>0</v>
      </c>
      <c r="AH102">
        <f t="shared" si="91"/>
        <v>40.103617301283663</v>
      </c>
      <c r="AI102">
        <f t="shared" si="92"/>
        <v>0</v>
      </c>
      <c r="AJ102" s="4">
        <f t="shared" si="93"/>
        <v>11.535642410291413</v>
      </c>
      <c r="AK102" s="4">
        <f t="shared" si="94"/>
        <v>0</v>
      </c>
      <c r="AL102" s="4">
        <f t="shared" si="95"/>
        <v>10.734611733635671</v>
      </c>
      <c r="AM102" s="4">
        <f t="shared" si="96"/>
        <v>0</v>
      </c>
      <c r="AN102" s="4">
        <f t="shared" si="97"/>
        <v>0</v>
      </c>
      <c r="AO102" s="4">
        <f t="shared" si="98"/>
        <v>0</v>
      </c>
      <c r="AP102" s="4">
        <f t="shared" si="99"/>
        <v>40.49993657995725</v>
      </c>
      <c r="AQ102" s="4">
        <f t="shared" si="100"/>
        <v>0</v>
      </c>
      <c r="AR102" s="4">
        <f t="shared" si="101"/>
        <v>0</v>
      </c>
      <c r="AS102" s="4">
        <f t="shared" si="102"/>
        <v>0</v>
      </c>
      <c r="AT102" s="4">
        <f t="shared" si="103"/>
        <v>0</v>
      </c>
      <c r="AU102" s="4">
        <f t="shared" si="104"/>
        <v>29.943494540745693</v>
      </c>
      <c r="AV102" s="4">
        <f t="shared" si="105"/>
        <v>0</v>
      </c>
      <c r="AW102" s="4">
        <f t="shared" si="106"/>
        <v>26.297700885403863</v>
      </c>
      <c r="AX102" s="4">
        <f t="shared" si="107"/>
        <v>0</v>
      </c>
      <c r="AY102" s="4">
        <f t="shared" si="108"/>
        <v>51.222175713477426</v>
      </c>
      <c r="AZ102" s="4">
        <f t="shared" si="109"/>
        <v>0</v>
      </c>
      <c r="BA102" s="4">
        <f t="shared" si="110"/>
        <v>20.992513230136101</v>
      </c>
      <c r="BB102" s="4">
        <f t="shared" si="111"/>
        <v>0</v>
      </c>
      <c r="BC102" s="4">
        <f t="shared" si="112"/>
        <v>48.238577445715926</v>
      </c>
      <c r="BD102" s="4">
        <f t="shared" si="113"/>
        <v>0</v>
      </c>
      <c r="BE102" s="4">
        <f t="shared" si="114"/>
        <v>39.220844995935394</v>
      </c>
      <c r="BF102" s="4">
        <f t="shared" si="115"/>
        <v>0</v>
      </c>
      <c r="BG102" s="4">
        <f t="shared" si="116"/>
        <v>60.039611159360668</v>
      </c>
      <c r="BH102" s="4">
        <f t="shared" si="117"/>
        <v>0</v>
      </c>
      <c r="BI102" s="4">
        <f t="shared" si="118"/>
        <v>29.859191787370939</v>
      </c>
      <c r="BJ102" s="4"/>
      <c r="BK102" s="4"/>
      <c r="BL102" s="4"/>
      <c r="BM102" s="4">
        <f t="shared" si="55"/>
        <v>330.82304150990694</v>
      </c>
      <c r="BN102" s="4">
        <f t="shared" si="56"/>
        <v>0</v>
      </c>
      <c r="BO102" s="4">
        <f t="shared" si="57"/>
        <v>240.80061267843158</v>
      </c>
      <c r="BP102" s="4">
        <f t="shared" si="58"/>
        <v>0</v>
      </c>
      <c r="BQ102" s="4">
        <f t="shared" si="59"/>
        <v>199.18828690072817</v>
      </c>
      <c r="BR102" s="4">
        <f t="shared" si="60"/>
        <v>0</v>
      </c>
      <c r="BS102" s="4">
        <f t="shared" si="61"/>
        <v>49.006469952387832</v>
      </c>
      <c r="BT102" s="4">
        <f t="shared" si="62"/>
        <v>0</v>
      </c>
      <c r="BU102" s="4">
        <f t="shared" si="63"/>
        <v>157.19958963947198</v>
      </c>
      <c r="BV102" s="4">
        <f t="shared" si="64"/>
        <v>0</v>
      </c>
      <c r="BW102" s="4">
        <f t="shared" si="65"/>
        <v>618.57552933175259</v>
      </c>
      <c r="BX102" s="4">
        <f t="shared" si="66"/>
        <v>0</v>
      </c>
      <c r="BY102" s="4">
        <f t="shared" si="67"/>
        <v>143.9204635259085</v>
      </c>
      <c r="BZ102" s="4">
        <f t="shared" si="68"/>
        <v>0</v>
      </c>
      <c r="CA102" s="4">
        <f t="shared" si="69"/>
        <v>92.857568814290758</v>
      </c>
      <c r="CB102" s="4">
        <f t="shared" si="70"/>
        <v>0</v>
      </c>
      <c r="CC102" s="4">
        <f t="shared" si="71"/>
        <v>217.44770029716068</v>
      </c>
      <c r="CD102" s="4">
        <f t="shared" si="72"/>
        <v>0</v>
      </c>
      <c r="CE102" s="4">
        <f t="shared" si="73"/>
        <v>368.9142408704223</v>
      </c>
      <c r="CF102" s="4">
        <f t="shared" si="74"/>
        <v>0</v>
      </c>
      <c r="CG102" s="4">
        <f t="shared" si="75"/>
        <v>0</v>
      </c>
      <c r="CH102" s="4">
        <f t="shared" si="76"/>
        <v>0</v>
      </c>
      <c r="CI102" s="4">
        <f t="shared" si="77"/>
        <v>148.89051011604042</v>
      </c>
      <c r="CJ102" s="4">
        <f t="shared" si="78"/>
        <v>0</v>
      </c>
      <c r="CK102" s="4">
        <f t="shared" si="79"/>
        <v>212.321751994853</v>
      </c>
      <c r="CL102" s="4">
        <f t="shared" si="80"/>
        <v>0</v>
      </c>
      <c r="CM102" s="4">
        <f t="shared" si="81"/>
        <v>0</v>
      </c>
      <c r="CN102" s="4">
        <f t="shared" si="82"/>
        <v>0</v>
      </c>
      <c r="CO102" s="4">
        <f t="shared" si="83"/>
        <v>355.11382406539548</v>
      </c>
      <c r="CP102" s="4">
        <f t="shared" si="84"/>
        <v>0</v>
      </c>
      <c r="CQ102" s="4">
        <f t="shared" si="85"/>
        <v>148.48991306829149</v>
      </c>
    </row>
    <row r="103" spans="2:95" outlineLevel="2" x14ac:dyDescent="0.25">
      <c r="B103">
        <v>12</v>
      </c>
      <c r="D103" s="4">
        <f t="shared" si="31"/>
        <v>31.169097390249959</v>
      </c>
      <c r="F103" s="4">
        <f t="shared" si="32"/>
        <v>56.892062117828431</v>
      </c>
      <c r="G103" s="4"/>
      <c r="H103">
        <f t="shared" si="33"/>
        <v>68.841879617144173</v>
      </c>
      <c r="I103">
        <f t="shared" si="34"/>
        <v>0</v>
      </c>
      <c r="J103">
        <f t="shared" si="86"/>
        <v>9.94376609793167</v>
      </c>
      <c r="K103">
        <f t="shared" si="35"/>
        <v>0</v>
      </c>
      <c r="L103">
        <f t="shared" si="36"/>
        <v>9.5234250528284612</v>
      </c>
      <c r="M103">
        <f t="shared" si="37"/>
        <v>0</v>
      </c>
      <c r="N103">
        <f t="shared" si="87"/>
        <v>91.426555064837203</v>
      </c>
      <c r="O103">
        <f t="shared" si="38"/>
        <v>0</v>
      </c>
      <c r="P103">
        <f t="shared" si="39"/>
        <v>25.590344887938986</v>
      </c>
      <c r="Q103" s="4">
        <f t="shared" si="40"/>
        <v>0</v>
      </c>
      <c r="R103" s="4">
        <f t="shared" si="41"/>
        <v>114.35265911993645</v>
      </c>
      <c r="S103" s="4">
        <f t="shared" si="42"/>
        <v>0</v>
      </c>
      <c r="T103">
        <f t="shared" si="43"/>
        <v>37.561268141204785</v>
      </c>
      <c r="U103">
        <f t="shared" si="44"/>
        <v>0</v>
      </c>
      <c r="V103">
        <f t="shared" si="45"/>
        <v>0</v>
      </c>
      <c r="W103">
        <f t="shared" si="46"/>
        <v>0</v>
      </c>
      <c r="X103">
        <f t="shared" si="47"/>
        <v>46.999295520276746</v>
      </c>
      <c r="Y103">
        <f t="shared" si="48"/>
        <v>0</v>
      </c>
      <c r="Z103">
        <f t="shared" si="49"/>
        <v>26.361994908227341</v>
      </c>
      <c r="AA103">
        <f t="shared" si="50"/>
        <v>0</v>
      </c>
      <c r="AB103">
        <f t="shared" si="51"/>
        <v>0</v>
      </c>
      <c r="AC103">
        <f t="shared" si="52"/>
        <v>0</v>
      </c>
      <c r="AD103">
        <f t="shared" si="53"/>
        <v>32.224496492240014</v>
      </c>
      <c r="AE103">
        <f t="shared" si="88"/>
        <v>0</v>
      </c>
      <c r="AF103">
        <f t="shared" si="89"/>
        <v>7.1193237604286992</v>
      </c>
      <c r="AG103">
        <f t="shared" si="90"/>
        <v>0</v>
      </c>
      <c r="AH103">
        <f t="shared" si="91"/>
        <v>30.98915882371919</v>
      </c>
      <c r="AI103">
        <f t="shared" si="92"/>
        <v>0</v>
      </c>
      <c r="AJ103" s="4">
        <f t="shared" si="93"/>
        <v>8.3895581165755768</v>
      </c>
      <c r="AK103" s="4">
        <f t="shared" si="94"/>
        <v>0</v>
      </c>
      <c r="AL103" s="4">
        <f t="shared" si="95"/>
        <v>7.8069903517350374</v>
      </c>
      <c r="AM103" s="4">
        <f t="shared" si="96"/>
        <v>0</v>
      </c>
      <c r="AN103" s="4">
        <f t="shared" si="97"/>
        <v>0</v>
      </c>
      <c r="AO103" s="4">
        <f t="shared" si="98"/>
        <v>0</v>
      </c>
      <c r="AP103" s="4">
        <f t="shared" si="99"/>
        <v>31.295405539057867</v>
      </c>
      <c r="AQ103" s="4">
        <f t="shared" si="100"/>
        <v>0</v>
      </c>
      <c r="AR103" s="4">
        <f t="shared" si="101"/>
        <v>0</v>
      </c>
      <c r="AS103" s="4">
        <f t="shared" si="102"/>
        <v>0</v>
      </c>
      <c r="AT103" s="4">
        <f t="shared" si="103"/>
        <v>0</v>
      </c>
      <c r="AU103" s="4">
        <f t="shared" si="104"/>
        <v>21.777086938724146</v>
      </c>
      <c r="AV103" s="4">
        <f t="shared" si="105"/>
        <v>0</v>
      </c>
      <c r="AW103" s="4">
        <f t="shared" si="106"/>
        <v>19.125600643930088</v>
      </c>
      <c r="AX103" s="4">
        <f t="shared" si="107"/>
        <v>0</v>
      </c>
      <c r="AY103" s="4">
        <f t="shared" si="108"/>
        <v>39.580772142232561</v>
      </c>
      <c r="AZ103" s="4">
        <f t="shared" si="109"/>
        <v>0</v>
      </c>
      <c r="BA103" s="4">
        <f t="shared" si="110"/>
        <v>15.267282349189893</v>
      </c>
      <c r="BB103" s="4">
        <f t="shared" si="111"/>
        <v>0</v>
      </c>
      <c r="BC103" s="4">
        <f t="shared" si="112"/>
        <v>37.275264389871403</v>
      </c>
      <c r="BD103" s="4">
        <f t="shared" si="113"/>
        <v>0</v>
      </c>
      <c r="BE103" s="4">
        <f t="shared" si="114"/>
        <v>30.307016587768246</v>
      </c>
      <c r="BF103" s="4">
        <f t="shared" si="115"/>
        <v>0</v>
      </c>
      <c r="BG103" s="4">
        <f t="shared" si="116"/>
        <v>46.394244986778673</v>
      </c>
      <c r="BH103" s="4">
        <f t="shared" si="117"/>
        <v>0</v>
      </c>
      <c r="BI103" s="4">
        <f t="shared" si="118"/>
        <v>21.715775845360689</v>
      </c>
      <c r="BJ103" s="4"/>
      <c r="BK103" s="4"/>
      <c r="BL103" s="4"/>
      <c r="BM103" s="4">
        <f t="shared" si="55"/>
        <v>255.63598662129181</v>
      </c>
      <c r="BN103" s="4">
        <f t="shared" si="56"/>
        <v>0</v>
      </c>
      <c r="BO103" s="4">
        <f t="shared" si="57"/>
        <v>186.07320070606076</v>
      </c>
      <c r="BP103" s="4">
        <f t="shared" si="58"/>
        <v>0</v>
      </c>
      <c r="BQ103" s="4">
        <f t="shared" si="59"/>
        <v>162.97223473695936</v>
      </c>
      <c r="BR103" s="4">
        <f t="shared" si="60"/>
        <v>0</v>
      </c>
      <c r="BS103" s="4">
        <f t="shared" si="61"/>
        <v>35.641069056282078</v>
      </c>
      <c r="BT103" s="4">
        <f t="shared" si="62"/>
        <v>0</v>
      </c>
      <c r="BU103" s="4">
        <f t="shared" si="63"/>
        <v>121.47241017595563</v>
      </c>
      <c r="BV103" s="4">
        <f t="shared" si="64"/>
        <v>0</v>
      </c>
      <c r="BW103" s="4">
        <f t="shared" si="65"/>
        <v>477.99018175635427</v>
      </c>
      <c r="BX103" s="4">
        <f t="shared" si="66"/>
        <v>0</v>
      </c>
      <c r="BY103" s="4">
        <f t="shared" si="67"/>
        <v>111.21126727002022</v>
      </c>
      <c r="BZ103" s="4">
        <f t="shared" si="68"/>
        <v>0</v>
      </c>
      <c r="CA103" s="4">
        <f t="shared" si="69"/>
        <v>71.753575901951947</v>
      </c>
      <c r="CB103" s="4">
        <f t="shared" si="70"/>
        <v>0</v>
      </c>
      <c r="CC103" s="4">
        <f t="shared" si="71"/>
        <v>168.02776841144231</v>
      </c>
      <c r="CD103" s="4">
        <f t="shared" si="72"/>
        <v>0</v>
      </c>
      <c r="CE103" s="4">
        <f t="shared" si="73"/>
        <v>285.07009521805361</v>
      </c>
      <c r="CF103" s="4">
        <f t="shared" si="74"/>
        <v>0</v>
      </c>
      <c r="CG103" s="4">
        <f t="shared" si="75"/>
        <v>0</v>
      </c>
      <c r="CH103" s="4">
        <f t="shared" si="76"/>
        <v>0</v>
      </c>
      <c r="CI103" s="4">
        <f t="shared" si="77"/>
        <v>115.05175781694031</v>
      </c>
      <c r="CJ103" s="4">
        <f t="shared" si="78"/>
        <v>0</v>
      </c>
      <c r="CK103" s="4">
        <f t="shared" si="79"/>
        <v>164.06680835965915</v>
      </c>
      <c r="CL103" s="4">
        <f t="shared" si="80"/>
        <v>0</v>
      </c>
      <c r="CM103" s="4">
        <f t="shared" si="81"/>
        <v>0</v>
      </c>
      <c r="CN103" s="4">
        <f t="shared" si="82"/>
        <v>0</v>
      </c>
      <c r="CO103" s="4">
        <f t="shared" si="83"/>
        <v>274.4061367778055</v>
      </c>
      <c r="CP103" s="4">
        <f t="shared" si="84"/>
        <v>0</v>
      </c>
      <c r="CQ103" s="4">
        <f t="shared" si="85"/>
        <v>114.74220555277068</v>
      </c>
    </row>
    <row r="104" spans="2:95" outlineLevel="2" x14ac:dyDescent="0.25">
      <c r="B104">
        <v>13</v>
      </c>
      <c r="D104" s="4">
        <f t="shared" si="31"/>
        <v>24.085211619738605</v>
      </c>
      <c r="F104" s="4">
        <f t="shared" si="32"/>
        <v>43.962048000140157</v>
      </c>
      <c r="G104" s="4"/>
      <c r="H104">
        <f t="shared" si="33"/>
        <v>55.073503693715296</v>
      </c>
      <c r="I104">
        <f t="shared" si="34"/>
        <v>0</v>
      </c>
      <c r="J104">
        <f t="shared" si="86"/>
        <v>7.2318298894048478</v>
      </c>
      <c r="K104">
        <f t="shared" si="35"/>
        <v>0</v>
      </c>
      <c r="L104">
        <f t="shared" si="36"/>
        <v>6.926127311147968</v>
      </c>
      <c r="M104">
        <f t="shared" si="37"/>
        <v>0</v>
      </c>
      <c r="N104">
        <f t="shared" si="87"/>
        <v>70.647792550101457</v>
      </c>
      <c r="O104">
        <f t="shared" si="38"/>
        <v>0</v>
      </c>
      <c r="P104">
        <f t="shared" si="39"/>
        <v>19.774357413407394</v>
      </c>
      <c r="Q104" s="4">
        <f t="shared" si="40"/>
        <v>0</v>
      </c>
      <c r="R104" s="4">
        <f t="shared" si="41"/>
        <v>88.363418410859992</v>
      </c>
      <c r="S104" s="4">
        <f t="shared" si="42"/>
        <v>0</v>
      </c>
      <c r="T104">
        <f t="shared" si="43"/>
        <v>30.049014512963808</v>
      </c>
      <c r="U104">
        <f t="shared" si="44"/>
        <v>0</v>
      </c>
      <c r="V104">
        <f t="shared" si="45"/>
        <v>0</v>
      </c>
      <c r="W104">
        <f t="shared" si="46"/>
        <v>0</v>
      </c>
      <c r="X104">
        <f t="shared" si="47"/>
        <v>34.181305832928544</v>
      </c>
      <c r="Y104">
        <f t="shared" si="48"/>
        <v>0</v>
      </c>
      <c r="Z104">
        <f t="shared" si="49"/>
        <v>20.370632429084761</v>
      </c>
      <c r="AA104">
        <f t="shared" si="50"/>
        <v>0</v>
      </c>
      <c r="AB104">
        <f t="shared" si="51"/>
        <v>0</v>
      </c>
      <c r="AC104">
        <f t="shared" si="52"/>
        <v>0</v>
      </c>
      <c r="AD104">
        <f t="shared" si="53"/>
        <v>24.900747289458195</v>
      </c>
      <c r="AE104">
        <f t="shared" si="88"/>
        <v>0</v>
      </c>
      <c r="AF104">
        <f t="shared" si="89"/>
        <v>5.1776900075845074</v>
      </c>
      <c r="AG104">
        <f t="shared" si="90"/>
        <v>0</v>
      </c>
      <c r="AH104">
        <f t="shared" si="91"/>
        <v>23.946168181964836</v>
      </c>
      <c r="AI104">
        <f t="shared" si="92"/>
        <v>0</v>
      </c>
      <c r="AJ104" s="4">
        <f t="shared" si="93"/>
        <v>6.1014968120549637</v>
      </c>
      <c r="AK104" s="4">
        <f t="shared" si="94"/>
        <v>0</v>
      </c>
      <c r="AL104" s="4">
        <f t="shared" si="95"/>
        <v>5.6778111648982055</v>
      </c>
      <c r="AM104" s="4">
        <f t="shared" si="96"/>
        <v>0</v>
      </c>
      <c r="AN104" s="4">
        <f t="shared" si="97"/>
        <v>0</v>
      </c>
      <c r="AO104" s="4">
        <f t="shared" si="98"/>
        <v>0</v>
      </c>
      <c r="AP104" s="4">
        <f t="shared" si="99"/>
        <v>24.182813371090162</v>
      </c>
      <c r="AQ104" s="4">
        <f t="shared" si="100"/>
        <v>0</v>
      </c>
      <c r="AR104" s="4">
        <f t="shared" si="101"/>
        <v>0</v>
      </c>
      <c r="AS104" s="4">
        <f t="shared" si="102"/>
        <v>0</v>
      </c>
      <c r="AT104" s="4">
        <f t="shared" si="103"/>
        <v>0</v>
      </c>
      <c r="AU104" s="4">
        <f t="shared" si="104"/>
        <v>15.837881409981197</v>
      </c>
      <c r="AV104" s="4">
        <f t="shared" si="105"/>
        <v>0</v>
      </c>
      <c r="AW104" s="4">
        <f t="shared" si="106"/>
        <v>13.909527741040062</v>
      </c>
      <c r="AX104" s="4">
        <f t="shared" si="107"/>
        <v>0</v>
      </c>
      <c r="AY104" s="4">
        <f t="shared" si="108"/>
        <v>30.585142109906979</v>
      </c>
      <c r="AZ104" s="4">
        <f t="shared" si="109"/>
        <v>0</v>
      </c>
      <c r="BA104" s="4">
        <f t="shared" si="110"/>
        <v>11.103478072138099</v>
      </c>
      <c r="BB104" s="4">
        <f t="shared" si="111"/>
        <v>0</v>
      </c>
      <c r="BC104" s="4">
        <f t="shared" si="112"/>
        <v>28.803613392173354</v>
      </c>
      <c r="BD104" s="4">
        <f t="shared" si="113"/>
        <v>0</v>
      </c>
      <c r="BE104" s="4">
        <f t="shared" si="114"/>
        <v>23.419058272366374</v>
      </c>
      <c r="BF104" s="4">
        <f t="shared" si="115"/>
        <v>0</v>
      </c>
      <c r="BG104" s="4">
        <f t="shared" si="116"/>
        <v>35.850098398874437</v>
      </c>
      <c r="BH104" s="4">
        <f t="shared" si="117"/>
        <v>0</v>
      </c>
      <c r="BI104" s="4">
        <f t="shared" si="118"/>
        <v>15.793291523898677</v>
      </c>
      <c r="BJ104" s="4"/>
      <c r="BK104" s="4"/>
      <c r="BL104" s="4"/>
      <c r="BM104" s="4">
        <f t="shared" si="55"/>
        <v>197.53689875281628</v>
      </c>
      <c r="BN104" s="4">
        <f t="shared" si="56"/>
        <v>0</v>
      </c>
      <c r="BO104" s="4">
        <f t="shared" si="57"/>
        <v>143.78383690922865</v>
      </c>
      <c r="BP104" s="4">
        <f t="shared" si="58"/>
        <v>0</v>
      </c>
      <c r="BQ104" s="4">
        <f t="shared" si="59"/>
        <v>133.34091933023944</v>
      </c>
      <c r="BR104" s="4">
        <f t="shared" si="60"/>
        <v>0</v>
      </c>
      <c r="BS104" s="4">
        <f t="shared" si="61"/>
        <v>25.920777495477864</v>
      </c>
      <c r="BT104" s="4">
        <f t="shared" si="62"/>
        <v>0</v>
      </c>
      <c r="BU104" s="4">
        <f t="shared" si="63"/>
        <v>93.865044226874772</v>
      </c>
      <c r="BV104" s="4">
        <f t="shared" si="64"/>
        <v>0</v>
      </c>
      <c r="BW104" s="4">
        <f t="shared" si="65"/>
        <v>369.35604953900076</v>
      </c>
      <c r="BX104" s="4">
        <f t="shared" si="66"/>
        <v>0</v>
      </c>
      <c r="BY104" s="4">
        <f t="shared" si="67"/>
        <v>85.935979254106499</v>
      </c>
      <c r="BZ104" s="4">
        <f t="shared" si="68"/>
        <v>0</v>
      </c>
      <c r="CA104" s="4">
        <f t="shared" si="69"/>
        <v>55.445945015144687</v>
      </c>
      <c r="CB104" s="4">
        <f t="shared" si="70"/>
        <v>0</v>
      </c>
      <c r="CC104" s="4">
        <f t="shared" si="71"/>
        <v>129.83963922702361</v>
      </c>
      <c r="CD104" s="4">
        <f t="shared" si="72"/>
        <v>0</v>
      </c>
      <c r="CE104" s="4">
        <f t="shared" si="73"/>
        <v>220.28143721395037</v>
      </c>
      <c r="CF104" s="4">
        <f t="shared" si="74"/>
        <v>0</v>
      </c>
      <c r="CG104" s="4">
        <f t="shared" si="75"/>
        <v>0</v>
      </c>
      <c r="CH104" s="4">
        <f t="shared" si="76"/>
        <v>0</v>
      </c>
      <c r="CI104" s="4">
        <f t="shared" si="77"/>
        <v>88.903631040362939</v>
      </c>
      <c r="CJ104" s="4">
        <f t="shared" si="78"/>
        <v>0</v>
      </c>
      <c r="CK104" s="4">
        <f t="shared" si="79"/>
        <v>126.7788973688275</v>
      </c>
      <c r="CL104" s="4">
        <f t="shared" si="80"/>
        <v>0</v>
      </c>
      <c r="CM104" s="4">
        <f t="shared" si="81"/>
        <v>0</v>
      </c>
      <c r="CN104" s="4">
        <f t="shared" si="82"/>
        <v>0</v>
      </c>
      <c r="CO104" s="4">
        <f t="shared" si="83"/>
        <v>212.04110569194057</v>
      </c>
      <c r="CP104" s="4">
        <f t="shared" si="84"/>
        <v>0</v>
      </c>
      <c r="CQ104" s="4">
        <f t="shared" si="85"/>
        <v>88.664431563504635</v>
      </c>
    </row>
    <row r="105" spans="2:95" outlineLevel="2" x14ac:dyDescent="0.25">
      <c r="B105">
        <v>14</v>
      </c>
      <c r="D105" s="4">
        <f t="shared" si="31"/>
        <v>18.611299887979822</v>
      </c>
      <c r="F105" s="4">
        <f t="shared" si="32"/>
        <v>33.970673454653749</v>
      </c>
      <c r="G105" s="4"/>
      <c r="H105">
        <f t="shared" si="33"/>
        <v>44.058802954972236</v>
      </c>
      <c r="I105">
        <f t="shared" si="34"/>
        <v>0</v>
      </c>
      <c r="J105">
        <f t="shared" si="86"/>
        <v>5.2595126468398909</v>
      </c>
      <c r="K105">
        <f t="shared" si="35"/>
        <v>0</v>
      </c>
      <c r="L105">
        <f t="shared" si="36"/>
        <v>5.0371834990167041</v>
      </c>
      <c r="M105">
        <f t="shared" si="37"/>
        <v>0</v>
      </c>
      <c r="N105">
        <f t="shared" si="87"/>
        <v>54.591476061442023</v>
      </c>
      <c r="O105">
        <f t="shared" si="38"/>
        <v>0</v>
      </c>
      <c r="P105">
        <f t="shared" si="39"/>
        <v>15.280185273996624</v>
      </c>
      <c r="Q105" s="4">
        <f t="shared" si="40"/>
        <v>0</v>
      </c>
      <c r="R105" s="4">
        <f t="shared" si="41"/>
        <v>68.280823317482714</v>
      </c>
      <c r="S105" s="4">
        <f t="shared" si="42"/>
        <v>0</v>
      </c>
      <c r="T105">
        <f t="shared" si="43"/>
        <v>24.039211610371066</v>
      </c>
      <c r="U105">
        <f t="shared" si="44"/>
        <v>0</v>
      </c>
      <c r="V105">
        <f t="shared" si="45"/>
        <v>0</v>
      </c>
      <c r="W105">
        <f t="shared" si="46"/>
        <v>0</v>
      </c>
      <c r="X105">
        <f t="shared" si="47"/>
        <v>24.859131514857122</v>
      </c>
      <c r="Y105">
        <f t="shared" si="48"/>
        <v>0</v>
      </c>
      <c r="Z105">
        <f t="shared" si="49"/>
        <v>15.740943240656403</v>
      </c>
      <c r="AA105">
        <f t="shared" si="50"/>
        <v>0</v>
      </c>
      <c r="AB105">
        <f t="shared" si="51"/>
        <v>0</v>
      </c>
      <c r="AC105">
        <f t="shared" si="52"/>
        <v>0</v>
      </c>
      <c r="AD105">
        <f t="shared" si="53"/>
        <v>19.241486541854062</v>
      </c>
      <c r="AE105">
        <f t="shared" si="88"/>
        <v>0</v>
      </c>
      <c r="AF105">
        <f t="shared" si="89"/>
        <v>3.7655927327887326</v>
      </c>
      <c r="AG105">
        <f t="shared" si="90"/>
        <v>0</v>
      </c>
      <c r="AH105">
        <f t="shared" si="91"/>
        <v>18.503857231518271</v>
      </c>
      <c r="AI105">
        <f t="shared" si="92"/>
        <v>0</v>
      </c>
      <c r="AJ105" s="4">
        <f t="shared" si="93"/>
        <v>4.4374522269490644</v>
      </c>
      <c r="AK105" s="4">
        <f t="shared" si="94"/>
        <v>0</v>
      </c>
      <c r="AL105" s="4">
        <f t="shared" si="95"/>
        <v>4.12931721083506</v>
      </c>
      <c r="AM105" s="4">
        <f t="shared" si="96"/>
        <v>0</v>
      </c>
      <c r="AN105" s="4">
        <f t="shared" si="97"/>
        <v>0</v>
      </c>
      <c r="AO105" s="4">
        <f t="shared" si="98"/>
        <v>0</v>
      </c>
      <c r="AP105" s="4">
        <f t="shared" si="99"/>
        <v>18.686719423115129</v>
      </c>
      <c r="AQ105" s="4">
        <f t="shared" si="100"/>
        <v>0</v>
      </c>
      <c r="AR105" s="4">
        <f t="shared" si="101"/>
        <v>0</v>
      </c>
      <c r="AS105" s="4">
        <f t="shared" si="102"/>
        <v>0</v>
      </c>
      <c r="AT105" s="4">
        <f t="shared" si="103"/>
        <v>0</v>
      </c>
      <c r="AU105" s="4">
        <f t="shared" si="104"/>
        <v>11.518459207259053</v>
      </c>
      <c r="AV105" s="4">
        <f t="shared" si="105"/>
        <v>0</v>
      </c>
      <c r="AW105" s="4">
        <f t="shared" si="106"/>
        <v>10.116020175301864</v>
      </c>
      <c r="AX105" s="4">
        <f t="shared" si="107"/>
        <v>0</v>
      </c>
      <c r="AY105" s="4">
        <f t="shared" si="108"/>
        <v>23.633973448564472</v>
      </c>
      <c r="AZ105" s="4">
        <f t="shared" si="109"/>
        <v>0</v>
      </c>
      <c r="BA105" s="4">
        <f t="shared" si="110"/>
        <v>8.0752567797368009</v>
      </c>
      <c r="BB105" s="4">
        <f t="shared" si="111"/>
        <v>0</v>
      </c>
      <c r="BC105" s="4">
        <f t="shared" si="112"/>
        <v>22.257337621224856</v>
      </c>
      <c r="BD105" s="4">
        <f t="shared" si="113"/>
        <v>0</v>
      </c>
      <c r="BE105" s="4">
        <f t="shared" si="114"/>
        <v>18.096545028646737</v>
      </c>
      <c r="BF105" s="4">
        <f t="shared" si="115"/>
        <v>0</v>
      </c>
      <c r="BG105" s="4">
        <f t="shared" si="116"/>
        <v>27.702348762766604</v>
      </c>
      <c r="BH105" s="4">
        <f t="shared" si="117"/>
        <v>0</v>
      </c>
      <c r="BI105" s="4">
        <f t="shared" si="118"/>
        <v>11.486030199199039</v>
      </c>
      <c r="BJ105" s="4"/>
      <c r="BK105" s="4"/>
      <c r="BL105" s="4"/>
      <c r="BM105" s="4">
        <f t="shared" si="55"/>
        <v>152.64214903626709</v>
      </c>
      <c r="BN105" s="4">
        <f t="shared" si="56"/>
        <v>0</v>
      </c>
      <c r="BO105" s="4">
        <f t="shared" si="57"/>
        <v>111.10569215713126</v>
      </c>
      <c r="BP105" s="4">
        <f t="shared" si="58"/>
        <v>0</v>
      </c>
      <c r="BQ105" s="4">
        <f t="shared" si="59"/>
        <v>109.09711581565041</v>
      </c>
      <c r="BR105" s="4">
        <f t="shared" si="60"/>
        <v>0</v>
      </c>
      <c r="BS105" s="4">
        <f t="shared" si="61"/>
        <v>18.851474542165722</v>
      </c>
      <c r="BT105" s="4">
        <f t="shared" si="62"/>
        <v>0</v>
      </c>
      <c r="BU105" s="4">
        <f t="shared" si="63"/>
        <v>72.532079629857776</v>
      </c>
      <c r="BV105" s="4">
        <f t="shared" si="64"/>
        <v>0</v>
      </c>
      <c r="BW105" s="4">
        <f t="shared" si="65"/>
        <v>285.41149282559167</v>
      </c>
      <c r="BX105" s="4">
        <f t="shared" si="66"/>
        <v>0</v>
      </c>
      <c r="BY105" s="4">
        <f t="shared" si="67"/>
        <v>66.405074878173195</v>
      </c>
      <c r="BZ105" s="4">
        <f t="shared" si="68"/>
        <v>0</v>
      </c>
      <c r="CA105" s="4">
        <f t="shared" si="69"/>
        <v>42.844593875339065</v>
      </c>
      <c r="CB105" s="4">
        <f t="shared" si="70"/>
        <v>0</v>
      </c>
      <c r="CC105" s="4">
        <f t="shared" si="71"/>
        <v>100.33063031179094</v>
      </c>
      <c r="CD105" s="4">
        <f t="shared" si="72"/>
        <v>0</v>
      </c>
      <c r="CE105" s="4">
        <f t="shared" si="73"/>
        <v>170.21747421077987</v>
      </c>
      <c r="CF105" s="4">
        <f t="shared" si="74"/>
        <v>0</v>
      </c>
      <c r="CG105" s="4">
        <f t="shared" si="75"/>
        <v>0</v>
      </c>
      <c r="CH105" s="4">
        <f t="shared" si="76"/>
        <v>0</v>
      </c>
      <c r="CI105" s="4">
        <f t="shared" si="77"/>
        <v>68.698260349371338</v>
      </c>
      <c r="CJ105" s="4">
        <f t="shared" si="78"/>
        <v>0</v>
      </c>
      <c r="CK105" s="4">
        <f t="shared" si="79"/>
        <v>97.965511603184879</v>
      </c>
      <c r="CL105" s="4">
        <f t="shared" si="80"/>
        <v>0</v>
      </c>
      <c r="CM105" s="4">
        <f t="shared" si="81"/>
        <v>0</v>
      </c>
      <c r="CN105" s="4">
        <f t="shared" si="82"/>
        <v>0</v>
      </c>
      <c r="CO105" s="4">
        <f t="shared" si="83"/>
        <v>163.8499453074086</v>
      </c>
      <c r="CP105" s="4">
        <f t="shared" si="84"/>
        <v>0</v>
      </c>
      <c r="CQ105" s="4">
        <f t="shared" si="85"/>
        <v>68.513424389980827</v>
      </c>
    </row>
    <row r="106" spans="2:95" outlineLevel="2" x14ac:dyDescent="0.25">
      <c r="B106">
        <v>15</v>
      </c>
      <c r="D106" s="4">
        <f t="shared" si="31"/>
        <v>14.381459004348041</v>
      </c>
      <c r="F106" s="4">
        <f t="shared" si="32"/>
        <v>26.250065851323338</v>
      </c>
      <c r="G106" s="4"/>
      <c r="H106">
        <f t="shared" si="33"/>
        <v>35.247042363977798</v>
      </c>
      <c r="I106">
        <f t="shared" si="34"/>
        <v>0</v>
      </c>
      <c r="J106">
        <f t="shared" si="86"/>
        <v>3.8251001067926484</v>
      </c>
      <c r="K106">
        <f t="shared" si="35"/>
        <v>0</v>
      </c>
      <c r="L106">
        <f t="shared" si="36"/>
        <v>3.6634061811030585</v>
      </c>
      <c r="M106">
        <f t="shared" si="37"/>
        <v>0</v>
      </c>
      <c r="N106">
        <f t="shared" si="87"/>
        <v>42.184322411114266</v>
      </c>
      <c r="O106">
        <f t="shared" si="38"/>
        <v>0</v>
      </c>
      <c r="P106">
        <f t="shared" si="39"/>
        <v>11.807415893542844</v>
      </c>
      <c r="Q106" s="4">
        <f t="shared" si="40"/>
        <v>0</v>
      </c>
      <c r="R106" s="4">
        <f t="shared" si="41"/>
        <v>52.762454381691171</v>
      </c>
      <c r="S106" s="4">
        <f t="shared" si="42"/>
        <v>0</v>
      </c>
      <c r="T106">
        <f t="shared" si="43"/>
        <v>19.231369288296843</v>
      </c>
      <c r="U106">
        <f t="shared" si="44"/>
        <v>0</v>
      </c>
      <c r="V106">
        <f t="shared" si="45"/>
        <v>0</v>
      </c>
      <c r="W106">
        <f t="shared" si="46"/>
        <v>0</v>
      </c>
      <c r="X106">
        <f t="shared" si="47"/>
        <v>18.079368374441543</v>
      </c>
      <c r="Y106">
        <f t="shared" si="48"/>
        <v>0</v>
      </c>
      <c r="Z106">
        <f t="shared" si="49"/>
        <v>12.163456140507218</v>
      </c>
      <c r="AA106">
        <f t="shared" si="50"/>
        <v>0</v>
      </c>
      <c r="AB106">
        <f t="shared" si="51"/>
        <v>0</v>
      </c>
      <c r="AC106">
        <f t="shared" si="52"/>
        <v>0</v>
      </c>
      <c r="AD106">
        <f t="shared" si="53"/>
        <v>14.868421418705406</v>
      </c>
      <c r="AE106">
        <f t="shared" si="88"/>
        <v>0</v>
      </c>
      <c r="AF106">
        <f t="shared" si="89"/>
        <v>2.7386128965736241</v>
      </c>
      <c r="AG106">
        <f t="shared" si="90"/>
        <v>0</v>
      </c>
      <c r="AH106">
        <f t="shared" si="91"/>
        <v>14.298435133445933</v>
      </c>
      <c r="AI106">
        <f t="shared" si="92"/>
        <v>0</v>
      </c>
      <c r="AJ106" s="4">
        <f t="shared" si="93"/>
        <v>3.2272379832356837</v>
      </c>
      <c r="AK106" s="4">
        <f t="shared" si="94"/>
        <v>0</v>
      </c>
      <c r="AL106" s="4">
        <f t="shared" si="95"/>
        <v>3.003139789698225</v>
      </c>
      <c r="AM106" s="4">
        <f t="shared" si="96"/>
        <v>0</v>
      </c>
      <c r="AN106" s="4">
        <f t="shared" si="97"/>
        <v>0</v>
      </c>
      <c r="AO106" s="4">
        <f t="shared" si="98"/>
        <v>0</v>
      </c>
      <c r="AP106" s="4">
        <f t="shared" si="99"/>
        <v>14.439737736043503</v>
      </c>
      <c r="AQ106" s="4">
        <f t="shared" si="100"/>
        <v>0</v>
      </c>
      <c r="AR106" s="4">
        <f t="shared" si="101"/>
        <v>0</v>
      </c>
      <c r="AS106" s="4">
        <f t="shared" si="102"/>
        <v>0</v>
      </c>
      <c r="AT106" s="4">
        <f t="shared" si="103"/>
        <v>0</v>
      </c>
      <c r="AU106" s="4">
        <f t="shared" si="104"/>
        <v>8.3770612416429486</v>
      </c>
      <c r="AV106" s="4">
        <f t="shared" si="105"/>
        <v>0</v>
      </c>
      <c r="AW106" s="4">
        <f t="shared" si="106"/>
        <v>7.3571055820377182</v>
      </c>
      <c r="AX106" s="4">
        <f t="shared" si="107"/>
        <v>0</v>
      </c>
      <c r="AY106" s="4">
        <f t="shared" si="108"/>
        <v>18.262615846618001</v>
      </c>
      <c r="AZ106" s="4">
        <f t="shared" si="109"/>
        <v>0</v>
      </c>
      <c r="BA106" s="4">
        <f t="shared" si="110"/>
        <v>5.8729140216267659</v>
      </c>
      <c r="BB106" s="4">
        <f t="shared" si="111"/>
        <v>0</v>
      </c>
      <c r="BC106" s="4">
        <f t="shared" si="112"/>
        <v>17.198851798219206</v>
      </c>
      <c r="BD106" s="4">
        <f t="shared" si="113"/>
        <v>0</v>
      </c>
      <c r="BE106" s="4">
        <f t="shared" si="114"/>
        <v>13.983693885772476</v>
      </c>
      <c r="BF106" s="4">
        <f t="shared" si="115"/>
        <v>0</v>
      </c>
      <c r="BG106" s="4">
        <f t="shared" si="116"/>
        <v>21.40636040759237</v>
      </c>
      <c r="BH106" s="4">
        <f t="shared" si="117"/>
        <v>0</v>
      </c>
      <c r="BI106" s="4">
        <f t="shared" si="118"/>
        <v>8.3534765085083933</v>
      </c>
      <c r="BJ106" s="4"/>
      <c r="BK106" s="4"/>
      <c r="BL106" s="4"/>
      <c r="BM106" s="4">
        <f t="shared" si="55"/>
        <v>117.9507515280246</v>
      </c>
      <c r="BN106" s="4">
        <f t="shared" si="56"/>
        <v>0</v>
      </c>
      <c r="BO106" s="4">
        <f t="shared" si="57"/>
        <v>85.854398485055953</v>
      </c>
      <c r="BP106" s="4">
        <f t="shared" si="58"/>
        <v>0</v>
      </c>
      <c r="BQ106" s="4">
        <f t="shared" si="59"/>
        <v>89.261276576441276</v>
      </c>
      <c r="BR106" s="4">
        <f t="shared" si="60"/>
        <v>0</v>
      </c>
      <c r="BS106" s="4">
        <f t="shared" si="61"/>
        <v>13.710163303393257</v>
      </c>
      <c r="BT106" s="4">
        <f t="shared" si="62"/>
        <v>0</v>
      </c>
      <c r="BU106" s="4">
        <f t="shared" si="63"/>
        <v>56.047516077617345</v>
      </c>
      <c r="BV106" s="4">
        <f t="shared" si="64"/>
        <v>0</v>
      </c>
      <c r="BW106" s="4">
        <f t="shared" si="65"/>
        <v>220.54524445613887</v>
      </c>
      <c r="BX106" s="4">
        <f t="shared" si="66"/>
        <v>0</v>
      </c>
      <c r="BY106" s="4">
        <f t="shared" si="67"/>
        <v>51.313012405861095</v>
      </c>
      <c r="BZ106" s="4">
        <f t="shared" si="68"/>
        <v>0</v>
      </c>
      <c r="CA106" s="4">
        <f t="shared" si="69"/>
        <v>33.107186176398365</v>
      </c>
      <c r="CB106" s="4">
        <f t="shared" si="70"/>
        <v>0</v>
      </c>
      <c r="CC106" s="4">
        <f t="shared" si="71"/>
        <v>77.528214331838413</v>
      </c>
      <c r="CD106" s="4">
        <f t="shared" si="72"/>
        <v>0</v>
      </c>
      <c r="CE106" s="4">
        <f t="shared" si="73"/>
        <v>131.53168461742078</v>
      </c>
      <c r="CF106" s="4">
        <f t="shared" si="74"/>
        <v>0</v>
      </c>
      <c r="CG106" s="4">
        <f t="shared" si="75"/>
        <v>0</v>
      </c>
      <c r="CH106" s="4">
        <f t="shared" si="76"/>
        <v>0</v>
      </c>
      <c r="CI106" s="4">
        <f t="shared" si="77"/>
        <v>53.085019360877851</v>
      </c>
      <c r="CJ106" s="4">
        <f t="shared" si="78"/>
        <v>0</v>
      </c>
      <c r="CK106" s="4">
        <f t="shared" si="79"/>
        <v>75.700622602461024</v>
      </c>
      <c r="CL106" s="4">
        <f t="shared" si="80"/>
        <v>0</v>
      </c>
      <c r="CM106" s="4">
        <f t="shared" si="81"/>
        <v>0</v>
      </c>
      <c r="CN106" s="4">
        <f t="shared" si="82"/>
        <v>0</v>
      </c>
      <c r="CO106" s="4">
        <f t="shared" si="83"/>
        <v>126.61132137390659</v>
      </c>
      <c r="CP106" s="4">
        <f t="shared" si="84"/>
        <v>0</v>
      </c>
      <c r="CQ106" s="4">
        <f t="shared" si="85"/>
        <v>52.942191574076091</v>
      </c>
    </row>
    <row r="107" spans="2:95" outlineLevel="2" x14ac:dyDescent="0.25">
      <c r="B107">
        <v>16</v>
      </c>
      <c r="D107" s="4">
        <f t="shared" si="31"/>
        <v>11.11294559426894</v>
      </c>
      <c r="F107" s="4">
        <f t="shared" si="32"/>
        <v>20.284141794204402</v>
      </c>
      <c r="G107" s="4"/>
      <c r="H107">
        <f t="shared" si="33"/>
        <v>28.197633891182242</v>
      </c>
      <c r="I107">
        <f t="shared" si="34"/>
        <v>0</v>
      </c>
      <c r="J107">
        <f t="shared" si="86"/>
        <v>2.7818909867582904</v>
      </c>
      <c r="K107">
        <f t="shared" si="35"/>
        <v>0</v>
      </c>
      <c r="L107">
        <f t="shared" si="36"/>
        <v>2.6642954044385871</v>
      </c>
      <c r="M107">
        <f t="shared" si="37"/>
        <v>0</v>
      </c>
      <c r="N107">
        <f t="shared" si="87"/>
        <v>32.596976408588304</v>
      </c>
      <c r="O107">
        <f t="shared" si="38"/>
        <v>0</v>
      </c>
      <c r="P107">
        <f t="shared" si="39"/>
        <v>9.1239122813740128</v>
      </c>
      <c r="Q107" s="4">
        <f t="shared" si="40"/>
        <v>0</v>
      </c>
      <c r="R107" s="4">
        <f t="shared" si="41"/>
        <v>40.770987476761363</v>
      </c>
      <c r="S107" s="4">
        <f t="shared" si="42"/>
        <v>0</v>
      </c>
      <c r="T107">
        <f t="shared" si="43"/>
        <v>15.385095430637479</v>
      </c>
      <c r="U107">
        <f t="shared" si="44"/>
        <v>0</v>
      </c>
      <c r="V107">
        <f t="shared" si="45"/>
        <v>0</v>
      </c>
      <c r="W107">
        <f t="shared" si="46"/>
        <v>0</v>
      </c>
      <c r="X107">
        <f t="shared" si="47"/>
        <v>13.148631545048397</v>
      </c>
      <c r="Y107">
        <f t="shared" si="48"/>
        <v>0</v>
      </c>
      <c r="Z107">
        <f t="shared" si="49"/>
        <v>9.3990342903919455</v>
      </c>
      <c r="AA107">
        <f t="shared" si="50"/>
        <v>0</v>
      </c>
      <c r="AB107">
        <f t="shared" si="51"/>
        <v>0</v>
      </c>
      <c r="AC107">
        <f t="shared" si="52"/>
        <v>0</v>
      </c>
      <c r="AD107">
        <f t="shared" si="53"/>
        <v>11.489234732636</v>
      </c>
      <c r="AE107">
        <f t="shared" si="88"/>
        <v>0</v>
      </c>
      <c r="AF107">
        <f t="shared" si="89"/>
        <v>1.9917184702353632</v>
      </c>
      <c r="AG107">
        <f t="shared" si="90"/>
        <v>0</v>
      </c>
      <c r="AH107">
        <f t="shared" si="91"/>
        <v>11.048790784935496</v>
      </c>
      <c r="AI107">
        <f t="shared" si="92"/>
        <v>0</v>
      </c>
      <c r="AJ107" s="4">
        <f t="shared" si="93"/>
        <v>2.3470821696259514</v>
      </c>
      <c r="AK107" s="4">
        <f t="shared" si="94"/>
        <v>0</v>
      </c>
      <c r="AL107" s="4">
        <f t="shared" si="95"/>
        <v>2.1841016652350729</v>
      </c>
      <c r="AM107" s="4">
        <f t="shared" si="96"/>
        <v>0</v>
      </c>
      <c r="AN107" s="4">
        <f t="shared" si="97"/>
        <v>0</v>
      </c>
      <c r="AO107" s="4">
        <f t="shared" si="98"/>
        <v>0</v>
      </c>
      <c r="AP107" s="4">
        <f t="shared" si="99"/>
        <v>11.15797915966998</v>
      </c>
      <c r="AQ107" s="4">
        <f t="shared" si="100"/>
        <v>0</v>
      </c>
      <c r="AR107" s="4">
        <f t="shared" si="101"/>
        <v>0</v>
      </c>
      <c r="AS107" s="4">
        <f t="shared" si="102"/>
        <v>0</v>
      </c>
      <c r="AT107" s="4">
        <f t="shared" si="103"/>
        <v>0</v>
      </c>
      <c r="AU107" s="4">
        <f t="shared" si="104"/>
        <v>6.092408175740327</v>
      </c>
      <c r="AV107" s="4">
        <f t="shared" si="105"/>
        <v>0</v>
      </c>
      <c r="AW107" s="4">
        <f t="shared" si="106"/>
        <v>5.350622241481978</v>
      </c>
      <c r="AX107" s="4">
        <f t="shared" si="107"/>
        <v>0</v>
      </c>
      <c r="AY107" s="4">
        <f t="shared" si="108"/>
        <v>14.112021336023002</v>
      </c>
      <c r="AZ107" s="4">
        <f t="shared" si="109"/>
        <v>0</v>
      </c>
      <c r="BA107" s="4">
        <f t="shared" si="110"/>
        <v>4.271210197546738</v>
      </c>
      <c r="BB107" s="4">
        <f t="shared" si="111"/>
        <v>0</v>
      </c>
      <c r="BC107" s="4">
        <f t="shared" si="112"/>
        <v>13.290021844078479</v>
      </c>
      <c r="BD107" s="4">
        <f t="shared" si="113"/>
        <v>0</v>
      </c>
      <c r="BE107" s="4">
        <f t="shared" si="114"/>
        <v>10.805581639006007</v>
      </c>
      <c r="BF107" s="4">
        <f t="shared" si="115"/>
        <v>0</v>
      </c>
      <c r="BG107" s="4">
        <f t="shared" si="116"/>
        <v>16.541278496775927</v>
      </c>
      <c r="BH107" s="4">
        <f t="shared" si="117"/>
        <v>0</v>
      </c>
      <c r="BI107" s="4">
        <f t="shared" si="118"/>
        <v>6.0752556425515571</v>
      </c>
      <c r="BJ107" s="4"/>
      <c r="BK107" s="4"/>
      <c r="BL107" s="4"/>
      <c r="BM107" s="4">
        <f t="shared" si="55"/>
        <v>91.143762544382625</v>
      </c>
      <c r="BN107" s="4">
        <f t="shared" si="56"/>
        <v>0</v>
      </c>
      <c r="BO107" s="4">
        <f t="shared" si="57"/>
        <v>66.342035192997798</v>
      </c>
      <c r="BP107" s="4">
        <f t="shared" si="58"/>
        <v>0</v>
      </c>
      <c r="BQ107" s="4">
        <f t="shared" si="59"/>
        <v>73.031953562542895</v>
      </c>
      <c r="BR107" s="4">
        <f t="shared" si="60"/>
        <v>0</v>
      </c>
      <c r="BS107" s="4">
        <f t="shared" si="61"/>
        <v>9.9710278570132775</v>
      </c>
      <c r="BT107" s="4">
        <f t="shared" si="62"/>
        <v>0</v>
      </c>
      <c r="BU107" s="4">
        <f t="shared" si="63"/>
        <v>43.309444241795234</v>
      </c>
      <c r="BV107" s="4">
        <f t="shared" si="64"/>
        <v>0</v>
      </c>
      <c r="BW107" s="4">
        <f t="shared" si="65"/>
        <v>170.42132526156186</v>
      </c>
      <c r="BX107" s="4">
        <f t="shared" si="66"/>
        <v>0</v>
      </c>
      <c r="BY107" s="4">
        <f t="shared" si="67"/>
        <v>39.65096413180175</v>
      </c>
      <c r="BZ107" s="4">
        <f t="shared" si="68"/>
        <v>0</v>
      </c>
      <c r="CA107" s="4">
        <f t="shared" si="69"/>
        <v>25.58282568176238</v>
      </c>
      <c r="CB107" s="4">
        <f t="shared" si="70"/>
        <v>0</v>
      </c>
      <c r="CC107" s="4">
        <f t="shared" si="71"/>
        <v>59.90816562005697</v>
      </c>
      <c r="CD107" s="4">
        <f t="shared" si="72"/>
        <v>0</v>
      </c>
      <c r="CE107" s="4">
        <f t="shared" si="73"/>
        <v>101.63811993164337</v>
      </c>
      <c r="CF107" s="4">
        <f t="shared" si="74"/>
        <v>0</v>
      </c>
      <c r="CG107" s="4">
        <f t="shared" si="75"/>
        <v>0</v>
      </c>
      <c r="CH107" s="4">
        <f t="shared" si="76"/>
        <v>0</v>
      </c>
      <c r="CI107" s="4">
        <f t="shared" si="77"/>
        <v>41.020242233405625</v>
      </c>
      <c r="CJ107" s="4">
        <f t="shared" si="78"/>
        <v>0</v>
      </c>
      <c r="CK107" s="4">
        <f t="shared" si="79"/>
        <v>58.495935647356241</v>
      </c>
      <c r="CL107" s="4">
        <f t="shared" si="80"/>
        <v>0</v>
      </c>
      <c r="CM107" s="4">
        <f t="shared" si="81"/>
        <v>0</v>
      </c>
      <c r="CN107" s="4">
        <f t="shared" si="82"/>
        <v>0</v>
      </c>
      <c r="CO107" s="4">
        <f t="shared" si="83"/>
        <v>97.836021061655117</v>
      </c>
      <c r="CP107" s="4">
        <f t="shared" si="84"/>
        <v>0</v>
      </c>
      <c r="CQ107" s="4">
        <f t="shared" si="85"/>
        <v>40.909875307240618</v>
      </c>
    </row>
    <row r="108" spans="2:95" outlineLevel="2" x14ac:dyDescent="0.25">
      <c r="B108">
        <v>17</v>
      </c>
      <c r="D108" s="4">
        <f t="shared" si="31"/>
        <v>8.587276141025999</v>
      </c>
      <c r="F108" s="4">
        <f t="shared" si="32"/>
        <v>15.674109568248856</v>
      </c>
      <c r="G108" s="4"/>
      <c r="H108">
        <f t="shared" si="33"/>
        <v>22.558107112945788</v>
      </c>
      <c r="I108">
        <f t="shared" si="34"/>
        <v>0</v>
      </c>
      <c r="J108">
        <f t="shared" si="86"/>
        <v>2.0231934449151199</v>
      </c>
      <c r="K108">
        <f t="shared" si="35"/>
        <v>0</v>
      </c>
      <c r="L108">
        <f t="shared" si="36"/>
        <v>1.9376693850462454</v>
      </c>
      <c r="M108">
        <f t="shared" si="37"/>
        <v>0</v>
      </c>
      <c r="N108">
        <f t="shared" si="87"/>
        <v>25.188572679363688</v>
      </c>
      <c r="O108">
        <f t="shared" si="38"/>
        <v>0</v>
      </c>
      <c r="P108">
        <f t="shared" si="39"/>
        <v>7.050295853789013</v>
      </c>
      <c r="Q108" s="4">
        <f t="shared" si="40"/>
        <v>0</v>
      </c>
      <c r="R108" s="4">
        <f t="shared" si="41"/>
        <v>31.504853959315597</v>
      </c>
      <c r="S108" s="4">
        <f t="shared" si="42"/>
        <v>0</v>
      </c>
      <c r="T108">
        <f t="shared" si="43"/>
        <v>12.308076344509987</v>
      </c>
      <c r="U108">
        <f t="shared" si="44"/>
        <v>0</v>
      </c>
      <c r="V108">
        <f t="shared" si="45"/>
        <v>0</v>
      </c>
      <c r="W108">
        <f t="shared" si="46"/>
        <v>0</v>
      </c>
      <c r="X108">
        <f t="shared" si="47"/>
        <v>9.5626411236715612</v>
      </c>
      <c r="Y108">
        <f t="shared" si="48"/>
        <v>0</v>
      </c>
      <c r="Z108">
        <f t="shared" si="49"/>
        <v>7.2628901334846816</v>
      </c>
      <c r="AA108">
        <f t="shared" si="50"/>
        <v>0</v>
      </c>
      <c r="AB108">
        <f t="shared" si="51"/>
        <v>0</v>
      </c>
      <c r="AC108">
        <f t="shared" si="52"/>
        <v>0</v>
      </c>
      <c r="AD108">
        <f t="shared" si="53"/>
        <v>8.8780450206732695</v>
      </c>
      <c r="AE108">
        <f t="shared" si="88"/>
        <v>0</v>
      </c>
      <c r="AF108">
        <f t="shared" si="89"/>
        <v>1.4485225238075368</v>
      </c>
      <c r="AG108">
        <f t="shared" si="90"/>
        <v>0</v>
      </c>
      <c r="AH108">
        <f t="shared" si="91"/>
        <v>8.5377019701774302</v>
      </c>
      <c r="AI108">
        <f t="shared" si="92"/>
        <v>0</v>
      </c>
      <c r="AJ108" s="4">
        <f t="shared" si="93"/>
        <v>1.7069688506370557</v>
      </c>
      <c r="AK108" s="4">
        <f t="shared" si="94"/>
        <v>0</v>
      </c>
      <c r="AL108" s="4">
        <f t="shared" si="95"/>
        <v>1.5884375747164172</v>
      </c>
      <c r="AM108" s="4">
        <f t="shared" si="96"/>
        <v>0</v>
      </c>
      <c r="AN108" s="4">
        <f t="shared" si="97"/>
        <v>0</v>
      </c>
      <c r="AO108" s="4">
        <f t="shared" si="98"/>
        <v>0</v>
      </c>
      <c r="AP108" s="4">
        <f t="shared" si="99"/>
        <v>8.6220748051995297</v>
      </c>
      <c r="AQ108" s="4">
        <f t="shared" si="100"/>
        <v>0</v>
      </c>
      <c r="AR108" s="4">
        <f t="shared" si="101"/>
        <v>0</v>
      </c>
      <c r="AS108" s="4">
        <f t="shared" si="102"/>
        <v>0</v>
      </c>
      <c r="AT108" s="4">
        <f t="shared" si="103"/>
        <v>0</v>
      </c>
      <c r="AU108" s="4">
        <f t="shared" si="104"/>
        <v>4.4308423096293295</v>
      </c>
      <c r="AV108" s="4">
        <f t="shared" si="105"/>
        <v>0</v>
      </c>
      <c r="AW108" s="4">
        <f t="shared" si="106"/>
        <v>3.8913616301687126</v>
      </c>
      <c r="AX108" s="4">
        <f t="shared" si="107"/>
        <v>0</v>
      </c>
      <c r="AY108" s="4">
        <f t="shared" si="108"/>
        <v>10.904743759654135</v>
      </c>
      <c r="AZ108" s="4">
        <f t="shared" si="109"/>
        <v>0</v>
      </c>
      <c r="BA108" s="4">
        <f t="shared" si="110"/>
        <v>3.1063346891249006</v>
      </c>
      <c r="BB108" s="4">
        <f t="shared" si="111"/>
        <v>0</v>
      </c>
      <c r="BC108" s="4">
        <f t="shared" si="112"/>
        <v>10.269562334060643</v>
      </c>
      <c r="BD108" s="4">
        <f t="shared" si="113"/>
        <v>0</v>
      </c>
      <c r="BE108" s="4">
        <f t="shared" si="114"/>
        <v>8.3497676301410042</v>
      </c>
      <c r="BF108" s="4">
        <f t="shared" si="115"/>
        <v>0</v>
      </c>
      <c r="BG108" s="4">
        <f t="shared" si="116"/>
        <v>12.781897020235942</v>
      </c>
      <c r="BH108" s="4">
        <f t="shared" si="117"/>
        <v>0</v>
      </c>
      <c r="BI108" s="4">
        <f t="shared" si="118"/>
        <v>4.4183677400374979</v>
      </c>
      <c r="BJ108" s="4"/>
      <c r="BK108" s="4"/>
      <c r="BL108" s="4"/>
      <c r="BM108" s="4">
        <f t="shared" si="55"/>
        <v>70.429271057022945</v>
      </c>
      <c r="BN108" s="4">
        <f t="shared" si="56"/>
        <v>0</v>
      </c>
      <c r="BO108" s="4">
        <f t="shared" si="57"/>
        <v>51.264299921861927</v>
      </c>
      <c r="BP108" s="4">
        <f t="shared" si="58"/>
        <v>0</v>
      </c>
      <c r="BQ108" s="4">
        <f t="shared" si="59"/>
        <v>59.753416551171448</v>
      </c>
      <c r="BR108" s="4">
        <f t="shared" si="60"/>
        <v>0</v>
      </c>
      <c r="BS108" s="4">
        <f t="shared" si="61"/>
        <v>7.2516566232823827</v>
      </c>
      <c r="BT108" s="4">
        <f t="shared" si="62"/>
        <v>0</v>
      </c>
      <c r="BU108" s="4">
        <f t="shared" si="63"/>
        <v>33.466388732296316</v>
      </c>
      <c r="BV108" s="4">
        <f t="shared" si="64"/>
        <v>0</v>
      </c>
      <c r="BW108" s="4">
        <f t="shared" si="65"/>
        <v>131.68920588393414</v>
      </c>
      <c r="BX108" s="4">
        <f t="shared" si="66"/>
        <v>0</v>
      </c>
      <c r="BY108" s="4">
        <f t="shared" si="67"/>
        <v>30.639381374574082</v>
      </c>
      <c r="BZ108" s="4">
        <f t="shared" si="68"/>
        <v>0</v>
      </c>
      <c r="CA108" s="4">
        <f t="shared" si="69"/>
        <v>19.768547117725468</v>
      </c>
      <c r="CB108" s="4">
        <f t="shared" si="70"/>
        <v>0</v>
      </c>
      <c r="CC108" s="4">
        <f t="shared" si="71"/>
        <v>46.292673433680392</v>
      </c>
      <c r="CD108" s="4">
        <f t="shared" si="72"/>
        <v>0</v>
      </c>
      <c r="CE108" s="4">
        <f t="shared" si="73"/>
        <v>78.538547219906206</v>
      </c>
      <c r="CF108" s="4">
        <f t="shared" si="74"/>
        <v>0</v>
      </c>
      <c r="CG108" s="4">
        <f t="shared" si="75"/>
        <v>0</v>
      </c>
      <c r="CH108" s="4">
        <f t="shared" si="76"/>
        <v>0</v>
      </c>
      <c r="CI108" s="4">
        <f t="shared" si="77"/>
        <v>31.697459907631604</v>
      </c>
      <c r="CJ108" s="4">
        <f t="shared" si="78"/>
        <v>0</v>
      </c>
      <c r="CK108" s="4">
        <f t="shared" si="79"/>
        <v>45.201404818411653</v>
      </c>
      <c r="CL108" s="4">
        <f t="shared" si="80"/>
        <v>0</v>
      </c>
      <c r="CM108" s="4">
        <f t="shared" si="81"/>
        <v>0</v>
      </c>
      <c r="CN108" s="4">
        <f t="shared" si="82"/>
        <v>0</v>
      </c>
      <c r="CO108" s="4">
        <f t="shared" si="83"/>
        <v>75.600561729460765</v>
      </c>
      <c r="CP108" s="4">
        <f t="shared" si="84"/>
        <v>0</v>
      </c>
      <c r="CQ108" s="4">
        <f t="shared" si="85"/>
        <v>31.612176373776833</v>
      </c>
    </row>
    <row r="109" spans="2:95" outlineLevel="2" x14ac:dyDescent="0.25">
      <c r="B109">
        <v>18</v>
      </c>
      <c r="D109" s="4">
        <f t="shared" si="31"/>
        <v>6.6356224726109971</v>
      </c>
      <c r="F109" s="4">
        <f t="shared" si="32"/>
        <v>12.111811939101385</v>
      </c>
      <c r="G109" s="4"/>
      <c r="H109">
        <f t="shared" si="33"/>
        <v>18.046485690356622</v>
      </c>
      <c r="I109">
        <f t="shared" si="34"/>
        <v>0</v>
      </c>
      <c r="J109">
        <f t="shared" si="86"/>
        <v>1.471413414483723</v>
      </c>
      <c r="K109">
        <f t="shared" si="35"/>
        <v>0</v>
      </c>
      <c r="L109">
        <f t="shared" si="36"/>
        <v>1.4092140982154515</v>
      </c>
      <c r="M109">
        <f t="shared" si="37"/>
        <v>0</v>
      </c>
      <c r="N109">
        <f t="shared" si="87"/>
        <v>19.463897070417389</v>
      </c>
      <c r="O109">
        <f t="shared" si="38"/>
        <v>0</v>
      </c>
      <c r="P109">
        <f t="shared" si="39"/>
        <v>5.4479558870187796</v>
      </c>
      <c r="Q109" s="4">
        <f t="shared" si="40"/>
        <v>0</v>
      </c>
      <c r="R109" s="4">
        <f t="shared" si="41"/>
        <v>24.344659877652955</v>
      </c>
      <c r="S109" s="4">
        <f t="shared" si="42"/>
        <v>0</v>
      </c>
      <c r="T109">
        <f t="shared" si="43"/>
        <v>9.8464610756079836</v>
      </c>
      <c r="U109">
        <f t="shared" si="44"/>
        <v>0</v>
      </c>
      <c r="V109">
        <f t="shared" si="45"/>
        <v>0</v>
      </c>
      <c r="W109">
        <f t="shared" si="46"/>
        <v>0</v>
      </c>
      <c r="X109">
        <f t="shared" si="47"/>
        <v>6.9546480899429524</v>
      </c>
      <c r="Y109">
        <f t="shared" si="48"/>
        <v>0</v>
      </c>
      <c r="Z109">
        <f t="shared" si="49"/>
        <v>5.6122332849654359</v>
      </c>
      <c r="AA109">
        <f t="shared" si="50"/>
        <v>0</v>
      </c>
      <c r="AB109">
        <f t="shared" si="51"/>
        <v>0</v>
      </c>
      <c r="AC109">
        <f t="shared" si="52"/>
        <v>0</v>
      </c>
      <c r="AD109">
        <f t="shared" si="53"/>
        <v>6.8603075159747968</v>
      </c>
      <c r="AE109">
        <f t="shared" si="88"/>
        <v>0</v>
      </c>
      <c r="AF109">
        <f t="shared" si="89"/>
        <v>1.0534709264054809</v>
      </c>
      <c r="AG109">
        <f t="shared" si="90"/>
        <v>0</v>
      </c>
      <c r="AH109">
        <f t="shared" si="91"/>
        <v>6.5973151587734655</v>
      </c>
      <c r="AI109">
        <f t="shared" si="92"/>
        <v>0</v>
      </c>
      <c r="AJ109" s="4">
        <f t="shared" si="93"/>
        <v>1.2414318913724041</v>
      </c>
      <c r="AK109" s="4">
        <f t="shared" si="94"/>
        <v>0</v>
      </c>
      <c r="AL109" s="4">
        <f t="shared" si="95"/>
        <v>1.1552273270664846</v>
      </c>
      <c r="AM109" s="4">
        <f t="shared" si="96"/>
        <v>0</v>
      </c>
      <c r="AN109" s="4">
        <f t="shared" si="97"/>
        <v>0</v>
      </c>
      <c r="AO109" s="4">
        <f t="shared" si="98"/>
        <v>0</v>
      </c>
      <c r="AP109" s="4">
        <f t="shared" si="99"/>
        <v>6.6625123494723635</v>
      </c>
      <c r="AQ109" s="4">
        <f t="shared" si="100"/>
        <v>0</v>
      </c>
      <c r="AR109" s="4">
        <f t="shared" si="101"/>
        <v>0</v>
      </c>
      <c r="AS109" s="4">
        <f t="shared" si="102"/>
        <v>0</v>
      </c>
      <c r="AT109" s="4">
        <f t="shared" si="103"/>
        <v>0</v>
      </c>
      <c r="AU109" s="4">
        <f t="shared" si="104"/>
        <v>3.222430770639511</v>
      </c>
      <c r="AV109" s="4">
        <f t="shared" si="105"/>
        <v>0</v>
      </c>
      <c r="AW109" s="4">
        <f t="shared" si="106"/>
        <v>2.8300811855772445</v>
      </c>
      <c r="AX109" s="4">
        <f t="shared" si="107"/>
        <v>0</v>
      </c>
      <c r="AY109" s="4">
        <f t="shared" si="108"/>
        <v>8.4263929051872903</v>
      </c>
      <c r="AZ109" s="4">
        <f t="shared" si="109"/>
        <v>0</v>
      </c>
      <c r="BA109" s="4">
        <f t="shared" si="110"/>
        <v>2.2591525011817457</v>
      </c>
      <c r="BB109" s="4">
        <f t="shared" si="111"/>
        <v>0</v>
      </c>
      <c r="BC109" s="4">
        <f t="shared" si="112"/>
        <v>7.935570894501403</v>
      </c>
      <c r="BD109" s="4">
        <f t="shared" si="113"/>
        <v>0</v>
      </c>
      <c r="BE109" s="4">
        <f t="shared" si="114"/>
        <v>6.4520931687453196</v>
      </c>
      <c r="BF109" s="4">
        <f t="shared" si="115"/>
        <v>0</v>
      </c>
      <c r="BG109" s="4">
        <f t="shared" si="116"/>
        <v>9.8769204247277731</v>
      </c>
      <c r="BH109" s="4">
        <f t="shared" si="117"/>
        <v>0</v>
      </c>
      <c r="BI109" s="4">
        <f t="shared" si="118"/>
        <v>3.2133583563909065</v>
      </c>
      <c r="BJ109" s="4"/>
      <c r="BK109" s="4"/>
      <c r="BL109" s="4"/>
      <c r="BM109" s="4">
        <f t="shared" si="55"/>
        <v>54.422618544063155</v>
      </c>
      <c r="BN109" s="4">
        <f t="shared" si="56"/>
        <v>0</v>
      </c>
      <c r="BO109" s="4">
        <f t="shared" si="57"/>
        <v>39.613322666893289</v>
      </c>
      <c r="BP109" s="4">
        <f t="shared" si="58"/>
        <v>0</v>
      </c>
      <c r="BQ109" s="4">
        <f t="shared" si="59"/>
        <v>48.889158996412974</v>
      </c>
      <c r="BR109" s="4">
        <f t="shared" si="60"/>
        <v>0</v>
      </c>
      <c r="BS109" s="4">
        <f t="shared" si="61"/>
        <v>5.2739320896599136</v>
      </c>
      <c r="BT109" s="4">
        <f t="shared" si="62"/>
        <v>0</v>
      </c>
      <c r="BU109" s="4">
        <f t="shared" si="63"/>
        <v>25.860391293138054</v>
      </c>
      <c r="BV109" s="4">
        <f t="shared" si="64"/>
        <v>0</v>
      </c>
      <c r="BW109" s="4">
        <f t="shared" si="65"/>
        <v>101.75984091031272</v>
      </c>
      <c r="BX109" s="4">
        <f t="shared" si="66"/>
        <v>0</v>
      </c>
      <c r="BY109" s="4">
        <f t="shared" si="67"/>
        <v>23.675885607625425</v>
      </c>
      <c r="BZ109" s="4">
        <f t="shared" si="68"/>
        <v>0</v>
      </c>
      <c r="CA109" s="4">
        <f t="shared" si="69"/>
        <v>15.275695500060587</v>
      </c>
      <c r="CB109" s="4">
        <f t="shared" si="70"/>
        <v>0</v>
      </c>
      <c r="CC109" s="4">
        <f t="shared" si="71"/>
        <v>35.771611289662111</v>
      </c>
      <c r="CD109" s="4">
        <f t="shared" si="72"/>
        <v>0</v>
      </c>
      <c r="CE109" s="4">
        <f t="shared" si="73"/>
        <v>60.688877397200237</v>
      </c>
      <c r="CF109" s="4">
        <f t="shared" si="74"/>
        <v>0</v>
      </c>
      <c r="CG109" s="4">
        <f t="shared" si="75"/>
        <v>0</v>
      </c>
      <c r="CH109" s="4">
        <f t="shared" si="76"/>
        <v>0</v>
      </c>
      <c r="CI109" s="4">
        <f t="shared" si="77"/>
        <v>24.493491746806239</v>
      </c>
      <c r="CJ109" s="4">
        <f t="shared" si="78"/>
        <v>0</v>
      </c>
      <c r="CK109" s="4">
        <f t="shared" si="79"/>
        <v>34.928358268772627</v>
      </c>
      <c r="CL109" s="4">
        <f t="shared" si="80"/>
        <v>0</v>
      </c>
      <c r="CM109" s="4">
        <f t="shared" si="81"/>
        <v>0</v>
      </c>
      <c r="CN109" s="4">
        <f t="shared" si="82"/>
        <v>0</v>
      </c>
      <c r="CO109" s="4">
        <f t="shared" si="83"/>
        <v>58.418615881856034</v>
      </c>
      <c r="CP109" s="4">
        <f t="shared" si="84"/>
        <v>0</v>
      </c>
      <c r="CQ109" s="4">
        <f t="shared" si="85"/>
        <v>24.427590834282103</v>
      </c>
    </row>
    <row r="110" spans="2:95" outlineLevel="2" x14ac:dyDescent="0.25">
      <c r="B110">
        <v>19</v>
      </c>
      <c r="D110" s="4">
        <f t="shared" si="31"/>
        <v>5.1275264561084972</v>
      </c>
      <c r="F110" s="4">
        <f t="shared" si="32"/>
        <v>9.3591274074874331</v>
      </c>
      <c r="G110" s="4"/>
      <c r="H110">
        <f t="shared" si="33"/>
        <v>14.437188552285299</v>
      </c>
      <c r="I110">
        <f t="shared" si="34"/>
        <v>0</v>
      </c>
      <c r="J110">
        <f t="shared" si="86"/>
        <v>1.0701188468972536</v>
      </c>
      <c r="K110">
        <f t="shared" si="35"/>
        <v>0</v>
      </c>
      <c r="L110">
        <f t="shared" si="36"/>
        <v>1.0248829805203283</v>
      </c>
      <c r="M110">
        <f t="shared" si="37"/>
        <v>0</v>
      </c>
      <c r="N110">
        <f t="shared" si="87"/>
        <v>15.040284099867986</v>
      </c>
      <c r="O110">
        <f t="shared" si="38"/>
        <v>0</v>
      </c>
      <c r="P110">
        <f t="shared" si="39"/>
        <v>4.2097840945145117</v>
      </c>
      <c r="Q110" s="4">
        <f t="shared" si="40"/>
        <v>0</v>
      </c>
      <c r="R110" s="4">
        <f t="shared" si="41"/>
        <v>18.811782632731827</v>
      </c>
      <c r="S110" s="4">
        <f t="shared" si="42"/>
        <v>0</v>
      </c>
      <c r="T110">
        <f t="shared" si="43"/>
        <v>7.8771688604863872</v>
      </c>
      <c r="U110">
        <f t="shared" si="44"/>
        <v>0</v>
      </c>
      <c r="V110">
        <f t="shared" si="45"/>
        <v>0</v>
      </c>
      <c r="W110">
        <f t="shared" si="46"/>
        <v>0</v>
      </c>
      <c r="X110">
        <f t="shared" si="47"/>
        <v>5.0579258835948746</v>
      </c>
      <c r="Y110">
        <f t="shared" si="48"/>
        <v>0</v>
      </c>
      <c r="Z110">
        <f t="shared" si="49"/>
        <v>4.3367257202005627</v>
      </c>
      <c r="AA110">
        <f t="shared" si="50"/>
        <v>0</v>
      </c>
      <c r="AB110">
        <f t="shared" si="51"/>
        <v>0</v>
      </c>
      <c r="AC110">
        <f t="shared" si="52"/>
        <v>0</v>
      </c>
      <c r="AD110">
        <f t="shared" si="53"/>
        <v>5.301146716889618</v>
      </c>
      <c r="AE110">
        <f t="shared" si="88"/>
        <v>0</v>
      </c>
      <c r="AF110">
        <f t="shared" si="89"/>
        <v>0.76616067374944097</v>
      </c>
      <c r="AG110">
        <f t="shared" si="90"/>
        <v>0</v>
      </c>
      <c r="AH110">
        <f t="shared" si="91"/>
        <v>5.0979253499613133</v>
      </c>
      <c r="AI110">
        <f t="shared" si="92"/>
        <v>0</v>
      </c>
      <c r="AJ110" s="4">
        <f t="shared" si="93"/>
        <v>0.90285955736174872</v>
      </c>
      <c r="AK110" s="4">
        <f t="shared" si="94"/>
        <v>0</v>
      </c>
      <c r="AL110" s="4">
        <f t="shared" si="95"/>
        <v>0.84016532877562533</v>
      </c>
      <c r="AM110" s="4">
        <f t="shared" si="96"/>
        <v>0</v>
      </c>
      <c r="AN110" s="4">
        <f t="shared" si="97"/>
        <v>0</v>
      </c>
      <c r="AO110" s="4">
        <f t="shared" si="98"/>
        <v>0</v>
      </c>
      <c r="AP110" s="4">
        <f t="shared" si="99"/>
        <v>5.1483049973195518</v>
      </c>
      <c r="AQ110" s="4">
        <f t="shared" si="100"/>
        <v>0</v>
      </c>
      <c r="AR110" s="4">
        <f t="shared" si="101"/>
        <v>0</v>
      </c>
      <c r="AS110" s="4">
        <f t="shared" si="102"/>
        <v>0</v>
      </c>
      <c r="AT110" s="4">
        <f t="shared" si="103"/>
        <v>0</v>
      </c>
      <c r="AU110" s="4">
        <f t="shared" si="104"/>
        <v>2.3435860150105543</v>
      </c>
      <c r="AV110" s="4">
        <f t="shared" si="105"/>
        <v>0</v>
      </c>
      <c r="AW110" s="4">
        <f t="shared" si="106"/>
        <v>2.0582408622379966</v>
      </c>
      <c r="AX110" s="4">
        <f t="shared" si="107"/>
        <v>0</v>
      </c>
      <c r="AY110" s="4">
        <f t="shared" si="108"/>
        <v>6.5113036085538143</v>
      </c>
      <c r="AZ110" s="4">
        <f t="shared" si="109"/>
        <v>0</v>
      </c>
      <c r="BA110" s="4">
        <f t="shared" si="110"/>
        <v>1.6430200008594515</v>
      </c>
      <c r="BB110" s="4">
        <f t="shared" si="111"/>
        <v>0</v>
      </c>
      <c r="BC110" s="4">
        <f t="shared" si="112"/>
        <v>6.1320320548419938</v>
      </c>
      <c r="BD110" s="4">
        <f t="shared" si="113"/>
        <v>0</v>
      </c>
      <c r="BE110" s="4">
        <f t="shared" si="114"/>
        <v>4.9857083576668382</v>
      </c>
      <c r="BF110" s="4">
        <f t="shared" si="115"/>
        <v>0</v>
      </c>
      <c r="BG110" s="4">
        <f t="shared" si="116"/>
        <v>7.6321657827441882</v>
      </c>
      <c r="BH110" s="4">
        <f t="shared" si="117"/>
        <v>0</v>
      </c>
      <c r="BI110" s="4">
        <f t="shared" si="118"/>
        <v>2.3369878955570229</v>
      </c>
      <c r="BJ110" s="4"/>
      <c r="BK110" s="4"/>
      <c r="BL110" s="4"/>
      <c r="BM110" s="4">
        <f t="shared" si="55"/>
        <v>42.053841602230634</v>
      </c>
      <c r="BN110" s="4">
        <f t="shared" si="56"/>
        <v>0</v>
      </c>
      <c r="BO110" s="4">
        <f t="shared" si="57"/>
        <v>30.610294788053913</v>
      </c>
      <c r="BP110" s="4">
        <f t="shared" si="58"/>
        <v>0</v>
      </c>
      <c r="BQ110" s="4">
        <f t="shared" si="59"/>
        <v>40.000220997065185</v>
      </c>
      <c r="BR110" s="4">
        <f t="shared" si="60"/>
        <v>0</v>
      </c>
      <c r="BS110" s="4">
        <f t="shared" si="61"/>
        <v>3.8355869742981197</v>
      </c>
      <c r="BT110" s="4">
        <f t="shared" si="62"/>
        <v>0</v>
      </c>
      <c r="BU110" s="4">
        <f t="shared" si="63"/>
        <v>19.983029635606673</v>
      </c>
      <c r="BV110" s="4">
        <f t="shared" si="64"/>
        <v>0</v>
      </c>
      <c r="BW110" s="4">
        <f t="shared" si="65"/>
        <v>78.632604339787122</v>
      </c>
      <c r="BX110" s="4">
        <f t="shared" si="66"/>
        <v>0</v>
      </c>
      <c r="BY110" s="4">
        <f t="shared" si="67"/>
        <v>18.295002514983281</v>
      </c>
      <c r="BZ110" s="4">
        <f t="shared" si="68"/>
        <v>0</v>
      </c>
      <c r="CA110" s="4">
        <f t="shared" si="69"/>
        <v>11.803946522774089</v>
      </c>
      <c r="CB110" s="4">
        <f t="shared" si="70"/>
        <v>0</v>
      </c>
      <c r="CC110" s="4">
        <f t="shared" si="71"/>
        <v>27.641699632920716</v>
      </c>
      <c r="CD110" s="4">
        <f t="shared" si="72"/>
        <v>0</v>
      </c>
      <c r="CE110" s="4">
        <f t="shared" si="73"/>
        <v>46.895950716018362</v>
      </c>
      <c r="CF110" s="4">
        <f t="shared" si="74"/>
        <v>0</v>
      </c>
      <c r="CG110" s="4">
        <f t="shared" si="75"/>
        <v>0</v>
      </c>
      <c r="CH110" s="4">
        <f t="shared" si="76"/>
        <v>0</v>
      </c>
      <c r="CI110" s="4">
        <f t="shared" si="77"/>
        <v>18.926789077077544</v>
      </c>
      <c r="CJ110" s="4">
        <f t="shared" si="78"/>
        <v>0</v>
      </c>
      <c r="CK110" s="4">
        <f t="shared" si="79"/>
        <v>26.990095025869756</v>
      </c>
      <c r="CL110" s="4">
        <f t="shared" si="80"/>
        <v>0</v>
      </c>
      <c r="CM110" s="4">
        <f t="shared" si="81"/>
        <v>0</v>
      </c>
      <c r="CN110" s="4">
        <f t="shared" si="82"/>
        <v>0</v>
      </c>
      <c r="CO110" s="4">
        <f t="shared" si="83"/>
        <v>45.141657726888738</v>
      </c>
      <c r="CP110" s="4">
        <f t="shared" si="84"/>
        <v>0</v>
      </c>
      <c r="CQ110" s="4">
        <f t="shared" si="85"/>
        <v>18.87586564467253</v>
      </c>
    </row>
    <row r="111" spans="2:95" outlineLevel="2" x14ac:dyDescent="0.25">
      <c r="B111">
        <v>20</v>
      </c>
      <c r="D111" s="4">
        <f t="shared" si="31"/>
        <v>3.9621795342656569</v>
      </c>
      <c r="F111" s="4">
        <f t="shared" si="32"/>
        <v>7.2320529966948319</v>
      </c>
      <c r="G111" s="4"/>
      <c r="H111">
        <f t="shared" si="33"/>
        <v>11.54975084182824</v>
      </c>
      <c r="I111">
        <f t="shared" si="34"/>
        <v>0</v>
      </c>
      <c r="J111">
        <f t="shared" si="86"/>
        <v>0.77826825228891172</v>
      </c>
      <c r="K111">
        <f t="shared" si="35"/>
        <v>0</v>
      </c>
      <c r="L111">
        <f t="shared" si="36"/>
        <v>0.74536944037842079</v>
      </c>
      <c r="M111">
        <f t="shared" si="37"/>
        <v>0</v>
      </c>
      <c r="N111">
        <f t="shared" si="87"/>
        <v>11.622037713534349</v>
      </c>
      <c r="O111">
        <f t="shared" si="38"/>
        <v>0</v>
      </c>
      <c r="P111">
        <f t="shared" si="39"/>
        <v>3.2530149821248497</v>
      </c>
      <c r="Q111" s="4">
        <f t="shared" si="40"/>
        <v>0</v>
      </c>
      <c r="R111" s="4">
        <f t="shared" si="41"/>
        <v>14.536377488929137</v>
      </c>
      <c r="S111" s="4">
        <f t="shared" si="42"/>
        <v>0</v>
      </c>
      <c r="T111">
        <f t="shared" si="43"/>
        <v>6.3017350883891075</v>
      </c>
      <c r="U111">
        <f t="shared" si="44"/>
        <v>0</v>
      </c>
      <c r="V111">
        <f t="shared" si="45"/>
        <v>0</v>
      </c>
      <c r="W111">
        <f t="shared" si="46"/>
        <v>0</v>
      </c>
      <c r="X111">
        <f t="shared" si="47"/>
        <v>3.6784915517053651</v>
      </c>
      <c r="Y111">
        <f t="shared" si="48"/>
        <v>0</v>
      </c>
      <c r="Z111">
        <f t="shared" si="49"/>
        <v>3.351106238336798</v>
      </c>
      <c r="AA111">
        <f t="shared" si="50"/>
        <v>0</v>
      </c>
      <c r="AB111">
        <f t="shared" si="51"/>
        <v>0</v>
      </c>
      <c r="AC111">
        <f t="shared" si="52"/>
        <v>0</v>
      </c>
      <c r="AD111">
        <f t="shared" si="53"/>
        <v>4.0963406448692492</v>
      </c>
      <c r="AE111">
        <f t="shared" si="88"/>
        <v>0</v>
      </c>
      <c r="AF111">
        <f t="shared" si="89"/>
        <v>0.55720776272686612</v>
      </c>
      <c r="AG111">
        <f t="shared" si="90"/>
        <v>0</v>
      </c>
      <c r="AH111">
        <f t="shared" si="91"/>
        <v>3.939305952242834</v>
      </c>
      <c r="AI111">
        <f t="shared" si="92"/>
        <v>0</v>
      </c>
      <c r="AJ111" s="4">
        <f t="shared" si="93"/>
        <v>0.65662513262672617</v>
      </c>
      <c r="AK111" s="4">
        <f t="shared" si="94"/>
        <v>0</v>
      </c>
      <c r="AL111" s="4">
        <f t="shared" si="95"/>
        <v>0.6110293300186368</v>
      </c>
      <c r="AM111" s="4">
        <f t="shared" si="96"/>
        <v>0</v>
      </c>
      <c r="AN111" s="4">
        <f t="shared" si="97"/>
        <v>0</v>
      </c>
      <c r="AO111" s="4">
        <f t="shared" si="98"/>
        <v>0</v>
      </c>
      <c r="AP111" s="4">
        <f t="shared" si="99"/>
        <v>3.9782356797469269</v>
      </c>
      <c r="AQ111" s="4">
        <f t="shared" si="100"/>
        <v>0</v>
      </c>
      <c r="AR111" s="4">
        <f t="shared" si="101"/>
        <v>0</v>
      </c>
      <c r="AS111" s="4">
        <f t="shared" si="102"/>
        <v>0</v>
      </c>
      <c r="AT111" s="4">
        <f t="shared" si="103"/>
        <v>0</v>
      </c>
      <c r="AU111" s="4">
        <f t="shared" si="104"/>
        <v>1.7044261927349489</v>
      </c>
      <c r="AV111" s="4">
        <f t="shared" si="105"/>
        <v>0</v>
      </c>
      <c r="AW111" s="4">
        <f t="shared" si="106"/>
        <v>1.4969024452639976</v>
      </c>
      <c r="AX111" s="4">
        <f t="shared" si="107"/>
        <v>0</v>
      </c>
      <c r="AY111" s="4">
        <f t="shared" si="108"/>
        <v>5.0314618793370363</v>
      </c>
      <c r="AZ111" s="4">
        <f t="shared" si="109"/>
        <v>0</v>
      </c>
      <c r="BA111" s="4">
        <f t="shared" si="110"/>
        <v>1.1949236369886926</v>
      </c>
      <c r="BB111" s="4">
        <f t="shared" si="111"/>
        <v>0</v>
      </c>
      <c r="BC111" s="4">
        <f t="shared" si="112"/>
        <v>4.7383884060142671</v>
      </c>
      <c r="BD111" s="4">
        <f t="shared" si="113"/>
        <v>0</v>
      </c>
      <c r="BE111" s="4">
        <f t="shared" si="114"/>
        <v>3.8525928218334662</v>
      </c>
      <c r="BF111" s="4">
        <f t="shared" si="115"/>
        <v>0</v>
      </c>
      <c r="BG111" s="4">
        <f t="shared" si="116"/>
        <v>5.8975826503023265</v>
      </c>
      <c r="BH111" s="4">
        <f t="shared" si="117"/>
        <v>0</v>
      </c>
      <c r="BI111" s="4">
        <f t="shared" si="118"/>
        <v>1.6996275604051081</v>
      </c>
      <c r="BJ111" s="4"/>
      <c r="BK111" s="4"/>
      <c r="BL111" s="4"/>
      <c r="BM111" s="4">
        <f t="shared" si="55"/>
        <v>32.4961503289964</v>
      </c>
      <c r="BN111" s="4">
        <f t="shared" si="56"/>
        <v>0</v>
      </c>
      <c r="BO111" s="4">
        <f t="shared" si="57"/>
        <v>23.653409608950746</v>
      </c>
      <c r="BP111" s="4">
        <f t="shared" si="58"/>
        <v>0</v>
      </c>
      <c r="BQ111" s="4">
        <f t="shared" si="59"/>
        <v>32.727453543053315</v>
      </c>
      <c r="BR111" s="4">
        <f t="shared" si="60"/>
        <v>0</v>
      </c>
      <c r="BS111" s="4">
        <f t="shared" si="61"/>
        <v>2.7895177994895421</v>
      </c>
      <c r="BT111" s="4">
        <f t="shared" si="62"/>
        <v>0</v>
      </c>
      <c r="BU111" s="4">
        <f t="shared" si="63"/>
        <v>15.441431991150614</v>
      </c>
      <c r="BV111" s="4">
        <f t="shared" si="64"/>
        <v>0</v>
      </c>
      <c r="BW111" s="4">
        <f t="shared" si="65"/>
        <v>60.761557898926412</v>
      </c>
      <c r="BX111" s="4">
        <f t="shared" si="66"/>
        <v>0</v>
      </c>
      <c r="BY111" s="4">
        <f t="shared" si="67"/>
        <v>14.137047397941624</v>
      </c>
      <c r="BZ111" s="4">
        <f t="shared" si="68"/>
        <v>0</v>
      </c>
      <c r="CA111" s="4">
        <f t="shared" si="69"/>
        <v>9.1212314039617972</v>
      </c>
      <c r="CB111" s="4">
        <f t="shared" si="70"/>
        <v>0</v>
      </c>
      <c r="CC111" s="4">
        <f t="shared" si="71"/>
        <v>21.359495170893279</v>
      </c>
      <c r="CD111" s="4">
        <f t="shared" si="72"/>
        <v>0</v>
      </c>
      <c r="CE111" s="4">
        <f t="shared" si="73"/>
        <v>36.237780098741474</v>
      </c>
      <c r="CF111" s="4">
        <f t="shared" si="74"/>
        <v>0</v>
      </c>
      <c r="CG111" s="4">
        <f t="shared" si="75"/>
        <v>0</v>
      </c>
      <c r="CH111" s="4">
        <f t="shared" si="76"/>
        <v>0</v>
      </c>
      <c r="CI111" s="4">
        <f t="shared" si="77"/>
        <v>14.625246105014467</v>
      </c>
      <c r="CJ111" s="4">
        <f t="shared" si="78"/>
        <v>0</v>
      </c>
      <c r="CK111" s="4">
        <f t="shared" si="79"/>
        <v>20.855982519990263</v>
      </c>
      <c r="CL111" s="4">
        <f t="shared" si="80"/>
        <v>0</v>
      </c>
      <c r="CM111" s="4">
        <f t="shared" si="81"/>
        <v>0</v>
      </c>
      <c r="CN111" s="4">
        <f t="shared" si="82"/>
        <v>0</v>
      </c>
      <c r="CO111" s="4">
        <f t="shared" si="83"/>
        <v>34.882190061686764</v>
      </c>
      <c r="CP111" s="4">
        <f t="shared" si="84"/>
        <v>0</v>
      </c>
      <c r="CQ111" s="4">
        <f t="shared" si="85"/>
        <v>14.585896179974227</v>
      </c>
    </row>
    <row r="112" spans="2:95" outlineLevel="2" x14ac:dyDescent="0.25">
      <c r="B112">
        <v>21</v>
      </c>
      <c r="D112" s="4">
        <f t="shared" si="31"/>
        <v>24.922951045951748</v>
      </c>
      <c r="F112" s="4">
        <f t="shared" si="32"/>
        <v>45.491149817813614</v>
      </c>
      <c r="G112" s="4"/>
      <c r="H112">
        <f t="shared" si="33"/>
        <v>75.214517860622976</v>
      </c>
      <c r="I112">
        <f t="shared" si="34"/>
        <v>0</v>
      </c>
      <c r="J112">
        <f t="shared" si="86"/>
        <v>4.607503672495139</v>
      </c>
      <c r="K112">
        <f t="shared" si="35"/>
        <v>0</v>
      </c>
      <c r="L112">
        <f t="shared" si="36"/>
        <v>4.4127361276897208</v>
      </c>
      <c r="M112">
        <f t="shared" si="37"/>
        <v>0</v>
      </c>
      <c r="N112">
        <f t="shared" si="87"/>
        <v>73.105086350486602</v>
      </c>
      <c r="O112">
        <f t="shared" si="38"/>
        <v>0</v>
      </c>
      <c r="P112">
        <f t="shared" si="39"/>
        <v>20.462155349119357</v>
      </c>
      <c r="Q112" s="4">
        <f t="shared" si="40"/>
        <v>0</v>
      </c>
      <c r="R112" s="4">
        <f t="shared" si="41"/>
        <v>91.436902696839041</v>
      </c>
      <c r="S112" s="4">
        <f t="shared" si="42"/>
        <v>0</v>
      </c>
      <c r="T112">
        <f t="shared" si="43"/>
        <v>41.038284968191512</v>
      </c>
      <c r="U112">
        <f t="shared" si="44"/>
        <v>0</v>
      </c>
      <c r="V112">
        <f t="shared" si="45"/>
        <v>0</v>
      </c>
      <c r="W112">
        <f t="shared" si="46"/>
        <v>0</v>
      </c>
      <c r="X112">
        <f t="shared" si="47"/>
        <v>21.777405520369424</v>
      </c>
      <c r="Y112">
        <f t="shared" si="48"/>
        <v>0</v>
      </c>
      <c r="Z112">
        <f t="shared" si="49"/>
        <v>21.079170190436841</v>
      </c>
      <c r="AA112">
        <f t="shared" si="50"/>
        <v>0</v>
      </c>
      <c r="AB112">
        <f t="shared" si="51"/>
        <v>0</v>
      </c>
      <c r="AC112">
        <f t="shared" si="52"/>
        <v>0</v>
      </c>
      <c r="AD112">
        <f t="shared" si="53"/>
        <v>25.766852934527719</v>
      </c>
      <c r="AE112">
        <f t="shared" si="88"/>
        <v>0</v>
      </c>
      <c r="AF112">
        <f t="shared" si="89"/>
        <v>3.2987813720477699</v>
      </c>
      <c r="AG112">
        <f t="shared" si="90"/>
        <v>0</v>
      </c>
      <c r="AH112">
        <f t="shared" si="91"/>
        <v>24.779071355475779</v>
      </c>
      <c r="AI112">
        <f t="shared" si="92"/>
        <v>0</v>
      </c>
      <c r="AJ112" s="4">
        <f t="shared" si="93"/>
        <v>3.8873520808955568</v>
      </c>
      <c r="AK112" s="4">
        <f t="shared" si="94"/>
        <v>0</v>
      </c>
      <c r="AL112" s="4">
        <f t="shared" si="95"/>
        <v>3.617415812328419</v>
      </c>
      <c r="AM112" s="4">
        <f t="shared" si="96"/>
        <v>0</v>
      </c>
      <c r="AN112" s="4">
        <f t="shared" si="97"/>
        <v>0</v>
      </c>
      <c r="AO112" s="4">
        <f t="shared" si="98"/>
        <v>0</v>
      </c>
      <c r="AP112" s="4">
        <f t="shared" si="99"/>
        <v>25.023947612199109</v>
      </c>
      <c r="AQ112" s="4">
        <f t="shared" si="100"/>
        <v>0</v>
      </c>
      <c r="AR112" s="4">
        <f t="shared" si="101"/>
        <v>0</v>
      </c>
      <c r="AS112" s="4">
        <f t="shared" si="102"/>
        <v>0</v>
      </c>
      <c r="AT112" s="4">
        <f t="shared" si="103"/>
        <v>0</v>
      </c>
      <c r="AU112" s="4">
        <f t="shared" si="104"/>
        <v>10.090543870223179</v>
      </c>
      <c r="AV112" s="4">
        <f t="shared" si="105"/>
        <v>0</v>
      </c>
      <c r="AW112" s="4">
        <f t="shared" si="106"/>
        <v>8.861961789699853</v>
      </c>
      <c r="AX112" s="4">
        <f t="shared" si="107"/>
        <v>0</v>
      </c>
      <c r="AY112" s="4">
        <f t="shared" si="108"/>
        <v>31.648964168285858</v>
      </c>
      <c r="AZ112" s="4">
        <f t="shared" si="109"/>
        <v>0</v>
      </c>
      <c r="BA112" s="4">
        <f t="shared" si="110"/>
        <v>7.0741868624146731</v>
      </c>
      <c r="BB112" s="4">
        <f t="shared" si="111"/>
        <v>0</v>
      </c>
      <c r="BC112" s="4">
        <f t="shared" si="112"/>
        <v>29.805469756858542</v>
      </c>
      <c r="BD112" s="4">
        <f t="shared" si="113"/>
        <v>0</v>
      </c>
      <c r="BE112" s="4">
        <f t="shared" si="114"/>
        <v>24.233627342769157</v>
      </c>
      <c r="BF112" s="4">
        <f t="shared" si="115"/>
        <v>0</v>
      </c>
      <c r="BG112" s="4">
        <f t="shared" si="116"/>
        <v>37.097047827284079</v>
      </c>
      <c r="BH112" s="4">
        <f t="shared" si="117"/>
        <v>0</v>
      </c>
      <c r="BI112" s="4">
        <f t="shared" si="118"/>
        <v>10.062135007318043</v>
      </c>
      <c r="BJ112" s="4"/>
      <c r="BK112" s="4"/>
      <c r="BL112" s="4"/>
      <c r="BM112" s="4">
        <f t="shared" si="55"/>
        <v>204.40768946164664</v>
      </c>
      <c r="BN112" s="4">
        <f t="shared" si="56"/>
        <v>0</v>
      </c>
      <c r="BO112" s="4">
        <f t="shared" si="57"/>
        <v>148.78497166913044</v>
      </c>
      <c r="BP112" s="4">
        <f t="shared" si="58"/>
        <v>0</v>
      </c>
      <c r="BQ112" s="4">
        <f t="shared" si="59"/>
        <v>217.97220263192304</v>
      </c>
      <c r="BR112" s="4">
        <f t="shared" si="60"/>
        <v>0</v>
      </c>
      <c r="BS112" s="4">
        <f t="shared" si="61"/>
        <v>16.514503152143728</v>
      </c>
      <c r="BT112" s="4">
        <f t="shared" si="62"/>
        <v>0</v>
      </c>
      <c r="BU112" s="4">
        <f t="shared" si="63"/>
        <v>97.129887797011861</v>
      </c>
      <c r="BV112" s="4">
        <f t="shared" si="64"/>
        <v>0</v>
      </c>
      <c r="BW112" s="4">
        <f t="shared" si="65"/>
        <v>382.20310813638429</v>
      </c>
      <c r="BX112" s="4">
        <f t="shared" si="66"/>
        <v>0</v>
      </c>
      <c r="BY112" s="4">
        <f t="shared" si="67"/>
        <v>88.925031585803723</v>
      </c>
      <c r="BZ112" s="4">
        <f t="shared" si="68"/>
        <v>0</v>
      </c>
      <c r="CA112" s="4">
        <f t="shared" si="69"/>
        <v>57.374483360424016</v>
      </c>
      <c r="CB112" s="4">
        <f t="shared" si="70"/>
        <v>0</v>
      </c>
      <c r="CC112" s="4">
        <f t="shared" si="71"/>
        <v>134.3557625056178</v>
      </c>
      <c r="CD112" s="4">
        <f t="shared" si="72"/>
        <v>0</v>
      </c>
      <c r="CE112" s="4">
        <f t="shared" si="73"/>
        <v>227.94333563238865</v>
      </c>
      <c r="CF112" s="4">
        <f t="shared" si="74"/>
        <v>0</v>
      </c>
      <c r="CG112" s="4">
        <f t="shared" si="75"/>
        <v>0</v>
      </c>
      <c r="CH112" s="4">
        <f t="shared" si="76"/>
        <v>0</v>
      </c>
      <c r="CI112" s="4">
        <f t="shared" si="77"/>
        <v>91.995905172386017</v>
      </c>
      <c r="CJ112" s="4">
        <f t="shared" si="78"/>
        <v>0</v>
      </c>
      <c r="CK112" s="4">
        <f t="shared" si="79"/>
        <v>131.18856095885621</v>
      </c>
      <c r="CL112" s="4">
        <f t="shared" si="80"/>
        <v>0</v>
      </c>
      <c r="CM112" s="4">
        <f t="shared" si="81"/>
        <v>0</v>
      </c>
      <c r="CN112" s="4">
        <f t="shared" si="82"/>
        <v>0</v>
      </c>
      <c r="CO112" s="4">
        <f t="shared" si="83"/>
        <v>219.41638630066029</v>
      </c>
      <c r="CP112" s="4">
        <f t="shared" si="84"/>
        <v>0</v>
      </c>
      <c r="CQ112" s="4">
        <f t="shared" si="85"/>
        <v>91.748385783888253</v>
      </c>
    </row>
    <row r="113" spans="1:95" outlineLevel="2" x14ac:dyDescent="0.25">
      <c r="X113" s="4"/>
    </row>
    <row r="114" spans="1:95" outlineLevel="2" x14ac:dyDescent="0.25">
      <c r="B114" t="s">
        <v>383</v>
      </c>
      <c r="F114" s="4">
        <f>555+650-9</f>
        <v>1196</v>
      </c>
      <c r="X114" s="4"/>
      <c r="AL114">
        <v>220</v>
      </c>
      <c r="AP114">
        <v>318</v>
      </c>
    </row>
    <row r="115" spans="1:95" outlineLevel="1" x14ac:dyDescent="0.25">
      <c r="B115" t="s">
        <v>260</v>
      </c>
      <c r="D115" s="5">
        <f t="shared" ref="D115:AL115" si="119">+D90/(D14-D114)</f>
        <v>1.1715986328720736</v>
      </c>
      <c r="E115" t="e">
        <f t="shared" si="119"/>
        <v>#DIV/0!</v>
      </c>
      <c r="F115" s="5">
        <f t="shared" si="119"/>
        <v>1.5043916716248555</v>
      </c>
      <c r="G115" t="e">
        <f t="shared" si="119"/>
        <v>#DIV/0!</v>
      </c>
      <c r="H115" s="5">
        <f t="shared" si="119"/>
        <v>0.93693680755155861</v>
      </c>
      <c r="I115" t="e">
        <f t="shared" si="119"/>
        <v>#DIV/0!</v>
      </c>
      <c r="J115" s="5">
        <f t="shared" si="119"/>
        <v>0.96295286519016898</v>
      </c>
      <c r="K115" s="5" t="e">
        <f t="shared" si="119"/>
        <v>#DIV/0!</v>
      </c>
      <c r="L115" s="5">
        <f t="shared" si="119"/>
        <v>1.767786808689161</v>
      </c>
      <c r="M115" s="5" t="e">
        <f t="shared" si="119"/>
        <v>#DIV/0!</v>
      </c>
      <c r="N115" s="5">
        <f t="shared" si="119"/>
        <v>0.88291006876846734</v>
      </c>
      <c r="O115" t="e">
        <f t="shared" si="119"/>
        <v>#DIV/0!</v>
      </c>
      <c r="P115" s="5">
        <f t="shared" si="119"/>
        <v>1.0368464962223087</v>
      </c>
      <c r="Q115" t="e">
        <f t="shared" si="119"/>
        <v>#DIV/0!</v>
      </c>
      <c r="R115" s="5">
        <f t="shared" si="119"/>
        <v>2.6272745270610183</v>
      </c>
      <c r="S115" t="e">
        <f t="shared" si="119"/>
        <v>#DIV/0!</v>
      </c>
      <c r="T115" s="5">
        <f t="shared" si="119"/>
        <v>1.0664630412039371</v>
      </c>
      <c r="U115" t="e">
        <f t="shared" si="119"/>
        <v>#DIV/0!</v>
      </c>
      <c r="V115" t="e">
        <f t="shared" si="119"/>
        <v>#DIV/0!</v>
      </c>
      <c r="W115" t="e">
        <f t="shared" si="119"/>
        <v>#DIV/0!</v>
      </c>
      <c r="X115" s="4">
        <f t="shared" si="119"/>
        <v>1.7524437891279057</v>
      </c>
      <c r="Y115" t="e">
        <f t="shared" si="119"/>
        <v>#DIV/0!</v>
      </c>
      <c r="Z115" s="4">
        <f t="shared" si="119"/>
        <v>0.57237227267351443</v>
      </c>
      <c r="AA115" t="e">
        <f t="shared" si="119"/>
        <v>#DIV/0!</v>
      </c>
      <c r="AB115" t="e">
        <f t="shared" si="119"/>
        <v>#DIV/0!</v>
      </c>
      <c r="AC115" t="e">
        <f t="shared" si="119"/>
        <v>#DIV/0!</v>
      </c>
      <c r="AD115" s="4">
        <f t="shared" si="119"/>
        <v>1.8482659883551948</v>
      </c>
      <c r="AE115" t="e">
        <f t="shared" si="119"/>
        <v>#DIV/0!</v>
      </c>
      <c r="AF115" s="4">
        <f t="shared" si="119"/>
        <v>2.3787454418117679</v>
      </c>
      <c r="AG115" t="e">
        <f t="shared" si="119"/>
        <v>#DIV/0!</v>
      </c>
      <c r="AH115" s="4">
        <f t="shared" si="119"/>
        <v>1.4081518770034351</v>
      </c>
      <c r="AI115" t="e">
        <f t="shared" si="119"/>
        <v>#DIV/0!</v>
      </c>
      <c r="AJ115" s="5">
        <f t="shared" si="119"/>
        <v>1.3098891327700999</v>
      </c>
      <c r="AK115" t="e">
        <f t="shared" si="119"/>
        <v>#DIV/0!</v>
      </c>
      <c r="AL115" s="5">
        <f t="shared" si="119"/>
        <v>1.0960135192978566</v>
      </c>
      <c r="AM115" s="5" t="e">
        <f t="shared" ref="AM115:AT115" si="120">0+(+AM90/AM14)</f>
        <v>#DIV/0!</v>
      </c>
      <c r="AN115" s="5" t="e">
        <f t="shared" si="120"/>
        <v>#DIV/0!</v>
      </c>
      <c r="AO115" s="5" t="e">
        <f t="shared" si="120"/>
        <v>#DIV/0!</v>
      </c>
      <c r="AP115" s="5">
        <f>+AP90/(AP14-AP114)</f>
        <v>1.1782257342132947</v>
      </c>
      <c r="AQ115" s="5" t="e">
        <f t="shared" si="120"/>
        <v>#DIV/0!</v>
      </c>
      <c r="AR115" s="5" t="e">
        <f t="shared" si="120"/>
        <v>#DIV/0!</v>
      </c>
      <c r="AS115" s="5" t="e">
        <f t="shared" si="120"/>
        <v>#DIV/0!</v>
      </c>
      <c r="AT115" s="5" t="e">
        <f t="shared" si="120"/>
        <v>#DIV/0!</v>
      </c>
      <c r="AU115" s="5">
        <f t="shared" ref="AU115:BI115" si="121">+AU90/(AU14-AU114)</f>
        <v>1.6505459631938022</v>
      </c>
      <c r="AV115" s="5" t="e">
        <f t="shared" si="121"/>
        <v>#DIV/0!</v>
      </c>
      <c r="AW115" s="5">
        <f t="shared" si="121"/>
        <v>2.5924320690713931</v>
      </c>
      <c r="AX115" s="5"/>
      <c r="AY115" s="5">
        <f t="shared" si="121"/>
        <v>0.99806182661677978</v>
      </c>
      <c r="AZ115" s="5" t="e">
        <f t="shared" si="121"/>
        <v>#DIV/0!</v>
      </c>
      <c r="BA115" s="5">
        <f t="shared" si="121"/>
        <v>1.0297948834958457</v>
      </c>
      <c r="BB115" s="5" t="e">
        <f t="shared" si="121"/>
        <v>#DIV/0!</v>
      </c>
      <c r="BC115" s="5">
        <f>+BC90/(BC14-BC114)</f>
        <v>1.5336330357527184</v>
      </c>
      <c r="BD115" s="5" t="e">
        <f t="shared" si="121"/>
        <v>#DIV/0!</v>
      </c>
      <c r="BE115" s="5">
        <f t="shared" si="121"/>
        <v>1.3910934128393078</v>
      </c>
      <c r="BF115" s="5" t="e">
        <f t="shared" si="121"/>
        <v>#DIV/0!</v>
      </c>
      <c r="BG115" s="5">
        <f t="shared" si="121"/>
        <v>1.5719009874452508</v>
      </c>
      <c r="BH115" s="5" t="e">
        <f t="shared" si="121"/>
        <v>#DIV/0!</v>
      </c>
      <c r="BI115" s="5">
        <f t="shared" si="121"/>
        <v>1.4459521413478831</v>
      </c>
      <c r="BJ115" s="5"/>
      <c r="BK115" s="5"/>
      <c r="BL115" s="5"/>
      <c r="BM115" s="5">
        <f t="shared" ref="BM115" si="122">0+(+BM90/BM14)</f>
        <v>1.9254719844407227</v>
      </c>
      <c r="BN115" s="5"/>
      <c r="BO115" s="5">
        <f t="shared" ref="BO115" si="123">0+(+BO90/BO14)</f>
        <v>2.1854747321955821</v>
      </c>
      <c r="BP115" s="5"/>
      <c r="BQ115" s="5">
        <f t="shared" ref="BQ115" si="124">0+(+BQ90/BQ14)</f>
        <v>1.1523052622039271</v>
      </c>
      <c r="BR115" s="5"/>
      <c r="BS115" s="5">
        <f t="shared" ref="BS115:CQ115" si="125">0+(+BS90/BS14)</f>
        <v>3.9695263863012484</v>
      </c>
      <c r="BU115" s="5">
        <f>+BU90/BU14</f>
        <v>2.7908521887652036</v>
      </c>
      <c r="BV115" s="5"/>
      <c r="BW115" s="5">
        <f t="shared" si="125"/>
        <v>3.0771085342667632</v>
      </c>
      <c r="BX115" s="5" t="e">
        <f t="shared" si="125"/>
        <v>#DIV/0!</v>
      </c>
      <c r="BY115" s="5">
        <f t="shared" si="125"/>
        <v>1.8575220674076574</v>
      </c>
      <c r="BZ115" s="5"/>
      <c r="CA115" s="5">
        <f t="shared" ref="CA115" si="126">0+(+CA90/CA14)</f>
        <v>1.646981528308989</v>
      </c>
      <c r="CB115" s="5" t="e">
        <f t="shared" si="125"/>
        <v>#DIV/0!</v>
      </c>
      <c r="CC115" s="5">
        <f t="shared" si="125"/>
        <v>2.6935307926322301</v>
      </c>
      <c r="CD115" s="5" t="e">
        <f t="shared" si="125"/>
        <v>#DIV/0!</v>
      </c>
      <c r="CE115" s="5">
        <f t="shared" si="125"/>
        <v>4.5478102420677313</v>
      </c>
      <c r="CF115" s="5" t="e">
        <f t="shared" si="125"/>
        <v>#DIV/0!</v>
      </c>
      <c r="CG115" s="5" t="e">
        <f t="shared" si="125"/>
        <v>#DIV/0!</v>
      </c>
      <c r="CH115" s="5" t="e">
        <f t="shared" si="125"/>
        <v>#DIV/0!</v>
      </c>
      <c r="CI115" s="5">
        <f t="shared" si="125"/>
        <v>1.9917630422747921</v>
      </c>
      <c r="CJ115" s="5" t="e">
        <f t="shared" si="125"/>
        <v>#DIV/0!</v>
      </c>
      <c r="CK115" s="5">
        <f t="shared" si="125"/>
        <v>2.855697895587296</v>
      </c>
      <c r="CL115" s="5" t="e">
        <f t="shared" si="125"/>
        <v>#DIV/0!</v>
      </c>
      <c r="CM115" s="5" t="e">
        <f t="shared" si="125"/>
        <v>#DIV/0!</v>
      </c>
      <c r="CN115" s="5" t="e">
        <f t="shared" si="125"/>
        <v>#DIV/0!</v>
      </c>
      <c r="CO115" s="5">
        <f t="shared" si="125"/>
        <v>2.5407145712247892</v>
      </c>
      <c r="CP115" s="5" t="e">
        <f t="shared" si="125"/>
        <v>#DIV/0!</v>
      </c>
      <c r="CQ115" s="5">
        <f t="shared" si="125"/>
        <v>4.8070979423888751</v>
      </c>
    </row>
    <row r="116" spans="1:95" outlineLevel="1" x14ac:dyDescent="0.25">
      <c r="B116" t="s">
        <v>293</v>
      </c>
      <c r="D116" s="5">
        <f t="shared" ref="D116:AL116" si="127">+D90/D71</f>
        <v>0.50472235516038688</v>
      </c>
      <c r="E116" t="e">
        <f t="shared" si="127"/>
        <v>#DIV/0!</v>
      </c>
      <c r="F116" s="5">
        <f t="shared" si="127"/>
        <v>0.43545978643267724</v>
      </c>
      <c r="G116" t="e">
        <f t="shared" si="127"/>
        <v>#DIV/0!</v>
      </c>
      <c r="H116" s="5">
        <f t="shared" si="127"/>
        <v>0.52456912538403599</v>
      </c>
      <c r="I116" s="5" t="e">
        <f t="shared" si="127"/>
        <v>#DIV/0!</v>
      </c>
      <c r="J116" s="5">
        <f t="shared" si="127"/>
        <v>0.40603006176681905</v>
      </c>
      <c r="K116" s="5" t="e">
        <f t="shared" si="127"/>
        <v>#DIV/0!</v>
      </c>
      <c r="L116" s="5">
        <f t="shared" si="127"/>
        <v>0.53407456455865887</v>
      </c>
      <c r="M116" s="5" t="e">
        <f t="shared" si="127"/>
        <v>#DIV/0!</v>
      </c>
      <c r="N116" s="5">
        <f t="shared" si="127"/>
        <v>0.92470627334646438</v>
      </c>
      <c r="O116" s="5" t="e">
        <f t="shared" si="127"/>
        <v>#DIV/0!</v>
      </c>
      <c r="P116" s="5">
        <f t="shared" si="127"/>
        <v>0.39957215370747068</v>
      </c>
      <c r="Q116" s="5" t="e">
        <f t="shared" si="127"/>
        <v>#DIV/0!</v>
      </c>
      <c r="R116" s="5">
        <f t="shared" si="127"/>
        <v>0.61396274399587181</v>
      </c>
      <c r="S116" s="5" t="e">
        <f t="shared" si="127"/>
        <v>#DIV/0!</v>
      </c>
      <c r="T116" s="5">
        <f t="shared" si="127"/>
        <v>0.66918337602786215</v>
      </c>
      <c r="U116" s="5" t="e">
        <f t="shared" si="127"/>
        <v>#DIV/0!</v>
      </c>
      <c r="V116" s="5" t="e">
        <f t="shared" si="127"/>
        <v>#DIV/0!</v>
      </c>
      <c r="W116" s="5" t="e">
        <f t="shared" si="127"/>
        <v>#DIV/0!</v>
      </c>
      <c r="X116" s="4">
        <f t="shared" si="127"/>
        <v>0.58281679289110766</v>
      </c>
      <c r="Y116" s="5" t="e">
        <f t="shared" si="127"/>
        <v>#DIV/0!</v>
      </c>
      <c r="Z116" s="4">
        <f t="shared" si="127"/>
        <v>0.73470286828882925</v>
      </c>
      <c r="AA116" s="5" t="e">
        <f t="shared" si="127"/>
        <v>#DIV/0!</v>
      </c>
      <c r="AB116" s="5" t="e">
        <f t="shared" si="127"/>
        <v>#DIV/0!</v>
      </c>
      <c r="AC116" s="5" t="e">
        <f t="shared" si="127"/>
        <v>#DIV/0!</v>
      </c>
      <c r="AD116" s="5">
        <f t="shared" si="127"/>
        <v>0.3949989645638885</v>
      </c>
      <c r="AE116" s="5" t="e">
        <f t="shared" si="127"/>
        <v>#DIV/0!</v>
      </c>
      <c r="AF116" s="5">
        <f t="shared" si="127"/>
        <v>0.64917307998912965</v>
      </c>
      <c r="AG116" s="5" t="e">
        <f t="shared" si="127"/>
        <v>#DIV/0!</v>
      </c>
      <c r="AH116" s="5">
        <f t="shared" si="127"/>
        <v>0.64801452740775789</v>
      </c>
      <c r="AI116" s="5" t="e">
        <f t="shared" si="127"/>
        <v>#DIV/0!</v>
      </c>
      <c r="AJ116" s="5">
        <f t="shared" si="127"/>
        <v>0.64553692153831388</v>
      </c>
      <c r="AK116" s="5" t="e">
        <f t="shared" si="127"/>
        <v>#DIV/0!</v>
      </c>
      <c r="AL116" s="5">
        <f t="shared" si="127"/>
        <v>0.50566281082636733</v>
      </c>
      <c r="AM116" s="5" t="e">
        <f t="shared" ref="AM116:AT116" si="128">+AM90/AM71</f>
        <v>#DIV/0!</v>
      </c>
      <c r="AN116" s="5" t="e">
        <f t="shared" si="128"/>
        <v>#DIV/0!</v>
      </c>
      <c r="AO116" s="5" t="e">
        <f t="shared" si="128"/>
        <v>#DIV/0!</v>
      </c>
      <c r="AP116" s="5">
        <f t="shared" si="128"/>
        <v>0.64513650133220257</v>
      </c>
      <c r="AQ116" s="5" t="e">
        <f t="shared" si="128"/>
        <v>#DIV/0!</v>
      </c>
      <c r="AR116" s="5" t="e">
        <f t="shared" si="128"/>
        <v>#DIV/0!</v>
      </c>
      <c r="AS116" s="5" t="e">
        <f t="shared" si="128"/>
        <v>#DIV/0!</v>
      </c>
      <c r="AT116" s="5" t="e">
        <f t="shared" si="128"/>
        <v>#DIV/0!</v>
      </c>
      <c r="AU116" s="5">
        <f t="shared" ref="AU116:BI116" si="129">+AU90/AU71</f>
        <v>0.53700538218640681</v>
      </c>
      <c r="AV116" s="5" t="e">
        <f t="shared" si="129"/>
        <v>#DIV/0!</v>
      </c>
      <c r="AW116" s="5">
        <f t="shared" si="129"/>
        <v>0.60048346647819806</v>
      </c>
      <c r="AX116" s="5"/>
      <c r="AY116" s="5">
        <f t="shared" si="129"/>
        <v>0.28951490708225014</v>
      </c>
      <c r="AZ116" s="5" t="e">
        <f t="shared" si="129"/>
        <v>#DIV/0!</v>
      </c>
      <c r="BA116" s="5">
        <f t="shared" si="129"/>
        <v>0.49969473742980941</v>
      </c>
      <c r="BB116" s="5" t="e">
        <f t="shared" si="129"/>
        <v>#DIV/0!</v>
      </c>
      <c r="BC116" s="5">
        <f t="shared" si="129"/>
        <v>0.54876912714004211</v>
      </c>
      <c r="BD116" s="5" t="e">
        <f t="shared" si="129"/>
        <v>#DIV/0!</v>
      </c>
      <c r="BE116" s="5">
        <f t="shared" si="129"/>
        <v>0.46890829352177715</v>
      </c>
      <c r="BF116" s="5" t="e">
        <f t="shared" si="129"/>
        <v>#DIV/0!</v>
      </c>
      <c r="BG116" s="5">
        <f t="shared" si="129"/>
        <v>0.81231212111168671</v>
      </c>
      <c r="BH116" s="5" t="e">
        <f t="shared" si="129"/>
        <v>#DIV/0!</v>
      </c>
      <c r="BI116" s="5">
        <f t="shared" si="129"/>
        <v>0.6398557712060432</v>
      </c>
      <c r="BJ116" s="5"/>
      <c r="BK116" s="5"/>
      <c r="BL116" s="5"/>
      <c r="BM116" s="5">
        <f t="shared" ref="BM116" si="130">+BM90/BM71</f>
        <v>1.0865613491257318</v>
      </c>
      <c r="BN116" s="5"/>
      <c r="BO116" s="5">
        <f t="shared" ref="BO116" si="131">+BO90/BO71</f>
        <v>1.1086152663657056</v>
      </c>
      <c r="BP116" s="5"/>
      <c r="BQ116" s="5" t="e">
        <f t="shared" ref="BQ116" si="132">+BQ90/BQ71</f>
        <v>#DIV/0!</v>
      </c>
      <c r="BR116" s="5"/>
      <c r="BS116" s="5">
        <f t="shared" ref="BS116:CQ116" si="133">+BS90/BS71</f>
        <v>1.2455109357511343</v>
      </c>
      <c r="BT116" s="5" t="e">
        <f t="shared" si="133"/>
        <v>#DIV/0!</v>
      </c>
      <c r="BU116" s="5">
        <f t="shared" si="133"/>
        <v>0.65218889394780544</v>
      </c>
      <c r="BV116" s="5"/>
      <c r="BW116" s="5">
        <f t="shared" si="133"/>
        <v>0.68766411120275728</v>
      </c>
      <c r="BX116" s="5" t="e">
        <f t="shared" si="133"/>
        <v>#DIV/0!</v>
      </c>
      <c r="BY116" s="5">
        <f t="shared" si="133"/>
        <v>0.57458934289149921</v>
      </c>
      <c r="BZ116" s="5"/>
      <c r="CA116" s="5">
        <f t="shared" ref="CA116" si="134">+CA90/CA71</f>
        <v>0.63755137775410953</v>
      </c>
      <c r="CB116" s="5" t="e">
        <f t="shared" si="133"/>
        <v>#DIV/0!</v>
      </c>
      <c r="CC116" s="5">
        <f t="shared" si="133"/>
        <v>1.3615565530141391</v>
      </c>
      <c r="CD116" s="5" t="e">
        <f t="shared" si="133"/>
        <v>#DIV/0!</v>
      </c>
      <c r="CE116" s="5">
        <f t="shared" si="133"/>
        <v>0.84712304886900314</v>
      </c>
      <c r="CF116" s="5" t="e">
        <f t="shared" si="133"/>
        <v>#DIV/0!</v>
      </c>
      <c r="CG116" s="5" t="e">
        <f t="shared" si="133"/>
        <v>#DIV/0!</v>
      </c>
      <c r="CH116" s="5" t="e">
        <f t="shared" si="133"/>
        <v>#DIV/0!</v>
      </c>
      <c r="CI116" s="5">
        <f t="shared" si="133"/>
        <v>0.8515757000323767</v>
      </c>
      <c r="CJ116" s="5" t="e">
        <f t="shared" si="133"/>
        <v>#DIV/0!</v>
      </c>
      <c r="CK116" s="5">
        <f t="shared" si="133"/>
        <v>1.1565691381938159</v>
      </c>
      <c r="CL116" s="5" t="e">
        <f t="shared" si="133"/>
        <v>#DIV/0!</v>
      </c>
      <c r="CM116" s="5" t="e">
        <f t="shared" si="133"/>
        <v>#DIV/0!</v>
      </c>
      <c r="CN116" s="5" t="e">
        <f t="shared" si="133"/>
        <v>#DIV/0!</v>
      </c>
      <c r="CO116" s="5">
        <f t="shared" si="133"/>
        <v>0.94998837872527697</v>
      </c>
      <c r="CP116" s="5" t="e">
        <f t="shared" si="133"/>
        <v>#DIV/0!</v>
      </c>
      <c r="CQ116" s="5">
        <f t="shared" si="133"/>
        <v>0.86420548878577952</v>
      </c>
    </row>
    <row r="117" spans="1:95" outlineLevel="1" x14ac:dyDescent="0.25">
      <c r="F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5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</row>
    <row r="118" spans="1:95" outlineLevel="1" x14ac:dyDescent="0.25">
      <c r="A118" t="s">
        <v>329</v>
      </c>
      <c r="F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5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</row>
    <row r="120" spans="1:95" x14ac:dyDescent="0.25">
      <c r="F120" s="40" t="s">
        <v>290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R120" s="40"/>
      <c r="S120" s="40"/>
      <c r="T120" s="40"/>
      <c r="U120" s="40"/>
      <c r="V120" s="40"/>
    </row>
    <row r="122" spans="1:95" x14ac:dyDescent="0.25">
      <c r="B122" t="s">
        <v>292</v>
      </c>
      <c r="F122" s="47">
        <f>+T90</f>
        <v>2693.556105001413</v>
      </c>
      <c r="G122" s="46">
        <v>2</v>
      </c>
      <c r="H122" s="12">
        <v>2.25</v>
      </c>
      <c r="I122" s="12">
        <v>2.5</v>
      </c>
      <c r="J122" s="12">
        <v>2.5</v>
      </c>
      <c r="K122" s="12">
        <v>3</v>
      </c>
      <c r="L122" s="12">
        <v>2.75</v>
      </c>
      <c r="M122" s="12">
        <v>3.5</v>
      </c>
      <c r="N122" s="12">
        <v>3</v>
      </c>
      <c r="O122" s="12">
        <v>4</v>
      </c>
      <c r="P122" s="12">
        <v>3.25</v>
      </c>
      <c r="Q122" s="12"/>
      <c r="R122" s="12">
        <v>3.5</v>
      </c>
      <c r="S122" s="12"/>
      <c r="T122" s="12">
        <v>3.75</v>
      </c>
      <c r="V122" s="12">
        <v>4</v>
      </c>
    </row>
    <row r="123" spans="1:95" x14ac:dyDescent="0.25">
      <c r="F123" s="12">
        <v>35</v>
      </c>
      <c r="G123">
        <f t="dataTable" ref="G123:V134" dt2D="1" dtr="1" r1="B91" r2="B90"/>
        <v>578.73823391646295</v>
      </c>
      <c r="H123" s="8">
        <v>579.87159372434803</v>
      </c>
      <c r="I123" s="8">
        <v>581.004953532233</v>
      </c>
      <c r="J123" s="8">
        <v>581.004953532233</v>
      </c>
      <c r="K123" s="8">
        <v>583.27167314800317</v>
      </c>
      <c r="L123" s="8">
        <v>582.13831334011843</v>
      </c>
      <c r="M123" s="8">
        <v>585.53839276377334</v>
      </c>
      <c r="N123" s="8">
        <v>583.27167314800317</v>
      </c>
      <c r="O123" s="8">
        <v>587.80511237954386</v>
      </c>
      <c r="P123" s="8">
        <v>584.40503295588826</v>
      </c>
      <c r="Q123" s="8">
        <v>569.67135545338272</v>
      </c>
      <c r="R123" s="8">
        <v>585.53839276377334</v>
      </c>
      <c r="S123" s="8">
        <v>569.67135545338272</v>
      </c>
      <c r="T123" s="8">
        <v>586.67175257165854</v>
      </c>
      <c r="U123">
        <v>569.67135545338272</v>
      </c>
      <c r="V123" s="8">
        <v>587.80511237954386</v>
      </c>
    </row>
    <row r="124" spans="1:95" x14ac:dyDescent="0.25">
      <c r="F124" s="12">
        <v>40</v>
      </c>
      <c r="G124">
        <v>1001.0217922487217</v>
      </c>
      <c r="H124" s="8">
        <v>1002.155152056607</v>
      </c>
      <c r="I124" s="8">
        <v>1003.288511864492</v>
      </c>
      <c r="J124" s="8">
        <v>1003.288511864492</v>
      </c>
      <c r="K124" s="8">
        <v>1005.5552314802623</v>
      </c>
      <c r="L124" s="8">
        <v>1004.4218716723768</v>
      </c>
      <c r="M124" s="8">
        <v>1007.8219510960323</v>
      </c>
      <c r="N124" s="8">
        <v>1005.5552314802623</v>
      </c>
      <c r="O124" s="8">
        <v>1010.0886707118026</v>
      </c>
      <c r="P124" s="8">
        <v>1006.6885912881472</v>
      </c>
      <c r="Q124" s="8">
        <v>991.95491378564145</v>
      </c>
      <c r="R124" s="8">
        <v>1007.8219510960323</v>
      </c>
      <c r="S124" s="8">
        <v>991.95491378564145</v>
      </c>
      <c r="T124" s="8">
        <v>1008.9553109039171</v>
      </c>
      <c r="U124">
        <v>991.95491378564145</v>
      </c>
      <c r="V124" s="8">
        <v>1010.0886707118026</v>
      </c>
    </row>
    <row r="125" spans="1:95" x14ac:dyDescent="0.25">
      <c r="F125" s="12">
        <v>45</v>
      </c>
      <c r="G125">
        <v>1423.3053505809803</v>
      </c>
      <c r="H125" s="8">
        <v>1424.4387103888655</v>
      </c>
      <c r="I125" s="8">
        <v>1425.5720701967507</v>
      </c>
      <c r="J125" s="8">
        <v>1425.5720701967507</v>
      </c>
      <c r="K125" s="8">
        <v>1427.8387898125213</v>
      </c>
      <c r="L125" s="8">
        <v>1426.7054300046361</v>
      </c>
      <c r="M125" s="8">
        <v>1430.105509428291</v>
      </c>
      <c r="N125" s="8">
        <v>1427.8387898125213</v>
      </c>
      <c r="O125" s="8">
        <v>1432.3722290440614</v>
      </c>
      <c r="P125" s="8">
        <v>1428.9721496204061</v>
      </c>
      <c r="Q125" s="8">
        <v>1414.2384721179008</v>
      </c>
      <c r="R125" s="8">
        <v>1430.105509428291</v>
      </c>
      <c r="S125" s="8">
        <v>1414.2384721179008</v>
      </c>
      <c r="T125" s="8">
        <v>1431.238869236176</v>
      </c>
      <c r="U125">
        <v>1414.2384721179008</v>
      </c>
      <c r="V125" s="8">
        <v>1432.3722290440614</v>
      </c>
    </row>
    <row r="126" spans="1:95" x14ac:dyDescent="0.25">
      <c r="F126" s="12">
        <v>50</v>
      </c>
      <c r="G126">
        <v>1845.5889089132395</v>
      </c>
      <c r="H126" s="8">
        <v>1846.7222687211247</v>
      </c>
      <c r="I126" s="8">
        <v>1847.8556285290094</v>
      </c>
      <c r="J126" s="8">
        <v>1847.8556285290094</v>
      </c>
      <c r="K126" s="8">
        <v>1850.1223481447796</v>
      </c>
      <c r="L126" s="8">
        <v>1848.9889883368944</v>
      </c>
      <c r="M126" s="8">
        <v>1852.3890677605498</v>
      </c>
      <c r="N126" s="8">
        <v>1850.1223481447796</v>
      </c>
      <c r="O126" s="8">
        <v>1854.6557873763199</v>
      </c>
      <c r="P126" s="8">
        <v>1851.2557079526646</v>
      </c>
      <c r="Q126" s="8">
        <v>1836.522030450159</v>
      </c>
      <c r="R126" s="8">
        <v>1852.3890677605498</v>
      </c>
      <c r="S126" s="8">
        <v>1836.522030450159</v>
      </c>
      <c r="T126" s="8">
        <v>1853.5224275684345</v>
      </c>
      <c r="U126">
        <v>1836.522030450159</v>
      </c>
      <c r="V126" s="8">
        <v>1854.6557873763199</v>
      </c>
    </row>
    <row r="127" spans="1:95" x14ac:dyDescent="0.25">
      <c r="F127" s="12">
        <v>55</v>
      </c>
      <c r="G127">
        <v>2267.8724672454982</v>
      </c>
      <c r="H127" s="8">
        <v>2269.0058270533837</v>
      </c>
      <c r="I127" s="8">
        <v>2270.1391868612677</v>
      </c>
      <c r="J127" s="8">
        <v>2270.1391868612677</v>
      </c>
      <c r="K127" s="8">
        <v>2272.405906477039</v>
      </c>
      <c r="L127" s="8">
        <v>2271.2725466691531</v>
      </c>
      <c r="M127" s="8">
        <v>2274.6726260928081</v>
      </c>
      <c r="N127" s="8">
        <v>2272.405906477039</v>
      </c>
      <c r="O127" s="8">
        <v>2276.939345708578</v>
      </c>
      <c r="P127" s="8">
        <v>2273.5392662849231</v>
      </c>
      <c r="Q127" s="8">
        <v>2258.8055887824166</v>
      </c>
      <c r="R127" s="8">
        <v>2274.6726260928081</v>
      </c>
      <c r="S127" s="8">
        <v>2258.8055887824166</v>
      </c>
      <c r="T127" s="8">
        <v>2275.8059859006935</v>
      </c>
      <c r="U127">
        <v>2258.8055887824166</v>
      </c>
      <c r="V127" s="8">
        <v>2276.939345708578</v>
      </c>
    </row>
    <row r="128" spans="1:95" x14ac:dyDescent="0.25">
      <c r="F128" s="12">
        <v>60</v>
      </c>
      <c r="G128">
        <v>2690.1560255777576</v>
      </c>
      <c r="H128" s="8">
        <v>2691.2893853856417</v>
      </c>
      <c r="I128" s="8">
        <v>2692.4227451935267</v>
      </c>
      <c r="J128" s="8">
        <v>2692.4227451935267</v>
      </c>
      <c r="K128" s="8">
        <v>2694.6894648092966</v>
      </c>
      <c r="L128" s="8">
        <v>2693.556105001413</v>
      </c>
      <c r="M128" s="8">
        <v>2696.9561844250679</v>
      </c>
      <c r="N128" s="8">
        <v>2694.6894648092966</v>
      </c>
      <c r="O128" s="8">
        <v>2699.2229040408374</v>
      </c>
      <c r="P128" s="8">
        <v>2695.822824617183</v>
      </c>
      <c r="Q128" s="8">
        <v>2681.0891471146761</v>
      </c>
      <c r="R128" s="8">
        <v>2696.9561844250679</v>
      </c>
      <c r="S128" s="8">
        <v>2681.0891471146761</v>
      </c>
      <c r="T128" s="8">
        <v>2698.0895442329534</v>
      </c>
      <c r="U128">
        <v>2681.0891471146761</v>
      </c>
      <c r="V128" s="8">
        <v>2699.2229040408374</v>
      </c>
    </row>
    <row r="129" spans="6:22" x14ac:dyDescent="0.25">
      <c r="F129" s="12">
        <v>65</v>
      </c>
      <c r="G129">
        <v>3112.4395839100162</v>
      </c>
      <c r="H129" s="8">
        <v>3113.5729437179011</v>
      </c>
      <c r="I129" s="8">
        <v>3114.7063035257861</v>
      </c>
      <c r="J129" s="8">
        <v>3114.7063035257861</v>
      </c>
      <c r="K129" s="8">
        <v>3116.973023141556</v>
      </c>
      <c r="L129" s="8">
        <v>3115.8396633336706</v>
      </c>
      <c r="M129" s="8">
        <v>3119.239742757326</v>
      </c>
      <c r="N129" s="8">
        <v>3116.973023141556</v>
      </c>
      <c r="O129" s="8">
        <v>3121.5064623730968</v>
      </c>
      <c r="P129" s="8">
        <v>3118.1063829494419</v>
      </c>
      <c r="Q129" s="8">
        <v>3103.3727054469359</v>
      </c>
      <c r="R129" s="8">
        <v>3119.239742757326</v>
      </c>
      <c r="S129" s="8">
        <v>3103.3727054469359</v>
      </c>
      <c r="T129" s="8">
        <v>3120.3731025652119</v>
      </c>
      <c r="U129">
        <v>3103.3727054469359</v>
      </c>
      <c r="V129" s="8">
        <v>3121.5064623730968</v>
      </c>
    </row>
    <row r="130" spans="6:22" x14ac:dyDescent="0.25">
      <c r="F130" s="12">
        <v>70</v>
      </c>
      <c r="G130">
        <v>3534.7231422422751</v>
      </c>
      <c r="H130" s="8">
        <v>3535.8565020501592</v>
      </c>
      <c r="I130" s="8">
        <v>3536.9898618580442</v>
      </c>
      <c r="J130" s="8">
        <v>3536.9898618580442</v>
      </c>
      <c r="K130" s="8">
        <v>3539.256581473815</v>
      </c>
      <c r="L130" s="8">
        <v>3538.1232216659291</v>
      </c>
      <c r="M130" s="8">
        <v>3541.5233010895845</v>
      </c>
      <c r="N130" s="8">
        <v>3539.256581473815</v>
      </c>
      <c r="O130" s="8">
        <v>3543.7900207053549</v>
      </c>
      <c r="P130" s="8">
        <v>3540.3899412816991</v>
      </c>
      <c r="Q130" s="8">
        <v>3525.6562637791953</v>
      </c>
      <c r="R130" s="8">
        <v>3541.5233010895845</v>
      </c>
      <c r="S130" s="8">
        <v>3525.6562637791953</v>
      </c>
      <c r="T130" s="8">
        <v>3542.6566608974699</v>
      </c>
      <c r="U130">
        <v>3525.6562637791953</v>
      </c>
      <c r="V130" s="8">
        <v>3543.7900207053549</v>
      </c>
    </row>
    <row r="131" spans="6:22" x14ac:dyDescent="0.25">
      <c r="F131" s="12">
        <v>75</v>
      </c>
      <c r="G131">
        <v>3957.0067005745345</v>
      </c>
      <c r="H131" s="8">
        <v>3958.1400603824177</v>
      </c>
      <c r="I131" s="8">
        <v>3959.2734201903036</v>
      </c>
      <c r="J131" s="8">
        <v>3959.2734201903036</v>
      </c>
      <c r="K131" s="8">
        <v>3961.540139806074</v>
      </c>
      <c r="L131" s="8">
        <v>3960.4067799981885</v>
      </c>
      <c r="M131" s="8">
        <v>3963.8068594218444</v>
      </c>
      <c r="N131" s="8">
        <v>3961.540139806074</v>
      </c>
      <c r="O131" s="8">
        <v>3966.0735790376134</v>
      </c>
      <c r="P131" s="8">
        <v>3962.6734996139589</v>
      </c>
      <c r="Q131" s="8">
        <v>3947.9398221114534</v>
      </c>
      <c r="R131" s="8">
        <v>3963.8068594218444</v>
      </c>
      <c r="S131" s="8">
        <v>3947.9398221114534</v>
      </c>
      <c r="T131" s="8">
        <v>3964.9402192297298</v>
      </c>
      <c r="U131">
        <v>3947.9398221114534</v>
      </c>
      <c r="V131" s="8">
        <v>3966.0735790376134</v>
      </c>
    </row>
    <row r="132" spans="6:22" x14ac:dyDescent="0.25">
      <c r="F132" s="12">
        <v>80</v>
      </c>
      <c r="G132">
        <v>4379.2902589067926</v>
      </c>
      <c r="H132" s="8">
        <v>4380.4236187146762</v>
      </c>
      <c r="I132" s="8">
        <v>4381.5569785225625</v>
      </c>
      <c r="J132" s="8">
        <v>4381.5569785225625</v>
      </c>
      <c r="K132" s="8">
        <v>4383.8236981383325</v>
      </c>
      <c r="L132" s="8">
        <v>4382.690338330448</v>
      </c>
      <c r="M132" s="8">
        <v>4386.0904177541033</v>
      </c>
      <c r="N132" s="8">
        <v>4383.8236981383325</v>
      </c>
      <c r="O132" s="8">
        <v>4388.3571373698733</v>
      </c>
      <c r="P132" s="8">
        <v>4384.9570579462179</v>
      </c>
      <c r="Q132" s="8">
        <v>4370.2233804437119</v>
      </c>
      <c r="R132" s="8">
        <v>4386.0904177541033</v>
      </c>
      <c r="S132" s="8">
        <v>4370.2233804437119</v>
      </c>
      <c r="T132" s="8">
        <v>4387.2237775619888</v>
      </c>
      <c r="U132">
        <v>4370.2233804437119</v>
      </c>
      <c r="V132" s="8">
        <v>4388.3571373698733</v>
      </c>
    </row>
    <row r="133" spans="6:22" x14ac:dyDescent="0.25">
      <c r="F133" s="12">
        <v>85</v>
      </c>
      <c r="G133">
        <v>4801.5738172390502</v>
      </c>
      <c r="H133" s="8">
        <v>4802.7071770469356</v>
      </c>
      <c r="I133" s="8">
        <v>4803.840536854821</v>
      </c>
      <c r="J133" s="8">
        <v>4803.840536854821</v>
      </c>
      <c r="K133" s="8">
        <v>4806.1072564705919</v>
      </c>
      <c r="L133" s="8">
        <v>4804.9738966627056</v>
      </c>
      <c r="M133" s="8">
        <v>4808.3739760863609</v>
      </c>
      <c r="N133" s="8">
        <v>4806.1072564705919</v>
      </c>
      <c r="O133" s="8">
        <v>4810.64069570213</v>
      </c>
      <c r="P133" s="8">
        <v>4807.2406162784764</v>
      </c>
      <c r="Q133" s="8">
        <v>4792.5069387759704</v>
      </c>
      <c r="R133" s="8">
        <v>4808.3739760863609</v>
      </c>
      <c r="S133" s="8">
        <v>4792.5069387759704</v>
      </c>
      <c r="T133" s="8">
        <v>4809.5073358942473</v>
      </c>
      <c r="U133">
        <v>4792.5069387759704</v>
      </c>
      <c r="V133" s="8">
        <v>4810.64069570213</v>
      </c>
    </row>
    <row r="134" spans="6:22" x14ac:dyDescent="0.25">
      <c r="F134" s="12">
        <v>90</v>
      </c>
      <c r="G134">
        <v>5223.8573755713087</v>
      </c>
      <c r="H134" s="8">
        <v>5224.9907353791959</v>
      </c>
      <c r="I134" s="8">
        <v>5226.1240951870805</v>
      </c>
      <c r="J134" s="8">
        <v>5226.1240951870805</v>
      </c>
      <c r="K134" s="8">
        <v>5228.3908148028495</v>
      </c>
      <c r="L134" s="8">
        <v>5227.2574549949641</v>
      </c>
      <c r="M134" s="8">
        <v>5230.6575344186194</v>
      </c>
      <c r="N134" s="8">
        <v>5228.3908148028495</v>
      </c>
      <c r="O134" s="8">
        <v>5232.9242540343894</v>
      </c>
      <c r="P134" s="8">
        <v>5229.5241746107358</v>
      </c>
      <c r="Q134" s="8">
        <v>5214.7904971082298</v>
      </c>
      <c r="R134" s="8">
        <v>5230.6575344186194</v>
      </c>
      <c r="S134" s="8">
        <v>5214.7904971082298</v>
      </c>
      <c r="T134" s="8">
        <v>5231.7908942265049</v>
      </c>
      <c r="U134">
        <v>5214.7904971082298</v>
      </c>
      <c r="V134" s="8">
        <v>5232.9242540343894</v>
      </c>
    </row>
    <row r="137" spans="6:22" x14ac:dyDescent="0.25">
      <c r="F137" s="47">
        <f>+T14-T114</f>
        <v>2525.6909999999998</v>
      </c>
      <c r="G137" s="46">
        <v>2</v>
      </c>
      <c r="H137" s="12">
        <v>2.25</v>
      </c>
      <c r="I137" s="12">
        <v>2.5</v>
      </c>
      <c r="J137" s="12">
        <v>2.5</v>
      </c>
      <c r="K137" s="12">
        <v>3</v>
      </c>
      <c r="L137" s="12">
        <v>2.75</v>
      </c>
      <c r="M137" s="12">
        <v>3.5</v>
      </c>
      <c r="N137" s="12">
        <v>3</v>
      </c>
      <c r="O137" s="12">
        <v>4</v>
      </c>
      <c r="P137" s="12">
        <v>3.25</v>
      </c>
      <c r="Q137" s="12"/>
      <c r="R137" s="12">
        <v>3.5</v>
      </c>
      <c r="S137" s="12"/>
      <c r="T137" s="12">
        <v>3.75</v>
      </c>
      <c r="V137" s="12">
        <v>4</v>
      </c>
    </row>
    <row r="138" spans="6:22" x14ac:dyDescent="0.25">
      <c r="F138" s="12">
        <v>35</v>
      </c>
      <c r="G138">
        <v>2713.537686828377</v>
      </c>
      <c r="H138" s="2">
        <f>+H123/$F$137</f>
        <v>0.22958928614955199</v>
      </c>
      <c r="I138" s="8">
        <v>3588.9320572289962</v>
      </c>
      <c r="J138" s="2">
        <f t="shared" ref="J138:T138" si="135">+J123/$F$137</f>
        <v>0.23003801871734628</v>
      </c>
      <c r="K138" s="2">
        <f t="shared" si="135"/>
        <v>0.230935483852935</v>
      </c>
      <c r="L138" s="2">
        <f t="shared" si="135"/>
        <v>0.23048675128514076</v>
      </c>
      <c r="M138" s="2">
        <f t="shared" si="135"/>
        <v>0.23183294898852369</v>
      </c>
      <c r="N138" s="2">
        <f t="shared" si="135"/>
        <v>0.230935483852935</v>
      </c>
      <c r="O138" s="2">
        <f t="shared" si="135"/>
        <v>0.23273041412411252</v>
      </c>
      <c r="P138" s="2">
        <f t="shared" si="135"/>
        <v>0.23138421642072934</v>
      </c>
      <c r="Q138" s="2">
        <f t="shared" si="135"/>
        <v>0.22555069303940298</v>
      </c>
      <c r="R138" s="2">
        <f t="shared" si="135"/>
        <v>0.23183294898852369</v>
      </c>
      <c r="S138" s="2">
        <f t="shared" si="135"/>
        <v>0.22555069303940298</v>
      </c>
      <c r="T138" s="2">
        <f t="shared" si="135"/>
        <v>0.23228168155631809</v>
      </c>
      <c r="V138" s="2">
        <f t="shared" ref="V138" si="136">+V123/$F$137</f>
        <v>0.23273041412411252</v>
      </c>
    </row>
    <row r="139" spans="6:22" x14ac:dyDescent="0.25">
      <c r="F139" s="12">
        <v>40</v>
      </c>
      <c r="G139">
        <v>3347.2867362329939</v>
      </c>
      <c r="H139" s="2">
        <f t="shared" ref="H139:T146" si="137">+H124/$F$137</f>
        <v>0.39678454413331127</v>
      </c>
      <c r="I139" s="8">
        <v>4222.6811066336131</v>
      </c>
      <c r="J139" s="2">
        <f t="shared" si="137"/>
        <v>0.39723327670110559</v>
      </c>
      <c r="K139" s="2">
        <f t="shared" si="137"/>
        <v>0.39813074183669434</v>
      </c>
      <c r="L139" s="2">
        <f t="shared" si="137"/>
        <v>0.39768200926889985</v>
      </c>
      <c r="M139" s="2">
        <f t="shared" si="137"/>
        <v>0.39902820697228297</v>
      </c>
      <c r="N139" s="2">
        <f t="shared" si="137"/>
        <v>0.39813074183669434</v>
      </c>
      <c r="O139" s="2">
        <f t="shared" si="137"/>
        <v>0.39992567210787172</v>
      </c>
      <c r="P139" s="2">
        <f t="shared" si="137"/>
        <v>0.39857947440448865</v>
      </c>
      <c r="Q139" s="2">
        <f t="shared" si="137"/>
        <v>0.39274595102316218</v>
      </c>
      <c r="R139" s="2">
        <f t="shared" si="137"/>
        <v>0.39902820697228297</v>
      </c>
      <c r="S139" s="2">
        <f t="shared" si="137"/>
        <v>0.39274595102316218</v>
      </c>
      <c r="T139" s="2">
        <f t="shared" si="137"/>
        <v>0.39947693954007718</v>
      </c>
      <c r="V139" s="2">
        <f t="shared" ref="V139" si="138">+V124/$F$137</f>
        <v>0.39992567210787172</v>
      </c>
    </row>
    <row r="140" spans="6:22" x14ac:dyDescent="0.25">
      <c r="F140" s="12">
        <v>45</v>
      </c>
      <c r="G140">
        <v>3981.0357856376095</v>
      </c>
      <c r="H140" s="2">
        <f t="shared" si="137"/>
        <v>0.56397980211707033</v>
      </c>
      <c r="I140" s="8">
        <v>4856.4301560382282</v>
      </c>
      <c r="J140" s="2">
        <f t="shared" si="137"/>
        <v>0.56442853468486476</v>
      </c>
      <c r="K140" s="2">
        <f t="shared" si="137"/>
        <v>0.56532599982045362</v>
      </c>
      <c r="L140" s="2">
        <f t="shared" si="137"/>
        <v>0.5648772672526593</v>
      </c>
      <c r="M140" s="2">
        <f t="shared" si="137"/>
        <v>0.56622346495604214</v>
      </c>
      <c r="N140" s="2">
        <f t="shared" si="137"/>
        <v>0.56532599982045362</v>
      </c>
      <c r="O140" s="2">
        <f t="shared" si="137"/>
        <v>0.567120930091631</v>
      </c>
      <c r="P140" s="2">
        <f t="shared" si="137"/>
        <v>0.56577473238824794</v>
      </c>
      <c r="Q140" s="2">
        <f t="shared" si="137"/>
        <v>0.55994120900692157</v>
      </c>
      <c r="R140" s="2">
        <f t="shared" si="137"/>
        <v>0.56622346495604214</v>
      </c>
      <c r="S140" s="2">
        <f t="shared" si="137"/>
        <v>0.55994120900692157</v>
      </c>
      <c r="T140" s="2">
        <f t="shared" si="137"/>
        <v>0.56667219752383646</v>
      </c>
      <c r="V140" s="2">
        <f t="shared" ref="V140" si="139">+V125/$F$137</f>
        <v>0.567120930091631</v>
      </c>
    </row>
    <row r="141" spans="6:22" x14ac:dyDescent="0.25">
      <c r="F141" s="12">
        <v>50</v>
      </c>
      <c r="G141">
        <v>4614.7848350422246</v>
      </c>
      <c r="H141" s="2">
        <f t="shared" si="137"/>
        <v>0.73117506010082978</v>
      </c>
      <c r="I141" s="8">
        <v>5490.1792054428406</v>
      </c>
      <c r="J141" s="2">
        <f t="shared" si="137"/>
        <v>0.73162379266862398</v>
      </c>
      <c r="K141" s="2">
        <f t="shared" si="137"/>
        <v>0.73252125780421273</v>
      </c>
      <c r="L141" s="2">
        <f t="shared" si="137"/>
        <v>0.7320725252364183</v>
      </c>
      <c r="M141" s="2">
        <f t="shared" si="137"/>
        <v>0.73341872293980137</v>
      </c>
      <c r="N141" s="2">
        <f t="shared" si="137"/>
        <v>0.73252125780421273</v>
      </c>
      <c r="O141" s="2">
        <f t="shared" si="137"/>
        <v>0.73431618807539012</v>
      </c>
      <c r="P141" s="2">
        <f t="shared" si="137"/>
        <v>0.73296999037200705</v>
      </c>
      <c r="Q141" s="2">
        <f t="shared" si="137"/>
        <v>0.72713646699068069</v>
      </c>
      <c r="R141" s="2">
        <f t="shared" si="137"/>
        <v>0.73341872293980137</v>
      </c>
      <c r="S141" s="2">
        <f t="shared" si="137"/>
        <v>0.72713646699068069</v>
      </c>
      <c r="T141" s="2">
        <f t="shared" si="137"/>
        <v>0.73386745550759558</v>
      </c>
      <c r="V141" s="2">
        <f t="shared" ref="V141" si="140">+V126/$F$137</f>
        <v>0.73431618807539012</v>
      </c>
    </row>
    <row r="142" spans="6:22" x14ac:dyDescent="0.25">
      <c r="F142" s="12">
        <v>55</v>
      </c>
      <c r="G142">
        <v>5248.5338844468397</v>
      </c>
      <c r="H142" s="2">
        <f t="shared" si="137"/>
        <v>0.89837031808458911</v>
      </c>
      <c r="I142" s="8">
        <v>6123.9282548474612</v>
      </c>
      <c r="J142" s="2">
        <f t="shared" si="137"/>
        <v>0.89881905065238299</v>
      </c>
      <c r="K142" s="2">
        <f t="shared" si="137"/>
        <v>0.89971651578797218</v>
      </c>
      <c r="L142" s="2">
        <f t="shared" si="137"/>
        <v>0.89926778322017753</v>
      </c>
      <c r="M142" s="2">
        <f t="shared" si="137"/>
        <v>0.90061398092356038</v>
      </c>
      <c r="N142" s="2">
        <f t="shared" si="137"/>
        <v>0.89971651578797218</v>
      </c>
      <c r="O142" s="2">
        <f t="shared" si="137"/>
        <v>0.90151144605914901</v>
      </c>
      <c r="P142" s="2">
        <f t="shared" si="137"/>
        <v>0.90016524835576606</v>
      </c>
      <c r="Q142" s="2">
        <f t="shared" si="137"/>
        <v>0.89433172497443936</v>
      </c>
      <c r="R142" s="2">
        <f t="shared" si="137"/>
        <v>0.90061398092356038</v>
      </c>
      <c r="S142" s="2">
        <f t="shared" si="137"/>
        <v>0.89433172497443936</v>
      </c>
      <c r="T142" s="2">
        <f t="shared" si="137"/>
        <v>0.90106271349135492</v>
      </c>
      <c r="V142" s="2">
        <f t="shared" ref="V142" si="141">+V127/$F$137</f>
        <v>0.90151144605914901</v>
      </c>
    </row>
    <row r="143" spans="6:22" x14ac:dyDescent="0.25">
      <c r="F143" s="12">
        <v>60</v>
      </c>
      <c r="G143">
        <v>5882.2829338514584</v>
      </c>
      <c r="H143" s="2">
        <f t="shared" si="137"/>
        <v>1.065565576068348</v>
      </c>
      <c r="I143" s="8">
        <v>6757.6773042520754</v>
      </c>
      <c r="J143" s="2">
        <f t="shared" si="137"/>
        <v>1.0660143086361422</v>
      </c>
      <c r="K143" s="2">
        <f t="shared" si="137"/>
        <v>1.0669117737717309</v>
      </c>
      <c r="L143" s="2">
        <f t="shared" si="137"/>
        <v>1.0664630412039371</v>
      </c>
      <c r="M143" s="2">
        <f t="shared" si="137"/>
        <v>1.0678092389073202</v>
      </c>
      <c r="N143" s="2">
        <f t="shared" si="137"/>
        <v>1.0669117737717309</v>
      </c>
      <c r="O143" s="2">
        <f t="shared" si="137"/>
        <v>1.0687067040429086</v>
      </c>
      <c r="P143" s="2">
        <f t="shared" si="137"/>
        <v>1.0673605063395257</v>
      </c>
      <c r="Q143" s="2">
        <f t="shared" si="137"/>
        <v>1.0615269829581988</v>
      </c>
      <c r="R143" s="2">
        <f t="shared" si="137"/>
        <v>1.0678092389073202</v>
      </c>
      <c r="S143" s="2">
        <f t="shared" si="137"/>
        <v>1.0615269829581988</v>
      </c>
      <c r="T143" s="2">
        <f t="shared" si="137"/>
        <v>1.0682579714751146</v>
      </c>
      <c r="V143" s="2">
        <f t="shared" ref="V143" si="142">+V128/$F$137</f>
        <v>1.0687067040429086</v>
      </c>
    </row>
    <row r="144" spans="6:22" x14ac:dyDescent="0.25">
      <c r="F144" s="12">
        <v>65</v>
      </c>
      <c r="G144">
        <v>6516.0319832560699</v>
      </c>
      <c r="H144" s="2">
        <f t="shared" si="137"/>
        <v>1.2327608340521075</v>
      </c>
      <c r="I144" s="8">
        <v>7391.4263536566905</v>
      </c>
      <c r="J144" s="2">
        <f t="shared" si="137"/>
        <v>1.2332095666199019</v>
      </c>
      <c r="K144" s="2">
        <f t="shared" si="137"/>
        <v>1.2341070317554903</v>
      </c>
      <c r="L144" s="2">
        <f t="shared" si="137"/>
        <v>1.2336582991876959</v>
      </c>
      <c r="M144" s="2">
        <f t="shared" si="137"/>
        <v>1.2350044968910789</v>
      </c>
      <c r="N144" s="2">
        <f t="shared" si="137"/>
        <v>1.2341070317554903</v>
      </c>
      <c r="O144" s="2">
        <f t="shared" si="137"/>
        <v>1.235901962026668</v>
      </c>
      <c r="P144" s="2">
        <f t="shared" si="137"/>
        <v>1.234555764323285</v>
      </c>
      <c r="Q144" s="2">
        <f t="shared" si="137"/>
        <v>1.2287222409419585</v>
      </c>
      <c r="R144" s="2">
        <f t="shared" si="137"/>
        <v>1.2350044968910789</v>
      </c>
      <c r="S144" s="2">
        <f t="shared" si="137"/>
        <v>1.2287222409419585</v>
      </c>
      <c r="T144" s="2">
        <f t="shared" si="137"/>
        <v>1.2354532294588736</v>
      </c>
      <c r="V144" s="2">
        <f t="shared" ref="V144" si="143">+V129/$F$137</f>
        <v>1.235901962026668</v>
      </c>
    </row>
    <row r="145" spans="6:22" x14ac:dyDescent="0.25">
      <c r="F145" s="12">
        <v>70</v>
      </c>
      <c r="G145">
        <v>7149.7810326606896</v>
      </c>
      <c r="H145" s="2">
        <f t="shared" si="137"/>
        <v>1.3999560920358665</v>
      </c>
      <c r="I145" s="8">
        <v>8025.1754030613056</v>
      </c>
      <c r="J145" s="2">
        <f t="shared" si="137"/>
        <v>1.4004048246036607</v>
      </c>
      <c r="K145" s="2">
        <f t="shared" si="137"/>
        <v>1.4013022897392498</v>
      </c>
      <c r="L145" s="2">
        <f t="shared" si="137"/>
        <v>1.4008535571714551</v>
      </c>
      <c r="M145" s="2">
        <f t="shared" si="137"/>
        <v>1.4021997548748382</v>
      </c>
      <c r="N145" s="2">
        <f t="shared" si="137"/>
        <v>1.4013022897392498</v>
      </c>
      <c r="O145" s="2">
        <f t="shared" si="137"/>
        <v>1.403097220010427</v>
      </c>
      <c r="P145" s="2">
        <f t="shared" si="137"/>
        <v>1.4017510223070437</v>
      </c>
      <c r="Q145" s="2">
        <f t="shared" si="137"/>
        <v>1.3959174989257179</v>
      </c>
      <c r="R145" s="2">
        <f t="shared" si="137"/>
        <v>1.4021997548748382</v>
      </c>
      <c r="S145" s="2">
        <f t="shared" si="137"/>
        <v>1.3959174989257179</v>
      </c>
      <c r="T145" s="2">
        <f t="shared" si="137"/>
        <v>1.4026484874426326</v>
      </c>
      <c r="V145" s="2">
        <f t="shared" ref="V145" si="144">+V130/$F$137</f>
        <v>1.403097220010427</v>
      </c>
    </row>
    <row r="146" spans="6:22" x14ac:dyDescent="0.25">
      <c r="F146" s="12">
        <v>75</v>
      </c>
      <c r="G146">
        <v>7783.5300820653047</v>
      </c>
      <c r="H146" s="2">
        <f t="shared" si="137"/>
        <v>1.5671513500196255</v>
      </c>
      <c r="I146" s="8">
        <v>8658.9244524659207</v>
      </c>
      <c r="J146" s="2">
        <f t="shared" si="137"/>
        <v>1.5676000825874201</v>
      </c>
      <c r="K146" s="2">
        <f t="shared" si="137"/>
        <v>1.568497547723009</v>
      </c>
      <c r="L146" s="2">
        <f t="shared" si="137"/>
        <v>1.5680488151552145</v>
      </c>
      <c r="M146" s="2">
        <f t="shared" si="137"/>
        <v>1.5693950128585978</v>
      </c>
      <c r="N146" s="2">
        <f t="shared" si="137"/>
        <v>1.568497547723009</v>
      </c>
      <c r="O146" s="2">
        <f t="shared" si="137"/>
        <v>1.570292477994186</v>
      </c>
      <c r="P146" s="2">
        <f t="shared" si="137"/>
        <v>1.5689462802908032</v>
      </c>
      <c r="Q146" s="2">
        <f t="shared" si="137"/>
        <v>1.5631127569094769</v>
      </c>
      <c r="R146" s="2">
        <f t="shared" si="137"/>
        <v>1.5693950128585978</v>
      </c>
      <c r="S146" s="2">
        <f t="shared" si="137"/>
        <v>1.5631127569094769</v>
      </c>
      <c r="T146" s="2">
        <f t="shared" si="137"/>
        <v>1.5698437454263923</v>
      </c>
      <c r="V146" s="2">
        <f t="shared" ref="V146:V149" si="145">+V131/$F$137</f>
        <v>1.570292477994186</v>
      </c>
    </row>
    <row r="147" spans="6:22" x14ac:dyDescent="0.25">
      <c r="F147" s="12">
        <v>80</v>
      </c>
      <c r="H147" s="2">
        <f t="shared" ref="H147" si="146">+H132/$F$137</f>
        <v>1.7343466080033847</v>
      </c>
      <c r="I147" s="8">
        <v>8658.9244524659207</v>
      </c>
      <c r="J147" s="2">
        <f t="shared" ref="J147:T147" si="147">+J132/$F$137</f>
        <v>1.7347953405711796</v>
      </c>
      <c r="K147" s="2">
        <f t="shared" si="147"/>
        <v>1.7356928057067682</v>
      </c>
      <c r="L147" s="2">
        <f t="shared" si="147"/>
        <v>1.735244073138974</v>
      </c>
      <c r="M147" s="2">
        <f t="shared" si="147"/>
        <v>1.7365902708423571</v>
      </c>
      <c r="N147" s="2">
        <f t="shared" si="147"/>
        <v>1.7356928057067682</v>
      </c>
      <c r="O147" s="2">
        <f t="shared" si="147"/>
        <v>1.7374877359779457</v>
      </c>
      <c r="P147" s="2">
        <f t="shared" si="147"/>
        <v>1.7361415382745626</v>
      </c>
      <c r="Q147" s="2">
        <f t="shared" si="147"/>
        <v>1.7303080148932362</v>
      </c>
      <c r="R147" s="2">
        <f t="shared" si="147"/>
        <v>1.7365902708423571</v>
      </c>
      <c r="S147" s="2">
        <f t="shared" si="147"/>
        <v>1.7303080148932362</v>
      </c>
      <c r="T147" s="2">
        <f t="shared" si="147"/>
        <v>1.7370390034101515</v>
      </c>
      <c r="V147" s="2">
        <f t="shared" si="145"/>
        <v>1.7374877359779457</v>
      </c>
    </row>
    <row r="148" spans="6:22" x14ac:dyDescent="0.25">
      <c r="F148" s="12">
        <v>85</v>
      </c>
      <c r="H148" s="2">
        <f t="shared" ref="H148" si="148">+H133/$F$137</f>
        <v>1.9015418659871441</v>
      </c>
      <c r="I148" s="8">
        <v>8658.9244524659207</v>
      </c>
      <c r="J148" s="2">
        <f t="shared" ref="J148:T148" si="149">+J133/$F$137</f>
        <v>1.9019905985549386</v>
      </c>
      <c r="K148" s="2">
        <f t="shared" si="149"/>
        <v>1.9028880636905277</v>
      </c>
      <c r="L148" s="2">
        <f t="shared" si="149"/>
        <v>1.9024393311227328</v>
      </c>
      <c r="M148" s="2">
        <f t="shared" si="149"/>
        <v>1.9037855288261158</v>
      </c>
      <c r="N148" s="2">
        <f t="shared" si="149"/>
        <v>1.9028880636905277</v>
      </c>
      <c r="O148" s="2">
        <f t="shared" si="149"/>
        <v>1.904682993961704</v>
      </c>
      <c r="P148" s="2">
        <f t="shared" si="149"/>
        <v>1.9033367962583216</v>
      </c>
      <c r="Q148" s="2">
        <f t="shared" si="149"/>
        <v>1.8975032728769952</v>
      </c>
      <c r="R148" s="2">
        <f t="shared" si="149"/>
        <v>1.9037855288261158</v>
      </c>
      <c r="S148" s="2">
        <f t="shared" si="149"/>
        <v>1.8975032728769952</v>
      </c>
      <c r="T148" s="2">
        <f t="shared" si="149"/>
        <v>1.9042342613939107</v>
      </c>
      <c r="V148" s="2">
        <f t="shared" si="145"/>
        <v>1.904682993961704</v>
      </c>
    </row>
    <row r="149" spans="6:22" x14ac:dyDescent="0.25">
      <c r="F149" s="12">
        <v>90</v>
      </c>
      <c r="H149" s="2">
        <f t="shared" ref="H149" si="150">+H134/$F$137</f>
        <v>2.0687371239709038</v>
      </c>
      <c r="I149" s="8">
        <v>8658.9244524659207</v>
      </c>
      <c r="J149" s="2">
        <f t="shared" ref="J149:T149" si="151">+J134/$F$137</f>
        <v>2.0691858565386982</v>
      </c>
      <c r="K149" s="2">
        <f t="shared" si="151"/>
        <v>2.0700833216742862</v>
      </c>
      <c r="L149" s="2">
        <f t="shared" si="151"/>
        <v>2.0696345891064918</v>
      </c>
      <c r="M149" s="2">
        <f t="shared" si="151"/>
        <v>2.0709807868098751</v>
      </c>
      <c r="N149" s="2">
        <f t="shared" si="151"/>
        <v>2.0700833216742862</v>
      </c>
      <c r="O149" s="2">
        <f t="shared" si="151"/>
        <v>2.0718782519454635</v>
      </c>
      <c r="P149" s="2">
        <f t="shared" si="151"/>
        <v>2.0705320542420811</v>
      </c>
      <c r="Q149" s="2">
        <f t="shared" si="151"/>
        <v>2.0646985308607548</v>
      </c>
      <c r="R149" s="2">
        <f t="shared" si="151"/>
        <v>2.0709807868098751</v>
      </c>
      <c r="S149" s="2">
        <f t="shared" si="151"/>
        <v>2.0646985308607548</v>
      </c>
      <c r="T149" s="2">
        <f t="shared" si="151"/>
        <v>2.0714295193776695</v>
      </c>
      <c r="V149" s="2">
        <f t="shared" si="145"/>
        <v>2.0718782519454635</v>
      </c>
    </row>
  </sheetData>
  <conditionalFormatting sqref="H138:V14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scale="13" orientation="landscape" r:id="rId1"/>
  <ignoredErrors>
    <ignoredError sqref="J7 N7 P7 AI7:AJ7 R7:AD7 BE3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I77"/>
  <sheetViews>
    <sheetView tabSelected="1" zoomScale="85" zoomScaleNormal="85" workbookViewId="0">
      <selection activeCell="D17" sqref="D17"/>
    </sheetView>
  </sheetViews>
  <sheetFormatPr defaultRowHeight="15" x14ac:dyDescent="0.25"/>
  <cols>
    <col min="3" max="3" width="18.85546875" customWidth="1"/>
    <col min="4" max="4" width="16" bestFit="1" customWidth="1"/>
    <col min="5" max="5" width="20.42578125" bestFit="1" customWidth="1"/>
    <col min="6" max="6" width="18.5703125" bestFit="1" customWidth="1"/>
    <col min="7" max="7" width="17.5703125" bestFit="1" customWidth="1"/>
    <col min="8" max="8" width="18.5703125" bestFit="1" customWidth="1"/>
    <col min="9" max="9" width="21.42578125" bestFit="1" customWidth="1"/>
    <col min="10" max="10" width="16.5703125" bestFit="1" customWidth="1"/>
    <col min="11" max="11" width="19.140625" bestFit="1" customWidth="1"/>
    <col min="12" max="12" width="16.140625" bestFit="1" customWidth="1"/>
    <col min="13" max="13" width="22.28515625" bestFit="1" customWidth="1"/>
    <col min="14" max="14" width="17.5703125" bestFit="1" customWidth="1"/>
    <col min="15" max="15" width="20.28515625" bestFit="1" customWidth="1"/>
    <col min="16" max="16" width="16.5703125" bestFit="1" customWidth="1"/>
  </cols>
  <sheetData>
    <row r="1" spans="1:58" ht="15" customHeight="1" x14ac:dyDescent="0.25">
      <c r="A1" t="str">
        <f>+'E&amp;P Comps'!D1</f>
        <v>Ascent Resources</v>
      </c>
      <c r="C1" t="str">
        <f>+'E&amp;P Comps'!F1</f>
        <v>Antero Resources</v>
      </c>
      <c r="D1">
        <f>+'E&amp;P Comps'!G1</f>
        <v>0</v>
      </c>
      <c r="E1" t="str">
        <f>+'E&amp;P Comps'!H1</f>
        <v>California Resources</v>
      </c>
      <c r="F1">
        <f>+'E&amp;P Comps'!I1</f>
        <v>0</v>
      </c>
      <c r="G1" t="str">
        <f>+'E&amp;P Comps'!J1</f>
        <v>Carrizo Oil&amp;Gas</v>
      </c>
      <c r="H1">
        <f>+'E&amp;P Comps'!K1</f>
        <v>0</v>
      </c>
      <c r="I1" t="str">
        <f>+'E&amp;P Comps'!L1</f>
        <v>Centennial Resources</v>
      </c>
      <c r="J1">
        <f>+'E&amp;P Comps'!M1</f>
        <v>0</v>
      </c>
      <c r="K1" t="str">
        <f>+'E&amp;P Comps'!N1</f>
        <v>Chesapeake Energy</v>
      </c>
      <c r="L1">
        <f>+'E&amp;P Comps'!O1</f>
        <v>0</v>
      </c>
      <c r="M1" t="str">
        <f>+'E&amp;P Comps'!P1</f>
        <v>CNX Resources</v>
      </c>
      <c r="N1">
        <f>+'E&amp;P Comps'!Q1</f>
        <v>0</v>
      </c>
      <c r="P1">
        <f>+'E&amp;P Comps'!S1</f>
        <v>0</v>
      </c>
      <c r="Q1" t="str">
        <f>+'E&amp;P Comps'!T1</f>
        <v>Denbury Resources</v>
      </c>
      <c r="R1">
        <f>+'E&amp;P Comps'!U1</f>
        <v>0</v>
      </c>
      <c r="S1" t="str">
        <f>+'E&amp;P Comps'!V1</f>
        <v>Endeavor Energy</v>
      </c>
      <c r="T1">
        <f>+'E&amp;P Comps'!W1</f>
        <v>0</v>
      </c>
      <c r="U1" t="str">
        <f>+'E&amp;P Comps'!X1</f>
        <v>Diamondback Energy</v>
      </c>
      <c r="V1">
        <f>+'E&amp;P Comps'!Y1</f>
        <v>0</v>
      </c>
      <c r="W1" t="str">
        <f>+'E&amp;P Comps'!Z1</f>
        <v>EP Energy</v>
      </c>
      <c r="X1">
        <f>+'E&amp;P Comps'!AA1</f>
        <v>0</v>
      </c>
      <c r="Y1" t="str">
        <f>+'E&amp;P Comps'!AB1</f>
        <v>Gulfport</v>
      </c>
      <c r="Z1">
        <f>+'E&amp;P Comps'!AC1</f>
        <v>0</v>
      </c>
      <c r="AA1" t="str">
        <f>+'E&amp;P Comps'!AD1</f>
        <v>Hilcorp Exploration</v>
      </c>
      <c r="AB1">
        <f>+'E&amp;P Comps'!AE1</f>
        <v>0</v>
      </c>
      <c r="AC1" t="str">
        <f>+'E&amp;P Comps'!AF1</f>
        <v>Jagged Peak</v>
      </c>
      <c r="AD1">
        <f>+'E&amp;P Comps'!AG1</f>
        <v>0</v>
      </c>
      <c r="AE1" t="str">
        <f>+'E&amp;P Comps'!AH1</f>
        <v>Kosmos Energy</v>
      </c>
      <c r="AF1">
        <f>+'E&amp;P Comps'!AI1</f>
        <v>0</v>
      </c>
      <c r="AG1" t="str">
        <f>+'E&amp;P Comps'!AJ1</f>
        <v>Laredo Petroleum</v>
      </c>
      <c r="AH1">
        <f>+'E&amp;P Comps'!AK1</f>
        <v>0</v>
      </c>
      <c r="AI1" t="str">
        <f>+'E&amp;P Comps'!AL1</f>
        <v>Matador Resources</v>
      </c>
      <c r="AJ1">
        <f>+'E&amp;P Comps'!AM1</f>
        <v>0</v>
      </c>
      <c r="AK1" t="str">
        <f>+'E&amp;P Comps'!AN1</f>
        <v>Murphy Oil</v>
      </c>
      <c r="AL1">
        <f>+'E&amp;P Comps'!AO1</f>
        <v>0</v>
      </c>
      <c r="AM1" t="str">
        <f>+'E&amp;P Comps'!AP1</f>
        <v>Oasis Petroleum</v>
      </c>
      <c r="AN1" t="str">
        <f>+'E&amp;P Comps'!AQ1</f>
        <v>Newfield Exploration</v>
      </c>
      <c r="AO1">
        <f>+'E&amp;P Comps'!AR1</f>
        <v>0</v>
      </c>
      <c r="AP1" t="str">
        <f>+'E&amp;P Comps'!AS1</f>
        <v>Paramount Resources</v>
      </c>
      <c r="AQ1">
        <f>+'E&amp;P Comps'!AT1</f>
        <v>0</v>
      </c>
      <c r="AR1" t="str">
        <f>+'E&amp;P Comps'!AU1</f>
        <v>Parsley Energy</v>
      </c>
      <c r="AS1">
        <f>+'E&amp;P Comps'!AV1</f>
        <v>0</v>
      </c>
      <c r="AT1" t="str">
        <f>+'E&amp;P Comps'!AW1</f>
        <v>PDC Energy</v>
      </c>
      <c r="AU1">
        <f>+'E&amp;P Comps'!AX1</f>
        <v>0</v>
      </c>
      <c r="AV1" t="str">
        <f>+'E&amp;P Comps'!AY1</f>
        <v>Range Resources</v>
      </c>
      <c r="AW1">
        <f>+'E&amp;P Comps'!AZ1</f>
        <v>0</v>
      </c>
      <c r="AX1" t="str">
        <f>+'E&amp;P Comps'!BA1</f>
        <v>SM Energy</v>
      </c>
      <c r="AY1">
        <f>+'E&amp;P Comps'!BB1</f>
        <v>0</v>
      </c>
      <c r="AZ1" t="str">
        <f>+'E&amp;P Comps'!BC1</f>
        <v>Southwestern</v>
      </c>
      <c r="BA1">
        <f>+'E&amp;P Comps'!BD1</f>
        <v>0</v>
      </c>
      <c r="BB1" t="str">
        <f>+'E&amp;P Comps'!BE1</f>
        <v>QEP Resources</v>
      </c>
      <c r="BC1">
        <f>+'E&amp;P Comps'!BF1</f>
        <v>0</v>
      </c>
      <c r="BD1" t="str">
        <f>+'E&amp;P Comps'!BG1</f>
        <v>Whiting Petroleum</v>
      </c>
      <c r="BE1">
        <f>+'E&amp;P Comps'!BH1</f>
        <v>0</v>
      </c>
      <c r="BF1" t="str">
        <f>+'E&amp;P Comps'!BI1</f>
        <v>WPX Energy</v>
      </c>
    </row>
    <row r="2" spans="1:58" ht="15" customHeight="1" x14ac:dyDescent="0.25">
      <c r="A2">
        <f>+'E&amp;P Comps'!D115</f>
        <v>1.1715986328720736</v>
      </c>
      <c r="C2" s="5">
        <f>+'E&amp;P Comps'!F115</f>
        <v>1.5043916716248555</v>
      </c>
      <c r="D2" t="e">
        <f>+'E&amp;P Comps'!G115</f>
        <v>#DIV/0!</v>
      </c>
      <c r="E2">
        <f>+'E&amp;P Comps'!H115</f>
        <v>0.93693680755155861</v>
      </c>
      <c r="F2" t="e">
        <f>+'E&amp;P Comps'!I115</f>
        <v>#DIV/0!</v>
      </c>
      <c r="G2">
        <f>+'E&amp;P Comps'!J115</f>
        <v>0.96295286519016898</v>
      </c>
      <c r="H2" t="e">
        <f>+'E&amp;P Comps'!K115</f>
        <v>#DIV/0!</v>
      </c>
      <c r="I2">
        <f>+'E&amp;P Comps'!L115</f>
        <v>1.767786808689161</v>
      </c>
      <c r="J2" t="e">
        <f>+'E&amp;P Comps'!M115</f>
        <v>#DIV/0!</v>
      </c>
      <c r="K2">
        <f>+'E&amp;P Comps'!N115</f>
        <v>0.88291006876846734</v>
      </c>
      <c r="L2" t="e">
        <f>+'E&amp;P Comps'!O115</f>
        <v>#DIV/0!</v>
      </c>
      <c r="M2">
        <f>+'E&amp;P Comps'!P115</f>
        <v>1.0368464962223087</v>
      </c>
      <c r="N2" t="e">
        <f>+'E&amp;P Comps'!Q115</f>
        <v>#DIV/0!</v>
      </c>
      <c r="P2" t="e">
        <f>+'E&amp;P Comps'!S115</f>
        <v>#DIV/0!</v>
      </c>
      <c r="Q2">
        <f>+'E&amp;P Comps'!T115</f>
        <v>1.0664630412039371</v>
      </c>
      <c r="R2" t="e">
        <f>+'E&amp;P Comps'!U115</f>
        <v>#DIV/0!</v>
      </c>
      <c r="S2" t="e">
        <f>+'E&amp;P Comps'!V115</f>
        <v>#DIV/0!</v>
      </c>
      <c r="T2" t="e">
        <f>+'E&amp;P Comps'!W115</f>
        <v>#DIV/0!</v>
      </c>
      <c r="U2">
        <f>+'E&amp;P Comps'!X115</f>
        <v>1.7524437891279057</v>
      </c>
      <c r="V2" t="e">
        <f>+'E&amp;P Comps'!Y115</f>
        <v>#DIV/0!</v>
      </c>
      <c r="W2">
        <f>+'E&amp;P Comps'!Z115</f>
        <v>0.57237227267351443</v>
      </c>
      <c r="X2" t="e">
        <f>+'E&amp;P Comps'!AA115</f>
        <v>#DIV/0!</v>
      </c>
      <c r="Y2" t="e">
        <f>+'E&amp;P Comps'!AB115</f>
        <v>#DIV/0!</v>
      </c>
      <c r="Z2" t="e">
        <f>+'E&amp;P Comps'!AC115</f>
        <v>#DIV/0!</v>
      </c>
      <c r="AA2">
        <f>+'E&amp;P Comps'!AD115</f>
        <v>1.8482659883551948</v>
      </c>
      <c r="AB2" t="e">
        <f>+'E&amp;P Comps'!AE115</f>
        <v>#DIV/0!</v>
      </c>
      <c r="AC2">
        <f>+'E&amp;P Comps'!AF115</f>
        <v>2.3787454418117679</v>
      </c>
      <c r="AD2" t="e">
        <f>+'E&amp;P Comps'!AG115</f>
        <v>#DIV/0!</v>
      </c>
      <c r="AE2">
        <f>+'E&amp;P Comps'!AH115</f>
        <v>1.4081518770034351</v>
      </c>
      <c r="AF2" t="e">
        <f>+'E&amp;P Comps'!AI115</f>
        <v>#DIV/0!</v>
      </c>
      <c r="AG2">
        <f>+'E&amp;P Comps'!AJ115</f>
        <v>1.3098891327700999</v>
      </c>
      <c r="AH2" t="e">
        <f>+'E&amp;P Comps'!AK115</f>
        <v>#DIV/0!</v>
      </c>
      <c r="AI2">
        <f>+'E&amp;P Comps'!AL115</f>
        <v>1.0960135192978566</v>
      </c>
      <c r="AJ2" t="e">
        <f>+'E&amp;P Comps'!AM115</f>
        <v>#DIV/0!</v>
      </c>
      <c r="AK2" t="e">
        <f>+'E&amp;P Comps'!AN115</f>
        <v>#DIV/0!</v>
      </c>
      <c r="AL2" t="e">
        <f>+'E&amp;P Comps'!AO115</f>
        <v>#DIV/0!</v>
      </c>
      <c r="AM2">
        <f>+'E&amp;P Comps'!AP115</f>
        <v>1.1782257342132947</v>
      </c>
      <c r="AN2" t="e">
        <f>+'E&amp;P Comps'!AQ115</f>
        <v>#DIV/0!</v>
      </c>
      <c r="AO2" t="e">
        <f>+'E&amp;P Comps'!AR115</f>
        <v>#DIV/0!</v>
      </c>
      <c r="AP2" t="e">
        <f>+'E&amp;P Comps'!AS115</f>
        <v>#DIV/0!</v>
      </c>
      <c r="AQ2" t="e">
        <f>+'E&amp;P Comps'!AT115</f>
        <v>#DIV/0!</v>
      </c>
      <c r="AR2">
        <f>+'E&amp;P Comps'!AU115</f>
        <v>1.6505459631938022</v>
      </c>
      <c r="AS2" t="e">
        <f>+'E&amp;P Comps'!AV115</f>
        <v>#DIV/0!</v>
      </c>
      <c r="AT2">
        <f>+'E&amp;P Comps'!AW115</f>
        <v>2.5924320690713931</v>
      </c>
      <c r="AU2">
        <f>+'E&amp;P Comps'!AX115</f>
        <v>0</v>
      </c>
      <c r="AV2">
        <f>+'E&amp;P Comps'!AY115</f>
        <v>0.99806182661677978</v>
      </c>
      <c r="AW2" t="e">
        <f>+'E&amp;P Comps'!AZ115</f>
        <v>#DIV/0!</v>
      </c>
      <c r="AX2">
        <f>+'E&amp;P Comps'!BA115</f>
        <v>1.0297948834958457</v>
      </c>
      <c r="AY2" t="e">
        <f>+'E&amp;P Comps'!BB115</f>
        <v>#DIV/0!</v>
      </c>
      <c r="AZ2">
        <f>+'E&amp;P Comps'!BC115</f>
        <v>1.5336330357527184</v>
      </c>
      <c r="BA2" t="e">
        <f>+'E&amp;P Comps'!BD115</f>
        <v>#DIV/0!</v>
      </c>
      <c r="BB2">
        <f>+'E&amp;P Comps'!BE115</f>
        <v>1.3910934128393078</v>
      </c>
      <c r="BC2" t="e">
        <f>+'E&amp;P Comps'!BF115</f>
        <v>#DIV/0!</v>
      </c>
      <c r="BD2">
        <f>+'E&amp;P Comps'!BG115</f>
        <v>1.5719009874452508</v>
      </c>
      <c r="BE2" t="e">
        <f>+'E&amp;P Comps'!BH115</f>
        <v>#DIV/0!</v>
      </c>
      <c r="BF2">
        <f>+'E&amp;P Comps'!BI115</f>
        <v>1.4459521413478831</v>
      </c>
    </row>
    <row r="3" spans="1:58" ht="15" customHeight="1" x14ac:dyDescent="0.25">
      <c r="A3">
        <f>+'E&amp;P Comps'!D7</f>
        <v>8.4085847493263373</v>
      </c>
      <c r="C3" s="5">
        <f>+'E&amp;P Comps'!F7</f>
        <v>6.3337402367379543</v>
      </c>
      <c r="D3" s="5" t="str">
        <f>+'E&amp;P Comps'!G7</f>
        <v>qJ9576555 corp</v>
      </c>
      <c r="E3" s="5">
        <f>+'E&amp;P Comps'!H7</f>
        <v>21.113839771388754</v>
      </c>
      <c r="F3" s="5" t="str">
        <f>+'E&amp;P Comps'!I7</f>
        <v>AO1652376 corp</v>
      </c>
      <c r="G3" s="5">
        <f>+'E&amp;P Comps'!J7</f>
        <v>8.7711752384853217</v>
      </c>
      <c r="H3" s="5" t="str">
        <f>+'E&amp;P Comps'!K7</f>
        <v>aq0125759 corp</v>
      </c>
      <c r="I3" s="5">
        <f>+'E&amp;P Comps'!L7</f>
        <v>6.2036124853074179</v>
      </c>
      <c r="J3" s="5" t="str">
        <f>+'E&amp;P Comps'!M7</f>
        <v>AU6889052 corp</v>
      </c>
      <c r="K3" s="5">
        <f>+'E&amp;P Comps'!N7</f>
        <v>9.7067513862399668</v>
      </c>
      <c r="L3" s="5" t="str">
        <f>+'E&amp;P Comps'!O7</f>
        <v>ax4642358 corp</v>
      </c>
      <c r="M3" s="5">
        <f>+'E&amp;P Comps'!P7</f>
        <v>9.2421192703400905</v>
      </c>
      <c r="N3" s="5" t="str">
        <f>+'E&amp;P Comps'!Q7</f>
        <v>AL7282349 corp</v>
      </c>
      <c r="O3" s="5">
        <f>+'E&amp;P Comps'!R7</f>
        <v>2.90935129</v>
      </c>
      <c r="P3" s="5" t="str">
        <f>+'E&amp;P Comps'!S7</f>
        <v>AQ2692491 corp</v>
      </c>
      <c r="Q3" s="5">
        <f>+'E&amp;P Comps'!T7</f>
        <v>11.597311902392397</v>
      </c>
      <c r="R3" s="5" t="str">
        <f>+'E&amp;P Comps'!U7</f>
        <v>AQ2229047 corp</v>
      </c>
      <c r="S3" s="5">
        <f>+'E&amp;P Comps'!V7</f>
        <v>4.8133320199999998</v>
      </c>
      <c r="T3" s="5" t="str">
        <f>+'E&amp;P Comps'!W7</f>
        <v>AO0955093 corp</v>
      </c>
      <c r="U3" s="5">
        <f>+'E&amp;P Comps'!X7</f>
        <v>3.9335209400000002</v>
      </c>
      <c r="V3" s="5" t="str">
        <f>+'E&amp;P Comps'!Y7</f>
        <v>AF2041107 corp</v>
      </c>
      <c r="W3" s="5">
        <f>+'E&amp;P Comps'!Z7</f>
        <v>153.187494141836</v>
      </c>
      <c r="X3" s="5" t="str">
        <f>+'E&amp;P Comps'!AA7</f>
        <v>AO6542499 corp</v>
      </c>
      <c r="Y3" s="5">
        <f>+'E&amp;P Comps'!AB7</f>
        <v>11.711202401326537</v>
      </c>
      <c r="Z3" s="5" t="str">
        <f>+'E&amp;P Comps'!AC7</f>
        <v>EK9287666 corp</v>
      </c>
      <c r="AA3" s="5">
        <f>+'E&amp;P Comps'!AD7</f>
        <v>5.7156057799999997</v>
      </c>
      <c r="AB3" s="5" t="str">
        <f>+'E&amp;P Comps'!AE7</f>
        <v>ax0971496 corp</v>
      </c>
      <c r="AC3" s="5">
        <f>+'E&amp;P Comps'!AF7</f>
        <v>6.7539304400171734</v>
      </c>
      <c r="AD3" s="5">
        <f>+'E&amp;P Comps'!AG7</f>
        <v>0</v>
      </c>
      <c r="AE3" s="5">
        <f>+'E&amp;P Comps'!AH7</f>
        <v>0</v>
      </c>
      <c r="AF3" s="5" t="str">
        <f>+'E&amp;P Comps'!AI7</f>
        <v>EK7884373 corp</v>
      </c>
      <c r="AG3" s="5">
        <f>+'E&amp;P Comps'!AJ7</f>
        <v>10.344965294919641</v>
      </c>
      <c r="AH3" s="5" t="str">
        <f>+'E&amp;P Comps'!AK7</f>
        <v>av7264519 corp</v>
      </c>
      <c r="AI3" s="5">
        <f>+'E&amp;P Comps'!AL7</f>
        <v>5.9118557102858382</v>
      </c>
      <c r="AJ3" s="5" t="str">
        <f>+'E&amp;P Comps'!AM7</f>
        <v>ao6537143 corp</v>
      </c>
      <c r="AK3" s="5">
        <f>+'E&amp;P Comps'!AN7</f>
        <v>5.5433534199999999</v>
      </c>
      <c r="AL3" s="5" t="str">
        <f>+'E&amp;P Comps'!AO7</f>
        <v>as4470579 corp</v>
      </c>
      <c r="AM3" s="5">
        <f>+'E&amp;P Comps'!AP7</f>
        <v>8.3483610585655104</v>
      </c>
      <c r="AN3" s="5">
        <f>+'E&amp;P Comps'!AQ7</f>
        <v>0</v>
      </c>
      <c r="AO3" s="5" t="str">
        <f>+'E&amp;P Comps'!AR7</f>
        <v>ap2883829 corp</v>
      </c>
      <c r="AP3" s="5">
        <f>+'E&amp;P Comps'!AS7</f>
        <v>6.4446193829834248</v>
      </c>
      <c r="AQ3" s="5" t="str">
        <f>+'E&amp;P Comps'!AT7</f>
        <v>al5956845 corp</v>
      </c>
      <c r="AR3" s="5">
        <f>+'E&amp;P Comps'!AU7</f>
        <v>4.8650958299999996</v>
      </c>
      <c r="AS3" s="5" t="str">
        <f>+'E&amp;P Comps'!AV7</f>
        <v>at3081839 corp</v>
      </c>
      <c r="AT3" s="5">
        <f>+'E&amp;P Comps'!AW7</f>
        <v>6.3374131075289064</v>
      </c>
      <c r="AU3" s="5" t="str">
        <f>+'E&amp;P Comps'!AX7</f>
        <v>jk4439317 corp</v>
      </c>
      <c r="AV3" s="5">
        <f>+'E&amp;P Comps'!AY7</f>
        <v>7.4881478226107738</v>
      </c>
      <c r="AW3" s="5" t="str">
        <f>+'E&amp;P Comps'!AZ7</f>
        <v>at9394434 corp</v>
      </c>
      <c r="AX3" s="5">
        <f>+'E&amp;P Comps'!BA7</f>
        <v>8.5113803144843239</v>
      </c>
      <c r="AY3" s="5" t="str">
        <f>+'E&amp;P Comps'!BB7</f>
        <v>ap0996078 corp</v>
      </c>
      <c r="AZ3" s="5">
        <f>+'E&amp;P Comps'!BC7</f>
        <v>8.5930343455079594</v>
      </c>
      <c r="BA3" s="5" t="str">
        <f>+'E&amp;P Comps'!BD7</f>
        <v>ap8909974 corp</v>
      </c>
      <c r="BB3" s="5">
        <f>+'E&amp;P Comps'!BE7</f>
        <v>7.6442023638710497</v>
      </c>
      <c r="BC3" s="5" t="str">
        <f>+'E&amp;P Comps'!BF7</f>
        <v>as9994474 corp</v>
      </c>
      <c r="BD3" s="5">
        <f>+'E&amp;P Comps'!BG7</f>
        <v>8.3372998614095959</v>
      </c>
      <c r="BE3" s="5" t="str">
        <f>+'E&amp;P Comps'!BH7</f>
        <v>as5835499 corp</v>
      </c>
      <c r="BF3" s="5">
        <f>+'E&amp;P Comps'!BI7</f>
        <v>5.4452045099999999</v>
      </c>
    </row>
    <row r="4" spans="1:58" ht="15" customHeight="1" x14ac:dyDescent="0.25">
      <c r="A4">
        <f>+'E&amp;P Comps'!D54</f>
        <v>9.6383772780147332</v>
      </c>
      <c r="C4" s="5">
        <f>+'E&amp;P Comps'!F54</f>
        <v>13.581852376137512</v>
      </c>
      <c r="D4" s="5">
        <f>+'E&amp;P Comps'!G54</f>
        <v>0</v>
      </c>
      <c r="E4" s="5">
        <f>+'E&amp;P Comps'!H54</f>
        <v>28.599073178184042</v>
      </c>
      <c r="F4" s="5">
        <f>+'E&amp;P Comps'!I54</f>
        <v>0</v>
      </c>
      <c r="G4" s="5">
        <f>+'E&amp;P Comps'!J54</f>
        <v>12.770942920488633</v>
      </c>
      <c r="H4" s="5">
        <f>+'E&amp;P Comps'!K54</f>
        <v>0</v>
      </c>
      <c r="I4" s="5">
        <f>+'E&amp;P Comps'!L54</f>
        <v>11.764553362328536</v>
      </c>
      <c r="J4" s="5">
        <f>+'E&amp;P Comps'!M54</f>
        <v>0</v>
      </c>
      <c r="K4" s="5">
        <f>+'E&amp;P Comps'!N54</f>
        <v>13.761021587108548</v>
      </c>
      <c r="L4" s="5">
        <f>+'E&amp;P Comps'!O54</f>
        <v>0</v>
      </c>
      <c r="M4" s="5">
        <f>+'E&amp;P Comps'!P54</f>
        <v>7.6915938347952304</v>
      </c>
      <c r="N4" s="5">
        <f>+'E&amp;P Comps'!Q54</f>
        <v>0</v>
      </c>
      <c r="O4" s="5">
        <f>+'E&amp;P Comps'!R54</f>
        <v>13.139248947609719</v>
      </c>
      <c r="P4" s="5">
        <f>+'E&amp;P Comps'!S54</f>
        <v>0</v>
      </c>
      <c r="Q4" s="5">
        <f>+'E&amp;P Comps'!T54</f>
        <v>32.872278287032834</v>
      </c>
      <c r="R4" s="5">
        <f>+'E&amp;P Comps'!U54</f>
        <v>0</v>
      </c>
      <c r="S4" s="5">
        <f>+'E&amp;P Comps'!V54</f>
        <v>0</v>
      </c>
      <c r="T4" s="5">
        <f>+'E&amp;P Comps'!W54</f>
        <v>0</v>
      </c>
      <c r="U4" s="5">
        <f>+'E&amp;P Comps'!X54</f>
        <v>8.9960722537282081</v>
      </c>
      <c r="V4" s="5">
        <f>+'E&amp;P Comps'!Y54</f>
        <v>0</v>
      </c>
      <c r="W4" s="5">
        <f>+'E&amp;P Comps'!Z54</f>
        <v>14.394595236882754</v>
      </c>
      <c r="X4" s="5">
        <f>+'E&amp;P Comps'!AA54</f>
        <v>0</v>
      </c>
      <c r="Y4" s="5">
        <f>+'E&amp;P Comps'!AB54</f>
        <v>0</v>
      </c>
      <c r="Z4" s="5">
        <f>+'E&amp;P Comps'!AC54</f>
        <v>0</v>
      </c>
      <c r="AA4" s="5">
        <f>+'E&amp;P Comps'!AD54</f>
        <v>20.747838855600033</v>
      </c>
      <c r="AB4" s="5">
        <f>+'E&amp;P Comps'!AE54</f>
        <v>0</v>
      </c>
      <c r="AC4" s="5">
        <f>+'E&amp;P Comps'!AF54</f>
        <v>15.979497036681082</v>
      </c>
      <c r="AD4" s="5">
        <f>+'E&amp;P Comps'!AG54</f>
        <v>0</v>
      </c>
      <c r="AE4" s="5">
        <f>+'E&amp;P Comps'!AH54</f>
        <v>25.059561602418746</v>
      </c>
      <c r="AF4" s="5">
        <f>+'E&amp;P Comps'!AI54</f>
        <v>0</v>
      </c>
      <c r="AG4" s="5">
        <f>+'E&amp;P Comps'!AJ54</f>
        <v>7.0445124353453599</v>
      </c>
      <c r="AH4" s="5">
        <f>+'E&amp;P Comps'!AK54</f>
        <v>0</v>
      </c>
      <c r="AI4" s="5">
        <f>+'E&amp;P Comps'!AL54</f>
        <v>14.62687843544316</v>
      </c>
      <c r="AJ4" s="5">
        <f>+'E&amp;P Comps'!AM54</f>
        <v>0</v>
      </c>
      <c r="AK4" s="5">
        <f>+'E&amp;P Comps'!AN54</f>
        <v>0</v>
      </c>
      <c r="AL4" s="5">
        <f>+'E&amp;P Comps'!AO54</f>
        <v>0</v>
      </c>
      <c r="AM4" s="5">
        <f>+'E&amp;P Comps'!AP54</f>
        <v>18.70513996378952</v>
      </c>
      <c r="AN4" s="5">
        <f>+'E&amp;P Comps'!AQ54</f>
        <v>0</v>
      </c>
      <c r="AO4" s="5">
        <f>+'E&amp;P Comps'!AR54</f>
        <v>0</v>
      </c>
      <c r="AP4" s="5">
        <f>+'E&amp;P Comps'!AS54</f>
        <v>0</v>
      </c>
      <c r="AQ4" s="5">
        <f>+'E&amp;P Comps'!AT54</f>
        <v>0</v>
      </c>
      <c r="AR4" s="5">
        <f>+'E&amp;P Comps'!AU54</f>
        <v>10.921250970278189</v>
      </c>
      <c r="AS4" s="5">
        <f>+'E&amp;P Comps'!AV54</f>
        <v>0</v>
      </c>
      <c r="AT4" s="5">
        <f>+'E&amp;P Comps'!AW54</f>
        <v>10.677139303482587</v>
      </c>
      <c r="AU4" s="5">
        <f>+'E&amp;P Comps'!AX54</f>
        <v>0</v>
      </c>
      <c r="AV4" s="5">
        <f>+'E&amp;P Comps'!AY54</f>
        <v>11.524979803296841</v>
      </c>
      <c r="AW4" s="5">
        <f>+'E&amp;P Comps'!AZ54</f>
        <v>0</v>
      </c>
      <c r="AX4" s="5">
        <f>+'E&amp;P Comps'!BA54</f>
        <v>13.751753986332576</v>
      </c>
      <c r="AY4" s="5">
        <f>+'E&amp;P Comps'!BB54</f>
        <v>0</v>
      </c>
      <c r="AZ4" s="5">
        <f>+'E&amp;P Comps'!BC54</f>
        <v>6.9246119733924605</v>
      </c>
      <c r="BA4" s="5">
        <f>+'E&amp;P Comps'!BD54</f>
        <v>0</v>
      </c>
      <c r="BB4" s="5">
        <f>+'E&amp;P Comps'!BE54</f>
        <v>14.817704788827072</v>
      </c>
      <c r="BC4" s="5">
        <f>+'E&amp;P Comps'!BF54</f>
        <v>0</v>
      </c>
      <c r="BD4" s="5">
        <f>+'E&amp;P Comps'!BG54</f>
        <v>14.023655591710909</v>
      </c>
      <c r="BE4" s="5">
        <f>+'E&amp;P Comps'!BH54</f>
        <v>0</v>
      </c>
      <c r="BF4" s="5">
        <f>+'E&amp;P Comps'!BI54</f>
        <v>15.475472023450298</v>
      </c>
    </row>
    <row r="5" spans="1:58" ht="15" customHeight="1" x14ac:dyDescent="0.25">
      <c r="A5">
        <f>+'E&amp;P Comps'!D57</f>
        <v>4.4745163967135877</v>
      </c>
      <c r="C5" s="5">
        <f>+'E&amp;P Comps'!F57</f>
        <v>2.209696160826073</v>
      </c>
      <c r="D5" s="5">
        <f>+'E&amp;P Comps'!G57</f>
        <v>0</v>
      </c>
      <c r="E5" s="5">
        <f>+'E&amp;P Comps'!H57</f>
        <v>1.0247413142681931</v>
      </c>
      <c r="F5" s="5">
        <f>+'E&amp;P Comps'!I57</f>
        <v>0</v>
      </c>
      <c r="G5" s="5">
        <f>+'E&amp;P Comps'!J57</f>
        <v>3.8617913358612204</v>
      </c>
      <c r="H5" s="5">
        <f>+'E&amp;P Comps'!K57</f>
        <v>0</v>
      </c>
      <c r="I5" s="5">
        <f>+'E&amp;P Comps'!L57</f>
        <v>3.3808980279955758</v>
      </c>
      <c r="J5" s="5">
        <f>+'E&amp;P Comps'!M57</f>
        <v>0</v>
      </c>
      <c r="K5" s="5">
        <f>+'E&amp;P Comps'!N57</f>
        <v>3.2513644447169927</v>
      </c>
      <c r="L5" s="5">
        <f>+'E&amp;P Comps'!O57</f>
        <v>0</v>
      </c>
      <c r="M5" s="5">
        <f>+'E&amp;P Comps'!P57</f>
        <v>3.8274136999887918</v>
      </c>
      <c r="N5" s="5">
        <f>+'E&amp;P Comps'!Q57</f>
        <v>0</v>
      </c>
      <c r="O5" s="5">
        <f>+'E&amp;P Comps'!R57</f>
        <v>2.5579023162849448</v>
      </c>
      <c r="P5" s="5">
        <f>+'E&amp;P Comps'!S57</f>
        <v>0</v>
      </c>
      <c r="Q5" s="5">
        <f>+'E&amp;P Comps'!T57</f>
        <v>0.54653201203299362</v>
      </c>
      <c r="R5" s="5">
        <f>+'E&amp;P Comps'!U57</f>
        <v>0</v>
      </c>
      <c r="S5" s="5">
        <f>+'E&amp;P Comps'!V57</f>
        <v>0</v>
      </c>
      <c r="T5" s="5">
        <f>+'E&amp;P Comps'!W57</f>
        <v>0</v>
      </c>
      <c r="U5" s="5">
        <f>+'E&amp;P Comps'!X57</f>
        <v>4.8616364327729293</v>
      </c>
      <c r="V5" s="5">
        <f>+'E&amp;P Comps'!Y57</f>
        <v>0</v>
      </c>
      <c r="W5" s="5">
        <f>+'E&amp;P Comps'!Z57</f>
        <v>0.64144806921810005</v>
      </c>
      <c r="X5" s="5">
        <f>+'E&amp;P Comps'!AA57</f>
        <v>0</v>
      </c>
      <c r="Y5" s="5">
        <f>+'E&amp;P Comps'!AB57</f>
        <v>0</v>
      </c>
      <c r="Z5" s="5">
        <f>+'E&amp;P Comps'!AC57</f>
        <v>0</v>
      </c>
      <c r="AA5" s="5">
        <f>+'E&amp;P Comps'!AD57</f>
        <v>2.919267048123714</v>
      </c>
      <c r="AB5" s="5">
        <f>+'E&amp;P Comps'!AE57</f>
        <v>0</v>
      </c>
      <c r="AC5" s="5">
        <f>+'E&amp;P Comps'!AF57</f>
        <v>2.2020275120754427</v>
      </c>
      <c r="AD5" s="5">
        <f>+'E&amp;P Comps'!AG57</f>
        <v>0</v>
      </c>
      <c r="AE5" s="5">
        <f>+'E&amp;P Comps'!AH57</f>
        <v>0.93704744812764373</v>
      </c>
      <c r="AF5" s="5">
        <f>+'E&amp;P Comps'!AI57</f>
        <v>0</v>
      </c>
      <c r="AG5" s="5">
        <f>+'E&amp;P Comps'!AJ57</f>
        <v>1.1501900738626949</v>
      </c>
      <c r="AH5" s="5">
        <f>+'E&amp;P Comps'!AK57</f>
        <v>0</v>
      </c>
      <c r="AI5" s="5">
        <f>+'E&amp;P Comps'!AL57</f>
        <v>1.5092905057348376</v>
      </c>
      <c r="AJ5" s="5">
        <f>+'E&amp;P Comps'!AM57</f>
        <v>0</v>
      </c>
      <c r="AK5" s="5">
        <f>+'E&amp;P Comps'!AN57</f>
        <v>0</v>
      </c>
      <c r="AL5" s="5">
        <f>+'E&amp;P Comps'!AO57</f>
        <v>0</v>
      </c>
      <c r="AM5" s="5">
        <f>+'E&amp;P Comps'!AP57</f>
        <v>1.60394202232093</v>
      </c>
      <c r="AN5" s="5">
        <f>+'E&amp;P Comps'!AQ57</f>
        <v>0</v>
      </c>
      <c r="AO5" s="5">
        <f>+'E&amp;P Comps'!AR57</f>
        <v>0</v>
      </c>
      <c r="AP5" s="5">
        <f>+'E&amp;P Comps'!AS57</f>
        <v>0</v>
      </c>
      <c r="AQ5" s="5">
        <f>+'E&amp;P Comps'!AT57</f>
        <v>0</v>
      </c>
      <c r="AR5" s="5">
        <f>+'E&amp;P Comps'!AU57</f>
        <v>2.6757025891172059</v>
      </c>
      <c r="AS5" s="5">
        <f>+'E&amp;P Comps'!AV57</f>
        <v>0</v>
      </c>
      <c r="AT5" s="5">
        <f>+'E&amp;P Comps'!AW57</f>
        <v>1.5952869451388891</v>
      </c>
      <c r="AU5" s="5">
        <f>+'E&amp;P Comps'!AX57</f>
        <v>0</v>
      </c>
      <c r="AV5" s="5">
        <f>+'E&amp;P Comps'!AY57</f>
        <v>3.5372286181921333</v>
      </c>
      <c r="AW5" s="5">
        <f>+'E&amp;P Comps'!AZ57</f>
        <v>0</v>
      </c>
      <c r="AX5" s="5">
        <f>+'E&amp;P Comps'!BA57</f>
        <v>2.6880625316910458</v>
      </c>
      <c r="AY5" s="5">
        <f>+'E&amp;P Comps'!BB57</f>
        <v>0</v>
      </c>
      <c r="AZ5" s="5">
        <f>+'E&amp;P Comps'!BC57</f>
        <v>5.2997297809594759</v>
      </c>
      <c r="BA5" s="5">
        <f>+'E&amp;P Comps'!BD57</f>
        <v>0</v>
      </c>
      <c r="BB5" s="5">
        <f>+'E&amp;P Comps'!BE57</f>
        <v>1.0756573491238022</v>
      </c>
      <c r="BC5" s="5">
        <f>+'E&amp;P Comps'!BF57</f>
        <v>0</v>
      </c>
      <c r="BD5" s="5">
        <f>+'E&amp;P Comps'!BG57</f>
        <v>1.676639069265156</v>
      </c>
      <c r="BE5" s="5">
        <f>+'E&amp;P Comps'!BH57</f>
        <v>0</v>
      </c>
      <c r="BF5" s="5">
        <f>+'E&amp;P Comps'!BI57</f>
        <v>2.3411671269245202</v>
      </c>
    </row>
    <row r="6" spans="1:58" ht="15" customHeight="1" x14ac:dyDescent="0.25">
      <c r="A6">
        <f>+'E&amp;P Comps'!D60</f>
        <v>10.120153160139587</v>
      </c>
      <c r="C6" s="9">
        <f>+'E&amp;P Comps'!F60</f>
        <v>8.5465055611728999</v>
      </c>
      <c r="D6">
        <f>+'E&amp;P Comps'!G60</f>
        <v>0</v>
      </c>
      <c r="E6">
        <f>+'E&amp;P Comps'!H60</f>
        <v>21.95854763965982</v>
      </c>
      <c r="F6">
        <f>+'E&amp;P Comps'!I60</f>
        <v>0</v>
      </c>
      <c r="G6">
        <f>+'E&amp;P Comps'!J60</f>
        <v>30.228752771377646</v>
      </c>
      <c r="H6">
        <f>+'E&amp;P Comps'!K60</f>
        <v>0</v>
      </c>
      <c r="I6">
        <f>+'E&amp;P Comps'!L60</f>
        <v>25.44337571094011</v>
      </c>
      <c r="J6">
        <f>+'E&amp;P Comps'!M60</f>
        <v>0</v>
      </c>
      <c r="K6">
        <f>+'E&amp;P Comps'!N60</f>
        <v>14.53329279416236</v>
      </c>
      <c r="L6">
        <f>+'E&amp;P Comps'!O60</f>
        <v>0</v>
      </c>
      <c r="M6">
        <f>+'E&amp;P Comps'!P60</f>
        <v>12.373272543699123</v>
      </c>
      <c r="N6">
        <f>+'E&amp;P Comps'!Q60</f>
        <v>0</v>
      </c>
      <c r="O6">
        <f>+'E&amp;P Comps'!R60</f>
        <v>27.841453757345892</v>
      </c>
      <c r="P6">
        <f>+'E&amp;P Comps'!S60</f>
        <v>0</v>
      </c>
      <c r="Q6">
        <f>+'E&amp;P Comps'!T60</f>
        <v>23.848326004120409</v>
      </c>
      <c r="R6">
        <f>+'E&amp;P Comps'!U60</f>
        <v>0</v>
      </c>
      <c r="S6">
        <f>+'E&amp;P Comps'!V60</f>
        <v>0</v>
      </c>
      <c r="T6">
        <f>+'E&amp;P Comps'!W60</f>
        <v>0</v>
      </c>
      <c r="U6">
        <f>+'E&amp;P Comps'!X60</f>
        <v>35.204263810123919</v>
      </c>
      <c r="V6">
        <f>+'E&amp;P Comps'!Y60</f>
        <v>0</v>
      </c>
      <c r="W6">
        <f>+'E&amp;P Comps'!Z60</f>
        <v>26.854068000882688</v>
      </c>
      <c r="X6">
        <f>+'E&amp;P Comps'!AA60</f>
        <v>0</v>
      </c>
      <c r="Y6">
        <f>+'E&amp;P Comps'!AB60</f>
        <v>0</v>
      </c>
      <c r="Z6">
        <f>+'E&amp;P Comps'!AC60</f>
        <v>0</v>
      </c>
      <c r="AA6">
        <f>+'E&amp;P Comps'!AD60</f>
        <v>25.415887075764392</v>
      </c>
      <c r="AB6">
        <f>+'E&amp;P Comps'!AE60</f>
        <v>0</v>
      </c>
      <c r="AC6">
        <f>+'E&amp;P Comps'!AF60</f>
        <v>30.604196700304342</v>
      </c>
      <c r="AD6">
        <f>+'E&amp;P Comps'!AG60</f>
        <v>0</v>
      </c>
      <c r="AE6">
        <f>+'E&amp;P Comps'!AH60</f>
        <v>22.977387146091395</v>
      </c>
      <c r="AF6">
        <f>+'E&amp;P Comps'!AI60</f>
        <v>0</v>
      </c>
      <c r="AG6">
        <f>+'E&amp;P Comps'!AJ60</f>
        <v>23.526679490072635</v>
      </c>
      <c r="AH6">
        <f>+'E&amp;P Comps'!AK60</f>
        <v>0</v>
      </c>
      <c r="AI6">
        <f>+'E&amp;P Comps'!AL60</f>
        <v>28.296895027798087</v>
      </c>
      <c r="AJ6">
        <f>+'E&amp;P Comps'!AM60</f>
        <v>0</v>
      </c>
      <c r="AK6">
        <f>+'E&amp;P Comps'!AN60</f>
        <v>0</v>
      </c>
      <c r="AL6">
        <f>+'E&amp;P Comps'!AO60</f>
        <v>0</v>
      </c>
      <c r="AM6">
        <f>+'E&amp;P Comps'!AP60</f>
        <v>31.569996826261161</v>
      </c>
      <c r="AN6">
        <f>+'E&amp;P Comps'!AQ60</f>
        <v>0</v>
      </c>
      <c r="AO6">
        <f>+'E&amp;P Comps'!AR60</f>
        <v>0</v>
      </c>
      <c r="AP6">
        <f>+'E&amp;P Comps'!AS60</f>
        <v>0</v>
      </c>
      <c r="AQ6">
        <f>+'E&amp;P Comps'!AT60</f>
        <v>0</v>
      </c>
      <c r="AR6">
        <f>+'E&amp;P Comps'!AU60</f>
        <v>33.551017853118665</v>
      </c>
      <c r="AS6">
        <f>+'E&amp;P Comps'!AV60</f>
        <v>0</v>
      </c>
      <c r="AT6">
        <f>+'E&amp;P Comps'!AW60</f>
        <v>21.359776119402984</v>
      </c>
      <c r="AU6">
        <f>+'E&amp;P Comps'!AX60</f>
        <v>0</v>
      </c>
      <c r="AV6">
        <f>+'E&amp;P Comps'!AY60</f>
        <v>8.5926510836644461</v>
      </c>
      <c r="AW6">
        <f>+'E&amp;P Comps'!AZ60</f>
        <v>0</v>
      </c>
      <c r="AX6">
        <f>+'E&amp;P Comps'!BA60</f>
        <v>20.515945330296134</v>
      </c>
      <c r="AY6">
        <f>+'E&amp;P Comps'!BB60</f>
        <v>0</v>
      </c>
      <c r="AZ6">
        <f>+'E&amp;P Comps'!BC60</f>
        <v>9.1862527716186246</v>
      </c>
      <c r="BA6">
        <f>+'E&amp;P Comps'!BD60</f>
        <v>0</v>
      </c>
      <c r="BB6">
        <f>+'E&amp;P Comps'!BE60</f>
        <v>17.877947043264491</v>
      </c>
      <c r="BC6">
        <f>+'E&amp;P Comps'!BF60</f>
        <v>0</v>
      </c>
      <c r="BD6">
        <f>+'E&amp;P Comps'!BG60</f>
        <v>25.867100530912825</v>
      </c>
      <c r="BE6">
        <f>+'E&amp;P Comps'!BH60</f>
        <v>0</v>
      </c>
      <c r="BF6">
        <f>+'E&amp;P Comps'!BI60</f>
        <v>20.84231399258557</v>
      </c>
    </row>
    <row r="7" spans="1:58" ht="15" customHeight="1" x14ac:dyDescent="0.25">
      <c r="A7">
        <f>+'E&amp;P Comps'!D56</f>
        <v>11.726995269159444</v>
      </c>
      <c r="C7" s="9">
        <f>+'E&amp;P Comps'!F56</f>
        <v>16.831905508572088</v>
      </c>
      <c r="D7">
        <f>+'E&amp;P Comps'!G56</f>
        <v>0</v>
      </c>
      <c r="E7">
        <f>+'E&amp;P Comps'!H56</f>
        <v>42.334705362092087</v>
      </c>
      <c r="F7">
        <f>+'E&amp;P Comps'!I56</f>
        <v>0</v>
      </c>
      <c r="G7">
        <f>+'E&amp;P Comps'!J56</f>
        <v>19.913722381375759</v>
      </c>
      <c r="H7">
        <f>+'E&amp;P Comps'!K56</f>
        <v>0</v>
      </c>
      <c r="I7">
        <f>+'E&amp;P Comps'!L56</f>
        <v>18.933653837225005</v>
      </c>
      <c r="J7">
        <f>+'E&amp;P Comps'!M56</f>
        <v>0</v>
      </c>
      <c r="K7">
        <f>+'E&amp;P Comps'!N56</f>
        <v>17.366870283866337</v>
      </c>
      <c r="L7">
        <f>+'E&amp;P Comps'!O56</f>
        <v>0</v>
      </c>
      <c r="M7">
        <f>+'E&amp;P Comps'!P56</f>
        <v>10.49910941658692</v>
      </c>
      <c r="N7">
        <f>+'E&amp;P Comps'!Q56</f>
        <v>0</v>
      </c>
      <c r="O7">
        <f>+'E&amp;P Comps'!R56</f>
        <v>23.543058471419243</v>
      </c>
      <c r="P7">
        <f>+'E&amp;P Comps'!S56</f>
        <v>0</v>
      </c>
      <c r="Q7">
        <f>+'E&amp;P Comps'!T56</f>
        <v>60.917896300964472</v>
      </c>
      <c r="R7">
        <f>+'E&amp;P Comps'!U56</f>
        <v>0</v>
      </c>
      <c r="S7">
        <f>+'E&amp;P Comps'!V56</f>
        <v>0</v>
      </c>
      <c r="T7">
        <f>+'E&amp;P Comps'!W56</f>
        <v>0</v>
      </c>
      <c r="U7">
        <f>+'E&amp;P Comps'!X56</f>
        <v>15.860246482748773</v>
      </c>
      <c r="V7">
        <f>+'E&amp;P Comps'!Y56</f>
        <v>0</v>
      </c>
      <c r="W7">
        <f>+'E&amp;P Comps'!Z56</f>
        <v>38.423166665454183</v>
      </c>
      <c r="X7">
        <f>+'E&amp;P Comps'!AA56</f>
        <v>0</v>
      </c>
      <c r="Y7">
        <f>+'E&amp;P Comps'!AB56</f>
        <v>0</v>
      </c>
      <c r="Z7">
        <f>+'E&amp;P Comps'!AC56</f>
        <v>0</v>
      </c>
      <c r="AA7">
        <f>+'E&amp;P Comps'!AD56</f>
        <v>28.700064310509607</v>
      </c>
      <c r="AB7">
        <f>+'E&amp;P Comps'!AE56</f>
        <v>0</v>
      </c>
      <c r="AC7">
        <f>+'E&amp;P Comps'!AF56</f>
        <v>28.962886389193962</v>
      </c>
      <c r="AD7">
        <f>+'E&amp;P Comps'!AG56</f>
        <v>0</v>
      </c>
      <c r="AE7">
        <f>+'E&amp;P Comps'!AH56</f>
        <v>43.730942554799697</v>
      </c>
      <c r="AF7">
        <f>+'E&amp;P Comps'!AI56</f>
        <v>0</v>
      </c>
      <c r="AG7">
        <f>+'E&amp;P Comps'!AJ56</f>
        <v>22.142414869676159</v>
      </c>
      <c r="AH7">
        <f>+'E&amp;P Comps'!AK56</f>
        <v>0</v>
      </c>
      <c r="AI7">
        <f>+'E&amp;P Comps'!AL56</f>
        <v>31.72226079767502</v>
      </c>
      <c r="AJ7">
        <f>+'E&amp;P Comps'!AM56</f>
        <v>0</v>
      </c>
      <c r="AK7">
        <f>+'E&amp;P Comps'!AN56</f>
        <v>0</v>
      </c>
      <c r="AL7">
        <f>+'E&amp;P Comps'!AO56</f>
        <v>0</v>
      </c>
      <c r="AM7">
        <f>+'E&amp;P Comps'!AP56</f>
        <v>35.091883523811362</v>
      </c>
      <c r="AN7">
        <f>+'E&amp;P Comps'!AQ56</f>
        <v>0</v>
      </c>
      <c r="AO7">
        <f>+'E&amp;P Comps'!AR56</f>
        <v>0</v>
      </c>
      <c r="AP7">
        <f>+'E&amp;P Comps'!AS56</f>
        <v>0</v>
      </c>
      <c r="AQ7">
        <f>+'E&amp;P Comps'!AT56</f>
        <v>0</v>
      </c>
      <c r="AR7">
        <f>+'E&amp;P Comps'!AU56</f>
        <v>22.230181033453672</v>
      </c>
      <c r="AS7">
        <f>+'E&amp;P Comps'!AV56</f>
        <v>0</v>
      </c>
      <c r="AT7">
        <f>+'E&amp;P Comps'!AW56</f>
        <v>23.162642466219793</v>
      </c>
      <c r="AU7">
        <f>+'E&amp;P Comps'!AX56</f>
        <v>0</v>
      </c>
      <c r="AV7">
        <f>+'E&amp;P Comps'!AY56</f>
        <v>13.521902132991089</v>
      </c>
      <c r="AW7">
        <f>+'E&amp;P Comps'!AZ56</f>
        <v>0</v>
      </c>
      <c r="AX7">
        <f>+'E&amp;P Comps'!BA56</f>
        <v>20.106713468267536</v>
      </c>
      <c r="AY7">
        <f>+'E&amp;P Comps'!BB56</f>
        <v>0</v>
      </c>
      <c r="AZ7">
        <f>+'E&amp;P Comps'!BC56</f>
        <v>8.5336970661627731</v>
      </c>
      <c r="BA7">
        <f>+'E&amp;P Comps'!BD56</f>
        <v>0</v>
      </c>
      <c r="BB7">
        <f>+'E&amp;P Comps'!BE56</f>
        <v>28.836214287122246</v>
      </c>
      <c r="BC7">
        <f>+'E&amp;P Comps'!BF56</f>
        <v>0</v>
      </c>
      <c r="BD7">
        <f>+'E&amp;P Comps'!BG56</f>
        <v>27.322188723315364</v>
      </c>
      <c r="BE7">
        <f>+'E&amp;P Comps'!BH56</f>
        <v>0</v>
      </c>
      <c r="BF7">
        <f>+'E&amp;P Comps'!BI56</f>
        <v>22.877369945994541</v>
      </c>
    </row>
    <row r="8" spans="1:58" ht="15" customHeight="1" x14ac:dyDescent="0.25">
      <c r="A8" s="5">
        <f>+'E&amp;P Comps'!D59-'E&amp;P Comps'!D56</f>
        <v>8.0315351689948766</v>
      </c>
      <c r="B8">
        <f>+'E&amp;P Comps'!E59-'E&amp;P Comps'!E56</f>
        <v>0</v>
      </c>
      <c r="C8" s="9">
        <f>+'E&amp;P Comps'!F59-'E&amp;P Comps'!F56</f>
        <v>5.2964524287383234</v>
      </c>
      <c r="D8">
        <f>+'E&amp;P Comps'!G59-'E&amp;P Comps'!G56</f>
        <v>0</v>
      </c>
      <c r="E8">
        <f>+'E&amp;P Comps'!H59-'E&amp;P Comps'!H56</f>
        <v>8.2229154557517745</v>
      </c>
      <c r="F8">
        <f>+'E&amp;P Comps'!I59-'E&amp;P Comps'!I56</f>
        <v>0</v>
      </c>
      <c r="G8">
        <f>+'E&amp;P Comps'!J59-'E&amp;P Comps'!J56</f>
        <v>23.08597331049052</v>
      </c>
      <c r="H8">
        <f>+'E&amp;P Comps'!K59-'E&amp;P Comps'!K56</f>
        <v>0</v>
      </c>
      <c r="I8">
        <f>+'E&amp;P Comps'!L59-'E&amp;P Comps'!L56</f>
        <v>18.274275236043639</v>
      </c>
      <c r="J8">
        <f>+'E&amp;P Comps'!M59-'E&amp;P Comps'!M56</f>
        <v>0</v>
      </c>
      <c r="K8">
        <f>+'E&amp;P Comps'!N59-'E&amp;P Comps'!N56</f>
        <v>10.927444097404571</v>
      </c>
      <c r="L8">
        <f>+'E&amp;P Comps'!O59-'E&amp;P Comps'!O56</f>
        <v>0</v>
      </c>
      <c r="M8">
        <f>+'E&amp;P Comps'!P59-'E&amp;P Comps'!P56</f>
        <v>9.5657569619074341</v>
      </c>
      <c r="N8">
        <f>+'E&amp;P Comps'!Q59-'E&amp;P Comps'!Q56</f>
        <v>0</v>
      </c>
      <c r="O8">
        <f>+'E&amp;P Comps'!R59-'E&amp;P Comps'!R56</f>
        <v>17.437644233536368</v>
      </c>
      <c r="P8">
        <f>+'E&amp;P Comps'!S59-'E&amp;P Comps'!S56</f>
        <v>0</v>
      </c>
      <c r="Q8">
        <f>+'E&amp;P Comps'!T59-'E&amp;P Comps'!T56</f>
        <v>-4.1972920098112283</v>
      </c>
      <c r="R8">
        <f>+'E&amp;P Comps'!U59-'E&amp;P Comps'!U56</f>
        <v>0</v>
      </c>
      <c r="S8">
        <f>+'E&amp;P Comps'!V59-'E&amp;P Comps'!V56</f>
        <v>0</v>
      </c>
      <c r="T8">
        <f>+'E&amp;P Comps'!W59-'E&amp;P Comps'!W56</f>
        <v>0</v>
      </c>
      <c r="U8">
        <f>+'E&amp;P Comps'!X59-'E&amp;P Comps'!X56</f>
        <v>28.340089581103356</v>
      </c>
      <c r="V8">
        <f>+'E&amp;P Comps'!Y59-'E&amp;P Comps'!Y56</f>
        <v>0</v>
      </c>
      <c r="W8">
        <f>+'E&amp;P Comps'!Z59-'E&amp;P Comps'!Z56</f>
        <v>2.8254965723112591</v>
      </c>
      <c r="X8">
        <f>+'E&amp;P Comps'!AA59-'E&amp;P Comps'!AA56</f>
        <v>0</v>
      </c>
      <c r="Y8">
        <f>+'E&amp;P Comps'!AB59-'E&amp;P Comps'!AB56</f>
        <v>0</v>
      </c>
      <c r="Z8">
        <f>+'E&amp;P Comps'!AC59-'E&amp;P Comps'!AC56</f>
        <v>0</v>
      </c>
      <c r="AA8">
        <f>+'E&amp;P Comps'!AD59-'E&amp;P Comps'!AD56</f>
        <v>17.463661620854818</v>
      </c>
      <c r="AB8">
        <f>+'E&amp;P Comps'!AE59-'E&amp;P Comps'!AE56</f>
        <v>0</v>
      </c>
      <c r="AC8">
        <f>+'E&amp;P Comps'!AF59-'E&amp;P Comps'!AF56</f>
        <v>17.620807347791462</v>
      </c>
      <c r="AD8">
        <f>+'E&amp;P Comps'!AG59-'E&amp;P Comps'!AG56</f>
        <v>0</v>
      </c>
      <c r="AE8">
        <f>+'E&amp;P Comps'!AH59-'E&amp;P Comps'!AH56</f>
        <v>4.306006193710445</v>
      </c>
      <c r="AF8">
        <f>+'E&amp;P Comps'!AI59-'E&amp;P Comps'!AI56</f>
        <v>0</v>
      </c>
      <c r="AG8">
        <f>+'E&amp;P Comps'!AJ59-'E&amp;P Comps'!AJ56</f>
        <v>8.4287770557418362</v>
      </c>
      <c r="AH8">
        <f>+'E&amp;P Comps'!AK59-'E&amp;P Comps'!AK56</f>
        <v>0</v>
      </c>
      <c r="AI8">
        <f>+'E&amp;P Comps'!AL59-'E&amp;P Comps'!AL56</f>
        <v>11.201512665566227</v>
      </c>
      <c r="AJ8">
        <f>+'E&amp;P Comps'!AM59-'E&amp;P Comps'!AM56</f>
        <v>0</v>
      </c>
      <c r="AK8">
        <f>+'E&amp;P Comps'!AN59-'E&amp;P Comps'!AN56</f>
        <v>0</v>
      </c>
      <c r="AL8">
        <f>+'E&amp;P Comps'!AO59-'E&amp;P Comps'!AO56</f>
        <v>0</v>
      </c>
      <c r="AM8">
        <f>+'E&amp;P Comps'!AP59-'E&amp;P Comps'!AP56</f>
        <v>15.183253266239319</v>
      </c>
      <c r="AN8">
        <f>+'E&amp;P Comps'!AQ59-'E&amp;P Comps'!AQ56</f>
        <v>0</v>
      </c>
      <c r="AO8">
        <f>+'E&amp;P Comps'!AR59-'E&amp;P Comps'!AR56</f>
        <v>0</v>
      </c>
      <c r="AP8">
        <f>+'E&amp;P Comps'!AS59-'E&amp;P Comps'!AS56</f>
        <v>0</v>
      </c>
      <c r="AQ8">
        <f>+'E&amp;P Comps'!AT59-'E&amp;P Comps'!AT56</f>
        <v>0</v>
      </c>
      <c r="AR8">
        <f>+'E&amp;P Comps'!AU59-'E&amp;P Comps'!AU56</f>
        <v>22.242087789943181</v>
      </c>
      <c r="AS8">
        <f>+'E&amp;P Comps'!AV59-'E&amp;P Comps'!AV56</f>
        <v>0</v>
      </c>
      <c r="AT8">
        <f>+'E&amp;P Comps'!AW59-'E&amp;P Comps'!AW56</f>
        <v>8.8742729566657772</v>
      </c>
      <c r="AU8">
        <f>+'E&amp;P Comps'!AX59-'E&amp;P Comps'!AX56</f>
        <v>0</v>
      </c>
      <c r="AV8">
        <f>+'E&amp;P Comps'!AY59-'E&amp;P Comps'!AY56</f>
        <v>6.5957287539701976</v>
      </c>
      <c r="AW8">
        <f>+'E&amp;P Comps'!AZ59-'E&amp;P Comps'!AZ56</f>
        <v>0</v>
      </c>
      <c r="AX8">
        <f>+'E&amp;P Comps'!BA59-'E&amp;P Comps'!BA56</f>
        <v>14.160985848361172</v>
      </c>
      <c r="AY8">
        <f>+'E&amp;P Comps'!BB59-'E&amp;P Comps'!BB56</f>
        <v>0</v>
      </c>
      <c r="AZ8">
        <f>+'E&amp;P Comps'!BC59-'E&amp;P Comps'!BC56</f>
        <v>7.577167678848312</v>
      </c>
      <c r="BA8">
        <f>+'E&amp;P Comps'!BD59-'E&amp;P Comps'!BD56</f>
        <v>0</v>
      </c>
      <c r="BB8">
        <f>+'E&amp;P Comps'!BE59-'E&amp;P Comps'!BE56</f>
        <v>3.8594375449693175</v>
      </c>
      <c r="BC8">
        <f>+'E&amp;P Comps'!BF59-'E&amp;P Comps'!BF56</f>
        <v>0</v>
      </c>
      <c r="BD8">
        <f>+'E&amp;P Comps'!BG59-'E&amp;P Comps'!BG56</f>
        <v>12.568567399308371</v>
      </c>
      <c r="BE8">
        <f>+'E&amp;P Comps'!BH59-'E&amp;P Comps'!BH56</f>
        <v>0</v>
      </c>
      <c r="BF8">
        <f>+'E&amp;P Comps'!BI59-'E&amp;P Comps'!BI56</f>
        <v>13.440416070041326</v>
      </c>
    </row>
    <row r="9" spans="1:58" ht="15" customHeight="1" x14ac:dyDescent="0.25">
      <c r="A9">
        <f>+'E&amp;P Comps'!D37</f>
        <v>2.5024330227677574</v>
      </c>
      <c r="B9">
        <f>+'E&amp;P Comps'!E37</f>
        <v>0</v>
      </c>
      <c r="C9" s="9">
        <f>+'E&amp;P Comps'!F37</f>
        <v>3.0305693706643937</v>
      </c>
      <c r="D9" t="e">
        <f>+'E&amp;P Comps'!G37</f>
        <v>#DIV/0!</v>
      </c>
      <c r="E9">
        <f>+'E&amp;P Comps'!H37</f>
        <v>5.2915848564345795</v>
      </c>
      <c r="F9" t="e">
        <f>+'E&amp;P Comps'!I37</f>
        <v>#DIV/0!</v>
      </c>
      <c r="G9">
        <f>+'E&amp;P Comps'!J37</f>
        <v>2.1532742825900781</v>
      </c>
      <c r="H9" t="e">
        <f>+'E&amp;P Comps'!K37</f>
        <v>#DIV/0!</v>
      </c>
      <c r="I9">
        <f>+'E&amp;P Comps'!L37</f>
        <v>1.9257159110636655</v>
      </c>
      <c r="J9" t="e">
        <f>+'E&amp;P Comps'!M37</f>
        <v>#DIV/0!</v>
      </c>
      <c r="K9">
        <f>+'E&amp;P Comps'!N37</f>
        <v>3.8702243440775446</v>
      </c>
      <c r="L9" t="e">
        <f>+'E&amp;P Comps'!O37</f>
        <v>#DIV/0!</v>
      </c>
      <c r="M9">
        <f>+'E&amp;P Comps'!P37</f>
        <v>2.7812053859695705</v>
      </c>
      <c r="N9" t="e">
        <f>+'E&amp;P Comps'!Q37</f>
        <v>#DIV/0!</v>
      </c>
      <c r="O9" t="e">
        <f>+'E&amp;P Comps'!R37</f>
        <v>#DIV/0!</v>
      </c>
      <c r="P9" t="e">
        <f>+'E&amp;P Comps'!S37</f>
        <v>#DIV/0!</v>
      </c>
      <c r="Q9">
        <f>+'E&amp;P Comps'!T37</f>
        <v>4.1996576157891781</v>
      </c>
      <c r="R9" t="e">
        <f>+'E&amp;P Comps'!U37</f>
        <v>#DIV/0!</v>
      </c>
      <c r="S9" t="e">
        <f>+'E&amp;P Comps'!V37</f>
        <v>#DIV/0!</v>
      </c>
      <c r="T9" t="e">
        <f>+'E&amp;P Comps'!W37</f>
        <v>#DIV/0!</v>
      </c>
      <c r="U9">
        <f>+'E&amp;P Comps'!X37</f>
        <v>1.2602927112770796</v>
      </c>
      <c r="V9" t="e">
        <f>+'E&amp;P Comps'!Y37</f>
        <v>#DIV/0!</v>
      </c>
      <c r="W9">
        <f>+'E&amp;P Comps'!Z37</f>
        <v>7.1335811655982431</v>
      </c>
      <c r="X9" t="e">
        <f>+'E&amp;P Comps'!AA37</f>
        <v>#DIV/0!</v>
      </c>
      <c r="Y9" t="e">
        <f>+'E&amp;P Comps'!AB37</f>
        <v>#DIV/0!</v>
      </c>
      <c r="Z9" t="e">
        <f>+'E&amp;P Comps'!AC37</f>
        <v>#DIV/0!</v>
      </c>
      <c r="AA9">
        <f>+'E&amp;P Comps'!AD37</f>
        <v>1.9864703217691342</v>
      </c>
      <c r="AB9" t="e">
        <f>+'E&amp;P Comps'!AE37</f>
        <v>#DIV/0!</v>
      </c>
      <c r="AC9">
        <f>+'E&amp;P Comps'!AF37</f>
        <v>1.7130827707334002</v>
      </c>
      <c r="AD9" t="e">
        <f>+'E&amp;P Comps'!AG37</f>
        <v>#DIV/0!</v>
      </c>
      <c r="AE9" t="e">
        <f>+'E&amp;P Comps'!AH37</f>
        <v>#DIV/0!</v>
      </c>
      <c r="AF9" t="e">
        <f>+'E&amp;P Comps'!AI37</f>
        <v>#DIV/0!</v>
      </c>
      <c r="AG9">
        <f>+'E&amp;P Comps'!AJ37</f>
        <v>2.1387167699380369</v>
      </c>
      <c r="AH9" t="e">
        <f>+'E&amp;P Comps'!AK37</f>
        <v>#DIV/0!</v>
      </c>
      <c r="AI9">
        <f>+'E&amp;P Comps'!AL37</f>
        <v>2.4184397354004341</v>
      </c>
      <c r="AJ9" t="e">
        <f>+'E&amp;P Comps'!AM37</f>
        <v>#DIV/0!</v>
      </c>
      <c r="AK9" t="e">
        <f>+'E&amp;P Comps'!AN37</f>
        <v>#DIV/0!</v>
      </c>
      <c r="AL9" t="e">
        <f>+'E&amp;P Comps'!AO37</f>
        <v>#DIV/0!</v>
      </c>
      <c r="AM9">
        <f>+'E&amp;P Comps'!AP37</f>
        <v>2.7701358270503298</v>
      </c>
      <c r="AN9" t="e">
        <f>+'E&amp;P Comps'!AQ37</f>
        <v>#DIV/0!</v>
      </c>
      <c r="AO9" t="e">
        <f>+'E&amp;P Comps'!AR37</f>
        <v>#DIV/0!</v>
      </c>
      <c r="AP9" t="e">
        <f>+'E&amp;P Comps'!AS37</f>
        <v>#DIV/0!</v>
      </c>
      <c r="AQ9" t="e">
        <f>+'E&amp;P Comps'!AT37</f>
        <v>#DIV/0!</v>
      </c>
      <c r="AR9">
        <f>+'E&amp;P Comps'!AU37</f>
        <v>1.5397808119191314</v>
      </c>
      <c r="AS9" t="e">
        <f>+'E&amp;P Comps'!AV37</f>
        <v>#DIV/0!</v>
      </c>
      <c r="AT9">
        <f>+'E&amp;P Comps'!AW37</f>
        <v>1.0306654886963451</v>
      </c>
      <c r="AU9" t="e">
        <f>+'E&amp;P Comps'!AX37</f>
        <v>#DIV/0!</v>
      </c>
      <c r="AV9">
        <f>+'E&amp;P Comps'!AY37</f>
        <v>3.3371630420348288</v>
      </c>
      <c r="AW9" t="e">
        <f>+'E&amp;P Comps'!AZ37</f>
        <v>#DIV/0!</v>
      </c>
      <c r="AX9">
        <f>+'E&amp;P Comps'!BA37</f>
        <v>2.6480004352134494</v>
      </c>
      <c r="AY9" t="e">
        <f>+'E&amp;P Comps'!BB37</f>
        <v>#DIV/0!</v>
      </c>
      <c r="AZ9">
        <f>+'E&amp;P Comps'!BC37</f>
        <v>2.1744187658146745</v>
      </c>
      <c r="BA9" t="e">
        <f>+'E&amp;P Comps'!BD37</f>
        <v>#DIV/0!</v>
      </c>
      <c r="BB9">
        <f>+'E&amp;P Comps'!BE37</f>
        <v>2.5714529925355101</v>
      </c>
      <c r="BC9" t="e">
        <f>+'E&amp;P Comps'!BF37</f>
        <v>#DIV/0!</v>
      </c>
      <c r="BD9">
        <f>+'E&amp;P Comps'!BG37</f>
        <v>2.0956386264853686</v>
      </c>
      <c r="BE9" t="e">
        <f>+'E&amp;P Comps'!BH37</f>
        <v>#DIV/0!</v>
      </c>
      <c r="BF9">
        <f>+'E&amp;P Comps'!BI37</f>
        <v>1.9181075065674449</v>
      </c>
    </row>
    <row r="10" spans="1:58" ht="15" customHeight="1" x14ac:dyDescent="0.25">
      <c r="A10">
        <f>+'E&amp;P Comps'!D46</f>
        <v>23563.006311661251</v>
      </c>
      <c r="B10">
        <f>+'E&amp;P Comps'!E46</f>
        <v>0</v>
      </c>
      <c r="C10">
        <f>+'E&amp;P Comps'!F46</f>
        <v>24762.416382077947</v>
      </c>
      <c r="D10">
        <f>+'E&amp;P Comps'!G46</f>
        <v>0</v>
      </c>
      <c r="E10">
        <f>+'E&amp;P Comps'!H46</f>
        <v>108538.46946132454</v>
      </c>
      <c r="F10">
        <f>+'E&amp;P Comps'!I46</f>
        <v>0</v>
      </c>
      <c r="G10">
        <f>+'E&amp;P Comps'!J46</f>
        <v>77346.798780487807</v>
      </c>
      <c r="H10">
        <f>+'E&amp;P Comps'!K46</f>
        <v>0</v>
      </c>
      <c r="I10">
        <f>+'E&amp;P Comps'!L46</f>
        <v>34706.154558074966</v>
      </c>
      <c r="J10">
        <f>+'E&amp;P Comps'!M46</f>
        <v>0</v>
      </c>
      <c r="K10">
        <f>+'E&amp;P Comps'!N46</f>
        <v>56481.376655722859</v>
      </c>
      <c r="L10">
        <f>+'E&amp;P Comps'!O46</f>
        <v>0</v>
      </c>
      <c r="M10">
        <f>+'E&amp;P Comps'!P46</f>
        <v>26430.789548994529</v>
      </c>
      <c r="N10">
        <f>+'E&amp;P Comps'!Q46</f>
        <v>0</v>
      </c>
      <c r="O10">
        <f>+'E&amp;P Comps'!R46</f>
        <v>37111.103245673032</v>
      </c>
      <c r="P10">
        <f>+'E&amp;P Comps'!S46</f>
        <v>0</v>
      </c>
      <c r="Q10">
        <f>+'E&amp;P Comps'!T46</f>
        <v>116851.31834683733</v>
      </c>
      <c r="R10">
        <f>+'E&amp;P Comps'!U46</f>
        <v>0</v>
      </c>
      <c r="S10">
        <f>+'E&amp;P Comps'!V46</f>
        <v>0</v>
      </c>
      <c r="T10">
        <f>+'E&amp;P Comps'!W46</f>
        <v>0</v>
      </c>
      <c r="U10">
        <f>+'E&amp;P Comps'!X46</f>
        <v>67151.764035850239</v>
      </c>
      <c r="V10">
        <f>+'E&amp;P Comps'!Y46</f>
        <v>0</v>
      </c>
      <c r="W10">
        <f>+'E&amp;P Comps'!Z46</f>
        <v>152942.19005772378</v>
      </c>
      <c r="X10">
        <f>+'E&amp;P Comps'!AA46</f>
        <v>0</v>
      </c>
      <c r="Y10">
        <f>+'E&amp;P Comps'!AB46</f>
        <v>0</v>
      </c>
      <c r="Z10">
        <f>+'E&amp;P Comps'!AC46</f>
        <v>0</v>
      </c>
      <c r="AA10">
        <f>+'E&amp;P Comps'!AD46</f>
        <v>38380.699990861744</v>
      </c>
      <c r="AB10">
        <f>+'E&amp;P Comps'!AE46</f>
        <v>0</v>
      </c>
      <c r="AC10">
        <f>+'E&amp;P Comps'!AF46</f>
        <v>35661.443097353251</v>
      </c>
      <c r="AD10">
        <f>+'E&amp;P Comps'!AG46</f>
        <v>0</v>
      </c>
      <c r="AE10">
        <f>+'E&amp;P Comps'!AH46</f>
        <v>87960.303633648582</v>
      </c>
      <c r="AF10">
        <f>+'E&amp;P Comps'!AI46</f>
        <v>0</v>
      </c>
      <c r="AG10">
        <f>+'E&amp;P Comps'!AJ46</f>
        <v>38943.446109185781</v>
      </c>
      <c r="AH10">
        <f>+'E&amp;P Comps'!AK46</f>
        <v>0</v>
      </c>
      <c r="AI10">
        <f>+'E&amp;P Comps'!AL46</f>
        <v>64446.934462723962</v>
      </c>
      <c r="AJ10">
        <f>+'E&amp;P Comps'!AM46</f>
        <v>0</v>
      </c>
      <c r="AK10">
        <f>+'E&amp;P Comps'!AN46</f>
        <v>0</v>
      </c>
      <c r="AL10">
        <f>+'E&amp;P Comps'!AO46</f>
        <v>0</v>
      </c>
      <c r="AM10">
        <f>+'E&amp;P Comps'!AP46</f>
        <v>85955.386623275888</v>
      </c>
      <c r="AN10">
        <f>+'E&amp;P Comps'!AQ46</f>
        <v>0</v>
      </c>
      <c r="AO10">
        <f>+'E&amp;P Comps'!AR46</f>
        <v>0</v>
      </c>
      <c r="AP10">
        <f>+'E&amp;P Comps'!AS46</f>
        <v>0</v>
      </c>
      <c r="AQ10">
        <f>+'E&amp;P Comps'!AT46</f>
        <v>0</v>
      </c>
      <c r="AR10">
        <f>+'E&amp;P Comps'!AU46</f>
        <v>49977.371666968989</v>
      </c>
      <c r="AS10">
        <f>+'E&amp;P Comps'!AV46</f>
        <v>0</v>
      </c>
      <c r="AT10">
        <f>+'E&amp;P Comps'!AW46</f>
        <v>26178.844519966016</v>
      </c>
      <c r="AU10">
        <f>+'E&amp;P Comps'!AX46</f>
        <v>0</v>
      </c>
      <c r="AV10">
        <f>+'E&amp;P Comps'!AY46</f>
        <v>28232.214860401713</v>
      </c>
      <c r="AW10">
        <f>+'E&amp;P Comps'!AZ46</f>
        <v>0</v>
      </c>
      <c r="AX10">
        <f>+'E&amp;P Comps'!BA46</f>
        <v>54796.37168141592</v>
      </c>
      <c r="AY10">
        <f>+'E&amp;P Comps'!BB46</f>
        <v>0</v>
      </c>
      <c r="AZ10">
        <f>+'E&amp;P Comps'!BC46</f>
        <v>19302.197802197803</v>
      </c>
      <c r="BA10">
        <f>+'E&amp;P Comps'!BD46</f>
        <v>0</v>
      </c>
      <c r="BB10">
        <f>+'E&amp;P Comps'!BE46</f>
        <v>67230.954485479684</v>
      </c>
      <c r="BC10">
        <f>+'E&amp;P Comps'!BF46</f>
        <v>0</v>
      </c>
      <c r="BD10">
        <f>+'E&amp;P Comps'!BG46</f>
        <v>59462.657857322061</v>
      </c>
      <c r="BE10">
        <f>+'E&amp;P Comps'!BH46</f>
        <v>0</v>
      </c>
      <c r="BF10">
        <f>+'E&amp;P Comps'!BI46</f>
        <v>43951.231475317938</v>
      </c>
    </row>
    <row r="11" spans="1:58" ht="15" customHeight="1" x14ac:dyDescent="0.25">
      <c r="A11" s="9">
        <f>+'E&amp;P Comps'!D59</f>
        <v>19.75853043815432</v>
      </c>
      <c r="B11">
        <f>+'E&amp;P Comps'!E59</f>
        <v>0</v>
      </c>
      <c r="C11">
        <f>+'E&amp;P Comps'!F59</f>
        <v>22.128357937310412</v>
      </c>
      <c r="D11">
        <f>+'E&amp;P Comps'!G59</f>
        <v>0</v>
      </c>
      <c r="E11">
        <f>+'E&amp;P Comps'!H59</f>
        <v>50.557620817843862</v>
      </c>
      <c r="F11">
        <f>+'E&amp;P Comps'!I59</f>
        <v>0</v>
      </c>
      <c r="G11">
        <f>+'E&amp;P Comps'!J59</f>
        <v>42.999695691866279</v>
      </c>
      <c r="H11">
        <f>+'E&amp;P Comps'!K59</f>
        <v>0</v>
      </c>
      <c r="I11">
        <f>+'E&amp;P Comps'!L59</f>
        <v>37.207929073268645</v>
      </c>
      <c r="J11">
        <f>+'E&amp;P Comps'!M59</f>
        <v>0</v>
      </c>
      <c r="K11">
        <f>+'E&amp;P Comps'!N59</f>
        <v>28.294314381270908</v>
      </c>
      <c r="L11">
        <f>+'E&amp;P Comps'!O59</f>
        <v>0</v>
      </c>
      <c r="M11">
        <f>+'E&amp;P Comps'!P59</f>
        <v>20.064866378494354</v>
      </c>
      <c r="N11">
        <f>+'E&amp;P Comps'!Q59</f>
        <v>0</v>
      </c>
      <c r="O11">
        <f>+'E&amp;P Comps'!R59</f>
        <v>40.980702704955611</v>
      </c>
      <c r="P11">
        <f>+'E&amp;P Comps'!S59</f>
        <v>0</v>
      </c>
      <c r="Q11">
        <f>+'E&amp;P Comps'!T59</f>
        <v>56.720604291153244</v>
      </c>
      <c r="R11">
        <f>+'E&amp;P Comps'!U59</f>
        <v>0</v>
      </c>
      <c r="S11">
        <f>+'E&amp;P Comps'!V59</f>
        <v>0</v>
      </c>
      <c r="T11">
        <f>+'E&amp;P Comps'!W59</f>
        <v>0</v>
      </c>
      <c r="U11">
        <f>+'E&amp;P Comps'!X59</f>
        <v>44.200336063852127</v>
      </c>
      <c r="V11">
        <f>+'E&amp;P Comps'!Y59</f>
        <v>0</v>
      </c>
      <c r="W11">
        <f>+'E&amp;P Comps'!Z59</f>
        <v>41.248663237765442</v>
      </c>
      <c r="X11">
        <f>+'E&amp;P Comps'!AA59</f>
        <v>0</v>
      </c>
      <c r="Y11">
        <f>+'E&amp;P Comps'!AB59</f>
        <v>0</v>
      </c>
      <c r="Z11">
        <f>+'E&amp;P Comps'!AC59</f>
        <v>0</v>
      </c>
      <c r="AA11">
        <f>+'E&amp;P Comps'!AD59</f>
        <v>46.163725931364425</v>
      </c>
      <c r="AB11">
        <f>+'E&amp;P Comps'!AE59</f>
        <v>0</v>
      </c>
      <c r="AC11">
        <f>+'E&amp;P Comps'!AF59</f>
        <v>46.583693736985424</v>
      </c>
      <c r="AD11">
        <f>+'E&amp;P Comps'!AG59</f>
        <v>0</v>
      </c>
      <c r="AE11">
        <f>+'E&amp;P Comps'!AH59</f>
        <v>48.036948748510142</v>
      </c>
      <c r="AF11">
        <f>+'E&amp;P Comps'!AI59</f>
        <v>0</v>
      </c>
      <c r="AG11">
        <f>+'E&amp;P Comps'!AJ59</f>
        <v>30.571191925417995</v>
      </c>
      <c r="AH11">
        <f>+'E&amp;P Comps'!AK59</f>
        <v>0</v>
      </c>
      <c r="AI11">
        <f>+'E&amp;P Comps'!AL59</f>
        <v>42.923773463241247</v>
      </c>
      <c r="AJ11">
        <f>+'E&amp;P Comps'!AM59</f>
        <v>0</v>
      </c>
      <c r="AK11">
        <f>+'E&amp;P Comps'!AN59</f>
        <v>0</v>
      </c>
      <c r="AL11">
        <f>+'E&amp;P Comps'!AO59</f>
        <v>0</v>
      </c>
      <c r="AM11">
        <f>+'E&amp;P Comps'!AP59</f>
        <v>50.275136790050681</v>
      </c>
      <c r="AN11">
        <f>+'E&amp;P Comps'!AQ59</f>
        <v>0</v>
      </c>
      <c r="AO11">
        <f>+'E&amp;P Comps'!AR59</f>
        <v>0</v>
      </c>
      <c r="AP11">
        <f>+'E&amp;P Comps'!AS59</f>
        <v>0</v>
      </c>
      <c r="AQ11">
        <f>+'E&amp;P Comps'!AT59</f>
        <v>0</v>
      </c>
      <c r="AR11">
        <f>+'E&amp;P Comps'!AU59</f>
        <v>44.472268823396853</v>
      </c>
      <c r="AS11">
        <f>+'E&amp;P Comps'!AV59</f>
        <v>0</v>
      </c>
      <c r="AT11">
        <f>+'E&amp;P Comps'!AW59</f>
        <v>32.036915422885571</v>
      </c>
      <c r="AU11">
        <f>+'E&amp;P Comps'!AX59</f>
        <v>0</v>
      </c>
      <c r="AV11">
        <f>+'E&amp;P Comps'!AY59</f>
        <v>20.117630886961287</v>
      </c>
      <c r="AW11">
        <f>+'E&amp;P Comps'!AZ59</f>
        <v>0</v>
      </c>
      <c r="AX11">
        <f>+'E&amp;P Comps'!BA59</f>
        <v>34.267699316628708</v>
      </c>
      <c r="AY11">
        <f>+'E&amp;P Comps'!BB59</f>
        <v>0</v>
      </c>
      <c r="AZ11">
        <f>+'E&amp;P Comps'!BC59</f>
        <v>16.110864745011085</v>
      </c>
      <c r="BA11">
        <f>+'E&amp;P Comps'!BD59</f>
        <v>0</v>
      </c>
      <c r="BB11">
        <f>+'E&amp;P Comps'!BE59</f>
        <v>32.695651832091563</v>
      </c>
      <c r="BC11">
        <f>+'E&amp;P Comps'!BF59</f>
        <v>0</v>
      </c>
      <c r="BD11">
        <f>+'E&amp;P Comps'!BG59</f>
        <v>39.890756122623735</v>
      </c>
      <c r="BE11">
        <f>+'E&amp;P Comps'!BH59</f>
        <v>0</v>
      </c>
      <c r="BF11">
        <f>+'E&amp;P Comps'!BI59</f>
        <v>36.317786016035868</v>
      </c>
    </row>
    <row r="12" spans="1:58" x14ac:dyDescent="0.25">
      <c r="C12" s="12" t="s">
        <v>299</v>
      </c>
      <c r="D12" s="12"/>
    </row>
    <row r="13" spans="1:58" x14ac:dyDescent="0.25">
      <c r="C13" t="s">
        <v>323</v>
      </c>
      <c r="D13">
        <v>60</v>
      </c>
    </row>
    <row r="14" spans="1:58" x14ac:dyDescent="0.25">
      <c r="C14" t="s">
        <v>324</v>
      </c>
      <c r="D14">
        <v>2.75</v>
      </c>
      <c r="G14">
        <f>1/0.94*D13</f>
        <v>63.829787234042556</v>
      </c>
    </row>
    <row r="15" spans="1:58" x14ac:dyDescent="0.25">
      <c r="F15" t="s">
        <v>378</v>
      </c>
    </row>
    <row r="16" spans="1:58" x14ac:dyDescent="0.25">
      <c r="C16" s="12" t="s">
        <v>297</v>
      </c>
      <c r="D16" s="61" t="s">
        <v>298</v>
      </c>
      <c r="E16" s="61" t="s">
        <v>366</v>
      </c>
      <c r="F16" s="61" t="s">
        <v>367</v>
      </c>
      <c r="G16" s="61" t="s">
        <v>368</v>
      </c>
      <c r="H16" s="61" t="s">
        <v>369</v>
      </c>
      <c r="I16" s="61" t="s">
        <v>26</v>
      </c>
      <c r="J16" s="61" t="s">
        <v>371</v>
      </c>
      <c r="K16" s="61" t="s">
        <v>372</v>
      </c>
      <c r="L16" s="61" t="s">
        <v>376</v>
      </c>
      <c r="M16" s="61" t="s">
        <v>382</v>
      </c>
      <c r="N16" s="61" t="s">
        <v>386</v>
      </c>
      <c r="O16" s="61" t="s">
        <v>24</v>
      </c>
      <c r="P16" s="61" t="s">
        <v>30</v>
      </c>
    </row>
    <row r="17" spans="3:16" x14ac:dyDescent="0.25">
      <c r="C17" t="str">
        <f>+A1</f>
        <v>Ascent Resources</v>
      </c>
      <c r="D17" s="62">
        <f>+HLOOKUP(C17,$A$1:$CO$2,2,FALSE)</f>
        <v>1.1715986328720736</v>
      </c>
      <c r="E17" s="63">
        <f>+HLOOKUP(C17,$A$1:$CO$3,3,FALSE)</f>
        <v>8.4085847493263373</v>
      </c>
      <c r="F17" s="26">
        <v>15.55</v>
      </c>
      <c r="G17" s="26"/>
      <c r="H17" s="26"/>
      <c r="I17" s="26">
        <f>+HLOOKUP(C17,$A$1:$CO$4,4,FALSE)</f>
        <v>9.6383772780147332</v>
      </c>
      <c r="J17" s="26">
        <f>+HLOOKUP(C17,$A$1:$CO$6,6,FALSE)</f>
        <v>10.120153160139587</v>
      </c>
      <c r="K17" s="26">
        <f>+HLOOKUP(C17,$A$1:$CO$6,5,FALSE)</f>
        <v>4.4745163967135877</v>
      </c>
      <c r="L17" s="26">
        <f>+HLOOKUP(C17,$A$1:$CO$7,7,FALSE)</f>
        <v>11.726995269159444</v>
      </c>
      <c r="M17" s="26" t="e">
        <f>+HLOOKUP(D17,$A$1:$CO$7,7,FALSE)</f>
        <v>#N/A</v>
      </c>
      <c r="N17" s="26">
        <f t="shared" ref="N17:O18" si="0">+HLOOKUP(C17,$A$1:$CO$9,9,FALSE)</f>
        <v>2.5024330227677574</v>
      </c>
      <c r="O17" s="26" t="e">
        <f t="shared" si="0"/>
        <v>#N/A</v>
      </c>
      <c r="P17" s="63">
        <f t="shared" ref="P17:P18" si="1">+HLOOKUP(C17,$A$1:$CO$11,11,FALSE)</f>
        <v>19.75853043815432</v>
      </c>
    </row>
    <row r="18" spans="3:16" x14ac:dyDescent="0.25">
      <c r="C18" s="2" t="str">
        <f>+C1</f>
        <v>Antero Resources</v>
      </c>
      <c r="D18" s="62">
        <f t="shared" ref="D18:D23" si="2">+HLOOKUP(C18,$C$1:$CO$2,2,FALSE)</f>
        <v>1.5043916716248555</v>
      </c>
      <c r="E18" s="63">
        <f>+HLOOKUP(C18,$C$1:$CO$3,3,FALSE)</f>
        <v>6.3337402367379543</v>
      </c>
      <c r="F18" s="26">
        <v>46.84</v>
      </c>
      <c r="G18" s="26"/>
      <c r="H18" s="26"/>
      <c r="I18" s="26">
        <f>+HLOOKUP(C18,$C$1:$CO$4,4,FALSE)</f>
        <v>13.581852376137512</v>
      </c>
      <c r="J18" s="26">
        <f>+HLOOKUP(C18,$C$1:$CO$6,6,FALSE)</f>
        <v>8.5465055611728999</v>
      </c>
      <c r="K18" s="26">
        <f>+HLOOKUP(C18,$C$1:$CO$6,5,FALSE)</f>
        <v>2.209696160826073</v>
      </c>
      <c r="L18" s="26">
        <f>+HLOOKUP(C18,$C$1:$CO$7,7,FALSE)</f>
        <v>16.831905508572088</v>
      </c>
      <c r="M18" s="26" t="e">
        <f>+HLOOKUP(D18,$C$1:$CO$7,7,FALSE)</f>
        <v>#N/A</v>
      </c>
      <c r="N18" s="26">
        <f t="shared" si="0"/>
        <v>3.0305693706643937</v>
      </c>
      <c r="O18" s="26" t="e">
        <f t="shared" si="0"/>
        <v>#N/A</v>
      </c>
      <c r="P18" s="63">
        <f t="shared" si="1"/>
        <v>22.128357937310412</v>
      </c>
    </row>
    <row r="19" spans="3:16" x14ac:dyDescent="0.25">
      <c r="C19" t="str">
        <f>+E1</f>
        <v>California Resources</v>
      </c>
      <c r="D19" s="62">
        <f t="shared" si="2"/>
        <v>0.93693680755155861</v>
      </c>
      <c r="E19" s="63">
        <f t="shared" ref="E19:E45" si="3">+HLOOKUP(C19,$C$1:$CO$3,3,FALSE)</f>
        <v>21.113839771388754</v>
      </c>
      <c r="F19" s="26">
        <v>62.62</v>
      </c>
      <c r="G19" s="26">
        <v>54.31</v>
      </c>
      <c r="H19" s="26">
        <v>70.930000000000007</v>
      </c>
      <c r="I19" s="63">
        <f t="shared" ref="I19:I45" si="4">+HLOOKUP(C19,$C$1:$CO$4,4,FALSE)</f>
        <v>28.599073178184042</v>
      </c>
      <c r="J19" s="63">
        <f>+HLOOKUP(C19,$C$1:$CO$6,6,FALSE)</f>
        <v>21.95854763965982</v>
      </c>
      <c r="K19" s="63">
        <f>+HLOOKUP(C19,$C$1:$CO$6,5,FALSE)</f>
        <v>1.0247413142681931</v>
      </c>
      <c r="L19" s="63">
        <f>+HLOOKUP(C19,$C$1:$CO$7,7,FALSE)</f>
        <v>42.334705362092087</v>
      </c>
      <c r="M19" s="63">
        <f>+HLOOKUP(C19,$A$1:$CO$8,8,FALSE)</f>
        <v>8.2229154557517745</v>
      </c>
      <c r="N19" s="63">
        <f>+HLOOKUP(C19,$A$1:$CO$9,9,FALSE)</f>
        <v>5.2915848564345795</v>
      </c>
      <c r="O19" s="63">
        <f>+HLOOKUP(C19,$A$1:$CO$10,10,FALSE)</f>
        <v>108538.46946132454</v>
      </c>
      <c r="P19" s="63">
        <f>+HLOOKUP(C19,$A$1:$CO$11,11,FALSE)</f>
        <v>50.557620817843862</v>
      </c>
    </row>
    <row r="20" spans="3:16" x14ac:dyDescent="0.25">
      <c r="C20" t="str">
        <f>+G1</f>
        <v>Carrizo Oil&amp;Gas</v>
      </c>
      <c r="D20" s="62">
        <f t="shared" si="2"/>
        <v>0.96295286519016898</v>
      </c>
      <c r="E20" s="63">
        <f t="shared" si="3"/>
        <v>8.7711752384853217</v>
      </c>
      <c r="F20" s="26">
        <v>54.17</v>
      </c>
      <c r="G20" s="26">
        <v>45.86</v>
      </c>
      <c r="H20" s="26">
        <v>62.48</v>
      </c>
      <c r="I20" s="63">
        <f t="shared" si="4"/>
        <v>12.770942920488633</v>
      </c>
      <c r="J20" s="63">
        <f t="shared" ref="J20:J45" si="5">+HLOOKUP(C20,$C$1:$CO$6,6,FALSE)</f>
        <v>30.228752771377646</v>
      </c>
      <c r="K20" s="63">
        <f t="shared" ref="K20:K45" si="6">+HLOOKUP(C20,$C$1:$CO$6,5,FALSE)</f>
        <v>3.8617913358612204</v>
      </c>
      <c r="L20" s="63">
        <f t="shared" ref="L20:L45" si="7">+HLOOKUP(C20,$C$1:$CO$7,7,FALSE)</f>
        <v>19.913722381375759</v>
      </c>
      <c r="M20" s="63">
        <f t="shared" ref="M20:M45" si="8">+HLOOKUP(C20,$A$1:$CO$8,8,FALSE)</f>
        <v>23.08597331049052</v>
      </c>
      <c r="N20" s="26">
        <f t="shared" ref="N20:N45" si="9">+HLOOKUP(C20,$A$1:$CO$9,9,FALSE)</f>
        <v>2.1532742825900781</v>
      </c>
      <c r="O20" s="63">
        <f t="shared" ref="O20:O45" si="10">+HLOOKUP(C20,$A$1:$CO$10,10,FALSE)</f>
        <v>77346.798780487807</v>
      </c>
      <c r="P20" s="63">
        <f t="shared" ref="P20:P45" si="11">+HLOOKUP(C20,$A$1:$CO$11,11,FALSE)</f>
        <v>42.999695691866279</v>
      </c>
    </row>
    <row r="21" spans="3:16" x14ac:dyDescent="0.25">
      <c r="C21" t="str">
        <f>+I1</f>
        <v>Centennial Resources</v>
      </c>
      <c r="D21" s="62">
        <f t="shared" si="2"/>
        <v>1.767786808689161</v>
      </c>
      <c r="E21" s="63">
        <f t="shared" si="3"/>
        <v>6.2036124853074179</v>
      </c>
      <c r="F21" s="26">
        <v>42.72</v>
      </c>
      <c r="G21" s="26">
        <v>37.25</v>
      </c>
      <c r="H21" s="26">
        <v>47.1</v>
      </c>
      <c r="I21" s="63">
        <f t="shared" si="4"/>
        <v>11.764553362328536</v>
      </c>
      <c r="J21" s="63">
        <f t="shared" si="5"/>
        <v>25.44337571094011</v>
      </c>
      <c r="K21" s="63">
        <f t="shared" si="6"/>
        <v>3.3808980279955758</v>
      </c>
      <c r="L21" s="63">
        <f t="shared" si="7"/>
        <v>18.933653837225005</v>
      </c>
      <c r="M21" s="63">
        <f t="shared" si="8"/>
        <v>18.274275236043639</v>
      </c>
      <c r="N21" s="26">
        <f t="shared" si="9"/>
        <v>1.9257159110636655</v>
      </c>
      <c r="O21" s="63">
        <f t="shared" si="10"/>
        <v>34706.154558074966</v>
      </c>
      <c r="P21" s="63">
        <f t="shared" si="11"/>
        <v>37.207929073268645</v>
      </c>
    </row>
    <row r="22" spans="3:16" x14ac:dyDescent="0.25">
      <c r="C22" t="str">
        <f>+K1</f>
        <v>Chesapeake Energy</v>
      </c>
      <c r="D22" s="62">
        <f t="shared" si="2"/>
        <v>0.88291006876846734</v>
      </c>
      <c r="E22" s="63">
        <f t="shared" si="3"/>
        <v>9.7067513862399668</v>
      </c>
      <c r="F22" s="26">
        <v>61.08</v>
      </c>
      <c r="G22" s="26">
        <v>49.16</v>
      </c>
      <c r="H22" s="26">
        <v>73</v>
      </c>
      <c r="I22" s="63">
        <f t="shared" si="4"/>
        <v>13.761021587108548</v>
      </c>
      <c r="J22" s="63">
        <f t="shared" si="5"/>
        <v>14.53329279416236</v>
      </c>
      <c r="K22" s="63">
        <f t="shared" si="6"/>
        <v>3.2513644447169927</v>
      </c>
      <c r="L22" s="63">
        <f t="shared" si="7"/>
        <v>17.366870283866337</v>
      </c>
      <c r="M22" s="63">
        <f t="shared" si="8"/>
        <v>10.927444097404571</v>
      </c>
      <c r="N22" s="26">
        <f t="shared" si="9"/>
        <v>3.8702243440775446</v>
      </c>
      <c r="O22" s="63">
        <f t="shared" si="10"/>
        <v>56481.376655722859</v>
      </c>
      <c r="P22" s="63">
        <f t="shared" si="11"/>
        <v>28.294314381270908</v>
      </c>
    </row>
    <row r="23" spans="3:16" hidden="1" x14ac:dyDescent="0.25">
      <c r="C23" t="str">
        <f>+M1</f>
        <v>CNX Resources</v>
      </c>
      <c r="D23" s="62">
        <f t="shared" si="2"/>
        <v>1.0368464962223087</v>
      </c>
      <c r="E23" s="63">
        <f t="shared" si="3"/>
        <v>9.2421192703400905</v>
      </c>
      <c r="F23" s="26">
        <v>28.97</v>
      </c>
      <c r="G23" s="26"/>
      <c r="H23" s="26"/>
      <c r="I23" s="63">
        <f t="shared" si="4"/>
        <v>7.6915938347952304</v>
      </c>
      <c r="J23" s="63">
        <f t="shared" si="5"/>
        <v>12.373272543699123</v>
      </c>
      <c r="K23" s="63">
        <f t="shared" si="6"/>
        <v>3.8274136999887918</v>
      </c>
      <c r="L23" s="63">
        <f t="shared" si="7"/>
        <v>10.49910941658692</v>
      </c>
      <c r="M23" s="63">
        <f t="shared" si="8"/>
        <v>9.5657569619074341</v>
      </c>
      <c r="N23" s="26">
        <f t="shared" si="9"/>
        <v>2.7812053859695705</v>
      </c>
      <c r="O23" s="63">
        <f t="shared" si="10"/>
        <v>26430.789548994529</v>
      </c>
      <c r="P23" s="63">
        <f t="shared" si="11"/>
        <v>20.064866378494354</v>
      </c>
    </row>
    <row r="24" spans="3:16" x14ac:dyDescent="0.25">
      <c r="C24" t="str">
        <f>+Q1</f>
        <v>Denbury Resources</v>
      </c>
      <c r="D24" s="62">
        <f t="shared" ref="D24:D45" si="12">+HLOOKUP(C24,$C$1:$CO$2,2,FALSE)</f>
        <v>1.0664630412039371</v>
      </c>
      <c r="E24" s="63">
        <f t="shared" si="3"/>
        <v>11.597311902392397</v>
      </c>
      <c r="F24" s="26">
        <v>56.23</v>
      </c>
      <c r="G24" s="26">
        <v>50.62</v>
      </c>
      <c r="H24" s="26">
        <v>61.85</v>
      </c>
      <c r="I24" s="63">
        <f t="shared" si="4"/>
        <v>32.872278287032834</v>
      </c>
      <c r="J24" s="63">
        <f t="shared" si="5"/>
        <v>23.848326004120409</v>
      </c>
      <c r="K24" s="63">
        <f t="shared" si="6"/>
        <v>0.54653201203299362</v>
      </c>
      <c r="L24" s="63">
        <f t="shared" si="7"/>
        <v>60.917896300964472</v>
      </c>
      <c r="M24" s="63">
        <f t="shared" si="8"/>
        <v>-4.1972920098112283</v>
      </c>
      <c r="N24" s="26">
        <f t="shared" si="9"/>
        <v>4.1996576157891781</v>
      </c>
      <c r="O24" s="63">
        <f t="shared" si="10"/>
        <v>116851.31834683733</v>
      </c>
      <c r="P24" s="63">
        <f t="shared" si="11"/>
        <v>56.720604291153244</v>
      </c>
    </row>
    <row r="25" spans="3:16" hidden="1" x14ac:dyDescent="0.25">
      <c r="C25" t="str">
        <f>+S1</f>
        <v>Endeavor Energy</v>
      </c>
      <c r="D25" s="62" t="e">
        <f t="shared" si="12"/>
        <v>#DIV/0!</v>
      </c>
      <c r="E25" s="63">
        <f t="shared" si="3"/>
        <v>4.8133320199999998</v>
      </c>
      <c r="F25" s="26"/>
      <c r="G25" s="26"/>
      <c r="H25" s="26"/>
      <c r="I25" s="63">
        <f t="shared" si="4"/>
        <v>0</v>
      </c>
      <c r="J25" s="63">
        <f t="shared" si="5"/>
        <v>0</v>
      </c>
      <c r="K25" s="63">
        <f t="shared" si="6"/>
        <v>0</v>
      </c>
      <c r="L25" s="63">
        <f t="shared" si="7"/>
        <v>0</v>
      </c>
      <c r="M25" s="63">
        <f t="shared" si="8"/>
        <v>0</v>
      </c>
      <c r="N25" s="26" t="e">
        <f t="shared" si="9"/>
        <v>#DIV/0!</v>
      </c>
      <c r="O25" s="63">
        <f t="shared" si="10"/>
        <v>0</v>
      </c>
      <c r="P25" s="63">
        <f t="shared" si="11"/>
        <v>0</v>
      </c>
    </row>
    <row r="26" spans="3:16" x14ac:dyDescent="0.25">
      <c r="C26" t="str">
        <f>+U1</f>
        <v>Diamondback Energy</v>
      </c>
      <c r="D26" s="62">
        <f t="shared" si="12"/>
        <v>1.7524437891279057</v>
      </c>
      <c r="E26" s="63">
        <f t="shared" si="3"/>
        <v>3.9335209400000002</v>
      </c>
      <c r="F26" s="26">
        <v>40.270000000000003</v>
      </c>
      <c r="G26" s="26">
        <v>35.020000000000003</v>
      </c>
      <c r="H26" s="26">
        <v>45.51</v>
      </c>
      <c r="I26" s="63">
        <f t="shared" si="4"/>
        <v>8.9960722537282081</v>
      </c>
      <c r="J26" s="63">
        <f t="shared" si="5"/>
        <v>35.204263810123919</v>
      </c>
      <c r="K26" s="63">
        <f t="shared" si="6"/>
        <v>4.8616364327729293</v>
      </c>
      <c r="L26" s="63">
        <f t="shared" si="7"/>
        <v>15.860246482748773</v>
      </c>
      <c r="M26" s="63">
        <f t="shared" si="8"/>
        <v>28.340089581103356</v>
      </c>
      <c r="N26" s="26">
        <f t="shared" si="9"/>
        <v>1.2602927112770796</v>
      </c>
      <c r="O26" s="63">
        <f t="shared" si="10"/>
        <v>67151.764035850239</v>
      </c>
      <c r="P26" s="63">
        <f t="shared" si="11"/>
        <v>44.200336063852127</v>
      </c>
    </row>
    <row r="27" spans="3:16" hidden="1" x14ac:dyDescent="0.25">
      <c r="C27" t="str">
        <f>+W1</f>
        <v>EP Energy</v>
      </c>
      <c r="D27" s="62">
        <f t="shared" si="12"/>
        <v>0.57237227267351443</v>
      </c>
      <c r="E27" s="63">
        <f t="shared" si="3"/>
        <v>153.187494141836</v>
      </c>
      <c r="F27" s="26">
        <v>93.43</v>
      </c>
      <c r="G27" s="26"/>
      <c r="H27" s="26"/>
      <c r="I27" s="63">
        <f t="shared" si="4"/>
        <v>14.394595236882754</v>
      </c>
      <c r="J27" s="63">
        <f t="shared" si="5"/>
        <v>26.854068000882688</v>
      </c>
      <c r="K27" s="63">
        <f t="shared" si="6"/>
        <v>0.64144806921810005</v>
      </c>
      <c r="L27" s="63">
        <f t="shared" si="7"/>
        <v>38.423166665454183</v>
      </c>
      <c r="M27" s="63">
        <f t="shared" si="8"/>
        <v>2.8254965723112591</v>
      </c>
      <c r="N27" s="26">
        <f t="shared" si="9"/>
        <v>7.1335811655982431</v>
      </c>
      <c r="O27" s="63">
        <f t="shared" si="10"/>
        <v>152942.19005772378</v>
      </c>
      <c r="P27" s="63">
        <f t="shared" si="11"/>
        <v>41.248663237765442</v>
      </c>
    </row>
    <row r="28" spans="3:16" hidden="1" x14ac:dyDescent="0.25">
      <c r="C28" s="5" t="str">
        <f>+Y1</f>
        <v>Gulfport</v>
      </c>
      <c r="D28" s="62" t="e">
        <f t="shared" si="12"/>
        <v>#DIV/0!</v>
      </c>
      <c r="E28" s="63">
        <f t="shared" si="3"/>
        <v>11.711202401326537</v>
      </c>
      <c r="F28" s="26"/>
      <c r="G28" s="26"/>
      <c r="H28" s="26"/>
      <c r="I28" s="63">
        <f t="shared" si="4"/>
        <v>0</v>
      </c>
      <c r="J28" s="63">
        <f t="shared" si="5"/>
        <v>0</v>
      </c>
      <c r="K28" s="63">
        <f t="shared" si="6"/>
        <v>0</v>
      </c>
      <c r="L28" s="63">
        <f t="shared" si="7"/>
        <v>0</v>
      </c>
      <c r="M28" s="63">
        <f t="shared" si="8"/>
        <v>0</v>
      </c>
      <c r="N28" s="26" t="e">
        <f t="shared" si="9"/>
        <v>#DIV/0!</v>
      </c>
      <c r="O28" s="63">
        <f t="shared" si="10"/>
        <v>0</v>
      </c>
      <c r="P28" s="63">
        <f t="shared" si="11"/>
        <v>0</v>
      </c>
    </row>
    <row r="29" spans="3:16" x14ac:dyDescent="0.25">
      <c r="C29" t="str">
        <f>+AA1</f>
        <v>Hilcorp Exploration</v>
      </c>
      <c r="D29" s="62">
        <f t="shared" si="12"/>
        <v>1.8482659883551948</v>
      </c>
      <c r="E29" s="63">
        <f t="shared" si="3"/>
        <v>5.7156057799999997</v>
      </c>
      <c r="F29" s="26">
        <v>40.450000000000003</v>
      </c>
      <c r="G29" s="26">
        <v>35.15</v>
      </c>
      <c r="H29" s="26">
        <v>45.74</v>
      </c>
      <c r="I29" s="63">
        <f t="shared" si="4"/>
        <v>20.747838855600033</v>
      </c>
      <c r="J29" s="63">
        <f t="shared" si="5"/>
        <v>25.415887075764392</v>
      </c>
      <c r="K29" s="63">
        <f t="shared" si="6"/>
        <v>2.919267048123714</v>
      </c>
      <c r="L29" s="63">
        <f t="shared" si="7"/>
        <v>28.700064310509607</v>
      </c>
      <c r="M29" s="63">
        <f t="shared" si="8"/>
        <v>17.463661620854818</v>
      </c>
      <c r="N29" s="26">
        <f t="shared" si="9"/>
        <v>1.9864703217691342</v>
      </c>
      <c r="O29" s="63">
        <f t="shared" si="10"/>
        <v>38380.699990861744</v>
      </c>
      <c r="P29" s="63">
        <f t="shared" si="11"/>
        <v>46.163725931364425</v>
      </c>
    </row>
    <row r="30" spans="3:16" x14ac:dyDescent="0.25">
      <c r="C30" t="str">
        <f>+AC1</f>
        <v>Jagged Peak</v>
      </c>
      <c r="D30" s="62">
        <f t="shared" si="12"/>
        <v>2.3787454418117679</v>
      </c>
      <c r="E30" s="63">
        <f t="shared" si="3"/>
        <v>6.7539304400171734</v>
      </c>
      <c r="F30" s="26">
        <v>32.19</v>
      </c>
      <c r="G30" s="26">
        <v>28.16</v>
      </c>
      <c r="H30" s="26">
        <v>36.22</v>
      </c>
      <c r="I30" s="63">
        <f t="shared" si="4"/>
        <v>15.979497036681082</v>
      </c>
      <c r="J30" s="63">
        <f t="shared" si="5"/>
        <v>30.604196700304342</v>
      </c>
      <c r="K30" s="63">
        <f t="shared" si="6"/>
        <v>2.2020275120754427</v>
      </c>
      <c r="L30" s="63">
        <f t="shared" si="7"/>
        <v>28.962886389193962</v>
      </c>
      <c r="M30" s="63">
        <f t="shared" si="8"/>
        <v>17.620807347791462</v>
      </c>
      <c r="N30" s="26">
        <f t="shared" si="9"/>
        <v>1.7130827707334002</v>
      </c>
      <c r="O30" s="63">
        <f t="shared" si="10"/>
        <v>35661.443097353251</v>
      </c>
      <c r="P30" s="63">
        <f t="shared" si="11"/>
        <v>46.583693736985424</v>
      </c>
    </row>
    <row r="31" spans="3:16" hidden="1" x14ac:dyDescent="0.25">
      <c r="C31" t="str">
        <f>+AE1</f>
        <v>Kosmos Energy</v>
      </c>
      <c r="D31" s="62">
        <f t="shared" si="12"/>
        <v>1.4081518770034351</v>
      </c>
      <c r="E31" s="63">
        <f t="shared" si="3"/>
        <v>0</v>
      </c>
      <c r="F31" s="26">
        <v>47.69</v>
      </c>
      <c r="G31" s="26"/>
      <c r="H31" s="26"/>
      <c r="I31" s="63">
        <f t="shared" si="4"/>
        <v>25.059561602418746</v>
      </c>
      <c r="J31" s="63">
        <f t="shared" si="5"/>
        <v>22.977387146091395</v>
      </c>
      <c r="K31" s="63">
        <f t="shared" si="6"/>
        <v>0.93704744812764373</v>
      </c>
      <c r="L31" s="63">
        <f t="shared" si="7"/>
        <v>43.730942554799697</v>
      </c>
      <c r="M31" s="63">
        <f t="shared" si="8"/>
        <v>4.306006193710445</v>
      </c>
      <c r="N31" s="26" t="e">
        <f t="shared" si="9"/>
        <v>#DIV/0!</v>
      </c>
      <c r="O31" s="63">
        <f t="shared" si="10"/>
        <v>87960.303633648582</v>
      </c>
      <c r="P31" s="63">
        <f t="shared" si="11"/>
        <v>48.036948748510142</v>
      </c>
    </row>
    <row r="32" spans="3:16" x14ac:dyDescent="0.25">
      <c r="C32" t="str">
        <f>+AG1</f>
        <v>Laredo Petroleum</v>
      </c>
      <c r="D32" s="62">
        <f t="shared" si="12"/>
        <v>1.3098891327700999</v>
      </c>
      <c r="E32" s="63">
        <f t="shared" si="3"/>
        <v>10.344965294919641</v>
      </c>
      <c r="F32" s="26">
        <v>45.75</v>
      </c>
      <c r="G32" s="26">
        <v>38.58</v>
      </c>
      <c r="H32" s="26">
        <v>52.92</v>
      </c>
      <c r="I32" s="63">
        <f t="shared" si="4"/>
        <v>7.0445124353453599</v>
      </c>
      <c r="J32" s="63">
        <f t="shared" si="5"/>
        <v>23.526679490072635</v>
      </c>
      <c r="K32" s="63">
        <f t="shared" si="6"/>
        <v>1.1501900738626949</v>
      </c>
      <c r="L32" s="63">
        <f t="shared" si="7"/>
        <v>22.142414869676159</v>
      </c>
      <c r="M32" s="63">
        <f t="shared" si="8"/>
        <v>8.4287770557418362</v>
      </c>
      <c r="N32" s="26">
        <f t="shared" si="9"/>
        <v>2.1387167699380369</v>
      </c>
      <c r="O32" s="63">
        <f t="shared" si="10"/>
        <v>38943.446109185781</v>
      </c>
      <c r="P32" s="63">
        <f t="shared" si="11"/>
        <v>30.571191925417995</v>
      </c>
    </row>
    <row r="33" spans="3:61" x14ac:dyDescent="0.25">
      <c r="C33" t="str">
        <f>+AI1</f>
        <v>Matador Resources</v>
      </c>
      <c r="D33" s="62">
        <f t="shared" si="12"/>
        <v>1.0960135192978566</v>
      </c>
      <c r="E33" s="63">
        <f t="shared" si="3"/>
        <v>5.9118557102858382</v>
      </c>
      <c r="F33" s="26">
        <v>55.87</v>
      </c>
      <c r="G33" s="26">
        <v>47.28</v>
      </c>
      <c r="H33" s="26">
        <v>64.47</v>
      </c>
      <c r="I33" s="63">
        <f t="shared" si="4"/>
        <v>14.62687843544316</v>
      </c>
      <c r="J33" s="63">
        <f t="shared" si="5"/>
        <v>28.296895027798087</v>
      </c>
      <c r="K33" s="63">
        <f t="shared" si="6"/>
        <v>1.5092905057348376</v>
      </c>
      <c r="L33" s="63">
        <f t="shared" si="7"/>
        <v>31.72226079767502</v>
      </c>
      <c r="M33" s="63">
        <f t="shared" si="8"/>
        <v>11.201512665566227</v>
      </c>
      <c r="N33" s="26">
        <f t="shared" si="9"/>
        <v>2.4184397354004341</v>
      </c>
      <c r="O33" s="63">
        <f t="shared" si="10"/>
        <v>64446.934462723962</v>
      </c>
      <c r="P33" s="63">
        <f t="shared" si="11"/>
        <v>42.923773463241247</v>
      </c>
    </row>
    <row r="34" spans="3:61" hidden="1" x14ac:dyDescent="0.25">
      <c r="C34" t="str">
        <f>+AK1</f>
        <v>Murphy Oil</v>
      </c>
      <c r="D34" s="62" t="e">
        <f t="shared" si="12"/>
        <v>#DIV/0!</v>
      </c>
      <c r="E34" s="63">
        <f t="shared" si="3"/>
        <v>5.5433534199999999</v>
      </c>
      <c r="F34" s="26"/>
      <c r="G34" s="26"/>
      <c r="H34" s="26"/>
      <c r="I34" s="63">
        <f t="shared" si="4"/>
        <v>0</v>
      </c>
      <c r="J34" s="63">
        <f t="shared" si="5"/>
        <v>0</v>
      </c>
      <c r="K34" s="63">
        <f t="shared" si="6"/>
        <v>0</v>
      </c>
      <c r="L34" s="63">
        <f t="shared" si="7"/>
        <v>0</v>
      </c>
      <c r="M34" s="63">
        <f t="shared" si="8"/>
        <v>0</v>
      </c>
      <c r="N34" s="26" t="e">
        <f t="shared" si="9"/>
        <v>#DIV/0!</v>
      </c>
      <c r="O34" s="63">
        <f t="shared" si="10"/>
        <v>0</v>
      </c>
      <c r="P34" s="63">
        <f t="shared" si="11"/>
        <v>0</v>
      </c>
    </row>
    <row r="35" spans="3:61" x14ac:dyDescent="0.25">
      <c r="C35" t="str">
        <f>+AM1</f>
        <v>Oasis Petroleum</v>
      </c>
      <c r="D35" s="62">
        <f t="shared" si="12"/>
        <v>1.1782257342132947</v>
      </c>
      <c r="E35" s="63">
        <f t="shared" si="3"/>
        <v>8.3483610585655104</v>
      </c>
      <c r="F35" s="26">
        <v>52.1</v>
      </c>
      <c r="G35" s="26">
        <v>45.24</v>
      </c>
      <c r="H35" s="26">
        <v>58.96</v>
      </c>
      <c r="I35" s="63">
        <f t="shared" si="4"/>
        <v>18.70513996378952</v>
      </c>
      <c r="J35" s="63">
        <f t="shared" si="5"/>
        <v>31.569996826261161</v>
      </c>
      <c r="K35" s="63">
        <f t="shared" si="6"/>
        <v>1.60394202232093</v>
      </c>
      <c r="L35" s="63">
        <f t="shared" si="7"/>
        <v>35.091883523811362</v>
      </c>
      <c r="M35" s="63">
        <f t="shared" si="8"/>
        <v>15.183253266239319</v>
      </c>
      <c r="N35" s="26">
        <f t="shared" si="9"/>
        <v>2.7701358270503298</v>
      </c>
      <c r="O35" s="63">
        <f t="shared" si="10"/>
        <v>85955.386623275888</v>
      </c>
      <c r="P35" s="63">
        <f t="shared" si="11"/>
        <v>50.275136790050681</v>
      </c>
    </row>
    <row r="36" spans="3:61" hidden="1" x14ac:dyDescent="0.25">
      <c r="C36" t="str">
        <f>+AN1</f>
        <v>Newfield Exploration</v>
      </c>
      <c r="D36" s="62" t="e">
        <f t="shared" si="12"/>
        <v>#DIV/0!</v>
      </c>
      <c r="E36" s="63">
        <f t="shared" si="3"/>
        <v>0</v>
      </c>
      <c r="F36" s="26"/>
      <c r="G36" s="26"/>
      <c r="H36" s="26"/>
      <c r="I36" s="63">
        <f t="shared" si="4"/>
        <v>0</v>
      </c>
      <c r="J36" s="63">
        <f t="shared" si="5"/>
        <v>0</v>
      </c>
      <c r="K36" s="63">
        <f t="shared" si="6"/>
        <v>0</v>
      </c>
      <c r="L36" s="63">
        <f t="shared" si="7"/>
        <v>0</v>
      </c>
      <c r="M36" s="63">
        <f t="shared" si="8"/>
        <v>0</v>
      </c>
      <c r="N36" s="26" t="e">
        <f t="shared" si="9"/>
        <v>#DIV/0!</v>
      </c>
      <c r="O36" s="63">
        <f t="shared" si="10"/>
        <v>0</v>
      </c>
      <c r="P36" s="63">
        <f t="shared" si="11"/>
        <v>0</v>
      </c>
    </row>
    <row r="37" spans="3:61" hidden="1" x14ac:dyDescent="0.25">
      <c r="C37" t="str">
        <f>+AP1</f>
        <v>Paramount Resources</v>
      </c>
      <c r="D37" s="62" t="e">
        <f t="shared" si="12"/>
        <v>#DIV/0!</v>
      </c>
      <c r="E37" s="63">
        <f t="shared" si="3"/>
        <v>6.4446193829834248</v>
      </c>
      <c r="F37" s="26"/>
      <c r="G37" s="26"/>
      <c r="H37" s="26"/>
      <c r="I37" s="63">
        <f t="shared" si="4"/>
        <v>0</v>
      </c>
      <c r="J37" s="63">
        <f t="shared" si="5"/>
        <v>0</v>
      </c>
      <c r="K37" s="63">
        <f t="shared" si="6"/>
        <v>0</v>
      </c>
      <c r="L37" s="63">
        <f t="shared" si="7"/>
        <v>0</v>
      </c>
      <c r="M37" s="63">
        <f t="shared" si="8"/>
        <v>0</v>
      </c>
      <c r="N37" s="26" t="e">
        <f t="shared" si="9"/>
        <v>#DIV/0!</v>
      </c>
      <c r="O37" s="63">
        <f t="shared" si="10"/>
        <v>0</v>
      </c>
      <c r="P37" s="63">
        <f t="shared" si="11"/>
        <v>0</v>
      </c>
    </row>
    <row r="38" spans="3:61" x14ac:dyDescent="0.25">
      <c r="C38" t="str">
        <f>+AR1</f>
        <v>Parsley Energy</v>
      </c>
      <c r="D38" s="62">
        <f t="shared" si="12"/>
        <v>1.6505459631938022</v>
      </c>
      <c r="E38" s="63">
        <f t="shared" si="3"/>
        <v>4.8650958299999996</v>
      </c>
      <c r="F38" s="26">
        <v>41.68</v>
      </c>
      <c r="G38" s="26">
        <v>36.049999999999997</v>
      </c>
      <c r="H38" s="26">
        <v>47.31</v>
      </c>
      <c r="I38" s="63">
        <f t="shared" si="4"/>
        <v>10.921250970278189</v>
      </c>
      <c r="J38" s="63">
        <f t="shared" si="5"/>
        <v>33.551017853118665</v>
      </c>
      <c r="K38" s="63">
        <f t="shared" si="6"/>
        <v>2.6757025891172059</v>
      </c>
      <c r="L38" s="63">
        <f t="shared" si="7"/>
        <v>22.230181033453672</v>
      </c>
      <c r="M38" s="63">
        <f t="shared" si="8"/>
        <v>22.242087789943181</v>
      </c>
      <c r="N38" s="26">
        <f t="shared" si="9"/>
        <v>1.5397808119191314</v>
      </c>
      <c r="O38" s="63">
        <f t="shared" si="10"/>
        <v>49977.371666968989</v>
      </c>
      <c r="P38" s="63">
        <f t="shared" si="11"/>
        <v>44.472268823396853</v>
      </c>
    </row>
    <row r="39" spans="3:61" x14ac:dyDescent="0.25">
      <c r="C39" t="str">
        <f>+AT1</f>
        <v>PDC Energy</v>
      </c>
      <c r="D39" s="62">
        <f t="shared" si="12"/>
        <v>2.5924320690713931</v>
      </c>
      <c r="E39" s="63">
        <f t="shared" si="3"/>
        <v>6.3374131075289064</v>
      </c>
      <c r="F39" s="26">
        <v>29.72</v>
      </c>
      <c r="G39" s="26">
        <v>25.8</v>
      </c>
      <c r="H39" s="26">
        <v>33.64</v>
      </c>
      <c r="I39" s="63">
        <f t="shared" si="4"/>
        <v>10.677139303482587</v>
      </c>
      <c r="J39" s="63">
        <f t="shared" si="5"/>
        <v>21.359776119402984</v>
      </c>
      <c r="K39" s="63">
        <f t="shared" si="6"/>
        <v>1.5952869451388891</v>
      </c>
      <c r="L39" s="63">
        <f t="shared" si="7"/>
        <v>23.162642466219793</v>
      </c>
      <c r="M39" s="63">
        <f t="shared" si="8"/>
        <v>8.8742729566657772</v>
      </c>
      <c r="N39" s="26">
        <f t="shared" si="9"/>
        <v>1.0306654886963451</v>
      </c>
      <c r="O39" s="63">
        <f t="shared" si="10"/>
        <v>26178.844519966016</v>
      </c>
      <c r="P39" s="63">
        <f t="shared" si="11"/>
        <v>32.036915422885571</v>
      </c>
    </row>
    <row r="40" spans="3:61" hidden="1" x14ac:dyDescent="0.25">
      <c r="C40" t="str">
        <f>+AV1</f>
        <v>Range Resources</v>
      </c>
      <c r="D40" s="62">
        <f t="shared" si="12"/>
        <v>0.99806182661677978</v>
      </c>
      <c r="E40" s="63">
        <f t="shared" si="3"/>
        <v>7.4881478226107738</v>
      </c>
      <c r="F40" s="26">
        <v>37.74</v>
      </c>
      <c r="G40" s="26"/>
      <c r="H40" s="26"/>
      <c r="I40" s="63">
        <f t="shared" si="4"/>
        <v>11.524979803296841</v>
      </c>
      <c r="J40" s="63">
        <f t="shared" si="5"/>
        <v>8.5926510836644461</v>
      </c>
      <c r="K40" s="63">
        <f t="shared" si="6"/>
        <v>3.5372286181921333</v>
      </c>
      <c r="L40" s="63">
        <f t="shared" si="7"/>
        <v>13.521902132991089</v>
      </c>
      <c r="M40" s="63">
        <f t="shared" si="8"/>
        <v>6.5957287539701976</v>
      </c>
      <c r="N40" s="26">
        <f t="shared" si="9"/>
        <v>3.3371630420348288</v>
      </c>
      <c r="O40" s="63">
        <f t="shared" si="10"/>
        <v>28232.214860401713</v>
      </c>
      <c r="P40" s="63">
        <f t="shared" si="11"/>
        <v>20.117630886961287</v>
      </c>
    </row>
    <row r="41" spans="3:61" x14ac:dyDescent="0.25">
      <c r="C41" t="str">
        <f>+AX1</f>
        <v>SM Energy</v>
      </c>
      <c r="D41" s="62">
        <f t="shared" si="12"/>
        <v>1.0297948834958457</v>
      </c>
      <c r="E41" s="63">
        <f t="shared" si="3"/>
        <v>8.5113803144843239</v>
      </c>
      <c r="F41" s="26">
        <v>61.99</v>
      </c>
      <c r="G41" s="26">
        <v>52.75</v>
      </c>
      <c r="H41" s="26">
        <v>71.239999999999995</v>
      </c>
      <c r="I41" s="63">
        <f t="shared" si="4"/>
        <v>13.751753986332576</v>
      </c>
      <c r="J41" s="63">
        <f t="shared" si="5"/>
        <v>20.515945330296134</v>
      </c>
      <c r="K41" s="63">
        <f t="shared" si="6"/>
        <v>2.6880625316910458</v>
      </c>
      <c r="L41" s="63">
        <f t="shared" si="7"/>
        <v>20.106713468267536</v>
      </c>
      <c r="M41" s="63">
        <f t="shared" si="8"/>
        <v>14.160985848361172</v>
      </c>
      <c r="N41" s="26">
        <f t="shared" si="9"/>
        <v>2.6480004352134494</v>
      </c>
      <c r="O41" s="63">
        <f t="shared" si="10"/>
        <v>54796.37168141592</v>
      </c>
      <c r="P41" s="63">
        <f t="shared" si="11"/>
        <v>34.267699316628708</v>
      </c>
    </row>
    <row r="42" spans="3:61" hidden="1" x14ac:dyDescent="0.25">
      <c r="C42" t="str">
        <f>+AZ1</f>
        <v>Southwestern</v>
      </c>
      <c r="D42" s="62">
        <f t="shared" si="12"/>
        <v>1.5336330357527184</v>
      </c>
      <c r="E42" s="63">
        <f t="shared" si="3"/>
        <v>8.5930343455079594</v>
      </c>
      <c r="F42" s="26">
        <v>0</v>
      </c>
      <c r="G42" s="26"/>
      <c r="H42" s="26"/>
      <c r="I42" s="63">
        <f t="shared" si="4"/>
        <v>6.9246119733924605</v>
      </c>
      <c r="J42" s="63">
        <f t="shared" si="5"/>
        <v>9.1862527716186246</v>
      </c>
      <c r="K42" s="63">
        <f t="shared" si="6"/>
        <v>5.2997297809594759</v>
      </c>
      <c r="L42" s="63">
        <f t="shared" si="7"/>
        <v>8.5336970661627731</v>
      </c>
      <c r="M42" s="63">
        <f t="shared" si="8"/>
        <v>7.577167678848312</v>
      </c>
      <c r="N42" s="26">
        <f t="shared" si="9"/>
        <v>2.1744187658146745</v>
      </c>
      <c r="O42" s="63">
        <f t="shared" si="10"/>
        <v>19302.197802197803</v>
      </c>
      <c r="P42" s="63">
        <f t="shared" si="11"/>
        <v>16.110864745011085</v>
      </c>
    </row>
    <row r="43" spans="3:61" x14ac:dyDescent="0.25">
      <c r="C43" t="str">
        <f>+BB1</f>
        <v>QEP Resources</v>
      </c>
      <c r="D43" s="62">
        <f t="shared" si="12"/>
        <v>1.3910934128393078</v>
      </c>
      <c r="E43" s="63">
        <f t="shared" si="3"/>
        <v>7.6442023638710497</v>
      </c>
      <c r="F43" s="26">
        <v>47.65</v>
      </c>
      <c r="G43" s="26">
        <v>41.56</v>
      </c>
      <c r="H43" s="26">
        <v>53.75</v>
      </c>
      <c r="I43" s="63">
        <f t="shared" si="4"/>
        <v>14.817704788827072</v>
      </c>
      <c r="J43" s="63">
        <f t="shared" si="5"/>
        <v>17.877947043264491</v>
      </c>
      <c r="K43" s="63">
        <f t="shared" si="6"/>
        <v>1.0756573491238022</v>
      </c>
      <c r="L43" s="63">
        <f t="shared" si="7"/>
        <v>28.836214287122246</v>
      </c>
      <c r="M43" s="63">
        <f t="shared" si="8"/>
        <v>3.8594375449693175</v>
      </c>
      <c r="N43" s="26">
        <f t="shared" si="9"/>
        <v>2.5714529925355101</v>
      </c>
      <c r="O43" s="63">
        <f t="shared" si="10"/>
        <v>67230.954485479684</v>
      </c>
      <c r="P43" s="63">
        <f t="shared" si="11"/>
        <v>32.695651832091563</v>
      </c>
    </row>
    <row r="44" spans="3:61" x14ac:dyDescent="0.25">
      <c r="C44" t="str">
        <f>+BD1</f>
        <v>Whiting Petroleum</v>
      </c>
      <c r="D44" s="62">
        <f t="shared" si="12"/>
        <v>1.5719009874452508</v>
      </c>
      <c r="E44" s="63">
        <f t="shared" si="3"/>
        <v>8.3372998614095959</v>
      </c>
      <c r="F44" s="26">
        <v>44.51</v>
      </c>
      <c r="G44" s="26">
        <v>39.24</v>
      </c>
      <c r="H44" s="26">
        <v>49.78</v>
      </c>
      <c r="I44" s="63">
        <f t="shared" si="4"/>
        <v>14.023655591710909</v>
      </c>
      <c r="J44" s="63">
        <f t="shared" si="5"/>
        <v>25.867100530912825</v>
      </c>
      <c r="K44" s="63">
        <f t="shared" si="6"/>
        <v>1.676639069265156</v>
      </c>
      <c r="L44" s="63">
        <f t="shared" si="7"/>
        <v>27.322188723315364</v>
      </c>
      <c r="M44" s="63">
        <f t="shared" si="8"/>
        <v>12.568567399308371</v>
      </c>
      <c r="N44" s="26">
        <f t="shared" si="9"/>
        <v>2.0956386264853686</v>
      </c>
      <c r="O44" s="63">
        <f t="shared" si="10"/>
        <v>59462.657857322061</v>
      </c>
      <c r="P44" s="63">
        <f t="shared" si="11"/>
        <v>39.890756122623735</v>
      </c>
    </row>
    <row r="45" spans="3:61" x14ac:dyDescent="0.25">
      <c r="C45" t="str">
        <f>+BF1</f>
        <v>WPX Energy</v>
      </c>
      <c r="D45" s="62">
        <f t="shared" si="12"/>
        <v>1.4459521413478831</v>
      </c>
      <c r="E45" s="63">
        <f t="shared" si="3"/>
        <v>5.4452045099999999</v>
      </c>
      <c r="F45" s="26">
        <v>46.86</v>
      </c>
      <c r="G45" s="26">
        <v>40.97</v>
      </c>
      <c r="H45" s="26">
        <v>52.75</v>
      </c>
      <c r="I45" s="63">
        <f t="shared" si="4"/>
        <v>15.475472023450298</v>
      </c>
      <c r="J45" s="63">
        <f t="shared" si="5"/>
        <v>20.84231399258557</v>
      </c>
      <c r="K45" s="63">
        <f t="shared" si="6"/>
        <v>2.3411671269245202</v>
      </c>
      <c r="L45" s="63">
        <f t="shared" si="7"/>
        <v>22.877369945994541</v>
      </c>
      <c r="M45" s="63">
        <f t="shared" si="8"/>
        <v>13.440416070041326</v>
      </c>
      <c r="N45" s="26">
        <f t="shared" si="9"/>
        <v>1.9181075065674449</v>
      </c>
      <c r="O45" s="63">
        <f t="shared" si="10"/>
        <v>43951.231475317938</v>
      </c>
      <c r="P45" s="63">
        <f t="shared" si="11"/>
        <v>36.317786016035868</v>
      </c>
    </row>
    <row r="48" spans="3:61" x14ac:dyDescent="0.25">
      <c r="C48" t="str">
        <f>+'E&amp;P Comps'!BM1</f>
        <v>Anadarko Petroleum</v>
      </c>
      <c r="D48">
        <f>+'E&amp;P Comps'!BN1</f>
        <v>0</v>
      </c>
      <c r="E48" t="str">
        <f>+'E&amp;P Comps'!BO1</f>
        <v>Apache Corp</v>
      </c>
      <c r="F48">
        <f>+'E&amp;P Comps'!BR1</f>
        <v>0</v>
      </c>
      <c r="G48" t="str">
        <f>+'E&amp;P Comps'!BS1</f>
        <v>Cimarex</v>
      </c>
      <c r="H48">
        <f>+'E&amp;P Comps'!BT1</f>
        <v>0</v>
      </c>
      <c r="I48" t="str">
        <f>+'E&amp;P Comps'!BU1</f>
        <v>Concho Resources</v>
      </c>
      <c r="J48">
        <f>+'E&amp;P Comps'!BV1</f>
        <v>0</v>
      </c>
      <c r="K48" t="str">
        <f>+'E&amp;P Comps'!BW1</f>
        <v>ConocoPhillips</v>
      </c>
      <c r="L48">
        <f>+'E&amp;P Comps'!BX1</f>
        <v>0</v>
      </c>
      <c r="M48" t="str">
        <f>+'E&amp;P Comps'!BY1</f>
        <v>Continental Resources</v>
      </c>
      <c r="N48">
        <f>+'E&amp;P Comps'!BZ1</f>
        <v>0</v>
      </c>
      <c r="O48" t="str">
        <f>+'E&amp;P Comps'!CA1</f>
        <v>Encana</v>
      </c>
      <c r="P48">
        <f>+'E&amp;P Comps'!CB1</f>
        <v>0</v>
      </c>
      <c r="Q48" t="str">
        <f>+'E&amp;P Comps'!CC1</f>
        <v>Devon Energy</v>
      </c>
      <c r="R48">
        <f>+'E&amp;P Comps'!CD1</f>
        <v>0</v>
      </c>
      <c r="S48" t="str">
        <f>+'E&amp;P Comps'!CE1</f>
        <v>EOG Resources</v>
      </c>
      <c r="T48">
        <f>+'E&amp;P Comps'!CF1</f>
        <v>0</v>
      </c>
      <c r="U48">
        <f>+'E&amp;P Comps'!CG1</f>
        <v>0</v>
      </c>
      <c r="V48">
        <f>+'E&amp;P Comps'!CH1</f>
        <v>0</v>
      </c>
      <c r="W48" t="str">
        <f>+'E&amp;P Comps'!CI1</f>
        <v>Husky Energy</v>
      </c>
      <c r="X48">
        <f>+'E&amp;P Comps'!CJ1</f>
        <v>0</v>
      </c>
      <c r="Y48" t="str">
        <f>+'E&amp;P Comps'!CK1</f>
        <v>Marathon Oil</v>
      </c>
      <c r="Z48">
        <f>+'E&amp;P Comps'!CL1</f>
        <v>0</v>
      </c>
      <c r="AA48" t="str">
        <f>+'E&amp;P Comps'!CM1</f>
        <v>Noble Energy</v>
      </c>
      <c r="AB48">
        <f>+'E&amp;P Comps'!CN1</f>
        <v>0</v>
      </c>
      <c r="AC48" t="str">
        <f>+'E&amp;P Comps'!CO1</f>
        <v>Occidental Petroleum</v>
      </c>
      <c r="AD48">
        <f>+'E&amp;P Comps'!CP1</f>
        <v>0</v>
      </c>
      <c r="AE48" t="str">
        <f>+'E&amp;P Comps'!CQ1</f>
        <v>Pioneer Natural Resources</v>
      </c>
      <c r="AF48">
        <f>+'E&amp;P Comps'!CR1</f>
        <v>0</v>
      </c>
      <c r="AG48">
        <f>+'E&amp;P Comps'!CS1</f>
        <v>0</v>
      </c>
      <c r="AH48">
        <f>+'E&amp;P Comps'!CT1</f>
        <v>0</v>
      </c>
      <c r="AI48">
        <f>+'E&amp;P Comps'!CU1</f>
        <v>0</v>
      </c>
      <c r="AJ48">
        <f>+'E&amp;P Comps'!CV1</f>
        <v>0</v>
      </c>
      <c r="AK48">
        <f>+'E&amp;P Comps'!CW1</f>
        <v>0</v>
      </c>
      <c r="AL48">
        <f>+'E&amp;P Comps'!CX1</f>
        <v>0</v>
      </c>
      <c r="AM48">
        <f>+'E&amp;P Comps'!CY1</f>
        <v>0</v>
      </c>
      <c r="AN48">
        <f>+'E&amp;P Comps'!CZ1</f>
        <v>0</v>
      </c>
      <c r="AO48">
        <f>+'E&amp;P Comps'!DA1</f>
        <v>0</v>
      </c>
      <c r="AP48">
        <f>+'E&amp;P Comps'!DB1</f>
        <v>0</v>
      </c>
      <c r="AQ48">
        <f>+'E&amp;P Comps'!DC1</f>
        <v>0</v>
      </c>
      <c r="AR48">
        <f>+'E&amp;P Comps'!DD1</f>
        <v>0</v>
      </c>
      <c r="AS48">
        <f>+'E&amp;P Comps'!DE1</f>
        <v>0</v>
      </c>
      <c r="AT48">
        <f>+'E&amp;P Comps'!DF1</f>
        <v>0</v>
      </c>
      <c r="AU48">
        <f>+'E&amp;P Comps'!DG1</f>
        <v>0</v>
      </c>
      <c r="AV48">
        <f>+'E&amp;P Comps'!DH1</f>
        <v>0</v>
      </c>
      <c r="AW48">
        <f>+'E&amp;P Comps'!DI1</f>
        <v>0</v>
      </c>
      <c r="AX48">
        <f>+'E&amp;P Comps'!DJ1</f>
        <v>0</v>
      </c>
      <c r="AY48">
        <f>+'E&amp;P Comps'!DK1</f>
        <v>0</v>
      </c>
      <c r="AZ48">
        <f>+'E&amp;P Comps'!DL1</f>
        <v>0</v>
      </c>
      <c r="BA48">
        <f>+'E&amp;P Comps'!DM1</f>
        <v>0</v>
      </c>
      <c r="BB48">
        <f>+'E&amp;P Comps'!DN1</f>
        <v>0</v>
      </c>
      <c r="BC48">
        <f>+'E&amp;P Comps'!DO1</f>
        <v>0</v>
      </c>
      <c r="BD48">
        <f>+'E&amp;P Comps'!DP1</f>
        <v>0</v>
      </c>
      <c r="BE48">
        <f>+'E&amp;P Comps'!DQ1</f>
        <v>0</v>
      </c>
      <c r="BF48">
        <f>+'E&amp;P Comps'!DR1</f>
        <v>0</v>
      </c>
      <c r="BG48">
        <f>+'E&amp;P Comps'!DS1</f>
        <v>0</v>
      </c>
      <c r="BH48">
        <f>+'E&amp;P Comps'!DT1</f>
        <v>0</v>
      </c>
      <c r="BI48">
        <f>+'E&amp;P Comps'!DU1</f>
        <v>0</v>
      </c>
    </row>
    <row r="49" spans="3:61" x14ac:dyDescent="0.25">
      <c r="C49" s="5">
        <f>+'E&amp;P Comps'!BM115</f>
        <v>1.9254719844407227</v>
      </c>
      <c r="D49">
        <f>+'E&amp;P Comps'!BN115</f>
        <v>0</v>
      </c>
      <c r="E49">
        <f>+'E&amp;P Comps'!BO115</f>
        <v>2.1854747321955821</v>
      </c>
      <c r="F49">
        <f>+'E&amp;P Comps'!BR115</f>
        <v>0</v>
      </c>
      <c r="G49">
        <f>+'E&amp;P Comps'!BS115</f>
        <v>3.9695263863012484</v>
      </c>
      <c r="H49">
        <f>+'E&amp;P Comps'!BT115</f>
        <v>0</v>
      </c>
      <c r="I49">
        <f>+'E&amp;P Comps'!BU115</f>
        <v>2.7908521887652036</v>
      </c>
      <c r="J49">
        <f>+'E&amp;P Comps'!BV115</f>
        <v>0</v>
      </c>
      <c r="K49">
        <f>+'E&amp;P Comps'!BW115</f>
        <v>3.0771085342667632</v>
      </c>
      <c r="L49" t="e">
        <f>+'E&amp;P Comps'!BX115</f>
        <v>#DIV/0!</v>
      </c>
      <c r="M49">
        <f>+'E&amp;P Comps'!BY115</f>
        <v>1.8575220674076574</v>
      </c>
      <c r="N49">
        <f>+'E&amp;P Comps'!BZ115</f>
        <v>0</v>
      </c>
      <c r="O49">
        <f>+'E&amp;P Comps'!CA115</f>
        <v>1.646981528308989</v>
      </c>
      <c r="P49" t="e">
        <f>+'E&amp;P Comps'!CB115</f>
        <v>#DIV/0!</v>
      </c>
      <c r="Q49">
        <f>+'E&amp;P Comps'!CC115</f>
        <v>2.6935307926322301</v>
      </c>
      <c r="R49" t="e">
        <f>+'E&amp;P Comps'!CD115</f>
        <v>#DIV/0!</v>
      </c>
      <c r="S49">
        <f>+'E&amp;P Comps'!CE115</f>
        <v>4.5478102420677313</v>
      </c>
      <c r="T49" t="e">
        <f>+'E&amp;P Comps'!CF115</f>
        <v>#DIV/0!</v>
      </c>
      <c r="U49" t="e">
        <f>+'E&amp;P Comps'!CG115</f>
        <v>#DIV/0!</v>
      </c>
      <c r="V49" t="e">
        <f>+'E&amp;P Comps'!CH115</f>
        <v>#DIV/0!</v>
      </c>
      <c r="W49">
        <f>+'E&amp;P Comps'!CI115</f>
        <v>1.9917630422747921</v>
      </c>
      <c r="X49" t="e">
        <f>+'E&amp;P Comps'!CJ115</f>
        <v>#DIV/0!</v>
      </c>
      <c r="Y49">
        <f>+'E&amp;P Comps'!CK115</f>
        <v>2.855697895587296</v>
      </c>
      <c r="Z49" t="e">
        <f>+'E&amp;P Comps'!CL115</f>
        <v>#DIV/0!</v>
      </c>
      <c r="AA49" t="e">
        <f>+'E&amp;P Comps'!CM115</f>
        <v>#DIV/0!</v>
      </c>
      <c r="AB49" t="e">
        <f>+'E&amp;P Comps'!CN115</f>
        <v>#DIV/0!</v>
      </c>
      <c r="AC49">
        <f>+'E&amp;P Comps'!CO115</f>
        <v>2.5407145712247892</v>
      </c>
      <c r="AD49" t="e">
        <f>+'E&amp;P Comps'!CP115</f>
        <v>#DIV/0!</v>
      </c>
      <c r="AE49">
        <f>+'E&amp;P Comps'!CQ115</f>
        <v>4.8070979423888751</v>
      </c>
      <c r="AF49">
        <f>+'E&amp;P Comps'!CR115</f>
        <v>0</v>
      </c>
      <c r="AG49">
        <f>+'E&amp;P Comps'!CS115</f>
        <v>0</v>
      </c>
      <c r="AH49">
        <f>+'E&amp;P Comps'!CT115</f>
        <v>0</v>
      </c>
      <c r="AI49">
        <f>+'E&amp;P Comps'!CU115</f>
        <v>0</v>
      </c>
      <c r="AJ49">
        <f>+'E&amp;P Comps'!CV115</f>
        <v>0</v>
      </c>
      <c r="AK49">
        <f>+'E&amp;P Comps'!CW115</f>
        <v>0</v>
      </c>
      <c r="AL49">
        <f>+'E&amp;P Comps'!CX115</f>
        <v>0</v>
      </c>
      <c r="AM49">
        <f>+'E&amp;P Comps'!CY115</f>
        <v>0</v>
      </c>
      <c r="AN49">
        <f>+'E&amp;P Comps'!CZ115</f>
        <v>0</v>
      </c>
      <c r="AO49">
        <f>+'E&amp;P Comps'!DA115</f>
        <v>0</v>
      </c>
      <c r="AP49">
        <f>+'E&amp;P Comps'!DB115</f>
        <v>0</v>
      </c>
      <c r="AQ49">
        <f>+'E&amp;P Comps'!DC115</f>
        <v>0</v>
      </c>
      <c r="AR49">
        <f>+'E&amp;P Comps'!DD115</f>
        <v>0</v>
      </c>
      <c r="AS49">
        <f>+'E&amp;P Comps'!DE115</f>
        <v>0</v>
      </c>
      <c r="AT49">
        <f>+'E&amp;P Comps'!DF115</f>
        <v>0</v>
      </c>
      <c r="AU49">
        <f>+'E&amp;P Comps'!DG115</f>
        <v>0</v>
      </c>
      <c r="AV49">
        <f>+'E&amp;P Comps'!DH115</f>
        <v>0</v>
      </c>
      <c r="AW49">
        <f>+'E&amp;P Comps'!DI115</f>
        <v>0</v>
      </c>
      <c r="AX49">
        <f>+'E&amp;P Comps'!DJ115</f>
        <v>0</v>
      </c>
      <c r="AY49">
        <f>+'E&amp;P Comps'!DK115</f>
        <v>0</v>
      </c>
      <c r="AZ49">
        <f>+'E&amp;P Comps'!DL115</f>
        <v>0</v>
      </c>
      <c r="BA49">
        <f>+'E&amp;P Comps'!DM115</f>
        <v>0</v>
      </c>
      <c r="BB49">
        <f>+'E&amp;P Comps'!DN115</f>
        <v>0</v>
      </c>
      <c r="BC49">
        <f>+'E&amp;P Comps'!DO115</f>
        <v>0</v>
      </c>
      <c r="BD49">
        <f>+'E&amp;P Comps'!DP115</f>
        <v>0</v>
      </c>
      <c r="BE49">
        <f>+'E&amp;P Comps'!DQ115</f>
        <v>0</v>
      </c>
      <c r="BF49">
        <f>+'E&amp;P Comps'!DR115</f>
        <v>0</v>
      </c>
      <c r="BG49">
        <f>+'E&amp;P Comps'!DS115</f>
        <v>0</v>
      </c>
      <c r="BH49">
        <f>+'E&amp;P Comps'!DT115</f>
        <v>0</v>
      </c>
      <c r="BI49">
        <f>+'E&amp;P Comps'!DU115</f>
        <v>0</v>
      </c>
    </row>
    <row r="51" spans="3:61" x14ac:dyDescent="0.25">
      <c r="C51" s="12" t="s">
        <v>297</v>
      </c>
      <c r="D51" s="12" t="s">
        <v>298</v>
      </c>
    </row>
    <row r="52" spans="3:61" x14ac:dyDescent="0.25">
      <c r="C52" s="2" t="str">
        <f>+C48</f>
        <v>Anadarko Petroleum</v>
      </c>
      <c r="D52" s="2">
        <f>+HLOOKUP(C52,$C$48:$CO$49,2,FALSE)</f>
        <v>1.9254719844407227</v>
      </c>
    </row>
    <row r="53" spans="3:61" x14ac:dyDescent="0.25">
      <c r="C53" t="str">
        <f>+E48</f>
        <v>Apache Corp</v>
      </c>
      <c r="D53" s="2">
        <f t="shared" ref="D53:D60" si="13">+HLOOKUP(C53,$C$48:$CO$49,2,FALSE)</f>
        <v>2.1854747321955821</v>
      </c>
    </row>
    <row r="54" spans="3:61" x14ac:dyDescent="0.25">
      <c r="C54" t="str">
        <f>+G48</f>
        <v>Cimarex</v>
      </c>
      <c r="D54" s="2">
        <f t="shared" si="13"/>
        <v>3.9695263863012484</v>
      </c>
    </row>
    <row r="55" spans="3:61" x14ac:dyDescent="0.25">
      <c r="C55" t="str">
        <f>+I48</f>
        <v>Concho Resources</v>
      </c>
      <c r="D55" s="2">
        <f t="shared" si="13"/>
        <v>2.7908521887652036</v>
      </c>
    </row>
    <row r="56" spans="3:61" x14ac:dyDescent="0.25">
      <c r="C56" t="str">
        <f>+K48</f>
        <v>ConocoPhillips</v>
      </c>
      <c r="D56" s="2">
        <f t="shared" si="13"/>
        <v>3.0771085342667632</v>
      </c>
    </row>
    <row r="57" spans="3:61" x14ac:dyDescent="0.25">
      <c r="C57" t="str">
        <f>+M48</f>
        <v>Continental Resources</v>
      </c>
      <c r="D57" s="2">
        <f t="shared" si="13"/>
        <v>1.8575220674076574</v>
      </c>
    </row>
    <row r="58" spans="3:61" x14ac:dyDescent="0.25">
      <c r="C58" t="str">
        <f>+O48</f>
        <v>Encana</v>
      </c>
      <c r="D58" s="2">
        <f t="shared" si="13"/>
        <v>1.646981528308989</v>
      </c>
    </row>
    <row r="59" spans="3:61" x14ac:dyDescent="0.25">
      <c r="C59" t="str">
        <f>+Q48</f>
        <v>Devon Energy</v>
      </c>
      <c r="D59" s="2">
        <f t="shared" si="13"/>
        <v>2.6935307926322301</v>
      </c>
    </row>
    <row r="60" spans="3:61" x14ac:dyDescent="0.25">
      <c r="C60" t="str">
        <f>+S48</f>
        <v>EOG Resources</v>
      </c>
      <c r="D60" s="2">
        <f t="shared" si="13"/>
        <v>4.5478102420677313</v>
      </c>
    </row>
    <row r="61" spans="3:61" x14ac:dyDescent="0.25">
      <c r="C61" t="str">
        <f>+W48</f>
        <v>Husky Energy</v>
      </c>
      <c r="D61" s="2">
        <f>+HLOOKUP(C61,$C$48:$CO$49,2,FALSE)</f>
        <v>1.9917630422747921</v>
      </c>
    </row>
    <row r="62" spans="3:61" x14ac:dyDescent="0.25">
      <c r="C62" t="str">
        <f>+Y48</f>
        <v>Marathon Oil</v>
      </c>
      <c r="D62" s="2">
        <f>+HLOOKUP(C62,$C$48:$CO$49,2,FALSE)</f>
        <v>2.855697895587296</v>
      </c>
    </row>
    <row r="63" spans="3:61" x14ac:dyDescent="0.25">
      <c r="C63" t="str">
        <f>+AA48</f>
        <v>Noble Energy</v>
      </c>
      <c r="D63" s="2" t="e">
        <f>+HLOOKUP(C63,$C$48:$CO$49,2,FALSE)</f>
        <v>#DIV/0!</v>
      </c>
    </row>
    <row r="64" spans="3:61" x14ac:dyDescent="0.25">
      <c r="C64" t="str">
        <f>+AC48</f>
        <v>Occidental Petroleum</v>
      </c>
      <c r="D64" s="2">
        <f>+HLOOKUP(C64,$C$48:$CO$49,2,FALSE)</f>
        <v>2.5407145712247892</v>
      </c>
    </row>
    <row r="65" spans="3:14" x14ac:dyDescent="0.25">
      <c r="C65" t="str">
        <f>+AE48</f>
        <v>Pioneer Natural Resources</v>
      </c>
      <c r="D65" s="2">
        <f>+HLOOKUP(C65,$C$48:$CO$49,2,FALSE)</f>
        <v>4.8070979423888751</v>
      </c>
    </row>
    <row r="70" spans="3:14" x14ac:dyDescent="0.25">
      <c r="F70" t="s">
        <v>379</v>
      </c>
    </row>
    <row r="71" spans="3:14" x14ac:dyDescent="0.25">
      <c r="C71" s="12" t="str">
        <f>+C16</f>
        <v>Company</v>
      </c>
      <c r="D71" s="12" t="str">
        <f t="shared" ref="D71:N71" si="14">+D16</f>
        <v>Coverage</v>
      </c>
      <c r="E71" s="12" t="str">
        <f t="shared" si="14"/>
        <v>Yield</v>
      </c>
      <c r="F71" s="12" t="str">
        <f t="shared" si="14"/>
        <v>100% PDP Coverage</v>
      </c>
      <c r="G71" s="12" t="str">
        <f t="shared" si="14"/>
        <v>80% PDP Coverage</v>
      </c>
      <c r="H71" s="12" t="str">
        <f t="shared" si="14"/>
        <v>120% PDP Coverage</v>
      </c>
      <c r="I71" s="12" t="str">
        <f t="shared" si="14"/>
        <v>Cash Costs</v>
      </c>
      <c r="J71" s="12" t="str">
        <f t="shared" si="14"/>
        <v>Cash Margin</v>
      </c>
      <c r="K71" s="12" t="str">
        <f t="shared" si="14"/>
        <v>Full-cycle Ratio</v>
      </c>
      <c r="L71" s="12" t="str">
        <f t="shared" si="14"/>
        <v>Full-cycle Costs</v>
      </c>
      <c r="M71" s="12" t="str">
        <f t="shared" si="14"/>
        <v>Full Cost</v>
      </c>
      <c r="N71" s="12" t="str">
        <f t="shared" si="14"/>
        <v>Debt/2019 EBITDA</v>
      </c>
    </row>
    <row r="72" spans="3:14" x14ac:dyDescent="0.25">
      <c r="C72" t="str">
        <f>+C17</f>
        <v>Ascent Resources</v>
      </c>
      <c r="D72" s="2">
        <f>+D17</f>
        <v>1.1715986328720736</v>
      </c>
      <c r="E72">
        <f t="shared" ref="E72:L72" si="15">+E17</f>
        <v>8.4085847493263373</v>
      </c>
      <c r="F72">
        <v>2.5499999999999998</v>
      </c>
      <c r="G72">
        <f t="shared" si="15"/>
        <v>0</v>
      </c>
      <c r="H72">
        <f t="shared" si="15"/>
        <v>0</v>
      </c>
      <c r="I72">
        <f t="shared" si="15"/>
        <v>9.6383772780147332</v>
      </c>
      <c r="J72">
        <f t="shared" si="15"/>
        <v>10.120153160139587</v>
      </c>
      <c r="K72">
        <f t="shared" si="15"/>
        <v>4.4745163967135877</v>
      </c>
      <c r="L72">
        <f t="shared" si="15"/>
        <v>11.726995269159444</v>
      </c>
      <c r="M72" t="e">
        <f t="shared" ref="M72:N72" si="16">+M17</f>
        <v>#N/A</v>
      </c>
      <c r="N72">
        <f t="shared" si="16"/>
        <v>2.5024330227677574</v>
      </c>
    </row>
    <row r="73" spans="3:14" x14ac:dyDescent="0.25">
      <c r="C73" s="11" t="str">
        <f>+C18</f>
        <v>Antero Resources</v>
      </c>
      <c r="D73" s="2">
        <f t="shared" ref="D73:L73" si="17">+D18</f>
        <v>1.5043916716248555</v>
      </c>
      <c r="E73">
        <f t="shared" si="17"/>
        <v>6.3337402367379543</v>
      </c>
      <c r="F73">
        <v>2.19</v>
      </c>
      <c r="G73">
        <f t="shared" si="17"/>
        <v>0</v>
      </c>
      <c r="H73">
        <f t="shared" si="17"/>
        <v>0</v>
      </c>
      <c r="I73">
        <f t="shared" si="17"/>
        <v>13.581852376137512</v>
      </c>
      <c r="J73">
        <f t="shared" si="17"/>
        <v>8.5465055611728999</v>
      </c>
      <c r="K73">
        <f t="shared" si="17"/>
        <v>2.209696160826073</v>
      </c>
      <c r="L73">
        <f t="shared" si="17"/>
        <v>16.831905508572088</v>
      </c>
      <c r="M73" t="e">
        <f t="shared" ref="M73:N73" si="18">+M18</f>
        <v>#N/A</v>
      </c>
      <c r="N73">
        <f t="shared" si="18"/>
        <v>3.0305693706643937</v>
      </c>
    </row>
    <row r="74" spans="3:14" x14ac:dyDescent="0.25">
      <c r="C74" t="str">
        <f>+C22</f>
        <v>Chesapeake Energy</v>
      </c>
      <c r="D74" s="2">
        <f t="shared" ref="D74:L74" si="19">+D22</f>
        <v>0.88291006876846734</v>
      </c>
      <c r="E74">
        <f t="shared" si="19"/>
        <v>9.7067513862399668</v>
      </c>
      <c r="F74">
        <v>3.23</v>
      </c>
      <c r="G74">
        <v>0</v>
      </c>
      <c r="H74">
        <v>0</v>
      </c>
      <c r="I74">
        <f t="shared" si="19"/>
        <v>13.761021587108548</v>
      </c>
      <c r="J74">
        <f t="shared" si="19"/>
        <v>14.53329279416236</v>
      </c>
      <c r="K74">
        <f t="shared" si="19"/>
        <v>3.2513644447169927</v>
      </c>
      <c r="L74">
        <f t="shared" si="19"/>
        <v>17.366870283866337</v>
      </c>
      <c r="M74">
        <f t="shared" ref="M74:N74" si="20">+M22</f>
        <v>10.927444097404571</v>
      </c>
      <c r="N74">
        <f t="shared" si="20"/>
        <v>3.8702243440775446</v>
      </c>
    </row>
    <row r="75" spans="3:14" x14ac:dyDescent="0.25">
      <c r="C75" t="str">
        <f>+C23</f>
        <v>CNX Resources</v>
      </c>
      <c r="D75" s="2">
        <f t="shared" ref="D75:L75" si="21">+D23</f>
        <v>1.0368464962223087</v>
      </c>
      <c r="E75">
        <f t="shared" si="21"/>
        <v>9.2421192703400905</v>
      </c>
      <c r="F75">
        <v>2.72</v>
      </c>
      <c r="G75">
        <f t="shared" si="21"/>
        <v>0</v>
      </c>
      <c r="H75">
        <f t="shared" si="21"/>
        <v>0</v>
      </c>
      <c r="I75">
        <f t="shared" si="21"/>
        <v>7.6915938347952304</v>
      </c>
      <c r="J75">
        <f t="shared" si="21"/>
        <v>12.373272543699123</v>
      </c>
      <c r="K75">
        <f t="shared" si="21"/>
        <v>3.8274136999887918</v>
      </c>
      <c r="L75">
        <f t="shared" si="21"/>
        <v>10.49910941658692</v>
      </c>
      <c r="M75">
        <f t="shared" ref="M75:N75" si="22">+M23</f>
        <v>9.5657569619074341</v>
      </c>
      <c r="N75">
        <f t="shared" si="22"/>
        <v>2.7812053859695705</v>
      </c>
    </row>
    <row r="76" spans="3:14" x14ac:dyDescent="0.25">
      <c r="C76" t="str">
        <f>+C40</f>
        <v>Range Resources</v>
      </c>
      <c r="D76" s="2">
        <f t="shared" ref="D76:L76" si="23">+D40</f>
        <v>0.99806182661677978</v>
      </c>
      <c r="E76">
        <f t="shared" si="23"/>
        <v>7.4881478226107738</v>
      </c>
      <c r="F76">
        <v>2.96</v>
      </c>
      <c r="G76">
        <f t="shared" si="23"/>
        <v>0</v>
      </c>
      <c r="H76">
        <f t="shared" si="23"/>
        <v>0</v>
      </c>
      <c r="I76">
        <f t="shared" si="23"/>
        <v>11.524979803296841</v>
      </c>
      <c r="J76">
        <f t="shared" si="23"/>
        <v>8.5926510836644461</v>
      </c>
      <c r="K76">
        <f t="shared" si="23"/>
        <v>3.5372286181921333</v>
      </c>
      <c r="L76">
        <f t="shared" si="23"/>
        <v>13.521902132991089</v>
      </c>
      <c r="M76">
        <f t="shared" ref="M76:N76" si="24">+M40</f>
        <v>6.5957287539701976</v>
      </c>
      <c r="N76">
        <f t="shared" si="24"/>
        <v>3.3371630420348288</v>
      </c>
    </row>
    <row r="77" spans="3:14" x14ac:dyDescent="0.25">
      <c r="C77" t="str">
        <f>+C42</f>
        <v>Southwestern</v>
      </c>
      <c r="D77" s="2">
        <f t="shared" ref="D77:L77" si="25">+D42</f>
        <v>1.5336330357527184</v>
      </c>
      <c r="E77">
        <f t="shared" si="25"/>
        <v>8.5930343455079594</v>
      </c>
      <c r="F77">
        <v>2.15</v>
      </c>
      <c r="G77">
        <f t="shared" si="25"/>
        <v>0</v>
      </c>
      <c r="H77">
        <f t="shared" si="25"/>
        <v>0</v>
      </c>
      <c r="I77">
        <f t="shared" si="25"/>
        <v>6.9246119733924605</v>
      </c>
      <c r="J77">
        <f t="shared" si="25"/>
        <v>9.1862527716186246</v>
      </c>
      <c r="K77">
        <f t="shared" si="25"/>
        <v>5.2997297809594759</v>
      </c>
      <c r="L77">
        <f t="shared" si="25"/>
        <v>8.5336970661627731</v>
      </c>
      <c r="M77">
        <f t="shared" ref="M77:N77" si="26">+M42</f>
        <v>7.577167678848312</v>
      </c>
      <c r="N77">
        <f t="shared" si="26"/>
        <v>2.1744187658146745</v>
      </c>
    </row>
  </sheetData>
  <conditionalFormatting sqref="D72:D73 D18 D60:D65">
    <cfRule type="colorScale" priority="1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18">
    <cfRule type="colorScale" priority="1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20:D24">
    <cfRule type="colorScale" priority="1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19">
    <cfRule type="colorScale" priority="1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25:D45">
    <cfRule type="colorScale" priority="1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52">
    <cfRule type="colorScale" priority="7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52">
    <cfRule type="colorScale" priority="6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54:D59">
    <cfRule type="colorScale" priority="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53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D74:D77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BO37"/>
  <sheetViews>
    <sheetView showGridLines="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5" outlineLevelRow="1" x14ac:dyDescent="0.25"/>
  <cols>
    <col min="2" max="2" width="20.140625" bestFit="1" customWidth="1"/>
    <col min="3" max="3" width="0" hidden="1" customWidth="1"/>
    <col min="4" max="4" width="18.85546875" bestFit="1" customWidth="1"/>
    <col min="5" max="5" width="0" hidden="1" customWidth="1"/>
    <col min="6" max="6" width="19.28515625" bestFit="1" customWidth="1"/>
    <col min="7" max="7" width="9.140625" hidden="1" customWidth="1"/>
    <col min="8" max="8" width="18.85546875" hidden="1" customWidth="1"/>
    <col min="9" max="9" width="9.140625" hidden="1" customWidth="1"/>
    <col min="10" max="10" width="18.85546875" bestFit="1" customWidth="1"/>
    <col min="11" max="11" width="18.85546875" hidden="1" customWidth="1"/>
    <col min="12" max="12" width="18.85546875" customWidth="1"/>
    <col min="13" max="13" width="9.140625" hidden="1" customWidth="1"/>
    <col min="14" max="14" width="18.85546875" bestFit="1" customWidth="1"/>
    <col min="15" max="15" width="9.140625" hidden="1" customWidth="1"/>
    <col min="16" max="16" width="18.85546875" customWidth="1"/>
    <col min="17" max="17" width="9.140625" hidden="1" customWidth="1"/>
    <col min="18" max="18" width="18.85546875" bestFit="1" customWidth="1"/>
    <col min="19" max="19" width="0" hidden="1" customWidth="1"/>
    <col min="20" max="20" width="19.28515625" bestFit="1" customWidth="1"/>
    <col min="21" max="21" width="19.28515625" hidden="1" customWidth="1"/>
    <col min="22" max="22" width="19.28515625" customWidth="1"/>
    <col min="23" max="23" width="19.28515625" hidden="1" customWidth="1"/>
    <col min="24" max="24" width="19.28515625" customWidth="1"/>
    <col min="25" max="25" width="9.140625" hidden="1" customWidth="1"/>
    <col min="26" max="26" width="18.85546875" bestFit="1" customWidth="1"/>
    <col min="27" max="28" width="18.85546875" hidden="1" customWidth="1"/>
    <col min="29" max="29" width="9.140625" hidden="1" customWidth="1"/>
    <col min="30" max="30" width="18.85546875" bestFit="1" customWidth="1"/>
    <col min="31" max="31" width="0" hidden="1" customWidth="1"/>
    <col min="32" max="32" width="18.85546875" bestFit="1" customWidth="1"/>
    <col min="33" max="33" width="0" hidden="1" customWidth="1"/>
    <col min="34" max="35" width="19.85546875" customWidth="1"/>
    <col min="36" max="36" width="9.140625" customWidth="1"/>
    <col min="37" max="37" width="18.85546875" customWidth="1"/>
    <col min="38" max="38" width="9.140625" customWidth="1"/>
    <col min="39" max="39" width="19.28515625" customWidth="1"/>
    <col min="40" max="40" width="9.140625" customWidth="1"/>
    <col min="41" max="41" width="18.85546875" customWidth="1"/>
    <col min="42" max="42" width="9.140625" customWidth="1"/>
    <col min="43" max="43" width="18.85546875" customWidth="1"/>
    <col min="44" max="44" width="9.140625" customWidth="1"/>
    <col min="45" max="45" width="18.85546875" customWidth="1"/>
    <col min="46" max="46" width="9.140625" customWidth="1"/>
    <col min="47" max="47" width="18.85546875" bestFit="1" customWidth="1"/>
    <col min="48" max="49" width="9.140625" customWidth="1"/>
    <col min="50" max="50" width="9.140625" hidden="1" customWidth="1"/>
    <col min="51" max="51" width="18.85546875" bestFit="1" customWidth="1"/>
    <col min="52" max="52" width="15.85546875" hidden="1" customWidth="1"/>
    <col min="53" max="53" width="18.85546875" bestFit="1" customWidth="1"/>
    <col min="54" max="54" width="0" hidden="1" customWidth="1"/>
    <col min="55" max="55" width="21.42578125" bestFit="1" customWidth="1"/>
    <col min="56" max="56" width="0" hidden="1" customWidth="1"/>
    <col min="57" max="57" width="21.42578125" bestFit="1" customWidth="1"/>
    <col min="58" max="58" width="9.140625" hidden="1" customWidth="1"/>
    <col min="59" max="59" width="21.42578125" bestFit="1" customWidth="1"/>
  </cols>
  <sheetData>
    <row r="1" spans="2:67" x14ac:dyDescent="0.25">
      <c r="B1" s="12"/>
      <c r="C1" s="12"/>
      <c r="D1" s="40" t="s">
        <v>188</v>
      </c>
      <c r="E1" s="40"/>
      <c r="F1" s="40" t="s">
        <v>189</v>
      </c>
      <c r="G1" s="40"/>
      <c r="H1" s="40" t="s">
        <v>241</v>
      </c>
      <c r="I1" s="40"/>
      <c r="J1" s="40" t="s">
        <v>190</v>
      </c>
      <c r="K1" s="12"/>
      <c r="L1" s="40" t="s">
        <v>236</v>
      </c>
      <c r="M1" s="12"/>
      <c r="N1" s="40" t="s">
        <v>191</v>
      </c>
      <c r="O1" s="40"/>
      <c r="P1" s="40" t="s">
        <v>363</v>
      </c>
      <c r="Q1" s="40"/>
      <c r="R1" s="40" t="s">
        <v>192</v>
      </c>
      <c r="S1" s="40"/>
      <c r="T1" s="40" t="s">
        <v>193</v>
      </c>
      <c r="U1" s="40"/>
      <c r="V1" s="40" t="s">
        <v>387</v>
      </c>
      <c r="W1" s="12"/>
      <c r="X1" s="40" t="s">
        <v>235</v>
      </c>
      <c r="Y1" s="12"/>
      <c r="Z1" s="40" t="s">
        <v>194</v>
      </c>
      <c r="AA1" s="12"/>
      <c r="AB1" s="40"/>
      <c r="AC1" s="12"/>
      <c r="AD1" s="40" t="s">
        <v>195</v>
      </c>
      <c r="AE1" s="12"/>
      <c r="AF1" s="40" t="s">
        <v>196</v>
      </c>
      <c r="AG1" s="12"/>
      <c r="AH1" s="40" t="s">
        <v>234</v>
      </c>
      <c r="AI1" s="40"/>
      <c r="AJ1" s="12"/>
      <c r="AK1" s="40" t="s">
        <v>330</v>
      </c>
      <c r="AL1" s="40"/>
      <c r="AM1" s="40" t="s">
        <v>331</v>
      </c>
      <c r="AN1" s="40"/>
      <c r="AO1" s="40" t="s">
        <v>332</v>
      </c>
      <c r="AP1" s="40"/>
      <c r="AQ1" s="40" t="s">
        <v>333</v>
      </c>
      <c r="AR1" s="12"/>
      <c r="AS1" s="40" t="s">
        <v>334</v>
      </c>
      <c r="AT1" s="12"/>
      <c r="AU1" s="40" t="s">
        <v>335</v>
      </c>
      <c r="AV1" s="40"/>
      <c r="AW1" s="40" t="s">
        <v>336</v>
      </c>
      <c r="AX1" s="40"/>
      <c r="AY1" s="40" t="s">
        <v>337</v>
      </c>
      <c r="AZ1" s="40"/>
      <c r="BA1" s="40" t="s">
        <v>326</v>
      </c>
      <c r="BB1" s="40"/>
      <c r="BC1" s="40" t="s">
        <v>338</v>
      </c>
      <c r="BD1" s="12"/>
      <c r="BE1" s="40" t="s">
        <v>339</v>
      </c>
      <c r="BF1" s="12"/>
      <c r="BG1" s="40" t="s">
        <v>340</v>
      </c>
      <c r="BH1" s="12"/>
      <c r="BI1" s="40" t="s">
        <v>341</v>
      </c>
      <c r="BJ1" s="12"/>
      <c r="BK1" s="40"/>
      <c r="BL1" s="12"/>
      <c r="BM1" s="40"/>
      <c r="BN1" s="12"/>
      <c r="BO1" s="40"/>
    </row>
    <row r="2" spans="2:67" x14ac:dyDescent="0.25">
      <c r="B2" t="s">
        <v>0</v>
      </c>
      <c r="D2" s="37" t="s">
        <v>166</v>
      </c>
      <c r="E2" s="37"/>
      <c r="F2" s="37" t="s">
        <v>166</v>
      </c>
      <c r="G2" s="37"/>
      <c r="H2" s="37" t="s">
        <v>254</v>
      </c>
      <c r="I2" s="37"/>
      <c r="J2" s="37" t="s">
        <v>166</v>
      </c>
      <c r="K2" s="37"/>
      <c r="L2" s="37" t="s">
        <v>238</v>
      </c>
      <c r="M2" s="37"/>
      <c r="N2" s="37" t="s">
        <v>213</v>
      </c>
      <c r="O2" s="37"/>
      <c r="P2" s="37" t="s">
        <v>166</v>
      </c>
      <c r="Q2" s="37"/>
      <c r="R2" s="37" t="s">
        <v>216</v>
      </c>
      <c r="S2" s="37"/>
      <c r="T2" s="37" t="s">
        <v>213</v>
      </c>
      <c r="U2" s="37"/>
      <c r="V2" s="37" t="s">
        <v>346</v>
      </c>
      <c r="W2" s="37"/>
      <c r="X2" s="37" t="s">
        <v>228</v>
      </c>
      <c r="Y2" s="37"/>
      <c r="Z2" s="37" t="s">
        <v>223</v>
      </c>
      <c r="AA2" s="37"/>
      <c r="AB2" s="37"/>
      <c r="AC2" s="37"/>
      <c r="AD2" s="37" t="s">
        <v>351</v>
      </c>
      <c r="AE2" s="37"/>
      <c r="AF2" s="37" t="s">
        <v>228</v>
      </c>
      <c r="AG2" s="37"/>
      <c r="AH2" s="37" t="s">
        <v>223</v>
      </c>
      <c r="AI2" s="37"/>
      <c r="AK2" s="37" t="s">
        <v>100</v>
      </c>
      <c r="AL2" s="37"/>
      <c r="AM2" s="37" t="s">
        <v>350</v>
      </c>
      <c r="AN2" s="37"/>
      <c r="AO2" s="37" t="s">
        <v>349</v>
      </c>
      <c r="AP2" s="37"/>
      <c r="AQ2" s="37" t="s">
        <v>92</v>
      </c>
      <c r="AR2" s="37"/>
      <c r="AS2" s="37" t="s">
        <v>347</v>
      </c>
      <c r="AT2" s="37"/>
      <c r="AU2" s="37" t="s">
        <v>343</v>
      </c>
      <c r="AV2" s="37"/>
      <c r="AW2" s="37"/>
      <c r="AX2" s="37"/>
      <c r="AY2" s="37"/>
      <c r="AZ2" s="37"/>
      <c r="BA2" s="37" t="s">
        <v>139</v>
      </c>
      <c r="BB2" s="37"/>
      <c r="BC2" s="37" t="s">
        <v>346</v>
      </c>
      <c r="BD2" s="37"/>
      <c r="BE2" s="37" t="s">
        <v>107</v>
      </c>
      <c r="BF2" s="37"/>
      <c r="BG2" s="37" t="s">
        <v>345</v>
      </c>
      <c r="BH2" s="37"/>
      <c r="BI2" s="37"/>
      <c r="BJ2" s="37"/>
      <c r="BK2" s="37"/>
      <c r="BL2" s="37"/>
      <c r="BM2" s="37"/>
      <c r="BN2" s="37"/>
      <c r="BO2" s="37"/>
    </row>
    <row r="3" spans="2:67" x14ac:dyDescent="0.25">
      <c r="B3" t="s">
        <v>1</v>
      </c>
      <c r="D3" s="37" t="s">
        <v>197</v>
      </c>
      <c r="E3" s="37"/>
      <c r="F3" s="37" t="s">
        <v>203</v>
      </c>
      <c r="G3" s="37"/>
      <c r="H3" s="37" t="s">
        <v>255</v>
      </c>
      <c r="I3" s="37"/>
      <c r="J3" s="37" t="s">
        <v>211</v>
      </c>
      <c r="K3" s="37"/>
      <c r="L3" s="37" t="s">
        <v>239</v>
      </c>
      <c r="M3" s="37"/>
      <c r="N3" s="37" t="s">
        <v>214</v>
      </c>
      <c r="O3" s="37"/>
      <c r="P3" s="37" t="s">
        <v>364</v>
      </c>
      <c r="Q3" s="37"/>
      <c r="R3" s="37" t="s">
        <v>217</v>
      </c>
      <c r="S3" s="37"/>
      <c r="T3" s="37" t="s">
        <v>221</v>
      </c>
      <c r="U3" s="37"/>
      <c r="V3" s="37" t="s">
        <v>388</v>
      </c>
      <c r="W3" s="37"/>
      <c r="X3" s="37" t="s">
        <v>256</v>
      </c>
      <c r="Y3" s="37"/>
      <c r="Z3" s="37" t="s">
        <v>224</v>
      </c>
      <c r="AA3" s="37"/>
      <c r="AB3" s="37"/>
      <c r="AC3" s="37"/>
      <c r="AD3" s="37" t="s">
        <v>226</v>
      </c>
      <c r="AE3" s="37"/>
      <c r="AF3" s="37" t="s">
        <v>229</v>
      </c>
      <c r="AG3" s="37"/>
      <c r="AH3" s="37" t="s">
        <v>232</v>
      </c>
      <c r="AI3" s="37"/>
      <c r="AK3" s="37" t="s">
        <v>352</v>
      </c>
      <c r="AL3" s="37"/>
      <c r="AM3" s="37"/>
      <c r="AN3" s="37"/>
      <c r="AO3" s="37"/>
      <c r="AP3" s="37"/>
      <c r="AQ3" s="37" t="s">
        <v>128</v>
      </c>
      <c r="AR3" s="37"/>
      <c r="AS3" s="37" t="s">
        <v>120</v>
      </c>
      <c r="AT3" s="37"/>
      <c r="AU3" s="37" t="s">
        <v>344</v>
      </c>
      <c r="AV3" s="37"/>
      <c r="AW3" s="37"/>
      <c r="AX3" s="37"/>
      <c r="AY3" s="37"/>
      <c r="AZ3" s="37"/>
      <c r="BA3" s="37" t="s">
        <v>328</v>
      </c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</row>
    <row r="4" spans="2:67" hidden="1" outlineLevel="1" x14ac:dyDescent="0.25">
      <c r="D4" s="37" t="s">
        <v>95</v>
      </c>
      <c r="E4" s="37"/>
      <c r="F4" s="37" t="s">
        <v>95</v>
      </c>
      <c r="G4" s="37"/>
      <c r="H4" s="37" t="s">
        <v>95</v>
      </c>
      <c r="I4" s="37"/>
      <c r="J4" s="37" t="s">
        <v>95</v>
      </c>
      <c r="K4" s="37"/>
      <c r="L4" s="37" t="s">
        <v>95</v>
      </c>
      <c r="M4" s="37"/>
      <c r="N4" s="37" t="s">
        <v>95</v>
      </c>
      <c r="O4" s="37"/>
      <c r="P4" s="37" t="s">
        <v>95</v>
      </c>
      <c r="Q4" s="37"/>
      <c r="R4" s="37" t="s">
        <v>95</v>
      </c>
      <c r="S4" s="37"/>
      <c r="T4" s="37" t="s">
        <v>95</v>
      </c>
      <c r="U4" s="37"/>
      <c r="V4" s="37" t="s">
        <v>95</v>
      </c>
      <c r="W4" s="37"/>
      <c r="X4" s="37" t="s">
        <v>95</v>
      </c>
      <c r="Y4" s="37"/>
      <c r="Z4" s="37" t="s">
        <v>95</v>
      </c>
      <c r="AA4" s="37"/>
      <c r="AB4" s="37"/>
      <c r="AC4" s="37"/>
      <c r="AD4" s="37" t="s">
        <v>95</v>
      </c>
      <c r="AE4" s="37"/>
      <c r="AF4" s="37" t="s">
        <v>95</v>
      </c>
      <c r="AG4" s="37"/>
      <c r="AH4" s="37" t="s">
        <v>95</v>
      </c>
      <c r="AI4" s="37"/>
      <c r="AK4" s="37" t="s">
        <v>95</v>
      </c>
      <c r="AL4" s="37"/>
      <c r="AM4" s="37" t="s">
        <v>95</v>
      </c>
      <c r="AN4" s="37"/>
      <c r="AO4" s="37" t="s">
        <v>95</v>
      </c>
      <c r="AP4" s="37"/>
      <c r="AQ4" s="37" t="s">
        <v>95</v>
      </c>
      <c r="AR4" s="37"/>
      <c r="AS4" s="37" t="s">
        <v>95</v>
      </c>
      <c r="AT4" s="37"/>
      <c r="AU4" s="37" t="s">
        <v>95</v>
      </c>
      <c r="AV4" s="37"/>
      <c r="AW4" s="37" t="s">
        <v>95</v>
      </c>
      <c r="AX4" s="37"/>
      <c r="AY4" s="37"/>
      <c r="AZ4" s="37"/>
      <c r="BA4" s="37" t="s">
        <v>95</v>
      </c>
      <c r="BB4" s="37"/>
      <c r="BC4" s="37" t="s">
        <v>95</v>
      </c>
      <c r="BD4" s="37"/>
      <c r="BE4" s="37" t="s">
        <v>95</v>
      </c>
      <c r="BF4" s="37"/>
      <c r="BG4" s="37" t="s">
        <v>95</v>
      </c>
      <c r="BH4" s="37"/>
      <c r="BI4" s="37"/>
      <c r="BJ4" s="37"/>
      <c r="BK4" s="37" t="s">
        <v>95</v>
      </c>
      <c r="BL4" s="37"/>
      <c r="BM4" s="37" t="s">
        <v>95</v>
      </c>
      <c r="BN4" s="37"/>
      <c r="BO4" s="37" t="s">
        <v>95</v>
      </c>
    </row>
    <row r="5" spans="2:67" collapsed="1" x14ac:dyDescent="0.25">
      <c r="B5" t="s">
        <v>89</v>
      </c>
      <c r="C5" t="s">
        <v>198</v>
      </c>
      <c r="D5" s="41">
        <f>_xll.BDP(C5,D4)</f>
        <v>110.402</v>
      </c>
      <c r="E5" s="41" t="s">
        <v>204</v>
      </c>
      <c r="F5" s="41">
        <f>_xll.BDP(E5,F4)</f>
        <v>87.947000000000003</v>
      </c>
      <c r="G5" s="41" t="s">
        <v>253</v>
      </c>
      <c r="H5" s="41">
        <f>_xll.BDP(G5,H4)</f>
        <v>107.152</v>
      </c>
      <c r="I5" s="41" t="s">
        <v>212</v>
      </c>
      <c r="J5" s="41">
        <f>_xll.BDP(I5,J4)</f>
        <v>99.375</v>
      </c>
      <c r="K5" s="39" t="s">
        <v>240</v>
      </c>
      <c r="L5" s="41">
        <f>_xll.BDP(K5,L4)</f>
        <v>102.545</v>
      </c>
      <c r="M5" s="39" t="s">
        <v>215</v>
      </c>
      <c r="N5" s="41">
        <f>_xll.BDP(M5,N4)</f>
        <v>107.438</v>
      </c>
      <c r="O5" s="41" t="s">
        <v>365</v>
      </c>
      <c r="P5" s="41">
        <f>_xll.BDP(O5,P4)</f>
        <v>109.84399999999999</v>
      </c>
      <c r="Q5" s="41" t="s">
        <v>218</v>
      </c>
      <c r="R5" s="41">
        <f>_xll.BDP(Q5,R4)</f>
        <v>105.845</v>
      </c>
      <c r="S5" s="41" t="s">
        <v>222</v>
      </c>
      <c r="T5" s="41">
        <f>_xll.BDP(S5,T4)</f>
        <v>110.59699999999999</v>
      </c>
      <c r="U5" s="41" t="s">
        <v>389</v>
      </c>
      <c r="V5" s="41">
        <f>_xll.BDP(U5,V4)</f>
        <v>106.07899999999999</v>
      </c>
      <c r="W5" s="39" t="s">
        <v>257</v>
      </c>
      <c r="X5" s="41">
        <f>_xll.BDP(W5,X4)</f>
        <v>106.288</v>
      </c>
      <c r="Y5" s="39" t="s">
        <v>225</v>
      </c>
      <c r="Z5" s="41">
        <f>_xll.BDP(Y5,Z4)</f>
        <v>104.383</v>
      </c>
      <c r="AA5" s="39" t="s">
        <v>259</v>
      </c>
      <c r="AB5" s="41"/>
      <c r="AC5" s="39" t="s">
        <v>227</v>
      </c>
      <c r="AD5" s="41">
        <f>_xll.BDP(AC5,AD4)</f>
        <v>106.461</v>
      </c>
      <c r="AE5" s="39" t="s">
        <v>230</v>
      </c>
      <c r="AF5" s="41">
        <f>_xll.BDP(AE5,AF4)</f>
        <v>101.70699999999999</v>
      </c>
      <c r="AG5" s="39" t="s">
        <v>233</v>
      </c>
      <c r="AH5" s="41">
        <f>_xll.BDP(AG5,AH4)</f>
        <v>99.638999999999996</v>
      </c>
      <c r="AI5" s="41"/>
      <c r="AJ5" t="s">
        <v>353</v>
      </c>
      <c r="AK5" s="41">
        <f>_xll.BDP(AJ5,AK4)</f>
        <v>101.642</v>
      </c>
      <c r="AL5" s="41"/>
      <c r="AM5" s="41" t="str">
        <f>_xll.BDP(AL5,AM4)</f>
        <v>#N/A Invalid Security</v>
      </c>
      <c r="AN5" s="41"/>
      <c r="AO5" s="41" t="str">
        <f>_xll.BDP(AN5,AO4)</f>
        <v>#N/A Invalid Security</v>
      </c>
      <c r="AP5" s="41" t="s">
        <v>348</v>
      </c>
      <c r="AQ5" s="41">
        <f>_xll.BDP(AP5,AQ4)</f>
        <v>101.247</v>
      </c>
      <c r="AR5" s="39" t="s">
        <v>354</v>
      </c>
      <c r="AS5" s="41">
        <f>_xll.BDP(AR5,AS4)</f>
        <v>104.804</v>
      </c>
      <c r="AT5" s="39" t="s">
        <v>342</v>
      </c>
      <c r="AU5" s="41">
        <f>_xll.BDP(AT5,AU4)</f>
        <v>99.814999999999998</v>
      </c>
      <c r="AV5" s="41" t="s">
        <v>113</v>
      </c>
      <c r="AW5" s="41">
        <f>_xll.BDP(AV5,AW4)</f>
        <v>103.779</v>
      </c>
      <c r="AX5" s="41" t="s">
        <v>327</v>
      </c>
      <c r="AY5" s="41" t="str">
        <f>_xll.BDP(AX5,AY4)</f>
        <v>#N/A Invalid Field</v>
      </c>
      <c r="AZ5" s="41" t="s">
        <v>327</v>
      </c>
      <c r="BA5" s="41">
        <f>_xll.BDP(AZ5,BA4)</f>
        <v>101.71599999999999</v>
      </c>
      <c r="BB5" s="41"/>
      <c r="BC5" s="41" t="str">
        <f>_xll.BDP(BB5,BC4)</f>
        <v>#N/A Invalid Security</v>
      </c>
      <c r="BD5" s="39"/>
      <c r="BE5" s="41" t="str">
        <f>_xll.BDP(BD5,BE4)</f>
        <v>#N/A Invalid Security</v>
      </c>
      <c r="BF5" s="39" t="s">
        <v>355</v>
      </c>
      <c r="BG5" s="41">
        <f>_xll.BDP(BF5,BG4)</f>
        <v>102.364</v>
      </c>
      <c r="BH5" s="39"/>
      <c r="BI5" s="41"/>
      <c r="BJ5" s="39" t="s">
        <v>227</v>
      </c>
      <c r="BK5" s="41">
        <f>_xll.BDP(BJ5,BK4)</f>
        <v>106.461</v>
      </c>
      <c r="BL5" s="39" t="s">
        <v>230</v>
      </c>
      <c r="BM5" s="41">
        <f>_xll.BDP(BL5,BM4)</f>
        <v>101.70699999999999</v>
      </c>
      <c r="BN5" s="39" t="s">
        <v>233</v>
      </c>
      <c r="BO5" s="41">
        <f>_xll.BDP(BN5,BO4)</f>
        <v>99.638999999999996</v>
      </c>
    </row>
    <row r="6" spans="2:67" hidden="1" outlineLevel="1" x14ac:dyDescent="0.25">
      <c r="D6" s="41" t="s">
        <v>160</v>
      </c>
      <c r="E6" s="41"/>
      <c r="F6" s="41" t="s">
        <v>160</v>
      </c>
      <c r="G6" s="41"/>
      <c r="H6" s="41" t="s">
        <v>160</v>
      </c>
      <c r="I6" s="41"/>
      <c r="J6" s="41" t="s">
        <v>160</v>
      </c>
      <c r="K6" s="39"/>
      <c r="L6" s="41" t="s">
        <v>160</v>
      </c>
      <c r="M6" s="39"/>
      <c r="N6" s="41" t="s">
        <v>160</v>
      </c>
      <c r="O6" s="41"/>
      <c r="P6" s="41" t="s">
        <v>160</v>
      </c>
      <c r="Q6" s="41"/>
      <c r="R6" s="41" t="s">
        <v>160</v>
      </c>
      <c r="S6" s="41"/>
      <c r="T6" s="41" t="s">
        <v>160</v>
      </c>
      <c r="U6" s="41"/>
      <c r="V6" s="41" t="s">
        <v>160</v>
      </c>
      <c r="W6" s="39"/>
      <c r="X6" s="41" t="s">
        <v>160</v>
      </c>
      <c r="Y6" s="39"/>
      <c r="Z6" s="41" t="s">
        <v>160</v>
      </c>
      <c r="AA6" s="39"/>
      <c r="AB6" s="41"/>
      <c r="AC6" s="39"/>
      <c r="AD6" s="41" t="s">
        <v>160</v>
      </c>
      <c r="AE6" s="39"/>
      <c r="AF6" s="41" t="s">
        <v>160</v>
      </c>
      <c r="AG6" s="39"/>
      <c r="AH6" s="41" t="s">
        <v>160</v>
      </c>
      <c r="AI6" s="41"/>
      <c r="AK6" s="39" t="s">
        <v>96</v>
      </c>
      <c r="AL6" s="41"/>
      <c r="AM6" s="41" t="s">
        <v>160</v>
      </c>
      <c r="AN6" s="41"/>
      <c r="AO6" s="41" t="s">
        <v>160</v>
      </c>
      <c r="AP6" s="41"/>
      <c r="AQ6" s="39" t="s">
        <v>96</v>
      </c>
      <c r="AR6" s="39"/>
      <c r="AS6" s="39" t="s">
        <v>96</v>
      </c>
      <c r="AT6" s="39"/>
      <c r="AU6" s="39" t="s">
        <v>96</v>
      </c>
      <c r="AV6" s="41"/>
      <c r="AW6" s="41" t="s">
        <v>160</v>
      </c>
      <c r="AX6" s="41"/>
      <c r="AY6" s="41" t="s">
        <v>160</v>
      </c>
      <c r="AZ6" s="41"/>
      <c r="BA6" s="39" t="s">
        <v>96</v>
      </c>
      <c r="BB6" s="41"/>
      <c r="BC6" s="41" t="s">
        <v>160</v>
      </c>
      <c r="BD6" s="39"/>
      <c r="BE6" s="41" t="s">
        <v>160</v>
      </c>
      <c r="BF6" s="39"/>
      <c r="BG6" s="41" t="s">
        <v>160</v>
      </c>
      <c r="BH6" s="39"/>
      <c r="BI6" s="41"/>
      <c r="BJ6" s="39"/>
      <c r="BK6" s="41" t="s">
        <v>160</v>
      </c>
      <c r="BL6" s="39"/>
      <c r="BM6" s="41" t="s">
        <v>160</v>
      </c>
      <c r="BN6" s="39"/>
      <c r="BO6" s="41" t="s">
        <v>160</v>
      </c>
    </row>
    <row r="7" spans="2:67" collapsed="1" x14ac:dyDescent="0.25">
      <c r="B7" t="s">
        <v>219</v>
      </c>
      <c r="C7" t="str">
        <f>+C5</f>
        <v>lw1068706 corp</v>
      </c>
      <c r="D7" s="41">
        <f>_xll.BDP(C7,D6)</f>
        <v>223.20478292534901</v>
      </c>
      <c r="E7" s="41" t="str">
        <f>+E5</f>
        <v>ap9675491 corp</v>
      </c>
      <c r="F7" s="41">
        <f>_xll.BDP(E7,F6)</f>
        <v>397.16738941877799</v>
      </c>
      <c r="G7" s="41" t="str">
        <f>+G5</f>
        <v>jk8194108 corp</v>
      </c>
      <c r="H7" s="41">
        <f>_xll.BDP(G7,H6)</f>
        <v>123.557596643037</v>
      </c>
      <c r="I7" s="41" t="str">
        <f>+I5</f>
        <v>am7613012 corp</v>
      </c>
      <c r="J7" s="41">
        <f>_xll.BDP(I7,J6)</f>
        <v>252.33311205070399</v>
      </c>
      <c r="K7" s="39" t="str">
        <f>+K5</f>
        <v>ao1405585 corp</v>
      </c>
      <c r="L7" s="41">
        <f>_xll.BDP(K7,L6)</f>
        <v>133.78660716648599</v>
      </c>
      <c r="M7" s="39" t="str">
        <f>+M5</f>
        <v>au8143607 corp</v>
      </c>
      <c r="N7" s="41">
        <f>_xll.BDP(M7,N6)</f>
        <v>116.66000623133201</v>
      </c>
      <c r="O7" s="41" t="str">
        <f>+O5</f>
        <v>ax8689231 corp</v>
      </c>
      <c r="P7" s="41">
        <f>_xll.BDP(O7,P6)</f>
        <v>203.308535888075</v>
      </c>
      <c r="Q7" s="41" t="str">
        <f>+Q5</f>
        <v>ek6237607 corp</v>
      </c>
      <c r="R7" s="41">
        <f>_xll.BDP(Q7,R6)</f>
        <v>128.368252576711</v>
      </c>
      <c r="S7" s="41" t="str">
        <f>+S5</f>
        <v>jk2126734 corp</v>
      </c>
      <c r="T7" s="41">
        <f>_xll.BDP(S7,T6)</f>
        <v>125.760329327318</v>
      </c>
      <c r="U7" s="41" t="str">
        <f>+U5</f>
        <v>ao5019374 corp</v>
      </c>
      <c r="V7" s="41">
        <f>_xll.BDP(U7,V6)</f>
        <v>195.14895408030799</v>
      </c>
      <c r="W7" s="39" t="str">
        <f>+W5</f>
        <v>at2061758 corp</v>
      </c>
      <c r="X7" s="41">
        <f>_xll.BDP(W7,X6)</f>
        <v>168.708237827056</v>
      </c>
      <c r="Y7" s="39" t="str">
        <f>+Y5</f>
        <v>al2939414 corp</v>
      </c>
      <c r="Z7" s="41">
        <f>_xll.BDP(Y7,Z6)</f>
        <v>184.15802233148801</v>
      </c>
      <c r="AA7" s="39" t="str">
        <f>+AA5</f>
        <v>aq7078274 corp</v>
      </c>
      <c r="AB7" s="41"/>
      <c r="AC7" s="39" t="str">
        <f>+AC5</f>
        <v>as5051345 corp</v>
      </c>
      <c r="AD7" s="41">
        <f>_xll.BDP(AC7,AD6)</f>
        <v>136.63997262423101</v>
      </c>
      <c r="AE7" s="39" t="str">
        <f>+AE5</f>
        <v>an8093246 corp</v>
      </c>
      <c r="AF7" s="41">
        <f>_xll.BDP(AE7,AF6)</f>
        <v>151.37970325962399</v>
      </c>
      <c r="AG7" s="39" t="str">
        <f>+AG5</f>
        <v>at9556495 corp</v>
      </c>
      <c r="AH7" s="41">
        <f>_xll.BDP(AG7,AH6)</f>
        <v>277.057834497942</v>
      </c>
      <c r="AI7" s="41"/>
      <c r="AJ7" t="str">
        <f>+AJ5</f>
        <v>ax3484406 corp</v>
      </c>
      <c r="AK7" s="54">
        <f>_xll.BDP(AJ7,AK6)</f>
        <v>5.4169159100000002</v>
      </c>
      <c r="AL7" s="41"/>
      <c r="AM7" s="41" t="str">
        <f>_xll.BDP(AL7,AM6)</f>
        <v>#N/A Invalid Security</v>
      </c>
      <c r="AN7" s="41"/>
      <c r="AO7" s="41" t="str">
        <f>_xll.BDP(AN7,AO6)</f>
        <v>#N/A Invalid Security</v>
      </c>
      <c r="AP7" s="41" t="str">
        <f>+AP5</f>
        <v>aO0405131 corp</v>
      </c>
      <c r="AQ7" s="54">
        <f>_xll.BDP(AP7,AQ6)</f>
        <v>5.3017377200000002</v>
      </c>
      <c r="AR7" s="39" t="str">
        <f>+AR5</f>
        <v>at5412909 corp</v>
      </c>
      <c r="AS7" s="54">
        <f>_xll.BDP(AR7,AS6)</f>
        <v>4.4036213899999996</v>
      </c>
      <c r="AT7" s="39" t="str">
        <f>+AT5</f>
        <v>lw8414374 corp</v>
      </c>
      <c r="AU7" s="54">
        <f>_xll.BDP(AT7,AU6)</f>
        <v>4.8978344992562723</v>
      </c>
      <c r="AV7" s="41" t="str">
        <f>+AV5</f>
        <v>AL7282349 corp</v>
      </c>
      <c r="AW7" s="41">
        <f>_xll.BDP(AV7,AW6)</f>
        <v>67.740368901521805</v>
      </c>
      <c r="AX7" s="41" t="str">
        <f>+AX5</f>
        <v>qz6591072 corp</v>
      </c>
      <c r="AY7" s="41">
        <f>_xll.BDP(AX7,AY6)</f>
        <v>279.05278431763497</v>
      </c>
      <c r="AZ7" s="41" t="str">
        <f>+AZ5</f>
        <v>qz6591072 corp</v>
      </c>
      <c r="BA7" s="41">
        <f>_xll.BDP(AZ7,BA6)</f>
        <v>5.0633591300000003</v>
      </c>
      <c r="BB7" s="41"/>
      <c r="BC7" s="41" t="str">
        <f>_xll.BDP(BB7,BC6)</f>
        <v>#N/A Invalid Security</v>
      </c>
      <c r="BD7" s="39"/>
      <c r="BE7" s="41" t="str">
        <f>_xll.BDP(BD7,BE6)</f>
        <v>#N/A Invalid Security</v>
      </c>
      <c r="BF7" s="39" t="str">
        <f>+BF5</f>
        <v>av0291246 corp</v>
      </c>
      <c r="BG7" s="41">
        <f>_xll.BDP(BF7,BG6)</f>
        <v>258.656615511729</v>
      </c>
      <c r="BH7" s="39"/>
      <c r="BI7" s="41"/>
      <c r="BJ7" s="39" t="str">
        <f>+BJ5</f>
        <v>as5051345 corp</v>
      </c>
      <c r="BK7" s="41">
        <f>_xll.BDP(BJ7,BK6)</f>
        <v>136.63997262423101</v>
      </c>
      <c r="BL7" s="39" t="str">
        <f>+BL5</f>
        <v>an8093246 corp</v>
      </c>
      <c r="BM7" s="41">
        <f>_xll.BDP(BL7,BM6)</f>
        <v>151.37970325962399</v>
      </c>
      <c r="BN7" s="39" t="str">
        <f>+BN5</f>
        <v>at9556495 corp</v>
      </c>
      <c r="BO7" s="41">
        <f>_xll.BDP(BN7,BO6)</f>
        <v>277.057834497942</v>
      </c>
    </row>
    <row r="8" spans="2:67" x14ac:dyDescent="0.25">
      <c r="B8" t="s">
        <v>245</v>
      </c>
      <c r="D8" s="8">
        <v>3</v>
      </c>
      <c r="E8" s="8"/>
      <c r="F8" s="8">
        <v>3</v>
      </c>
      <c r="G8" s="8"/>
      <c r="H8" s="8"/>
      <c r="I8" s="8"/>
      <c r="J8" s="8">
        <v>2</v>
      </c>
      <c r="K8" s="8"/>
      <c r="L8" s="8">
        <v>2</v>
      </c>
      <c r="M8" s="8"/>
      <c r="N8" s="8">
        <v>1</v>
      </c>
      <c r="O8" s="4"/>
      <c r="P8" s="4"/>
      <c r="Q8" s="4"/>
      <c r="R8" s="8">
        <v>1</v>
      </c>
      <c r="S8" s="4"/>
      <c r="T8" s="8">
        <v>3</v>
      </c>
      <c r="U8" s="8"/>
      <c r="V8" s="8"/>
      <c r="W8" s="4"/>
      <c r="X8" s="8">
        <v>3</v>
      </c>
      <c r="Y8" s="4"/>
      <c r="Z8" s="8">
        <v>2</v>
      </c>
      <c r="AA8" s="4"/>
      <c r="AB8" s="8"/>
      <c r="AC8" s="8"/>
      <c r="AD8" s="8">
        <v>3</v>
      </c>
      <c r="AE8" s="8"/>
      <c r="AF8" s="8">
        <v>2</v>
      </c>
      <c r="AG8" s="8"/>
      <c r="AH8" s="8">
        <v>2</v>
      </c>
      <c r="AI8" s="8"/>
      <c r="AK8" s="8">
        <v>3</v>
      </c>
      <c r="AL8" s="8"/>
      <c r="AM8" s="8">
        <v>3</v>
      </c>
      <c r="AN8" s="8"/>
      <c r="AO8" s="8"/>
      <c r="AP8" s="8"/>
      <c r="AQ8" s="8"/>
      <c r="AR8" s="8"/>
      <c r="AS8" s="8">
        <v>2</v>
      </c>
      <c r="AT8" s="8"/>
      <c r="AU8" s="8"/>
      <c r="AV8" s="4"/>
      <c r="AW8" s="4"/>
      <c r="AX8" s="4"/>
      <c r="AY8" s="4"/>
      <c r="AZ8" s="4"/>
      <c r="BA8" s="8"/>
      <c r="BB8" s="4"/>
      <c r="BC8" s="8">
        <v>3</v>
      </c>
      <c r="BD8" s="4"/>
      <c r="BE8" s="8">
        <v>3</v>
      </c>
      <c r="BF8" s="4"/>
      <c r="BG8" s="8">
        <v>2</v>
      </c>
      <c r="BH8" s="4"/>
      <c r="BI8" s="8"/>
      <c r="BJ8" s="8"/>
      <c r="BK8" s="8">
        <v>3</v>
      </c>
      <c r="BL8" s="8"/>
      <c r="BM8" s="8">
        <v>2</v>
      </c>
      <c r="BN8" s="8"/>
      <c r="BO8" s="8">
        <v>2</v>
      </c>
    </row>
    <row r="9" spans="2:67" x14ac:dyDescent="0.25">
      <c r="B9" s="12" t="s">
        <v>2</v>
      </c>
      <c r="C9" s="12"/>
      <c r="D9" s="18">
        <v>43465</v>
      </c>
      <c r="E9" s="18"/>
      <c r="F9" s="18">
        <v>43465</v>
      </c>
      <c r="G9" s="18"/>
      <c r="H9" s="18">
        <v>43465</v>
      </c>
      <c r="I9" s="18"/>
      <c r="J9" s="18">
        <v>43465</v>
      </c>
      <c r="K9" s="18"/>
      <c r="L9" s="42" t="s">
        <v>237</v>
      </c>
      <c r="M9" s="18"/>
      <c r="N9" s="18">
        <v>43465</v>
      </c>
      <c r="O9" s="18"/>
      <c r="P9" s="18">
        <v>43465</v>
      </c>
      <c r="Q9" s="18"/>
      <c r="R9" s="18">
        <v>43465</v>
      </c>
      <c r="S9" s="18"/>
      <c r="T9" s="18">
        <v>43465</v>
      </c>
      <c r="U9" s="18"/>
      <c r="V9" s="18">
        <v>43465</v>
      </c>
      <c r="W9" s="18"/>
      <c r="X9" s="18">
        <v>43465</v>
      </c>
      <c r="Y9" s="18"/>
      <c r="Z9" s="18">
        <v>43465</v>
      </c>
      <c r="AA9" s="18"/>
      <c r="AB9" s="18"/>
      <c r="AC9" s="18"/>
      <c r="AD9" s="18">
        <v>43465</v>
      </c>
      <c r="AE9" s="18"/>
      <c r="AF9" s="18">
        <v>43465</v>
      </c>
      <c r="AG9" s="18"/>
      <c r="AH9" s="18">
        <v>43465</v>
      </c>
      <c r="AI9" s="18"/>
      <c r="AJ9" s="12"/>
      <c r="AK9" s="18">
        <v>43465</v>
      </c>
      <c r="AL9" s="18"/>
      <c r="AM9" s="18">
        <v>43465</v>
      </c>
      <c r="AN9" s="18"/>
      <c r="AO9" s="18">
        <v>43465</v>
      </c>
      <c r="AP9" s="18"/>
      <c r="AQ9" s="18">
        <v>43465</v>
      </c>
      <c r="AR9" s="18"/>
      <c r="AS9" s="42">
        <v>43465</v>
      </c>
      <c r="AT9" s="18"/>
      <c r="AU9" s="18">
        <v>43465</v>
      </c>
      <c r="AV9" s="18"/>
      <c r="AW9" s="18">
        <v>43465</v>
      </c>
      <c r="AX9" s="18"/>
      <c r="AY9" s="18">
        <v>43465</v>
      </c>
      <c r="AZ9" s="18"/>
      <c r="BA9" s="18">
        <v>43465</v>
      </c>
      <c r="BB9" s="18"/>
      <c r="BC9" s="18">
        <v>43465</v>
      </c>
      <c r="BD9" s="18"/>
      <c r="BE9" s="18">
        <v>43465</v>
      </c>
      <c r="BF9" s="18"/>
      <c r="BG9" s="18">
        <v>43465</v>
      </c>
      <c r="BH9" s="18"/>
      <c r="BI9" s="18"/>
      <c r="BJ9" s="18"/>
      <c r="BK9" s="18">
        <v>43465</v>
      </c>
      <c r="BL9" s="18"/>
      <c r="BM9" s="18">
        <v>43465</v>
      </c>
      <c r="BN9" s="18"/>
      <c r="BO9" s="18">
        <v>43465</v>
      </c>
    </row>
    <row r="10" spans="2:67" x14ac:dyDescent="0.25">
      <c r="B10" t="s">
        <v>3</v>
      </c>
      <c r="D10" s="7">
        <v>1223.7</v>
      </c>
      <c r="E10" s="7"/>
      <c r="F10" s="7">
        <v>4108.2749999999996</v>
      </c>
      <c r="G10" s="7"/>
      <c r="H10" s="7"/>
      <c r="I10" s="7"/>
      <c r="J10" s="7">
        <v>3431</v>
      </c>
      <c r="K10" s="7"/>
      <c r="L10" s="7">
        <v>46378</v>
      </c>
      <c r="M10" s="7"/>
      <c r="N10" s="7">
        <v>36534.199999999997</v>
      </c>
      <c r="O10" s="7"/>
      <c r="P10" s="7">
        <v>54087</v>
      </c>
      <c r="Q10" s="7"/>
      <c r="R10" s="7">
        <v>14144</v>
      </c>
      <c r="S10" s="7"/>
      <c r="T10" s="7">
        <v>2826.5729999999999</v>
      </c>
      <c r="U10" s="7"/>
      <c r="V10" s="7"/>
      <c r="W10" s="7"/>
      <c r="X10" s="7">
        <v>12593.196</v>
      </c>
      <c r="Y10" s="7"/>
      <c r="Z10" s="7">
        <v>34055</v>
      </c>
      <c r="AA10" s="7"/>
      <c r="AB10" s="7"/>
      <c r="AC10" s="7"/>
      <c r="AD10" s="7">
        <v>13679</v>
      </c>
      <c r="AE10" s="7"/>
      <c r="AF10" s="7">
        <v>8686</v>
      </c>
      <c r="AG10" s="7"/>
      <c r="AH10" s="7">
        <f>1990.276+153.024</f>
        <v>2143.3000000000002</v>
      </c>
      <c r="AI10" s="7"/>
      <c r="AK10" s="7"/>
      <c r="AL10" s="7"/>
      <c r="AM10" s="7"/>
      <c r="AN10" s="7"/>
      <c r="AO10" s="7"/>
      <c r="AP10" s="7"/>
      <c r="AQ10" s="7">
        <v>3654.1</v>
      </c>
      <c r="AR10" s="7"/>
      <c r="AS10" s="7">
        <v>9822</v>
      </c>
      <c r="AT10" s="7"/>
      <c r="AU10" s="7">
        <v>7699</v>
      </c>
      <c r="AV10" s="7"/>
      <c r="AW10" s="7"/>
      <c r="AX10" s="7"/>
      <c r="AY10" s="7"/>
      <c r="AZ10" s="7"/>
      <c r="BA10" s="7">
        <v>10484</v>
      </c>
      <c r="BB10" s="7"/>
      <c r="BC10" s="7"/>
      <c r="BD10" s="7"/>
      <c r="BE10" s="7"/>
      <c r="BF10" s="7"/>
      <c r="BG10" s="7">
        <v>16994</v>
      </c>
      <c r="BH10" s="7"/>
      <c r="BI10" s="7"/>
      <c r="BJ10" s="7"/>
      <c r="BK10" s="7"/>
      <c r="BL10" s="7"/>
      <c r="BM10" s="7"/>
      <c r="BN10" s="7"/>
      <c r="BO10" s="7"/>
    </row>
    <row r="11" spans="2:67" x14ac:dyDescent="0.25">
      <c r="B11" t="s">
        <v>209</v>
      </c>
      <c r="D11" s="35">
        <f>+D10-19-205.6-136.3-103.8</f>
        <v>759</v>
      </c>
      <c r="E11" s="35"/>
      <c r="F11" s="7">
        <f>+F10-2521.864-639.769-82.393+21.89</f>
        <v>886.13899999999956</v>
      </c>
      <c r="G11" s="7"/>
      <c r="H11" s="7"/>
      <c r="I11" s="7"/>
      <c r="J11" s="7">
        <f>+J10-1819-388-113-65+16</f>
        <v>1062</v>
      </c>
      <c r="K11" s="7"/>
      <c r="L11" s="7">
        <f>+L10-26818-2583-6792+1509</f>
        <v>11694</v>
      </c>
      <c r="M11" s="7"/>
      <c r="N11" s="7">
        <f>+N10-26789.8-2898.7-66.1+479.4</f>
        <v>7258.9999999999973</v>
      </c>
      <c r="O11" s="7"/>
      <c r="P11" s="7">
        <f>+P10-41658-3089-702+105+328</f>
        <v>9071</v>
      </c>
      <c r="Q11" s="7"/>
      <c r="R11" s="7">
        <v>7568</v>
      </c>
      <c r="S11" s="7"/>
      <c r="T11" s="7">
        <v>1395.7550000000001</v>
      </c>
      <c r="U11" s="7"/>
      <c r="V11" s="7"/>
      <c r="W11" s="7"/>
      <c r="X11" s="7">
        <f>+X10-9422.708-803.146-103.922+158.383+31.664</f>
        <v>2453.4669999999996</v>
      </c>
      <c r="Y11" s="7"/>
      <c r="Z11" s="7">
        <v>2684</v>
      </c>
      <c r="AA11" s="7"/>
      <c r="AB11" s="7"/>
      <c r="AC11" s="7"/>
      <c r="AD11" s="7">
        <v>8563</v>
      </c>
      <c r="AE11" s="7"/>
      <c r="AF11" s="7">
        <f>+AF10-2707-137-1507-569+693</f>
        <v>4459</v>
      </c>
      <c r="AG11" s="7"/>
      <c r="AH11" s="7">
        <f>+AH10-431.921-414.784-59.706-42.934+6.153</f>
        <v>1200.1080000000004</v>
      </c>
      <c r="AI11" s="7"/>
      <c r="AK11" s="35"/>
      <c r="AL11" s="35"/>
      <c r="AM11" s="7"/>
      <c r="AN11" s="7"/>
      <c r="AO11" s="7"/>
      <c r="AP11" s="7"/>
      <c r="AQ11" s="7">
        <v>420.1</v>
      </c>
      <c r="AR11" s="7"/>
      <c r="AS11" s="7">
        <v>1092</v>
      </c>
      <c r="AT11" s="7"/>
      <c r="AU11" s="7">
        <v>1041.8</v>
      </c>
      <c r="AV11" s="7"/>
      <c r="AW11" s="7"/>
      <c r="AX11" s="7"/>
      <c r="AY11" s="7"/>
      <c r="AZ11" s="7"/>
      <c r="BA11" s="7">
        <v>1366.3</v>
      </c>
      <c r="BB11" s="7"/>
      <c r="BC11" s="7"/>
      <c r="BD11" s="7"/>
      <c r="BE11" s="7"/>
      <c r="BF11" s="7"/>
      <c r="BG11" s="7">
        <v>638</v>
      </c>
      <c r="BH11" s="7"/>
      <c r="BI11" s="7"/>
      <c r="BJ11" s="7"/>
      <c r="BK11" s="7"/>
      <c r="BL11" s="7"/>
      <c r="BM11" s="7"/>
      <c r="BN11" s="7"/>
      <c r="BO11" s="7"/>
    </row>
    <row r="12" spans="2:67" x14ac:dyDescent="0.25">
      <c r="B12" s="1" t="s">
        <v>210</v>
      </c>
      <c r="C12" s="1"/>
      <c r="D12" s="23">
        <f>+D11/D10</f>
        <v>0.62025006128953175</v>
      </c>
      <c r="E12" s="23"/>
      <c r="F12" s="23">
        <f>+F11/F10</f>
        <v>0.2156961255027961</v>
      </c>
      <c r="G12" s="23"/>
      <c r="H12" s="23" t="e">
        <f>+H11/H10</f>
        <v>#DIV/0!</v>
      </c>
      <c r="I12" s="23"/>
      <c r="J12" s="23">
        <f>+J11/J10</f>
        <v>0.30953074905275429</v>
      </c>
      <c r="K12" s="23"/>
      <c r="L12" s="23">
        <f>+L11/L10</f>
        <v>0.25214541377377203</v>
      </c>
      <c r="M12" s="23"/>
      <c r="N12" s="23">
        <f>+N11/N10</f>
        <v>0.19869054201268943</v>
      </c>
      <c r="O12" s="23"/>
      <c r="P12" s="23">
        <f>+P11/P10</f>
        <v>0.16771127997485533</v>
      </c>
      <c r="Q12" s="23"/>
      <c r="R12" s="23">
        <f>+R11/R10</f>
        <v>0.53506787330316741</v>
      </c>
      <c r="S12" s="23"/>
      <c r="T12" s="23">
        <f>+T11/T10</f>
        <v>0.49379761286901142</v>
      </c>
      <c r="U12" s="23"/>
      <c r="V12" s="23"/>
      <c r="W12" s="23"/>
      <c r="X12" s="23">
        <f>+X11/X10</f>
        <v>0.19482480857123161</v>
      </c>
      <c r="Y12" s="23"/>
      <c r="Z12" s="23">
        <f>+Z11/Z10</f>
        <v>7.8813683746880053E-2</v>
      </c>
      <c r="AA12" s="23"/>
      <c r="AB12" s="23"/>
      <c r="AC12" s="23"/>
      <c r="AD12" s="23">
        <f>+AD11/AD10</f>
        <v>0.62599605234300748</v>
      </c>
      <c r="AE12" s="23"/>
      <c r="AF12" s="23">
        <f>+AF11/AF10</f>
        <v>0.5133548238544785</v>
      </c>
      <c r="AG12" s="23"/>
      <c r="AH12" s="23">
        <f>+AH11/AH10</f>
        <v>0.55993468016609915</v>
      </c>
      <c r="AI12" s="23"/>
      <c r="AJ12" s="1"/>
      <c r="AK12" s="23" t="e">
        <f>+AK11/AK10</f>
        <v>#DIV/0!</v>
      </c>
      <c r="AL12" s="23"/>
      <c r="AM12" s="23" t="e">
        <f>+AM11/AM10</f>
        <v>#DIV/0!</v>
      </c>
      <c r="AN12" s="23"/>
      <c r="AO12" s="23" t="e">
        <f>+AO11/AO10</f>
        <v>#DIV/0!</v>
      </c>
      <c r="AP12" s="23"/>
      <c r="AQ12" s="23">
        <f>+AQ11/AQ10</f>
        <v>0.11496674967844341</v>
      </c>
      <c r="AR12" s="23"/>
      <c r="AS12" s="23">
        <f>+AS11/AS10</f>
        <v>0.11117898594990837</v>
      </c>
      <c r="AT12" s="23"/>
      <c r="AU12" s="23">
        <f>+AU11/AU10</f>
        <v>0.13531627484088843</v>
      </c>
      <c r="AV12" s="23"/>
      <c r="AW12" s="23" t="e">
        <f>+AW11/AW10</f>
        <v>#DIV/0!</v>
      </c>
      <c r="AX12" s="23"/>
      <c r="AY12" s="23"/>
      <c r="AZ12" s="23"/>
      <c r="BA12" s="23">
        <f>+BA11/BA10</f>
        <v>0.13032239603204884</v>
      </c>
      <c r="BB12" s="23"/>
      <c r="BC12" s="23" t="e">
        <f>+BC11/BC10</f>
        <v>#DIV/0!</v>
      </c>
      <c r="BD12" s="23"/>
      <c r="BE12" s="23" t="e">
        <f>+BE11/BE10</f>
        <v>#DIV/0!</v>
      </c>
      <c r="BF12" s="23"/>
      <c r="BG12" s="23">
        <f>+BG11/BG10</f>
        <v>3.7542662116040959E-2</v>
      </c>
      <c r="BH12" s="23"/>
      <c r="BI12" s="23"/>
      <c r="BJ12" s="23"/>
      <c r="BK12" s="23" t="e">
        <f>+BK11/BK10</f>
        <v>#DIV/0!</v>
      </c>
      <c r="BL12" s="23"/>
      <c r="BM12" s="23" t="e">
        <f>+BM11/BM10</f>
        <v>#DIV/0!</v>
      </c>
      <c r="BN12" s="23"/>
      <c r="BO12" s="23" t="e">
        <f>+BO11/BO10</f>
        <v>#DIV/0!</v>
      </c>
    </row>
    <row r="14" spans="2:67" x14ac:dyDescent="0.25">
      <c r="B14" t="s">
        <v>6</v>
      </c>
      <c r="D14" s="7">
        <v>3727.5</v>
      </c>
      <c r="E14" s="7"/>
      <c r="F14" s="7">
        <v>4714.442</v>
      </c>
      <c r="G14" s="7"/>
      <c r="H14" s="7"/>
      <c r="I14" s="7"/>
      <c r="J14" s="7">
        <v>4298</v>
      </c>
      <c r="K14" s="7"/>
      <c r="L14" s="7">
        <v>64610</v>
      </c>
      <c r="M14" s="7"/>
      <c r="N14" s="7">
        <v>26420.6</v>
      </c>
      <c r="O14" s="7"/>
      <c r="P14" s="7">
        <v>46028</v>
      </c>
      <c r="Q14" s="7"/>
      <c r="R14" s="7">
        <v>36593</v>
      </c>
      <c r="S14" s="7"/>
      <c r="T14" s="7">
        <v>4550</v>
      </c>
      <c r="U14" s="7"/>
      <c r="V14" s="7"/>
      <c r="W14" s="7"/>
      <c r="X14" s="7">
        <v>9451.3539999999994</v>
      </c>
      <c r="Y14" s="7"/>
      <c r="Z14" s="7">
        <v>9209</v>
      </c>
      <c r="AA14" s="7"/>
      <c r="AB14" s="7"/>
      <c r="AC14" s="7"/>
      <c r="AD14" s="7">
        <v>42287</v>
      </c>
      <c r="AE14" s="7"/>
      <c r="AF14" s="7">
        <v>22414</v>
      </c>
      <c r="AG14" s="7"/>
      <c r="AH14" s="7">
        <v>4840</v>
      </c>
      <c r="AI14" s="7"/>
      <c r="AK14" s="7"/>
      <c r="AL14" s="7"/>
      <c r="AM14" s="7"/>
      <c r="AN14" s="7"/>
      <c r="AO14" s="7"/>
      <c r="AP14" s="7"/>
      <c r="AQ14" s="7">
        <v>1753.3</v>
      </c>
      <c r="AR14" s="7"/>
      <c r="AS14" s="7">
        <v>5307</v>
      </c>
      <c r="AT14" s="7"/>
      <c r="AU14" s="7">
        <v>4461.3999999999996</v>
      </c>
      <c r="AV14" s="7"/>
      <c r="AW14" s="7"/>
      <c r="AX14" s="7"/>
      <c r="AY14" s="7"/>
      <c r="AZ14" s="7"/>
      <c r="BA14" s="7">
        <v>6692.9</v>
      </c>
      <c r="BB14" s="7"/>
      <c r="BC14" s="7"/>
      <c r="BD14" s="7"/>
      <c r="BE14" s="7"/>
      <c r="BF14" s="7"/>
      <c r="BG14" s="7">
        <v>3014</v>
      </c>
      <c r="BH14" s="7"/>
      <c r="BI14" s="7"/>
      <c r="BJ14" s="7"/>
      <c r="BK14" s="7"/>
      <c r="BL14" s="7"/>
      <c r="BM14" s="7"/>
      <c r="BN14" s="7"/>
      <c r="BO14" s="7"/>
    </row>
    <row r="15" spans="2:67" x14ac:dyDescent="0.25">
      <c r="B15" t="s">
        <v>7</v>
      </c>
      <c r="D15" s="6">
        <f>+D14/D11</f>
        <v>4.9110671936758896</v>
      </c>
      <c r="E15" s="6"/>
      <c r="F15" s="6">
        <f>+F14/F11</f>
        <v>5.3202059722007524</v>
      </c>
      <c r="G15" s="6"/>
      <c r="H15" s="6" t="e">
        <f>+H14/H11</f>
        <v>#DIV/0!</v>
      </c>
      <c r="I15" s="6"/>
      <c r="J15" s="6">
        <f>+J14/J11</f>
        <v>4.0470809792843694</v>
      </c>
      <c r="K15" s="6"/>
      <c r="L15" s="6">
        <f>+L14/L11</f>
        <v>5.525055584060202</v>
      </c>
      <c r="M15" s="6"/>
      <c r="N15" s="6">
        <f>+N14/N11</f>
        <v>3.6397024383523915</v>
      </c>
      <c r="O15" s="6"/>
      <c r="P15" s="6">
        <f>+P14/P11</f>
        <v>5.0741924815345607</v>
      </c>
      <c r="Q15" s="6"/>
      <c r="R15" s="6">
        <f>+R14/R11</f>
        <v>4.8352272727272725</v>
      </c>
      <c r="S15" s="6"/>
      <c r="T15" s="6">
        <f>+T14/T11</f>
        <v>3.2598844353056227</v>
      </c>
      <c r="U15" s="6"/>
      <c r="V15" s="6"/>
      <c r="W15" s="6"/>
      <c r="X15" s="6">
        <f>+X14/X11</f>
        <v>3.8522441915868444</v>
      </c>
      <c r="Y15" s="6"/>
      <c r="Z15" s="6">
        <f>+Z14/Z11</f>
        <v>3.4310730253353205</v>
      </c>
      <c r="AA15" s="6"/>
      <c r="AB15" s="6"/>
      <c r="AC15" s="6"/>
      <c r="AD15" s="6">
        <f>+AD14/AD11</f>
        <v>4.9383393670442599</v>
      </c>
      <c r="AE15" s="6"/>
      <c r="AF15" s="6">
        <f>+AF14/AF11</f>
        <v>5.0266875981161698</v>
      </c>
      <c r="AG15" s="6"/>
      <c r="AH15" s="6">
        <f>+AH14/AH11</f>
        <v>4.0329703660003924</v>
      </c>
      <c r="AI15" s="6"/>
      <c r="AK15" s="6" t="e">
        <f>+AK14/AK11</f>
        <v>#DIV/0!</v>
      </c>
      <c r="AL15" s="6"/>
      <c r="AM15" s="6" t="e">
        <f>+AM14/AM11</f>
        <v>#DIV/0!</v>
      </c>
      <c r="AN15" s="6"/>
      <c r="AO15" s="6" t="e">
        <f>+AO14/AO11</f>
        <v>#DIV/0!</v>
      </c>
      <c r="AP15" s="6"/>
      <c r="AQ15" s="6">
        <f>+AQ14/AQ11</f>
        <v>4.1735301118781241</v>
      </c>
      <c r="AR15" s="6"/>
      <c r="AS15" s="6">
        <f>+AS14/AS11</f>
        <v>4.8598901098901095</v>
      </c>
      <c r="AT15" s="6"/>
      <c r="AU15" s="6">
        <f>+AU14/AU11</f>
        <v>4.2823958533307733</v>
      </c>
      <c r="AV15" s="6"/>
      <c r="AW15" s="6" t="e">
        <f>+AW14/AW11</f>
        <v>#DIV/0!</v>
      </c>
      <c r="AX15" s="6"/>
      <c r="AY15" s="6"/>
      <c r="AZ15" s="6"/>
      <c r="BA15" s="6">
        <f>+BA14/BA11</f>
        <v>4.898558149747493</v>
      </c>
      <c r="BB15" s="6"/>
      <c r="BC15" s="6" t="e">
        <f>+BC14/BC11</f>
        <v>#DIV/0!</v>
      </c>
      <c r="BD15" s="6"/>
      <c r="BE15" s="6" t="e">
        <f>+BE14/BE11</f>
        <v>#DIV/0!</v>
      </c>
      <c r="BF15" s="6"/>
      <c r="BG15" s="6">
        <f>+BG14/BG11</f>
        <v>4.7241379310344831</v>
      </c>
      <c r="BH15" s="6"/>
      <c r="BI15" s="6"/>
      <c r="BJ15" s="6"/>
      <c r="BK15" s="6" t="e">
        <f>+BK14/BK11</f>
        <v>#DIV/0!</v>
      </c>
      <c r="BL15" s="6"/>
      <c r="BM15" s="6" t="e">
        <f>+BM14/BM11</f>
        <v>#DIV/0!</v>
      </c>
      <c r="BN15" s="6"/>
      <c r="BO15" s="6" t="e">
        <f>+BO14/BO11</f>
        <v>#DIV/0!</v>
      </c>
    </row>
    <row r="16" spans="2:67" x14ac:dyDescent="0.25">
      <c r="B16" t="s">
        <v>8</v>
      </c>
      <c r="D16" s="6">
        <f>+D11/D27</f>
        <v>4.3198634035287427</v>
      </c>
      <c r="E16" s="6"/>
      <c r="F16" s="6">
        <f>+F11/F27</f>
        <v>4.6596712449782283</v>
      </c>
      <c r="G16" s="6"/>
      <c r="H16" s="6" t="e">
        <f>+H11/H27</f>
        <v>#DIV/0!</v>
      </c>
      <c r="I16" s="6"/>
      <c r="J16" s="6">
        <f>+J11/J27</f>
        <v>6.9868421052631575</v>
      </c>
      <c r="K16" s="6"/>
      <c r="L16" s="6">
        <f>+L11/L27</f>
        <v>4.3263041065482799</v>
      </c>
      <c r="M16" s="6"/>
      <c r="N16" s="6">
        <f>+N11/N27</f>
        <v>6.6189477523479505</v>
      </c>
      <c r="O16" s="6"/>
      <c r="P16" s="6">
        <f>+P11/P27</f>
        <v>5.3077823288472787</v>
      </c>
      <c r="Q16" s="6"/>
      <c r="R16" s="6">
        <f>+R11/R27</f>
        <v>3.9478351591027647</v>
      </c>
      <c r="S16" s="6"/>
      <c r="T16" s="6">
        <f>+T11/T27</f>
        <v>6.3162336692626901</v>
      </c>
      <c r="U16" s="6"/>
      <c r="V16" s="6"/>
      <c r="W16" s="6"/>
      <c r="X16" s="6">
        <f>+X11/X27</f>
        <v>5.2243665090924569</v>
      </c>
      <c r="Y16" s="6"/>
      <c r="Z16" s="6">
        <f>+Z11/Z27</f>
        <v>8.976588628762542</v>
      </c>
      <c r="AA16" s="6"/>
      <c r="AB16" s="6"/>
      <c r="AC16" s="6"/>
      <c r="AD16" s="6">
        <f>+AD11/AD27</f>
        <v>3.7805739514348784</v>
      </c>
      <c r="AE16" s="6"/>
      <c r="AF16" s="6">
        <f>+AF11/AF27</f>
        <v>3.8439655172413794</v>
      </c>
      <c r="AG16" s="6"/>
      <c r="AH16" s="6">
        <f>+AH11/AH27</f>
        <v>6.5220425198904417</v>
      </c>
      <c r="AI16" s="6"/>
      <c r="AK16" s="6" t="e">
        <f>+AK11/AK27</f>
        <v>#DIV/0!</v>
      </c>
      <c r="AL16" s="6"/>
      <c r="AM16" s="6" t="e">
        <f>+AM11/AM27</f>
        <v>#DIV/0!</v>
      </c>
      <c r="AN16" s="6"/>
      <c r="AO16" s="6" t="e">
        <f>+AO11/AO27</f>
        <v>#DIV/0!</v>
      </c>
      <c r="AP16" s="6"/>
      <c r="AQ16" s="6">
        <f>+AQ11/AQ27</f>
        <v>4.2348790322580649</v>
      </c>
      <c r="AR16" s="6"/>
      <c r="AS16" s="6">
        <f>+AS11/AS27</f>
        <v>4.0594795539033459</v>
      </c>
      <c r="AT16" s="6"/>
      <c r="AU16" s="6">
        <f>+AU11/AU27</f>
        <v>5.8528089887640444</v>
      </c>
      <c r="AV16" s="6"/>
      <c r="AW16" s="6" t="e">
        <f>+AW11/AW27</f>
        <v>#DIV/0!</v>
      </c>
      <c r="AX16" s="6"/>
      <c r="AY16" s="6"/>
      <c r="AZ16" s="6"/>
      <c r="BA16" s="6">
        <f>+BA11/BA27</f>
        <v>7.8074285714285709</v>
      </c>
      <c r="BB16" s="6"/>
      <c r="BC16" s="6" t="e">
        <f>+BC11/BC27</f>
        <v>#DIV/0!</v>
      </c>
      <c r="BD16" s="6"/>
      <c r="BE16" s="6" t="e">
        <f>+BE11/BE27</f>
        <v>#DIV/0!</v>
      </c>
      <c r="BF16" s="6"/>
      <c r="BG16" s="6">
        <f>+BG11/BG27</f>
        <v>4.4305555555555554</v>
      </c>
      <c r="BH16" s="6"/>
      <c r="BI16" s="6"/>
      <c r="BJ16" s="6"/>
      <c r="BK16" s="6" t="e">
        <f>+BK11/BK27</f>
        <v>#DIV/0!</v>
      </c>
      <c r="BL16" s="6"/>
      <c r="BM16" s="6" t="e">
        <f>+BM11/BM27</f>
        <v>#DIV/0!</v>
      </c>
      <c r="BN16" s="6"/>
      <c r="BO16" s="6" t="e">
        <f>+BO11/BO27</f>
        <v>#DIV/0!</v>
      </c>
    </row>
    <row r="17" spans="2:67" x14ac:dyDescent="0.25">
      <c r="B17" t="s">
        <v>9</v>
      </c>
      <c r="D17" s="7">
        <f>920+3.6</f>
        <v>923.6</v>
      </c>
      <c r="E17" s="7"/>
      <c r="F17" s="7">
        <f>1400-522.3+1.83</f>
        <v>879.53000000000009</v>
      </c>
      <c r="G17" s="7"/>
      <c r="H17" s="7"/>
      <c r="I17" s="7"/>
      <c r="J17" s="7">
        <f>8+1750-250-3-649</f>
        <v>856</v>
      </c>
      <c r="K17" s="7"/>
      <c r="L17" s="7">
        <f>8891+L21</f>
        <v>9397</v>
      </c>
      <c r="M17" s="7"/>
      <c r="N17" s="7">
        <f>4000+344.8</f>
        <v>4344.8</v>
      </c>
      <c r="O17" s="7"/>
      <c r="P17" s="7">
        <f>1240+1000+P21</f>
        <v>2658</v>
      </c>
      <c r="Q17" s="7"/>
      <c r="R17" s="7">
        <f>+R21+4000-433</f>
        <v>6898</v>
      </c>
      <c r="S17" s="7"/>
      <c r="T17" s="7">
        <f>+T21+1000-6.8</f>
        <v>1154.04</v>
      </c>
      <c r="U17" s="7"/>
      <c r="V17" s="7"/>
      <c r="W17" s="7"/>
      <c r="X17" s="7">
        <f>2500-1.4+X21</f>
        <v>2510.6</v>
      </c>
      <c r="Y17" s="7"/>
      <c r="Z17" s="7">
        <f>3000+Z21</f>
        <v>3066</v>
      </c>
      <c r="AA17" s="7"/>
      <c r="AB17" s="7"/>
      <c r="AC17" s="7"/>
      <c r="AD17" s="7">
        <f>12900+AD21</f>
        <v>13346</v>
      </c>
      <c r="AE17" s="7"/>
      <c r="AF17" s="7">
        <f>+AF21+4500-160-14</f>
        <v>4494</v>
      </c>
      <c r="AG17" s="7"/>
      <c r="AH17" s="7">
        <f>1300-220-4.6+AH21</f>
        <v>1165.8480000000002</v>
      </c>
      <c r="AI17" s="7"/>
      <c r="AK17" s="7"/>
      <c r="AL17" s="7"/>
      <c r="AM17" s="7"/>
      <c r="AN17" s="7"/>
      <c r="AO17" s="7"/>
      <c r="AP17" s="7"/>
      <c r="AQ17" s="7">
        <f>524+AQ21</f>
        <v>524.9</v>
      </c>
      <c r="AR17" s="7"/>
      <c r="AS17" s="7">
        <f>1036+AS21</f>
        <v>1037</v>
      </c>
      <c r="AT17" s="7"/>
      <c r="AU17" s="7">
        <f>1750+AU21</f>
        <v>1850.4</v>
      </c>
      <c r="AV17" s="7"/>
      <c r="AW17" s="7"/>
      <c r="AX17" s="7"/>
      <c r="AY17" s="7"/>
      <c r="AZ17" s="7"/>
      <c r="BA17" s="7">
        <v>2249.3000000000002</v>
      </c>
      <c r="BB17" s="7"/>
      <c r="BC17" s="7"/>
      <c r="BD17" s="7"/>
      <c r="BE17" s="7"/>
      <c r="BF17" s="7"/>
      <c r="BG17" s="7">
        <v>1342</v>
      </c>
      <c r="BH17" s="7"/>
      <c r="BI17" s="7"/>
      <c r="BJ17" s="7"/>
      <c r="BK17" s="7"/>
      <c r="BL17" s="7"/>
      <c r="BM17" s="7"/>
      <c r="BN17" s="7"/>
      <c r="BO17" s="7"/>
    </row>
    <row r="18" spans="2:67" x14ac:dyDescent="0.25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</row>
    <row r="19" spans="2:67" x14ac:dyDescent="0.25">
      <c r="B19" t="s">
        <v>205</v>
      </c>
      <c r="D19" s="41" t="s">
        <v>208</v>
      </c>
      <c r="E19" s="7"/>
      <c r="F19" s="7">
        <v>5236</v>
      </c>
      <c r="G19" s="7"/>
      <c r="H19" s="7"/>
      <c r="I19" s="7"/>
      <c r="J19" s="7">
        <v>6513</v>
      </c>
      <c r="K19" s="7"/>
      <c r="L19" s="7">
        <v>94174.5</v>
      </c>
      <c r="M19" s="7"/>
      <c r="N19" s="7">
        <v>60564.7</v>
      </c>
      <c r="O19" s="7"/>
      <c r="P19" s="7">
        <f>40286.2+2504.9*(1-0.31)+1560.6*(1-0.4)+958+556+440+434</f>
        <v>45338.940999999999</v>
      </c>
      <c r="Q19" s="7"/>
      <c r="R19" s="7">
        <v>44684.6</v>
      </c>
      <c r="S19" s="7"/>
      <c r="T19" s="7">
        <v>14046.8</v>
      </c>
      <c r="U19" s="7"/>
      <c r="V19" s="7"/>
      <c r="W19" s="7"/>
      <c r="X19" s="7">
        <v>26771.200000000001</v>
      </c>
      <c r="Y19" s="7"/>
      <c r="Z19" s="7">
        <v>17161</v>
      </c>
      <c r="AA19" s="7"/>
      <c r="AB19" s="7"/>
      <c r="AC19" s="7"/>
      <c r="AD19" s="7">
        <v>41218.800000000003</v>
      </c>
      <c r="AE19" s="7"/>
      <c r="AF19" s="7">
        <v>33217.199999999997</v>
      </c>
      <c r="AG19" s="7"/>
      <c r="AH19" s="7"/>
      <c r="AI19" s="7"/>
      <c r="AK19" s="41"/>
      <c r="AL19" s="7"/>
      <c r="AM19" s="7"/>
      <c r="AN19" s="7"/>
      <c r="AO19" s="7"/>
      <c r="AP19" s="7"/>
      <c r="AQ19" s="7">
        <f>2564+612</f>
        <v>3176</v>
      </c>
      <c r="AR19" s="7"/>
      <c r="AS19" s="7">
        <f>4846.3+771.3</f>
        <v>5617.6</v>
      </c>
      <c r="AT19" s="7"/>
      <c r="AU19" s="53">
        <f>6311.7+400</f>
        <v>6711.7</v>
      </c>
      <c r="AV19" s="7"/>
      <c r="AW19" s="7"/>
      <c r="AX19" s="7"/>
      <c r="AY19" s="7"/>
      <c r="AZ19" s="7"/>
      <c r="BA19" s="7">
        <v>9882</v>
      </c>
      <c r="BB19" s="7"/>
      <c r="BC19" s="7"/>
      <c r="BD19" s="7"/>
      <c r="BE19" s="7"/>
      <c r="BF19" s="7"/>
      <c r="BG19" s="7">
        <v>2585.1999999999998</v>
      </c>
      <c r="BH19" s="7"/>
      <c r="BI19" s="7"/>
      <c r="BJ19" s="7"/>
      <c r="BK19" s="7"/>
      <c r="BL19" s="7"/>
      <c r="BM19" s="7"/>
      <c r="BN19" s="7"/>
      <c r="BO19" s="7"/>
    </row>
    <row r="20" spans="2:67" x14ac:dyDescent="0.25">
      <c r="B20" t="s">
        <v>206</v>
      </c>
      <c r="D20" s="41" t="s">
        <v>208</v>
      </c>
      <c r="E20" s="7"/>
      <c r="F20" s="7">
        <f>+F19+F14-F21</f>
        <v>9948.6119999999992</v>
      </c>
      <c r="G20" s="7"/>
      <c r="H20" s="7"/>
      <c r="I20" s="7"/>
      <c r="J20" s="7">
        <f t="shared" ref="J20:AH20" si="0">+J19+J14-J21</f>
        <v>10803</v>
      </c>
      <c r="K20" s="7">
        <f t="shared" ref="K20:L20" si="1">+K19+K14-K21</f>
        <v>0</v>
      </c>
      <c r="L20" s="7">
        <f t="shared" si="1"/>
        <v>158278.5</v>
      </c>
      <c r="M20" s="7">
        <f t="shared" si="0"/>
        <v>0</v>
      </c>
      <c r="N20" s="7">
        <f t="shared" si="0"/>
        <v>86640.499999999985</v>
      </c>
      <c r="O20" s="7">
        <f t="shared" si="0"/>
        <v>0</v>
      </c>
      <c r="P20" s="7">
        <f t="shared" si="0"/>
        <v>90948.940999999992</v>
      </c>
      <c r="Q20" s="7">
        <f t="shared" si="0"/>
        <v>0</v>
      </c>
      <c r="R20" s="7">
        <f t="shared" si="0"/>
        <v>77946.600000000006</v>
      </c>
      <c r="S20" s="7"/>
      <c r="T20" s="7">
        <f t="shared" si="0"/>
        <v>18435.96</v>
      </c>
      <c r="U20" s="7"/>
      <c r="V20" s="7"/>
      <c r="W20" s="7"/>
      <c r="X20" s="7">
        <f t="shared" si="0"/>
        <v>36210.554000000004</v>
      </c>
      <c r="Y20" s="7"/>
      <c r="Z20" s="7">
        <f t="shared" si="0"/>
        <v>26304</v>
      </c>
      <c r="AA20" s="7"/>
      <c r="AB20" s="7"/>
      <c r="AC20" s="7"/>
      <c r="AD20" s="7">
        <f t="shared" si="0"/>
        <v>83059.8</v>
      </c>
      <c r="AE20" s="7"/>
      <c r="AF20" s="7">
        <f t="shared" si="0"/>
        <v>55463.199999999997</v>
      </c>
      <c r="AG20" s="7"/>
      <c r="AH20" s="7">
        <f t="shared" si="0"/>
        <v>4749.5519999999997</v>
      </c>
      <c r="AI20" s="7"/>
      <c r="AK20" s="41" t="s">
        <v>208</v>
      </c>
      <c r="AL20" s="7"/>
      <c r="AM20" s="7">
        <f>+AM19+AM14-AM21</f>
        <v>0</v>
      </c>
      <c r="AN20" s="7"/>
      <c r="AO20" s="7"/>
      <c r="AP20" s="7"/>
      <c r="AQ20" s="7">
        <f t="shared" ref="AQ20:BA20" si="2">+AQ19+AQ14-AQ21</f>
        <v>4928.4000000000005</v>
      </c>
      <c r="AR20" s="7">
        <f t="shared" si="2"/>
        <v>0</v>
      </c>
      <c r="AS20" s="7">
        <f t="shared" si="2"/>
        <v>10923.6</v>
      </c>
      <c r="AT20" s="7">
        <f t="shared" si="2"/>
        <v>0</v>
      </c>
      <c r="AU20" s="7">
        <f t="shared" si="2"/>
        <v>11072.699999999999</v>
      </c>
      <c r="AV20" s="7">
        <f t="shared" si="2"/>
        <v>0</v>
      </c>
      <c r="AW20" s="7">
        <f t="shared" si="2"/>
        <v>0</v>
      </c>
      <c r="AX20" s="7"/>
      <c r="AY20" s="7"/>
      <c r="AZ20" s="7">
        <f t="shared" si="2"/>
        <v>0</v>
      </c>
      <c r="BA20" s="7">
        <f t="shared" si="2"/>
        <v>16342.800000000001</v>
      </c>
      <c r="BB20" s="7"/>
      <c r="BC20" s="7">
        <f t="shared" ref="BC20" si="3">+BC19+BC14-BC21</f>
        <v>0</v>
      </c>
      <c r="BD20" s="7"/>
      <c r="BE20" s="7">
        <f t="shared" ref="BE20" si="4">+BE19+BE14-BE21</f>
        <v>0</v>
      </c>
      <c r="BF20" s="7"/>
      <c r="BG20" s="7">
        <f t="shared" ref="BG20" si="5">+BG19+BG14-BG21</f>
        <v>5543.2</v>
      </c>
      <c r="BH20" s="7"/>
      <c r="BI20" s="7"/>
      <c r="BJ20" s="7"/>
      <c r="BK20" s="7">
        <f t="shared" ref="BK20" si="6">+BK19+BK14-BK21</f>
        <v>0</v>
      </c>
      <c r="BL20" s="7"/>
      <c r="BM20" s="7">
        <f t="shared" ref="BM20" si="7">+BM19+BM14-BM21</f>
        <v>0</v>
      </c>
      <c r="BN20" s="7"/>
      <c r="BO20" s="7">
        <f t="shared" ref="BO20" si="8">+BO19+BO14-BO21</f>
        <v>0</v>
      </c>
    </row>
    <row r="21" spans="2:67" x14ac:dyDescent="0.25">
      <c r="B21" t="s">
        <v>220</v>
      </c>
      <c r="D21" s="41">
        <v>3.6</v>
      </c>
      <c r="E21" s="7"/>
      <c r="F21" s="7">
        <v>1.83</v>
      </c>
      <c r="G21" s="7"/>
      <c r="H21" s="7"/>
      <c r="I21" s="7"/>
      <c r="J21" s="7">
        <v>8</v>
      </c>
      <c r="K21" s="7"/>
      <c r="L21" s="7">
        <v>506</v>
      </c>
      <c r="M21" s="7"/>
      <c r="N21" s="7">
        <v>344.8</v>
      </c>
      <c r="O21" s="7"/>
      <c r="P21" s="7">
        <v>418</v>
      </c>
      <c r="Q21" s="7"/>
      <c r="R21" s="7">
        <v>3331</v>
      </c>
      <c r="S21" s="7"/>
      <c r="T21" s="7">
        <v>160.84</v>
      </c>
      <c r="U21" s="7"/>
      <c r="V21" s="7"/>
      <c r="W21" s="7"/>
      <c r="X21" s="7">
        <v>12</v>
      </c>
      <c r="Y21" s="7"/>
      <c r="Z21" s="7">
        <v>66</v>
      </c>
      <c r="AA21" s="7"/>
      <c r="AB21" s="7"/>
      <c r="AC21" s="7"/>
      <c r="AD21" s="7">
        <v>446</v>
      </c>
      <c r="AE21" s="7"/>
      <c r="AF21" s="7">
        <v>168</v>
      </c>
      <c r="AG21" s="7"/>
      <c r="AH21" s="7">
        <v>90.447999999999993</v>
      </c>
      <c r="AI21" s="7"/>
      <c r="AK21" s="41"/>
      <c r="AL21" s="7"/>
      <c r="AM21" s="7"/>
      <c r="AN21" s="7"/>
      <c r="AO21" s="7"/>
      <c r="AP21" s="7"/>
      <c r="AQ21" s="7">
        <v>0.9</v>
      </c>
      <c r="AR21" s="7"/>
      <c r="AS21" s="7">
        <v>1</v>
      </c>
      <c r="AT21" s="7"/>
      <c r="AU21" s="7">
        <v>100.4</v>
      </c>
      <c r="AV21" s="7"/>
      <c r="AW21" s="7"/>
      <c r="AX21" s="7"/>
      <c r="AY21" s="7"/>
      <c r="AZ21" s="7"/>
      <c r="BA21" s="7">
        <v>232.1</v>
      </c>
      <c r="BB21" s="7"/>
      <c r="BC21" s="7"/>
      <c r="BD21" s="7"/>
      <c r="BE21" s="7"/>
      <c r="BF21" s="7"/>
      <c r="BG21" s="7">
        <v>56</v>
      </c>
      <c r="BH21" s="7"/>
      <c r="BI21" s="7"/>
      <c r="BJ21" s="7"/>
      <c r="BK21" s="7"/>
      <c r="BL21" s="7"/>
      <c r="BM21" s="7"/>
      <c r="BN21" s="7"/>
      <c r="BO21" s="7"/>
    </row>
    <row r="22" spans="2:67" x14ac:dyDescent="0.25">
      <c r="B22" t="s">
        <v>207</v>
      </c>
      <c r="D22" s="41" t="s">
        <v>208</v>
      </c>
      <c r="E22" s="7"/>
      <c r="F22" s="6">
        <f>+F20/F11</f>
        <v>11.226920381565424</v>
      </c>
      <c r="G22" s="7"/>
      <c r="H22" s="6"/>
      <c r="I22" s="6"/>
      <c r="J22" s="6">
        <f>+J20/J11</f>
        <v>10.172316384180791</v>
      </c>
      <c r="K22" s="6"/>
      <c r="L22" s="6">
        <f>+L20/L11</f>
        <v>13.535017957927142</v>
      </c>
      <c r="M22" s="6"/>
      <c r="N22" s="6">
        <f>+N20/N11</f>
        <v>11.935597189695553</v>
      </c>
      <c r="O22" s="6"/>
      <c r="P22" s="6">
        <f>+P20/P11</f>
        <v>10.026341197221916</v>
      </c>
      <c r="Q22" s="6"/>
      <c r="R22" s="6">
        <f>+R20/R11</f>
        <v>10.299497885835097</v>
      </c>
      <c r="S22" s="6"/>
      <c r="T22" s="6">
        <f>+T20/T11</f>
        <v>13.208593198663088</v>
      </c>
      <c r="U22" s="6"/>
      <c r="V22" s="6"/>
      <c r="W22" s="6"/>
      <c r="X22" s="6">
        <f>+X20/X11</f>
        <v>14.758932563592667</v>
      </c>
      <c r="Y22" s="6"/>
      <c r="Z22" s="6">
        <f>+Z20/Z11</f>
        <v>9.8002980625931446</v>
      </c>
      <c r="AA22" s="6"/>
      <c r="AB22" s="6"/>
      <c r="AC22" s="6"/>
      <c r="AD22" s="6">
        <f>+AD20/AD11</f>
        <v>9.6998481840476476</v>
      </c>
      <c r="AE22" s="6"/>
      <c r="AF22" s="6">
        <f>+AF20/AF11</f>
        <v>12.438483965014576</v>
      </c>
      <c r="AG22" s="6"/>
      <c r="AH22" s="6">
        <f>+AH20/AH11</f>
        <v>3.9576038156565891</v>
      </c>
      <c r="AI22" s="6"/>
      <c r="AJ22" s="6"/>
      <c r="AK22" s="41" t="s">
        <v>208</v>
      </c>
      <c r="AL22" s="7"/>
      <c r="AM22" s="6" t="e">
        <f>+AM20/AM11</f>
        <v>#DIV/0!</v>
      </c>
      <c r="AN22" s="7"/>
      <c r="AO22" s="6"/>
      <c r="AP22" s="6"/>
      <c r="AQ22" s="6">
        <f>+AQ20/AQ11</f>
        <v>11.73149250178529</v>
      </c>
      <c r="AR22" s="6"/>
      <c r="AS22" s="6">
        <f>+AS20/AS11</f>
        <v>10.003296703296703</v>
      </c>
      <c r="AT22" s="6"/>
      <c r="AU22" s="6">
        <f>+AU20/AU11</f>
        <v>10.628431560760221</v>
      </c>
      <c r="AV22" s="6"/>
      <c r="AW22" s="6"/>
      <c r="AX22" s="6"/>
      <c r="AY22" s="6"/>
      <c r="AZ22" s="6"/>
      <c r="BA22" s="6">
        <f>+BA20/BA11</f>
        <v>11.961355485618094</v>
      </c>
      <c r="BB22" s="6"/>
      <c r="BC22" s="6" t="e">
        <f>+BC20/BC11</f>
        <v>#DIV/0!</v>
      </c>
      <c r="BD22" s="6"/>
      <c r="BE22" s="6" t="e">
        <f>+BE20/BE11</f>
        <v>#DIV/0!</v>
      </c>
      <c r="BF22" s="6"/>
      <c r="BG22" s="6">
        <f>+BG20/BG11</f>
        <v>8.6884012539184958</v>
      </c>
      <c r="BH22" s="6"/>
      <c r="BI22" s="6"/>
      <c r="BJ22" s="6"/>
      <c r="BK22" s="6" t="e">
        <f>+BK20/BK11</f>
        <v>#DIV/0!</v>
      </c>
      <c r="BL22" s="6"/>
      <c r="BM22" s="6" t="e">
        <f>+BM20/BM11</f>
        <v>#DIV/0!</v>
      </c>
      <c r="BN22" s="6"/>
      <c r="BO22" s="6" t="e">
        <f>+BO20/BO11</f>
        <v>#DIV/0!</v>
      </c>
    </row>
    <row r="24" spans="2:67" x14ac:dyDescent="0.25">
      <c r="B24" s="12" t="s">
        <v>10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</row>
    <row r="25" spans="2:67" x14ac:dyDescent="0.25">
      <c r="B25" t="s">
        <v>11</v>
      </c>
      <c r="D25" s="7">
        <f>+D11</f>
        <v>759</v>
      </c>
      <c r="E25" s="7"/>
      <c r="F25" s="7">
        <f>+F11</f>
        <v>886.13899999999956</v>
      </c>
      <c r="G25" s="7"/>
      <c r="H25" s="7">
        <f>+H11</f>
        <v>0</v>
      </c>
      <c r="I25" s="7"/>
      <c r="J25" s="7">
        <f>+J11</f>
        <v>1062</v>
      </c>
      <c r="K25" s="7"/>
      <c r="L25" s="7">
        <f>+L11</f>
        <v>11694</v>
      </c>
      <c r="M25" s="7"/>
      <c r="N25" s="7">
        <f>+N11</f>
        <v>7258.9999999999973</v>
      </c>
      <c r="O25" s="7"/>
      <c r="P25" s="7">
        <f>+P11</f>
        <v>9071</v>
      </c>
      <c r="Q25" s="7"/>
      <c r="R25" s="7">
        <f>+R11</f>
        <v>7568</v>
      </c>
      <c r="S25" s="7"/>
      <c r="T25" s="7">
        <f>+T11</f>
        <v>1395.7550000000001</v>
      </c>
      <c r="U25" s="7"/>
      <c r="V25" s="7"/>
      <c r="W25" s="7"/>
      <c r="X25" s="7">
        <f>+X11</f>
        <v>2453.4669999999996</v>
      </c>
      <c r="Y25" s="7"/>
      <c r="Z25" s="7">
        <f>+Z11</f>
        <v>2684</v>
      </c>
      <c r="AA25" s="7"/>
      <c r="AB25" s="7">
        <f>+AB11</f>
        <v>0</v>
      </c>
      <c r="AC25" s="7"/>
      <c r="AD25" s="7">
        <f>+AD11</f>
        <v>8563</v>
      </c>
      <c r="AE25" s="7"/>
      <c r="AF25" s="7">
        <f>+AF11</f>
        <v>4459</v>
      </c>
      <c r="AG25" s="7"/>
      <c r="AH25" s="7">
        <f>+AH11</f>
        <v>1200.1080000000004</v>
      </c>
      <c r="AI25" s="7"/>
      <c r="AK25" s="7">
        <f>+AK11</f>
        <v>0</v>
      </c>
      <c r="AL25" s="7"/>
      <c r="AM25" s="7">
        <f>+AM11</f>
        <v>0</v>
      </c>
      <c r="AN25" s="7"/>
      <c r="AO25" s="7">
        <f>+AO11</f>
        <v>0</v>
      </c>
      <c r="AP25" s="7"/>
      <c r="AQ25" s="7">
        <f>+AQ11</f>
        <v>420.1</v>
      </c>
      <c r="AR25" s="7"/>
      <c r="AS25" s="7">
        <f>+AS11</f>
        <v>1092</v>
      </c>
      <c r="AT25" s="7"/>
      <c r="AU25" s="7">
        <f>+AU11</f>
        <v>1041.8</v>
      </c>
      <c r="AV25" s="7"/>
      <c r="AW25" s="7">
        <f>+AW11</f>
        <v>0</v>
      </c>
      <c r="AX25" s="7"/>
      <c r="AY25" s="7"/>
      <c r="AZ25" s="7"/>
      <c r="BA25" s="7">
        <f>+BA11</f>
        <v>1366.3</v>
      </c>
      <c r="BB25" s="7"/>
      <c r="BC25" s="7">
        <f>+BC11</f>
        <v>0</v>
      </c>
      <c r="BD25" s="7"/>
      <c r="BE25" s="7">
        <f>+BE11</f>
        <v>0</v>
      </c>
      <c r="BF25" s="7"/>
      <c r="BG25" s="7">
        <f>+BG11</f>
        <v>638</v>
      </c>
      <c r="BH25" s="7"/>
      <c r="BI25" s="7">
        <f>+BI11</f>
        <v>0</v>
      </c>
      <c r="BJ25" s="7"/>
      <c r="BK25" s="7">
        <f>+BK11</f>
        <v>0</v>
      </c>
      <c r="BL25" s="7"/>
      <c r="BM25" s="7">
        <f>+BM11</f>
        <v>0</v>
      </c>
      <c r="BN25" s="7"/>
      <c r="BO25" s="7">
        <f>+BO11</f>
        <v>0</v>
      </c>
    </row>
    <row r="26" spans="2:67" x14ac:dyDescent="0.25">
      <c r="B26" t="s">
        <v>12</v>
      </c>
      <c r="D26" s="7">
        <v>486.7</v>
      </c>
      <c r="E26" s="7"/>
      <c r="F26" s="7">
        <v>467.61099999999999</v>
      </c>
      <c r="G26" s="7"/>
      <c r="H26" s="7"/>
      <c r="I26" s="7"/>
      <c r="J26" s="7">
        <v>728</v>
      </c>
      <c r="K26" s="7"/>
      <c r="L26" s="7">
        <f>6806+1312</f>
        <v>8118</v>
      </c>
      <c r="M26" s="7"/>
      <c r="N26" s="7">
        <v>4223.2</v>
      </c>
      <c r="O26" s="7"/>
      <c r="P26" s="7">
        <v>7407</v>
      </c>
      <c r="Q26" s="7"/>
      <c r="R26" s="7">
        <v>2904</v>
      </c>
      <c r="S26" s="7"/>
      <c r="T26" s="7">
        <v>552.25699999999995</v>
      </c>
      <c r="U26" s="7"/>
      <c r="V26" s="7"/>
      <c r="W26" s="7"/>
      <c r="X26" s="7">
        <v>2141.4749999999999</v>
      </c>
      <c r="Y26" s="7"/>
      <c r="Z26" s="7">
        <v>1634</v>
      </c>
      <c r="AA26" s="7"/>
      <c r="AB26" s="7"/>
      <c r="AC26" s="7"/>
      <c r="AD26" s="7">
        <v>9418</v>
      </c>
      <c r="AE26" s="7"/>
      <c r="AF26" s="7">
        <v>3256</v>
      </c>
      <c r="AG26" s="7"/>
      <c r="AH26" s="7">
        <v>1193.896</v>
      </c>
      <c r="AI26" s="7"/>
      <c r="AK26" s="7"/>
      <c r="AL26" s="7"/>
      <c r="AM26" s="7"/>
      <c r="AN26" s="7"/>
      <c r="AO26" s="7"/>
      <c r="AP26" s="7"/>
      <c r="AQ26" s="7">
        <f>305.5-64.4</f>
        <v>241.1</v>
      </c>
      <c r="AR26" s="7"/>
      <c r="AS26" s="7">
        <f>595+354</f>
        <v>949</v>
      </c>
      <c r="AT26" s="7"/>
      <c r="AU26" s="7">
        <v>843.1</v>
      </c>
      <c r="AV26" s="7"/>
      <c r="AW26" s="7"/>
      <c r="AX26" s="7"/>
      <c r="AY26" s="7"/>
      <c r="AZ26" s="7"/>
      <c r="BA26" s="7">
        <v>3114.8</v>
      </c>
      <c r="BB26" s="7"/>
      <c r="BC26" s="7"/>
      <c r="BD26" s="7"/>
      <c r="BE26" s="7"/>
      <c r="BF26" s="7"/>
      <c r="BG26" s="7">
        <v>103</v>
      </c>
      <c r="BH26" s="7"/>
      <c r="BI26" s="7"/>
      <c r="BJ26" s="7"/>
      <c r="BK26" s="7"/>
      <c r="BL26" s="7"/>
      <c r="BM26" s="7"/>
      <c r="BN26" s="7"/>
      <c r="BO26" s="7"/>
    </row>
    <row r="27" spans="2:67" x14ac:dyDescent="0.25">
      <c r="B27" t="s">
        <v>13</v>
      </c>
      <c r="D27" s="7">
        <v>175.7</v>
      </c>
      <c r="E27" s="7"/>
      <c r="F27" s="7">
        <v>190.172</v>
      </c>
      <c r="G27" s="7"/>
      <c r="H27" s="7"/>
      <c r="I27" s="7"/>
      <c r="J27" s="7">
        <v>152</v>
      </c>
      <c r="K27" s="7"/>
      <c r="L27" s="7">
        <v>2703</v>
      </c>
      <c r="M27" s="7"/>
      <c r="N27" s="7">
        <v>1096.7</v>
      </c>
      <c r="O27" s="7"/>
      <c r="P27" s="7">
        <v>1709</v>
      </c>
      <c r="Q27" s="7"/>
      <c r="R27" s="7">
        <v>1917</v>
      </c>
      <c r="S27" s="7"/>
      <c r="T27" s="7">
        <v>220.97900000000001</v>
      </c>
      <c r="U27" s="7"/>
      <c r="V27" s="7"/>
      <c r="W27" s="7"/>
      <c r="X27" s="7">
        <f>469.62</f>
        <v>469.62</v>
      </c>
      <c r="Y27" s="7"/>
      <c r="Z27" s="7">
        <f>431-132</f>
        <v>299</v>
      </c>
      <c r="AA27" s="7"/>
      <c r="AB27" s="7"/>
      <c r="AC27" s="7"/>
      <c r="AD27" s="7">
        <v>2265</v>
      </c>
      <c r="AE27" s="7"/>
      <c r="AF27" s="7">
        <v>1160</v>
      </c>
      <c r="AG27" s="7"/>
      <c r="AH27" s="7">
        <v>184.00800000000001</v>
      </c>
      <c r="AI27" s="7"/>
      <c r="AK27" s="7"/>
      <c r="AL27" s="7"/>
      <c r="AM27" s="7"/>
      <c r="AN27" s="7"/>
      <c r="AO27" s="7"/>
      <c r="AP27" s="7"/>
      <c r="AQ27" s="7">
        <v>99.2</v>
      </c>
      <c r="AR27" s="7"/>
      <c r="AS27" s="7">
        <v>269</v>
      </c>
      <c r="AT27" s="7"/>
      <c r="AU27" s="7">
        <f>182.3-4.3</f>
        <v>178</v>
      </c>
      <c r="AV27" s="7"/>
      <c r="AW27" s="7"/>
      <c r="AX27" s="7"/>
      <c r="AY27" s="7"/>
      <c r="AZ27" s="7"/>
      <c r="BA27" s="7">
        <v>175</v>
      </c>
      <c r="BB27" s="7"/>
      <c r="BC27" s="7"/>
      <c r="BD27" s="7"/>
      <c r="BE27" s="7"/>
      <c r="BF27" s="7"/>
      <c r="BG27" s="7">
        <v>144</v>
      </c>
      <c r="BH27" s="7"/>
      <c r="BI27" s="7"/>
      <c r="BJ27" s="7"/>
      <c r="BK27" s="7"/>
      <c r="BL27" s="7"/>
      <c r="BM27" s="7"/>
      <c r="BN27" s="7"/>
      <c r="BO27" s="7"/>
    </row>
    <row r="28" spans="2:67" x14ac:dyDescent="0.25">
      <c r="B28" s="17" t="s">
        <v>18</v>
      </c>
      <c r="C28" s="17"/>
      <c r="D28" s="21">
        <v>0.6</v>
      </c>
      <c r="E28" s="21"/>
      <c r="F28" s="21">
        <v>3.74</v>
      </c>
      <c r="G28" s="21"/>
      <c r="H28" s="21"/>
      <c r="I28" s="21"/>
      <c r="J28" s="21">
        <f>+-1+1</f>
        <v>0</v>
      </c>
      <c r="K28" s="21"/>
      <c r="L28" s="21">
        <f>237+148</f>
        <v>385</v>
      </c>
      <c r="M28" s="21"/>
      <c r="N28" s="21">
        <f>60.3-21.4</f>
        <v>38.9</v>
      </c>
      <c r="O28" s="21"/>
      <c r="P28" s="21">
        <f>5+8</f>
        <v>13</v>
      </c>
      <c r="Q28" s="21"/>
      <c r="R28" s="21">
        <f>587-405</f>
        <v>182</v>
      </c>
      <c r="S28" s="21"/>
      <c r="T28" s="21">
        <v>7.0999999999999994E-2</v>
      </c>
      <c r="U28" s="21"/>
      <c r="V28" s="21"/>
      <c r="W28" s="21"/>
      <c r="X28" s="21">
        <f>362.903-361.01</f>
        <v>1.8930000000000291</v>
      </c>
      <c r="Y28" s="21"/>
      <c r="Z28" s="21">
        <v>66</v>
      </c>
      <c r="AA28" s="21"/>
      <c r="AB28" s="21"/>
      <c r="AC28" s="21"/>
      <c r="AD28" s="21">
        <v>315</v>
      </c>
      <c r="AE28" s="21"/>
      <c r="AF28" s="21">
        <f>138-220</f>
        <v>-82</v>
      </c>
      <c r="AG28" s="21"/>
      <c r="AH28" s="21">
        <f>2.964-2.466</f>
        <v>0.49799999999999978</v>
      </c>
      <c r="AI28" s="21"/>
      <c r="AJ28" s="17"/>
      <c r="AK28" s="21"/>
      <c r="AL28" s="21"/>
      <c r="AM28" s="21"/>
      <c r="AN28" s="21"/>
      <c r="AO28" s="21"/>
      <c r="AP28" s="21"/>
      <c r="AQ28" s="21">
        <v>0.1</v>
      </c>
      <c r="AR28" s="21"/>
      <c r="AS28" s="21">
        <v>3</v>
      </c>
      <c r="AT28" s="21"/>
      <c r="AU28" s="21">
        <f>18.2-16.3</f>
        <v>1.8999999999999986</v>
      </c>
      <c r="AV28" s="21"/>
      <c r="AW28" s="21"/>
      <c r="AX28" s="21"/>
      <c r="AY28" s="21"/>
      <c r="AZ28" s="21"/>
      <c r="BA28" s="21">
        <v>0</v>
      </c>
      <c r="BB28" s="21"/>
      <c r="BC28" s="21"/>
      <c r="BD28" s="21"/>
      <c r="BE28" s="21"/>
      <c r="BF28" s="21"/>
      <c r="BG28" s="21">
        <f>34-6</f>
        <v>28</v>
      </c>
      <c r="BH28" s="21"/>
      <c r="BI28" s="21"/>
      <c r="BJ28" s="21"/>
      <c r="BK28" s="21"/>
      <c r="BL28" s="21"/>
      <c r="BM28" s="21"/>
      <c r="BN28" s="21"/>
      <c r="BO28" s="21"/>
    </row>
    <row r="29" spans="2:67" x14ac:dyDescent="0.25">
      <c r="B29" t="s">
        <v>75</v>
      </c>
      <c r="D29" s="19">
        <f>+D25-D26-D27-D28</f>
        <v>96.000000000000028</v>
      </c>
      <c r="E29" s="19"/>
      <c r="F29" s="19">
        <f>+F25-F26-F27-F28</f>
        <v>224.61599999999956</v>
      </c>
      <c r="G29" s="19"/>
      <c r="H29" s="19">
        <f>+H25-H26-H27-H28</f>
        <v>0</v>
      </c>
      <c r="I29" s="19"/>
      <c r="J29" s="19">
        <f>+J25-J26-J27-J28</f>
        <v>182</v>
      </c>
      <c r="K29" s="19"/>
      <c r="L29" s="19">
        <f>+L25-L26-L27-L28</f>
        <v>488</v>
      </c>
      <c r="M29" s="19"/>
      <c r="N29" s="19">
        <f>+N25-N26-N27-N28</f>
        <v>1900.1999999999973</v>
      </c>
      <c r="O29" s="19"/>
      <c r="P29" s="19">
        <f>+P25-P26-P27-P28</f>
        <v>-58</v>
      </c>
      <c r="Q29" s="19"/>
      <c r="R29" s="19">
        <f>+R25-R26-R27-R28</f>
        <v>2565</v>
      </c>
      <c r="S29" s="19"/>
      <c r="T29" s="19">
        <f>+T25-T26-T27-T28</f>
        <v>622.44800000000009</v>
      </c>
      <c r="U29" s="19"/>
      <c r="V29" s="19"/>
      <c r="W29" s="19"/>
      <c r="X29" s="19">
        <f>+X25-X26-X27-X28</f>
        <v>-159.5210000000003</v>
      </c>
      <c r="Y29" s="19"/>
      <c r="Z29" s="19">
        <f>+Z25-Z26-Z27-Z28</f>
        <v>685</v>
      </c>
      <c r="AA29" s="19"/>
      <c r="AB29" s="19">
        <f>+AB25-AB26-AB27-AB28</f>
        <v>0</v>
      </c>
      <c r="AC29" s="19"/>
      <c r="AD29" s="19">
        <f>+AD25-AD26-AD27-AD28</f>
        <v>-3435</v>
      </c>
      <c r="AE29" s="19"/>
      <c r="AF29" s="19">
        <f>+AF25-AF26-AF27-AF28</f>
        <v>125</v>
      </c>
      <c r="AG29" s="19"/>
      <c r="AH29" s="19">
        <f>+AH25-AH26-AH27-AH28</f>
        <v>-178.29399999999956</v>
      </c>
      <c r="AI29" s="19"/>
      <c r="AK29" s="19">
        <f>+AK25-AK26-AK27-AK28</f>
        <v>0</v>
      </c>
      <c r="AL29" s="19"/>
      <c r="AM29" s="19">
        <f>+AM25-AM26-AM27-AM28</f>
        <v>0</v>
      </c>
      <c r="AN29" s="19"/>
      <c r="AO29" s="19">
        <f>+AO25-AO26-AO27-AO28</f>
        <v>0</v>
      </c>
      <c r="AP29" s="19"/>
      <c r="AQ29" s="19">
        <f>+AQ25-AQ26-AQ27-AQ28</f>
        <v>79.700000000000031</v>
      </c>
      <c r="AR29" s="19"/>
      <c r="AS29" s="19">
        <f>+AS25-AS26-AS27-AS28</f>
        <v>-129</v>
      </c>
      <c r="AT29" s="19"/>
      <c r="AU29" s="19">
        <f>+AU25-AU26-AU27-AU28</f>
        <v>18.799999999999933</v>
      </c>
      <c r="AV29" s="19"/>
      <c r="AW29" s="19">
        <f>+AW25-AW26-AW27-AW28</f>
        <v>0</v>
      </c>
      <c r="AX29" s="19"/>
      <c r="AY29" s="19"/>
      <c r="AZ29" s="19"/>
      <c r="BA29" s="19">
        <f>+BA25-BA26-BA27-BA28</f>
        <v>-1923.5000000000002</v>
      </c>
      <c r="BB29" s="19"/>
      <c r="BC29" s="19">
        <f>+BC25-BC26-BC27-BC28</f>
        <v>0</v>
      </c>
      <c r="BD29" s="19"/>
      <c r="BE29" s="19">
        <f>+BE25-BE26-BE27-BE28</f>
        <v>0</v>
      </c>
      <c r="BF29" s="19"/>
      <c r="BG29" s="19">
        <f>+BG25-BG26-BG27-BG28</f>
        <v>363</v>
      </c>
      <c r="BH29" s="19"/>
      <c r="BI29" s="19">
        <f>+BI25-BI26-BI27-BI28</f>
        <v>0</v>
      </c>
      <c r="BJ29" s="19"/>
      <c r="BK29" s="19">
        <f>+BK25-BK26-BK27-BK28</f>
        <v>0</v>
      </c>
      <c r="BL29" s="19"/>
      <c r="BM29" s="19">
        <f>+BM25-BM26-BM27-BM28</f>
        <v>0</v>
      </c>
      <c r="BN29" s="19"/>
      <c r="BO29" s="19">
        <f>+BO25-BO26-BO27-BO28</f>
        <v>0</v>
      </c>
    </row>
    <row r="30" spans="2:67" x14ac:dyDescent="0.25">
      <c r="B30" t="s">
        <v>73</v>
      </c>
      <c r="D30" s="19">
        <v>102.2</v>
      </c>
      <c r="E30" s="19"/>
      <c r="F30" s="19">
        <v>673.72299999999996</v>
      </c>
      <c r="G30" s="19"/>
      <c r="H30" s="19"/>
      <c r="I30" s="19"/>
      <c r="J30" s="43">
        <v>591</v>
      </c>
      <c r="K30" s="19"/>
      <c r="L30" s="19">
        <f>3480+364</f>
        <v>3844</v>
      </c>
      <c r="M30" s="19"/>
      <c r="N30" s="19">
        <v>3726.9</v>
      </c>
      <c r="O30" s="19"/>
      <c r="P30" s="19">
        <v>1684</v>
      </c>
      <c r="Q30" s="19"/>
      <c r="R30" s="19">
        <f>1618+156</f>
        <v>1774</v>
      </c>
      <c r="S30" s="19"/>
      <c r="T30" s="19">
        <v>865.43100000000004</v>
      </c>
      <c r="U30" s="19"/>
      <c r="V30" s="19"/>
      <c r="W30" s="19"/>
      <c r="X30" s="19">
        <v>1335.058</v>
      </c>
      <c r="Y30" s="19"/>
      <c r="Z30" s="19">
        <f>871+112+49</f>
        <v>1032</v>
      </c>
      <c r="AA30" s="19"/>
      <c r="AB30" s="19"/>
      <c r="AC30" s="19"/>
      <c r="AD30" s="19">
        <f>1571+158</f>
        <v>1729</v>
      </c>
      <c r="AE30" s="19"/>
      <c r="AF30" s="19">
        <f>1386+591</f>
        <v>1977</v>
      </c>
      <c r="AG30" s="19"/>
      <c r="AH30" s="19">
        <v>893.649</v>
      </c>
      <c r="AI30" s="19"/>
      <c r="AK30" s="19"/>
      <c r="AL30" s="19"/>
      <c r="AM30" s="19"/>
      <c r="AN30" s="19"/>
      <c r="AO30" s="19"/>
      <c r="AP30" s="19"/>
      <c r="AQ30" s="43">
        <f>60.1+9.9+170.8</f>
        <v>240.8</v>
      </c>
      <c r="AR30" s="19"/>
      <c r="AS30" s="19">
        <f>46+658</f>
        <v>704</v>
      </c>
      <c r="AT30" s="19"/>
      <c r="AU30" s="19">
        <v>614.4</v>
      </c>
      <c r="AV30" s="19"/>
      <c r="AW30" s="19"/>
      <c r="AX30" s="19"/>
      <c r="AY30" s="19"/>
      <c r="AZ30" s="19"/>
      <c r="BA30" s="19">
        <v>908.3</v>
      </c>
      <c r="BB30" s="19"/>
      <c r="BC30" s="19"/>
      <c r="BD30" s="19"/>
      <c r="BE30" s="19"/>
      <c r="BF30" s="19"/>
      <c r="BG30" s="19">
        <v>383</v>
      </c>
      <c r="BH30" s="19"/>
      <c r="BI30" s="19"/>
      <c r="BJ30" s="19"/>
      <c r="BK30" s="19"/>
      <c r="BL30" s="19"/>
      <c r="BM30" s="19"/>
      <c r="BN30" s="19"/>
      <c r="BO30" s="19"/>
    </row>
    <row r="31" spans="2:67" ht="17.25" x14ac:dyDescent="0.4">
      <c r="B31" s="17" t="s">
        <v>74</v>
      </c>
      <c r="C31" s="17"/>
      <c r="D31" s="31">
        <v>0</v>
      </c>
      <c r="E31" s="19"/>
      <c r="F31" s="31">
        <v>0</v>
      </c>
      <c r="G31" s="19"/>
      <c r="H31" s="31"/>
      <c r="I31" s="31"/>
      <c r="J31" s="31">
        <v>0</v>
      </c>
      <c r="K31" s="31"/>
      <c r="L31" s="31">
        <v>210</v>
      </c>
      <c r="M31" s="31"/>
      <c r="N31" s="31">
        <v>0</v>
      </c>
      <c r="O31" s="31"/>
      <c r="P31" s="31">
        <v>0</v>
      </c>
      <c r="Q31" s="31"/>
      <c r="R31" s="31">
        <v>273</v>
      </c>
      <c r="S31" s="31"/>
      <c r="T31" s="31">
        <v>0</v>
      </c>
      <c r="U31" s="31"/>
      <c r="V31" s="31"/>
      <c r="W31" s="19"/>
      <c r="X31" s="31">
        <v>0</v>
      </c>
      <c r="Y31" s="19"/>
      <c r="Z31" s="31">
        <v>0</v>
      </c>
      <c r="AA31" s="19"/>
      <c r="AB31" s="31"/>
      <c r="AC31" s="31"/>
      <c r="AD31" s="31">
        <v>0</v>
      </c>
      <c r="AE31" s="31"/>
      <c r="AF31" s="31">
        <v>0</v>
      </c>
      <c r="AG31" s="19"/>
      <c r="AH31" s="31">
        <v>0</v>
      </c>
      <c r="AI31" s="31"/>
      <c r="AJ31" s="17"/>
      <c r="AK31" s="31"/>
      <c r="AL31" s="19"/>
      <c r="AM31" s="31"/>
      <c r="AN31" s="19"/>
      <c r="AO31" s="31"/>
      <c r="AP31" s="31"/>
      <c r="AQ31" s="31">
        <v>0</v>
      </c>
      <c r="AR31" s="31"/>
      <c r="AS31" s="31">
        <v>0</v>
      </c>
      <c r="AT31" s="31"/>
      <c r="AU31" s="31">
        <v>0</v>
      </c>
      <c r="AV31" s="31"/>
      <c r="AW31" s="31"/>
      <c r="AX31" s="31"/>
      <c r="AY31" s="31"/>
      <c r="AZ31" s="31"/>
      <c r="BA31" s="31">
        <v>4</v>
      </c>
      <c r="BB31" s="31"/>
      <c r="BC31" s="31"/>
      <c r="BD31" s="19"/>
      <c r="BE31" s="31"/>
      <c r="BF31" s="19"/>
      <c r="BG31" s="31">
        <v>540</v>
      </c>
      <c r="BH31" s="19"/>
      <c r="BI31" s="31"/>
      <c r="BJ31" s="31"/>
      <c r="BK31" s="31"/>
      <c r="BL31" s="31"/>
      <c r="BM31" s="31"/>
      <c r="BN31" s="19"/>
      <c r="BO31" s="31"/>
    </row>
    <row r="32" spans="2:67" x14ac:dyDescent="0.25">
      <c r="B32" t="s">
        <v>20</v>
      </c>
      <c r="D32" s="19">
        <f>+D29-D30-D31</f>
        <v>-6.1999999999999744</v>
      </c>
      <c r="E32" s="19"/>
      <c r="F32" s="19">
        <f>+F29-F30-F31</f>
        <v>-449.10700000000043</v>
      </c>
      <c r="G32" s="19"/>
      <c r="H32" s="19">
        <f>+H29-H30-H31</f>
        <v>0</v>
      </c>
      <c r="I32" s="19"/>
      <c r="J32" s="19">
        <f>+J29-J30-J31</f>
        <v>-409</v>
      </c>
      <c r="K32" s="19"/>
      <c r="L32" s="19">
        <f>+L29-L30-L31</f>
        <v>-3566</v>
      </c>
      <c r="M32" s="19"/>
      <c r="N32" s="19">
        <f>+N29-N30-N31</f>
        <v>-1826.7000000000028</v>
      </c>
      <c r="O32" s="19"/>
      <c r="P32" s="19">
        <f>+P29-P30-P31</f>
        <v>-1742</v>
      </c>
      <c r="Q32" s="19"/>
      <c r="R32" s="19">
        <f>+R29-R30-R31</f>
        <v>518</v>
      </c>
      <c r="S32" s="19"/>
      <c r="T32" s="19">
        <f>+T29-T30-T31</f>
        <v>-242.98299999999995</v>
      </c>
      <c r="U32" s="19"/>
      <c r="V32" s="19"/>
      <c r="W32" s="19"/>
      <c r="X32" s="19">
        <f>+X29-X30-X31</f>
        <v>-1494.5790000000002</v>
      </c>
      <c r="Y32" s="19"/>
      <c r="Z32" s="19">
        <f>+Z29-Z30-Z31</f>
        <v>-347</v>
      </c>
      <c r="AA32" s="19"/>
      <c r="AB32" s="19">
        <f>+AB29-AB30-AB31</f>
        <v>0</v>
      </c>
      <c r="AC32" s="19"/>
      <c r="AD32" s="19">
        <f>+AD29-AD30-AD31</f>
        <v>-5164</v>
      </c>
      <c r="AE32" s="19"/>
      <c r="AF32" s="19">
        <f>+AF29-AF30-AF31</f>
        <v>-1852</v>
      </c>
      <c r="AG32" s="19"/>
      <c r="AH32" s="19">
        <f>+AH29-AH30-AH31</f>
        <v>-1071.9429999999995</v>
      </c>
      <c r="AI32" s="19"/>
      <c r="AK32" s="19">
        <f>+AK29-AK30-AK31</f>
        <v>0</v>
      </c>
      <c r="AL32" s="19"/>
      <c r="AM32" s="19">
        <f>+AM29-AM30-AM31</f>
        <v>0</v>
      </c>
      <c r="AN32" s="19"/>
      <c r="AO32" s="19">
        <f>+AO29-AO30-AO31</f>
        <v>0</v>
      </c>
      <c r="AP32" s="19"/>
      <c r="AQ32" s="19">
        <f>+AQ29-AQ30-AQ31</f>
        <v>-161.09999999999997</v>
      </c>
      <c r="AR32" s="19"/>
      <c r="AS32" s="19">
        <f>+AS29-AS30-AS31</f>
        <v>-833</v>
      </c>
      <c r="AT32" s="19"/>
      <c r="AU32" s="19">
        <f>+AU29-AU30-AU31</f>
        <v>-595.6</v>
      </c>
      <c r="AV32" s="19"/>
      <c r="AW32" s="19"/>
      <c r="AX32" s="19"/>
      <c r="AY32" s="19"/>
      <c r="AZ32" s="19"/>
      <c r="BA32" s="19">
        <f>+BA29-BA30-BA31</f>
        <v>-2835.8</v>
      </c>
      <c r="BB32" s="19"/>
      <c r="BC32" s="19">
        <f>+BC29-BC30-BC31</f>
        <v>0</v>
      </c>
      <c r="BD32" s="19"/>
      <c r="BE32" s="19">
        <f>+BE29-BE30-BE31</f>
        <v>0</v>
      </c>
      <c r="BF32" s="19"/>
      <c r="BG32" s="19">
        <f>+BG29-BG30-BG31</f>
        <v>-560</v>
      </c>
      <c r="BH32" s="19"/>
      <c r="BI32" s="19">
        <f>+BI29-BI30-BI31</f>
        <v>0</v>
      </c>
      <c r="BJ32" s="19"/>
      <c r="BK32" s="19">
        <f>+BK29-BK30-BK31</f>
        <v>0</v>
      </c>
      <c r="BL32" s="19"/>
      <c r="BM32" s="19">
        <f>+BM29-BM30-BM31</f>
        <v>0</v>
      </c>
      <c r="BN32" s="19"/>
      <c r="BO32" s="19">
        <f>+BO29-BO30-BO31</f>
        <v>0</v>
      </c>
    </row>
    <row r="34" spans="2:32" x14ac:dyDescent="0.25">
      <c r="B34" t="s">
        <v>201</v>
      </c>
      <c r="C34" t="s">
        <v>202</v>
      </c>
    </row>
    <row r="37" spans="2:32" x14ac:dyDescent="0.25">
      <c r="B37" t="s">
        <v>199</v>
      </c>
      <c r="C37" t="s">
        <v>200</v>
      </c>
      <c r="D37" t="s">
        <v>242</v>
      </c>
      <c r="F37" t="s">
        <v>249</v>
      </c>
      <c r="J37" t="s">
        <v>250</v>
      </c>
      <c r="L37" t="s">
        <v>243</v>
      </c>
      <c r="N37" t="s">
        <v>244</v>
      </c>
      <c r="R37" t="s">
        <v>251</v>
      </c>
      <c r="T37" t="s">
        <v>246</v>
      </c>
      <c r="X37" t="s">
        <v>258</v>
      </c>
      <c r="Z37" t="s">
        <v>247</v>
      </c>
      <c r="AD37" t="s">
        <v>252</v>
      </c>
      <c r="AF37" t="s">
        <v>248</v>
      </c>
    </row>
  </sheetData>
  <pageMargins left="0.7" right="0.7" top="0.75" bottom="0.75" header="0.3" footer="0.3"/>
  <pageSetup scale="42" orientation="landscape" r:id="rId1"/>
  <ignoredErrors>
    <ignoredError sqref="AC7:AF7 M7:T7 D7:F7 Y7:Z7 H7:J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F41"/>
  <sheetViews>
    <sheetView showGridLines="0" workbookViewId="0"/>
  </sheetViews>
  <sheetFormatPr defaultRowHeight="15" x14ac:dyDescent="0.25"/>
  <cols>
    <col min="2" max="2" width="32.7109375" customWidth="1"/>
    <col min="3" max="3" width="1.140625" customWidth="1"/>
    <col min="4" max="9" width="0" hidden="1" customWidth="1"/>
    <col min="10" max="10" width="21.42578125" bestFit="1" customWidth="1"/>
    <col min="11" max="13" width="0" hidden="1" customWidth="1"/>
    <col min="14" max="14" width="21.42578125" bestFit="1" customWidth="1"/>
    <col min="15" max="15" width="0" hidden="1" customWidth="1"/>
    <col min="16" max="16" width="18.85546875" bestFit="1" customWidth="1"/>
    <col min="17" max="32" width="0" hidden="1" customWidth="1"/>
  </cols>
  <sheetData>
    <row r="1" spans="2:32" x14ac:dyDescent="0.25">
      <c r="B1" s="12"/>
      <c r="C1" s="12"/>
      <c r="D1" s="40" t="s">
        <v>302</v>
      </c>
      <c r="E1" s="40"/>
      <c r="F1" s="40" t="s">
        <v>303</v>
      </c>
      <c r="G1" s="40"/>
      <c r="H1" s="40" t="s">
        <v>304</v>
      </c>
      <c r="I1" s="40"/>
      <c r="J1" s="40" t="s">
        <v>305</v>
      </c>
      <c r="K1" s="12"/>
      <c r="L1" s="40" t="s">
        <v>306</v>
      </c>
      <c r="M1" s="12"/>
      <c r="N1" s="40" t="s">
        <v>307</v>
      </c>
      <c r="O1" s="40"/>
      <c r="P1" s="40" t="s">
        <v>308</v>
      </c>
      <c r="Q1" s="40"/>
      <c r="R1" s="40"/>
      <c r="S1" s="40"/>
      <c r="T1" s="40"/>
      <c r="U1" s="12"/>
      <c r="V1" s="40"/>
      <c r="W1" s="12"/>
      <c r="X1" s="40"/>
      <c r="Y1" s="12"/>
      <c r="Z1" s="40"/>
      <c r="AA1" s="12"/>
      <c r="AB1" s="40"/>
      <c r="AC1" s="12"/>
      <c r="AD1" s="40"/>
      <c r="AE1" s="12"/>
      <c r="AF1" s="40"/>
    </row>
    <row r="2" spans="2:32" x14ac:dyDescent="0.25">
      <c r="B2" t="s">
        <v>0</v>
      </c>
      <c r="D2" s="37"/>
      <c r="E2" s="37"/>
      <c r="F2" s="37"/>
      <c r="G2" s="37"/>
      <c r="H2" s="37"/>
      <c r="I2" s="37"/>
      <c r="J2" s="37" t="s">
        <v>186</v>
      </c>
      <c r="K2" s="37"/>
      <c r="L2" s="37"/>
      <c r="M2" s="37"/>
      <c r="N2" s="37" t="s">
        <v>311</v>
      </c>
      <c r="O2" s="37"/>
      <c r="P2" s="37" t="s">
        <v>186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</row>
    <row r="3" spans="2:32" x14ac:dyDescent="0.25">
      <c r="B3" t="s">
        <v>1</v>
      </c>
      <c r="D3" s="37"/>
      <c r="E3" s="37"/>
      <c r="F3" s="37"/>
      <c r="G3" s="37"/>
      <c r="H3" s="37"/>
      <c r="I3" s="37"/>
      <c r="J3" s="37" t="s">
        <v>314</v>
      </c>
      <c r="K3" s="37"/>
      <c r="L3" s="37"/>
      <c r="M3" s="37"/>
      <c r="N3" s="37" t="s">
        <v>312</v>
      </c>
      <c r="O3" s="37"/>
      <c r="P3" s="37" t="s">
        <v>309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</row>
    <row r="4" spans="2:32" hidden="1" x14ac:dyDescent="0.25">
      <c r="D4" s="37" t="s">
        <v>95</v>
      </c>
      <c r="E4" s="37"/>
      <c r="F4" s="37" t="s">
        <v>95</v>
      </c>
      <c r="G4" s="37"/>
      <c r="H4" s="37" t="s">
        <v>95</v>
      </c>
      <c r="I4" s="37"/>
      <c r="J4" s="37" t="s">
        <v>95</v>
      </c>
      <c r="K4" s="37"/>
      <c r="L4" s="37" t="s">
        <v>95</v>
      </c>
      <c r="M4" s="37"/>
      <c r="N4" s="37" t="s">
        <v>95</v>
      </c>
      <c r="O4" s="37"/>
      <c r="P4" s="37" t="s">
        <v>95</v>
      </c>
      <c r="Q4" s="37"/>
      <c r="R4" s="37" t="s">
        <v>95</v>
      </c>
      <c r="S4" s="37"/>
      <c r="T4" s="37" t="s">
        <v>95</v>
      </c>
      <c r="U4" s="37"/>
      <c r="V4" s="37" t="s">
        <v>95</v>
      </c>
      <c r="W4" s="37"/>
      <c r="X4" s="37" t="s">
        <v>95</v>
      </c>
      <c r="Y4" s="37"/>
      <c r="Z4" s="37"/>
      <c r="AA4" s="37"/>
      <c r="AB4" s="37" t="s">
        <v>95</v>
      </c>
      <c r="AC4" s="37"/>
      <c r="AD4" s="37" t="s">
        <v>95</v>
      </c>
      <c r="AE4" s="37"/>
      <c r="AF4" s="37" t="s">
        <v>95</v>
      </c>
    </row>
    <row r="5" spans="2:32" x14ac:dyDescent="0.25">
      <c r="B5" t="s">
        <v>89</v>
      </c>
      <c r="D5" s="41" t="str">
        <f>_xll.BDP(C5,D4)</f>
        <v>#N/A Invalid Security</v>
      </c>
      <c r="E5" s="41"/>
      <c r="F5" s="41" t="str">
        <f>_xll.BDP(E5,F4)</f>
        <v>#N/A Invalid Security</v>
      </c>
      <c r="G5" s="41"/>
      <c r="H5" s="41" t="str">
        <f>_xll.BDP(G5,H4)</f>
        <v>#N/A Invalid Security</v>
      </c>
      <c r="I5" s="41" t="s">
        <v>315</v>
      </c>
      <c r="J5" s="41">
        <f>_xll.BDP(I5,J4)</f>
        <v>100.57299999999999</v>
      </c>
      <c r="K5" s="39"/>
      <c r="L5" s="41" t="str">
        <f>_xll.BDP(K5,L4)</f>
        <v>#N/A Invalid Security</v>
      </c>
      <c r="M5" s="39" t="s">
        <v>313</v>
      </c>
      <c r="N5" s="41">
        <f>_xll.BDP(M5,N4)</f>
        <v>103.89100000000001</v>
      </c>
      <c r="O5" s="41" t="s">
        <v>310</v>
      </c>
      <c r="P5" s="41">
        <f>_xll.BDP(O5,P4)</f>
        <v>105.029</v>
      </c>
      <c r="Q5" s="41"/>
      <c r="R5" s="41" t="str">
        <f>_xll.BDP(Q5,R4)</f>
        <v>#N/A Invalid Security</v>
      </c>
      <c r="S5" s="41"/>
      <c r="T5" s="41" t="str">
        <f>_xll.BDP(S5,T4)</f>
        <v>#N/A Invalid Security</v>
      </c>
      <c r="U5" s="39"/>
      <c r="V5" s="41" t="str">
        <f>_xll.BDP(U5,V4)</f>
        <v>#N/A Invalid Security</v>
      </c>
      <c r="W5" s="39"/>
      <c r="X5" s="41" t="str">
        <f>_xll.BDP(W5,X4)</f>
        <v>#N/A Invalid Security</v>
      </c>
      <c r="Y5" s="39" t="s">
        <v>259</v>
      </c>
      <c r="Z5" s="41"/>
      <c r="AA5" s="39" t="s">
        <v>227</v>
      </c>
      <c r="AB5" s="41">
        <f>_xll.BDP(AA5,AB4)</f>
        <v>106.461</v>
      </c>
      <c r="AC5" s="39" t="s">
        <v>230</v>
      </c>
      <c r="AD5" s="41">
        <f>_xll.BDP(AC5,AD4)</f>
        <v>101.70699999999999</v>
      </c>
      <c r="AE5" s="39" t="s">
        <v>233</v>
      </c>
      <c r="AF5" s="41">
        <f>_xll.BDP(AE5,AF4)</f>
        <v>99.638999999999996</v>
      </c>
    </row>
    <row r="6" spans="2:32" hidden="1" x14ac:dyDescent="0.25">
      <c r="D6" s="41" t="s">
        <v>160</v>
      </c>
      <c r="E6" s="41"/>
      <c r="F6" s="41" t="s">
        <v>160</v>
      </c>
      <c r="G6" s="41"/>
      <c r="H6" s="41" t="s">
        <v>160</v>
      </c>
      <c r="I6" s="41"/>
      <c r="J6" s="41" t="s">
        <v>160</v>
      </c>
      <c r="K6" s="39"/>
      <c r="L6" s="41" t="s">
        <v>160</v>
      </c>
      <c r="M6" s="39"/>
      <c r="N6" s="41" t="s">
        <v>160</v>
      </c>
      <c r="O6" s="41"/>
      <c r="P6" s="41" t="s">
        <v>160</v>
      </c>
      <c r="Q6" s="41"/>
      <c r="R6" s="41" t="s">
        <v>160</v>
      </c>
      <c r="S6" s="41"/>
      <c r="T6" s="41" t="s">
        <v>160</v>
      </c>
      <c r="U6" s="39"/>
      <c r="V6" s="41" t="s">
        <v>160</v>
      </c>
      <c r="W6" s="39"/>
      <c r="X6" s="41" t="s">
        <v>160</v>
      </c>
      <c r="Y6" s="39"/>
      <c r="Z6" s="41"/>
      <c r="AA6" s="39"/>
      <c r="AB6" s="41" t="s">
        <v>160</v>
      </c>
      <c r="AC6" s="39"/>
      <c r="AD6" s="41" t="s">
        <v>160</v>
      </c>
      <c r="AE6" s="39"/>
      <c r="AF6" s="41" t="s">
        <v>160</v>
      </c>
    </row>
    <row r="7" spans="2:32" x14ac:dyDescent="0.25">
      <c r="B7" t="s">
        <v>219</v>
      </c>
      <c r="D7" s="41" t="str">
        <f>_xll.BDP(C7,D6)</f>
        <v>#N/A Invalid Security</v>
      </c>
      <c r="E7" s="41"/>
      <c r="F7" s="41" t="str">
        <f>_xll.BDP(E7,F6)</f>
        <v>#N/A Invalid Security</v>
      </c>
      <c r="G7" s="41"/>
      <c r="H7" s="41" t="str">
        <f>_xll.BDP(G7,H6)</f>
        <v>#N/A Invalid Security</v>
      </c>
      <c r="I7" s="41" t="str">
        <f>+I5</f>
        <v>au7909263 corp</v>
      </c>
      <c r="J7" s="41">
        <f>_xll.BDP(I7,J6)</f>
        <v>170.21211974411099</v>
      </c>
      <c r="K7" s="39"/>
      <c r="L7" s="41" t="str">
        <f>_xll.BDP(K7,L6)</f>
        <v>#N/A Invalid Security</v>
      </c>
      <c r="M7" s="39" t="str">
        <f>+M5</f>
        <v>ar4953873 corp</v>
      </c>
      <c r="N7" s="41">
        <f>_xll.BDP(M7,N6)</f>
        <v>135.69863432743199</v>
      </c>
      <c r="O7" s="41" t="str">
        <f>+O5</f>
        <v>as7113937 corp</v>
      </c>
      <c r="P7" s="41">
        <f>_xll.BDP(O7,P6)</f>
        <v>165.206084129484</v>
      </c>
      <c r="Q7" s="41"/>
      <c r="R7" s="41" t="str">
        <f>_xll.BDP(Q7,R6)</f>
        <v>#N/A Invalid Security</v>
      </c>
      <c r="S7" s="41"/>
      <c r="T7" s="41" t="str">
        <f>_xll.BDP(S7,T6)</f>
        <v>#N/A Invalid Security</v>
      </c>
      <c r="U7" s="39"/>
      <c r="V7" s="41" t="str">
        <f>_xll.BDP(U7,V6)</f>
        <v>#N/A Invalid Security</v>
      </c>
      <c r="W7" s="39"/>
      <c r="X7" s="41" t="str">
        <f>_xll.BDP(W7,X6)</f>
        <v>#N/A Invalid Security</v>
      </c>
      <c r="Y7" s="39" t="str">
        <f>+Y5</f>
        <v>aq7078274 corp</v>
      </c>
      <c r="Z7" s="41"/>
      <c r="AA7" s="39" t="str">
        <f>+AA5</f>
        <v>as5051345 corp</v>
      </c>
      <c r="AB7" s="41">
        <f>_xll.BDP(AA7,AB6)</f>
        <v>136.63997262423101</v>
      </c>
      <c r="AC7" s="39" t="str">
        <f>+AC5</f>
        <v>an8093246 corp</v>
      </c>
      <c r="AD7" s="41">
        <f>_xll.BDP(AC7,AD6)</f>
        <v>151.37970325962399</v>
      </c>
      <c r="AE7" s="39" t="str">
        <f>+AE5</f>
        <v>at9556495 corp</v>
      </c>
      <c r="AF7" s="41">
        <f>_xll.BDP(AE7,AF6)</f>
        <v>277.057834497942</v>
      </c>
    </row>
    <row r="8" spans="2:32" x14ac:dyDescent="0.25">
      <c r="B8" t="s">
        <v>245</v>
      </c>
      <c r="D8" s="8">
        <v>3</v>
      </c>
      <c r="E8" s="8"/>
      <c r="F8" s="8">
        <v>3</v>
      </c>
      <c r="G8" s="8"/>
      <c r="H8" s="8"/>
      <c r="I8" s="8"/>
      <c r="J8" s="8"/>
      <c r="K8" s="8"/>
      <c r="L8" s="8">
        <v>2</v>
      </c>
      <c r="M8" s="8"/>
      <c r="N8" s="8"/>
      <c r="O8" s="4"/>
      <c r="P8" s="4"/>
      <c r="Q8" s="4"/>
      <c r="R8" s="8">
        <v>1</v>
      </c>
      <c r="S8" s="4"/>
      <c r="T8" s="8">
        <v>3</v>
      </c>
      <c r="U8" s="4"/>
      <c r="V8" s="8">
        <v>3</v>
      </c>
      <c r="W8" s="4"/>
      <c r="X8" s="8">
        <v>2</v>
      </c>
      <c r="Y8" s="4"/>
      <c r="Z8" s="8"/>
      <c r="AA8" s="8"/>
      <c r="AB8" s="8">
        <v>3</v>
      </c>
      <c r="AC8" s="8"/>
      <c r="AD8" s="8">
        <v>2</v>
      </c>
      <c r="AE8" s="8"/>
      <c r="AF8" s="8">
        <v>2</v>
      </c>
    </row>
    <row r="9" spans="2:32" x14ac:dyDescent="0.25">
      <c r="B9" s="12" t="s">
        <v>2</v>
      </c>
      <c r="C9" s="12"/>
      <c r="D9" s="18">
        <v>43465</v>
      </c>
      <c r="E9" s="18"/>
      <c r="F9" s="18">
        <v>43465</v>
      </c>
      <c r="G9" s="18"/>
      <c r="H9" s="18">
        <v>43465</v>
      </c>
      <c r="I9" s="18"/>
      <c r="J9" s="18">
        <v>43465</v>
      </c>
      <c r="K9" s="18"/>
      <c r="L9" s="42" t="s">
        <v>237</v>
      </c>
      <c r="M9" s="18"/>
      <c r="N9" s="18">
        <v>43465</v>
      </c>
      <c r="O9" s="18"/>
      <c r="P9" s="18">
        <v>43555</v>
      </c>
      <c r="Q9" s="18"/>
      <c r="R9" s="18">
        <v>43465</v>
      </c>
      <c r="S9" s="18"/>
      <c r="T9" s="18">
        <v>43465</v>
      </c>
      <c r="U9" s="18"/>
      <c r="V9" s="18">
        <v>43465</v>
      </c>
      <c r="W9" s="18"/>
      <c r="X9" s="18">
        <v>43465</v>
      </c>
      <c r="Y9" s="18"/>
      <c r="Z9" s="18"/>
      <c r="AA9" s="18"/>
      <c r="AB9" s="18">
        <v>43465</v>
      </c>
      <c r="AC9" s="18"/>
      <c r="AD9" s="18">
        <v>43465</v>
      </c>
      <c r="AE9" s="18"/>
      <c r="AF9" s="18">
        <v>43465</v>
      </c>
    </row>
    <row r="10" spans="2:32" x14ac:dyDescent="0.25">
      <c r="B10" t="s">
        <v>3</v>
      </c>
      <c r="D10" s="7">
        <v>1223.7</v>
      </c>
      <c r="E10" s="7"/>
      <c r="F10" s="7">
        <v>4108.2749999999996</v>
      </c>
      <c r="G10" s="7"/>
      <c r="H10" s="7"/>
      <c r="I10" s="7"/>
      <c r="J10" s="7">
        <v>97102</v>
      </c>
      <c r="K10" s="7"/>
      <c r="L10" s="7"/>
      <c r="M10" s="7"/>
      <c r="N10" s="7">
        <v>114217</v>
      </c>
      <c r="O10" s="7"/>
      <c r="P10" s="7">
        <f>117033+24263-26439</f>
        <v>114857</v>
      </c>
      <c r="Q10" s="7"/>
      <c r="R10" s="7">
        <v>14144</v>
      </c>
      <c r="S10" s="7"/>
      <c r="T10" s="7">
        <v>2826.5729999999999</v>
      </c>
      <c r="U10" s="7"/>
      <c r="V10" s="7">
        <v>12593.196</v>
      </c>
      <c r="W10" s="7"/>
      <c r="X10" s="7">
        <v>34055</v>
      </c>
      <c r="Y10" s="7"/>
      <c r="Z10" s="7"/>
      <c r="AA10" s="7"/>
      <c r="AB10" s="7">
        <v>13679</v>
      </c>
      <c r="AC10" s="7"/>
      <c r="AD10" s="7">
        <v>8686</v>
      </c>
      <c r="AE10" s="7"/>
      <c r="AF10" s="7">
        <f>1990.276+153.024</f>
        <v>2143.3000000000002</v>
      </c>
    </row>
    <row r="11" spans="2:32" x14ac:dyDescent="0.25">
      <c r="B11" t="s">
        <v>209</v>
      </c>
      <c r="D11" s="35">
        <f>+D10-19-205.6-136.3-103.8</f>
        <v>759</v>
      </c>
      <c r="E11" s="35"/>
      <c r="F11" s="7">
        <f>+F10-2521.864-639.769-82.393+21.89</f>
        <v>886.13899999999956</v>
      </c>
      <c r="G11" s="7"/>
      <c r="H11" s="7"/>
      <c r="I11" s="7"/>
      <c r="J11" s="7">
        <f>+J10-85456-610-2418-557+519-373</f>
        <v>8207</v>
      </c>
      <c r="K11" s="7"/>
      <c r="L11" s="7"/>
      <c r="M11" s="7"/>
      <c r="N11" s="7">
        <f>+N10-97930-4880-1677-425</f>
        <v>9305</v>
      </c>
      <c r="O11" s="7"/>
      <c r="P11" s="59">
        <f>+P10-104732-4690-925+32-116-21978-1215-209+23756+1136+238</f>
        <v>6154</v>
      </c>
      <c r="Q11" s="7"/>
      <c r="R11" s="7">
        <v>7568</v>
      </c>
      <c r="S11" s="7"/>
      <c r="T11" s="7">
        <v>1395.7550000000001</v>
      </c>
      <c r="U11" s="7"/>
      <c r="V11" s="7">
        <f>+V10-9422.708-803.146-103.922+158.383+31.664</f>
        <v>2453.4669999999996</v>
      </c>
      <c r="W11" s="7"/>
      <c r="X11" s="7">
        <v>2684</v>
      </c>
      <c r="Y11" s="7"/>
      <c r="Z11" s="7"/>
      <c r="AA11" s="7"/>
      <c r="AB11" s="7">
        <v>8563</v>
      </c>
      <c r="AC11" s="7"/>
      <c r="AD11" s="7">
        <f>+AD10-2707-137-1507-569+693</f>
        <v>4459</v>
      </c>
      <c r="AE11" s="7"/>
      <c r="AF11" s="7">
        <f>+AF10-431.921-414.784-59.706-42.934+6.153</f>
        <v>1200.1080000000004</v>
      </c>
    </row>
    <row r="12" spans="2:32" x14ac:dyDescent="0.25">
      <c r="B12" s="1" t="s">
        <v>210</v>
      </c>
      <c r="C12" s="1"/>
      <c r="D12" s="23">
        <f>+D11/D10</f>
        <v>0.62025006128953175</v>
      </c>
      <c r="E12" s="23"/>
      <c r="F12" s="23">
        <f>+F11/F10</f>
        <v>0.2156961255027961</v>
      </c>
      <c r="G12" s="23"/>
      <c r="H12" s="23" t="e">
        <f>+H11/H10</f>
        <v>#DIV/0!</v>
      </c>
      <c r="I12" s="23"/>
      <c r="J12" s="23">
        <f>+J11/J10</f>
        <v>8.4519371382669767E-2</v>
      </c>
      <c r="K12" s="23"/>
      <c r="L12" s="23" t="e">
        <f>+L11/L10</f>
        <v>#DIV/0!</v>
      </c>
      <c r="M12" s="23"/>
      <c r="N12" s="23">
        <f>+N11/N10</f>
        <v>8.1467732474150081E-2</v>
      </c>
      <c r="O12" s="23"/>
      <c r="P12" s="23">
        <f>+P11/P10</f>
        <v>5.3579668631428649E-2</v>
      </c>
      <c r="Q12" s="23"/>
      <c r="R12" s="23">
        <f>+R11/R10</f>
        <v>0.53506787330316741</v>
      </c>
      <c r="S12" s="23"/>
      <c r="T12" s="23">
        <f>+T11/T10</f>
        <v>0.49379761286901142</v>
      </c>
      <c r="U12" s="23"/>
      <c r="V12" s="23">
        <f>+V11/V10</f>
        <v>0.19482480857123161</v>
      </c>
      <c r="W12" s="23"/>
      <c r="X12" s="23">
        <f>+X11/X10</f>
        <v>7.8813683746880053E-2</v>
      </c>
      <c r="Y12" s="23"/>
      <c r="Z12" s="23"/>
      <c r="AA12" s="23"/>
      <c r="AB12" s="23">
        <f>+AB11/AB10</f>
        <v>0.62599605234300748</v>
      </c>
      <c r="AC12" s="23"/>
      <c r="AD12" s="23">
        <f>+AD11/AD10</f>
        <v>0.5133548238544785</v>
      </c>
      <c r="AE12" s="23"/>
      <c r="AF12" s="23">
        <f>+AF11/AF10</f>
        <v>0.55993468016609915</v>
      </c>
    </row>
    <row r="14" spans="2:32" x14ac:dyDescent="0.25">
      <c r="B14" t="s">
        <v>6</v>
      </c>
      <c r="D14" s="7">
        <v>3727.5</v>
      </c>
      <c r="E14" s="7"/>
      <c r="F14" s="7">
        <v>4714.442</v>
      </c>
      <c r="G14" s="7"/>
      <c r="H14" s="7"/>
      <c r="I14" s="7"/>
      <c r="J14" s="7">
        <f>27980</f>
        <v>27980</v>
      </c>
      <c r="K14" s="7"/>
      <c r="L14" s="7"/>
      <c r="M14" s="7"/>
      <c r="N14" s="7">
        <f>11076+84</f>
        <v>11160</v>
      </c>
      <c r="O14" s="7"/>
      <c r="P14" s="59">
        <v>10100</v>
      </c>
      <c r="Q14" s="7"/>
      <c r="R14" s="7">
        <v>36593</v>
      </c>
      <c r="S14" s="7"/>
      <c r="T14" s="7">
        <v>4550</v>
      </c>
      <c r="U14" s="7"/>
      <c r="V14" s="7">
        <v>9451.3539999999994</v>
      </c>
      <c r="W14" s="7"/>
      <c r="X14" s="7">
        <v>9209</v>
      </c>
      <c r="Y14" s="7"/>
      <c r="Z14" s="7"/>
      <c r="AA14" s="7"/>
      <c r="AB14" s="7">
        <v>42287</v>
      </c>
      <c r="AC14" s="7"/>
      <c r="AD14" s="7">
        <v>22414</v>
      </c>
      <c r="AE14" s="7"/>
      <c r="AF14" s="7">
        <v>4840</v>
      </c>
    </row>
    <row r="15" spans="2:32" x14ac:dyDescent="0.25">
      <c r="B15" t="s">
        <v>7</v>
      </c>
      <c r="D15" s="6">
        <f>+D14/D11</f>
        <v>4.9110671936758896</v>
      </c>
      <c r="E15" s="6"/>
      <c r="F15" s="6">
        <f>+F14/F11</f>
        <v>5.3202059722007524</v>
      </c>
      <c r="G15" s="6"/>
      <c r="H15" s="6" t="e">
        <f>+H14/H11</f>
        <v>#DIV/0!</v>
      </c>
      <c r="I15" s="6"/>
      <c r="J15" s="6">
        <f>+J14/J11</f>
        <v>3.409284756914829</v>
      </c>
      <c r="K15" s="6"/>
      <c r="L15" s="6" t="e">
        <f>+L14/L11</f>
        <v>#DIV/0!</v>
      </c>
      <c r="M15" s="6"/>
      <c r="N15" s="6">
        <f>+N14/N11</f>
        <v>1.1993551853842019</v>
      </c>
      <c r="O15" s="6"/>
      <c r="P15" s="6">
        <f>+P14/P11</f>
        <v>1.6412089697757557</v>
      </c>
      <c r="Q15" s="6"/>
      <c r="R15" s="6">
        <f>+R14/R11</f>
        <v>4.8352272727272725</v>
      </c>
      <c r="S15" s="6"/>
      <c r="T15" s="6">
        <f>+T14/T11</f>
        <v>3.2598844353056227</v>
      </c>
      <c r="U15" s="6"/>
      <c r="V15" s="6">
        <f>+V14/V11</f>
        <v>3.8522441915868444</v>
      </c>
      <c r="W15" s="6"/>
      <c r="X15" s="6">
        <f>+X14/X11</f>
        <v>3.4310730253353205</v>
      </c>
      <c r="Y15" s="6"/>
      <c r="Z15" s="6"/>
      <c r="AA15" s="6"/>
      <c r="AB15" s="6">
        <f>+AB14/AB11</f>
        <v>4.9383393670442599</v>
      </c>
      <c r="AC15" s="6"/>
      <c r="AD15" s="6">
        <f>+AD14/AD11</f>
        <v>5.0266875981161698</v>
      </c>
      <c r="AE15" s="6"/>
      <c r="AF15" s="6">
        <f>+AF14/AF11</f>
        <v>4.0329703660003924</v>
      </c>
    </row>
    <row r="16" spans="2:32" x14ac:dyDescent="0.25">
      <c r="B16" t="s">
        <v>8</v>
      </c>
      <c r="D16" s="6" t="e">
        <f>+D11/D27</f>
        <v>#DIV/0!</v>
      </c>
      <c r="E16" s="6"/>
      <c r="F16" s="6" t="e">
        <f>+F11/F27</f>
        <v>#DIV/0!</v>
      </c>
      <c r="G16" s="6"/>
      <c r="H16" s="6" t="e">
        <f>+H11/H27</f>
        <v>#DIV/0!</v>
      </c>
      <c r="I16" s="6"/>
      <c r="J16" s="6">
        <f>+J11/J27</f>
        <v>8.7963558413719181</v>
      </c>
      <c r="K16" s="6"/>
      <c r="L16" s="6" t="e">
        <f>+L11/L27</f>
        <v>#DIV/0!</v>
      </c>
      <c r="M16" s="6"/>
      <c r="N16" s="6">
        <f>+N11/N27</f>
        <v>18.462301587301589</v>
      </c>
      <c r="O16" s="6"/>
      <c r="P16" s="6">
        <f>+P11/P27</f>
        <v>13.093617021276597</v>
      </c>
      <c r="Q16" s="6"/>
      <c r="R16" s="6">
        <f>+R11/R27</f>
        <v>3.9478351591027647</v>
      </c>
      <c r="S16" s="6"/>
      <c r="T16" s="6">
        <f>+T11/T27</f>
        <v>6.3162336692626901</v>
      </c>
      <c r="U16" s="6"/>
      <c r="V16" s="6">
        <f>+V11/V27</f>
        <v>5.2243665090924569</v>
      </c>
      <c r="W16" s="6"/>
      <c r="X16" s="6">
        <f>+X11/X27</f>
        <v>8.976588628762542</v>
      </c>
      <c r="Y16" s="6"/>
      <c r="Z16" s="6"/>
      <c r="AA16" s="6"/>
      <c r="AB16" s="6">
        <f>+AB11/AB27</f>
        <v>3.7805739514348784</v>
      </c>
      <c r="AC16" s="6"/>
      <c r="AD16" s="6">
        <f>+AD11/AD27</f>
        <v>3.8439655172413794</v>
      </c>
      <c r="AE16" s="6"/>
      <c r="AF16" s="6">
        <f>+AF11/AF27</f>
        <v>6.5220425198904417</v>
      </c>
    </row>
    <row r="17" spans="2:32" x14ac:dyDescent="0.25">
      <c r="B17" t="s">
        <v>9</v>
      </c>
      <c r="D17" s="7">
        <f>920+3.6</f>
        <v>923.6</v>
      </c>
      <c r="E17" s="7"/>
      <c r="F17" s="7">
        <f>1400-522.3+1.83</f>
        <v>879.53000000000009</v>
      </c>
      <c r="G17" s="7"/>
      <c r="H17" s="7"/>
      <c r="I17" s="7"/>
      <c r="J17" s="7">
        <v>8327</v>
      </c>
      <c r="K17" s="7"/>
      <c r="L17" s="7"/>
      <c r="M17" s="7"/>
      <c r="N17" s="7">
        <f>750-125+5000+3119</f>
        <v>8744</v>
      </c>
      <c r="O17" s="7"/>
      <c r="P17" s="7">
        <v>7097</v>
      </c>
      <c r="Q17" s="7"/>
      <c r="R17" s="7">
        <f>+R21+4000-433</f>
        <v>6898</v>
      </c>
      <c r="S17" s="7"/>
      <c r="T17" s="7">
        <f>+T21+1000-6.8</f>
        <v>1154.04</v>
      </c>
      <c r="U17" s="7"/>
      <c r="V17" s="7">
        <f>2500-1.4+V21</f>
        <v>2510.6</v>
      </c>
      <c r="W17" s="7"/>
      <c r="X17" s="7">
        <f>3000+X21</f>
        <v>3066</v>
      </c>
      <c r="Y17" s="7"/>
      <c r="Z17" s="7"/>
      <c r="AA17" s="7"/>
      <c r="AB17" s="7">
        <f>12900+AB21</f>
        <v>13346</v>
      </c>
      <c r="AC17" s="7"/>
      <c r="AD17" s="7">
        <f>+AD21+4500-160-14</f>
        <v>4494</v>
      </c>
      <c r="AE17" s="7"/>
      <c r="AF17" s="7">
        <f>1300-220-4.6+AF21</f>
        <v>1165.8480000000002</v>
      </c>
    </row>
    <row r="18" spans="2:32" x14ac:dyDescent="0.25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 x14ac:dyDescent="0.25">
      <c r="B19" t="s">
        <v>205</v>
      </c>
      <c r="D19" s="41" t="s">
        <v>208</v>
      </c>
      <c r="E19" s="7"/>
      <c r="F19" s="7">
        <v>5236</v>
      </c>
      <c r="G19" s="7"/>
      <c r="H19" s="7"/>
      <c r="I19" s="7"/>
      <c r="J19" s="7">
        <f>41667.5+26413*(1-0.6355)</f>
        <v>51295.038500000002</v>
      </c>
      <c r="K19" s="7"/>
      <c r="L19" s="7"/>
      <c r="M19" s="7"/>
      <c r="N19" s="7">
        <f>44590+6562*(1-0.5541)</f>
        <v>47515.995799999997</v>
      </c>
      <c r="O19" s="7"/>
      <c r="P19" s="7">
        <v>36223</v>
      </c>
      <c r="Q19" s="7"/>
      <c r="R19" s="7">
        <v>44684.6</v>
      </c>
      <c r="S19" s="7"/>
      <c r="T19" s="7">
        <v>14046.8</v>
      </c>
      <c r="U19" s="7"/>
      <c r="V19" s="7">
        <v>26771.200000000001</v>
      </c>
      <c r="W19" s="7"/>
      <c r="X19" s="7">
        <v>17161</v>
      </c>
      <c r="Y19" s="7"/>
      <c r="Z19" s="7"/>
      <c r="AA19" s="7"/>
      <c r="AB19" s="7">
        <v>41218.800000000003</v>
      </c>
      <c r="AC19" s="7"/>
      <c r="AD19" s="7">
        <v>33217.199999999997</v>
      </c>
      <c r="AE19" s="7"/>
      <c r="AF19" s="7">
        <v>7255.6</v>
      </c>
    </row>
    <row r="20" spans="2:32" x14ac:dyDescent="0.25">
      <c r="B20" t="s">
        <v>206</v>
      </c>
      <c r="D20" s="41" t="s">
        <v>208</v>
      </c>
      <c r="E20" s="7"/>
      <c r="F20" s="7">
        <f>+F19+F14-F21</f>
        <v>9948.6119999999992</v>
      </c>
      <c r="G20" s="7"/>
      <c r="H20" s="7"/>
      <c r="I20" s="7"/>
      <c r="J20" s="7">
        <f t="shared" ref="J20:AF20" si="0">+J19+J14-J21</f>
        <v>77666.038499999995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55556.995799999997</v>
      </c>
      <c r="O20" s="7">
        <f t="shared" si="0"/>
        <v>0</v>
      </c>
      <c r="P20" s="7">
        <f t="shared" si="0"/>
        <v>43523</v>
      </c>
      <c r="Q20" s="7">
        <f t="shared" si="0"/>
        <v>0</v>
      </c>
      <c r="R20" s="7">
        <f t="shared" si="0"/>
        <v>77946.600000000006</v>
      </c>
      <c r="S20" s="7"/>
      <c r="T20" s="7">
        <f t="shared" si="0"/>
        <v>18435.96</v>
      </c>
      <c r="U20" s="7"/>
      <c r="V20" s="7">
        <f t="shared" si="0"/>
        <v>36210.554000000004</v>
      </c>
      <c r="W20" s="7"/>
      <c r="X20" s="7">
        <f t="shared" si="0"/>
        <v>26304</v>
      </c>
      <c r="Y20" s="7"/>
      <c r="Z20" s="7"/>
      <c r="AA20" s="7"/>
      <c r="AB20" s="7">
        <f t="shared" si="0"/>
        <v>83059.8</v>
      </c>
      <c r="AC20" s="7"/>
      <c r="AD20" s="7">
        <f t="shared" si="0"/>
        <v>55463.199999999997</v>
      </c>
      <c r="AE20" s="7"/>
      <c r="AF20" s="7">
        <f t="shared" si="0"/>
        <v>12005.152</v>
      </c>
    </row>
    <row r="21" spans="2:32" x14ac:dyDescent="0.25">
      <c r="B21" t="s">
        <v>220</v>
      </c>
      <c r="D21" s="41">
        <v>3.6</v>
      </c>
      <c r="E21" s="7"/>
      <c r="F21" s="7">
        <v>1.83</v>
      </c>
      <c r="G21" s="7"/>
      <c r="H21" s="7"/>
      <c r="I21" s="7"/>
      <c r="J21" s="7">
        <v>1609</v>
      </c>
      <c r="K21" s="7"/>
      <c r="L21" s="7"/>
      <c r="M21" s="7"/>
      <c r="N21" s="7">
        <v>3119</v>
      </c>
      <c r="O21" s="7"/>
      <c r="P21" s="59">
        <v>2800</v>
      </c>
      <c r="Q21" s="7"/>
      <c r="R21" s="7">
        <v>3331</v>
      </c>
      <c r="S21" s="7"/>
      <c r="T21" s="7">
        <v>160.84</v>
      </c>
      <c r="U21" s="7"/>
      <c r="V21" s="7">
        <v>12</v>
      </c>
      <c r="W21" s="7"/>
      <c r="X21" s="7">
        <v>66</v>
      </c>
      <c r="Y21" s="7"/>
      <c r="Z21" s="7"/>
      <c r="AA21" s="7"/>
      <c r="AB21" s="7">
        <v>446</v>
      </c>
      <c r="AC21" s="7"/>
      <c r="AD21" s="7">
        <v>168</v>
      </c>
      <c r="AE21" s="7"/>
      <c r="AF21" s="7">
        <v>90.447999999999993</v>
      </c>
    </row>
    <row r="22" spans="2:32" x14ac:dyDescent="0.25">
      <c r="B22" t="s">
        <v>207</v>
      </c>
      <c r="D22" s="41" t="s">
        <v>208</v>
      </c>
      <c r="E22" s="7"/>
      <c r="F22" s="6">
        <f>+F20/F11</f>
        <v>11.226920381565424</v>
      </c>
      <c r="G22" s="7"/>
      <c r="H22" s="6"/>
      <c r="I22" s="6"/>
      <c r="J22" s="6">
        <f>+J20/J11</f>
        <v>9.4633896064335321</v>
      </c>
      <c r="K22" s="6"/>
      <c r="L22" s="6" t="e">
        <f>+L20/L11</f>
        <v>#DIV/0!</v>
      </c>
      <c r="M22" s="6"/>
      <c r="N22" s="6">
        <f>+N20/N11</f>
        <v>5.9706604836109616</v>
      </c>
      <c r="O22" s="6"/>
      <c r="P22" s="6">
        <f>+P20/P11</f>
        <v>7.0723106922326942</v>
      </c>
      <c r="Q22" s="6"/>
      <c r="R22" s="6">
        <f>+R20/R11</f>
        <v>10.299497885835097</v>
      </c>
      <c r="S22" s="6"/>
      <c r="T22" s="6">
        <f>+T20/T11</f>
        <v>13.208593198663088</v>
      </c>
      <c r="U22" s="6"/>
      <c r="V22" s="6">
        <f>+V20/V11</f>
        <v>14.758932563592667</v>
      </c>
      <c r="W22" s="6"/>
      <c r="X22" s="6">
        <f>+X20/X11</f>
        <v>9.8002980625931446</v>
      </c>
      <c r="Y22" s="6"/>
      <c r="Z22" s="6"/>
      <c r="AA22" s="6"/>
      <c r="AB22" s="6">
        <f>+AB20/AB11</f>
        <v>9.6998481840476476</v>
      </c>
      <c r="AC22" s="6"/>
      <c r="AD22" s="6">
        <f>+AD20/AD11</f>
        <v>12.438483965014576</v>
      </c>
      <c r="AE22" s="6"/>
      <c r="AF22" s="6">
        <f>+AF20/AF11</f>
        <v>10.003393027960813</v>
      </c>
    </row>
    <row r="24" spans="2:32" x14ac:dyDescent="0.25">
      <c r="B24" s="12" t="s">
        <v>10</v>
      </c>
      <c r="C24" s="12"/>
      <c r="D24" s="12"/>
      <c r="E24" s="12"/>
      <c r="F24" s="12"/>
      <c r="G24" s="12"/>
      <c r="H24" s="12"/>
      <c r="I24" s="12"/>
      <c r="J24" s="40" t="s">
        <v>316</v>
      </c>
      <c r="K24" s="40"/>
      <c r="L24" s="40"/>
      <c r="M24" s="40"/>
      <c r="N24" s="40" t="s">
        <v>316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2:32" x14ac:dyDescent="0.25">
      <c r="B25" t="s">
        <v>11</v>
      </c>
      <c r="D25" s="7">
        <f>+D11</f>
        <v>759</v>
      </c>
      <c r="E25" s="7"/>
      <c r="F25" s="7">
        <f>+F11</f>
        <v>886.13899999999956</v>
      </c>
      <c r="G25" s="7"/>
      <c r="H25" s="7">
        <f>+H11</f>
        <v>0</v>
      </c>
      <c r="I25" s="7"/>
      <c r="J25" s="7">
        <f>+J11</f>
        <v>8207</v>
      </c>
      <c r="K25" s="7"/>
      <c r="L25" s="7">
        <f>+L11</f>
        <v>0</v>
      </c>
      <c r="M25" s="7"/>
      <c r="N25" s="7">
        <f>+N11</f>
        <v>9305</v>
      </c>
      <c r="O25" s="7"/>
      <c r="P25" s="7">
        <f>+P11</f>
        <v>6154</v>
      </c>
      <c r="Q25" s="7"/>
      <c r="R25" s="7">
        <f>+R11</f>
        <v>7568</v>
      </c>
      <c r="S25" s="7"/>
      <c r="T25" s="7">
        <f>+T11</f>
        <v>1395.7550000000001</v>
      </c>
      <c r="U25" s="7"/>
      <c r="V25" s="7">
        <f>+V11</f>
        <v>2453.4669999999996</v>
      </c>
      <c r="W25" s="7"/>
      <c r="X25" s="7">
        <f>+X11</f>
        <v>2684</v>
      </c>
      <c r="Y25" s="7"/>
      <c r="Z25" s="7">
        <f>+Z11</f>
        <v>0</v>
      </c>
      <c r="AA25" s="7"/>
      <c r="AB25" s="7">
        <f>+AB11</f>
        <v>8563</v>
      </c>
      <c r="AC25" s="7"/>
      <c r="AD25" s="7">
        <f>+AD11</f>
        <v>4459</v>
      </c>
      <c r="AE25" s="7"/>
      <c r="AF25" s="7">
        <f>+AF11</f>
        <v>1200.1080000000004</v>
      </c>
    </row>
    <row r="26" spans="2:32" x14ac:dyDescent="0.25">
      <c r="B26" t="s">
        <v>12</v>
      </c>
      <c r="D26" s="7"/>
      <c r="E26" s="7"/>
      <c r="F26" s="7"/>
      <c r="G26" s="7"/>
      <c r="H26" s="7"/>
      <c r="I26" s="7"/>
      <c r="J26" s="7">
        <v>3578</v>
      </c>
      <c r="K26" s="7"/>
      <c r="L26" s="7"/>
      <c r="M26" s="7"/>
      <c r="N26" s="7">
        <v>2639</v>
      </c>
      <c r="O26" s="7"/>
      <c r="P26" s="7">
        <f>1628+915+124</f>
        <v>2667</v>
      </c>
      <c r="Q26" s="7"/>
      <c r="R26" s="7">
        <v>2904</v>
      </c>
      <c r="S26" s="7"/>
      <c r="T26" s="7">
        <v>552.25699999999995</v>
      </c>
      <c r="U26" s="7"/>
      <c r="V26" s="7">
        <v>2141.4749999999999</v>
      </c>
      <c r="W26" s="7"/>
      <c r="X26" s="7">
        <v>1634</v>
      </c>
      <c r="Y26" s="7"/>
      <c r="Z26" s="7"/>
      <c r="AA26" s="7"/>
      <c r="AB26" s="7">
        <v>9418</v>
      </c>
      <c r="AC26" s="7"/>
      <c r="AD26" s="7">
        <v>3256</v>
      </c>
      <c r="AE26" s="7"/>
      <c r="AF26" s="7">
        <v>1193.896</v>
      </c>
    </row>
    <row r="27" spans="2:32" x14ac:dyDescent="0.25">
      <c r="B27" t="s">
        <v>13</v>
      </c>
      <c r="D27" s="7"/>
      <c r="E27" s="7"/>
      <c r="F27" s="7"/>
      <c r="G27" s="7"/>
      <c r="H27" s="7"/>
      <c r="I27" s="7"/>
      <c r="J27" s="7">
        <f>1003-70</f>
        <v>933</v>
      </c>
      <c r="K27" s="7"/>
      <c r="L27" s="7"/>
      <c r="M27" s="7"/>
      <c r="N27" s="7">
        <v>504</v>
      </c>
      <c r="O27" s="7"/>
      <c r="P27" s="7">
        <v>470</v>
      </c>
      <c r="Q27" s="7"/>
      <c r="R27" s="7">
        <v>1917</v>
      </c>
      <c r="S27" s="7"/>
      <c r="T27" s="7">
        <v>220.97900000000001</v>
      </c>
      <c r="U27" s="7"/>
      <c r="V27" s="7">
        <f>469.62</f>
        <v>469.62</v>
      </c>
      <c r="W27" s="7"/>
      <c r="X27" s="7">
        <f>431-132</f>
        <v>299</v>
      </c>
      <c r="Y27" s="7"/>
      <c r="Z27" s="7"/>
      <c r="AA27" s="7"/>
      <c r="AB27" s="7">
        <v>2265</v>
      </c>
      <c r="AC27" s="7"/>
      <c r="AD27" s="7">
        <v>1160</v>
      </c>
      <c r="AE27" s="7"/>
      <c r="AF27" s="7">
        <v>184.00800000000001</v>
      </c>
    </row>
    <row r="28" spans="2:32" x14ac:dyDescent="0.25">
      <c r="B28" s="17" t="s">
        <v>18</v>
      </c>
      <c r="C28" s="17"/>
      <c r="D28" s="21"/>
      <c r="E28" s="21"/>
      <c r="F28" s="21"/>
      <c r="G28" s="21"/>
      <c r="H28" s="21"/>
      <c r="I28" s="21"/>
      <c r="J28" s="21">
        <v>962</v>
      </c>
      <c r="K28" s="21"/>
      <c r="L28" s="21"/>
      <c r="M28" s="21"/>
      <c r="N28" s="21">
        <f>1572-252</f>
        <v>1320</v>
      </c>
      <c r="O28" s="21"/>
      <c r="P28" s="21">
        <f>879-203</f>
        <v>676</v>
      </c>
      <c r="Q28" s="21"/>
      <c r="R28" s="21">
        <f>587-405</f>
        <v>182</v>
      </c>
      <c r="S28" s="21"/>
      <c r="T28" s="21">
        <v>7.0999999999999994E-2</v>
      </c>
      <c r="U28" s="21"/>
      <c r="V28" s="21">
        <f>362.903-361.01</f>
        <v>1.8930000000000291</v>
      </c>
      <c r="W28" s="21"/>
      <c r="X28" s="21">
        <v>66</v>
      </c>
      <c r="Y28" s="21"/>
      <c r="Z28" s="21"/>
      <c r="AA28" s="21"/>
      <c r="AB28" s="21">
        <v>315</v>
      </c>
      <c r="AC28" s="21"/>
      <c r="AD28" s="21">
        <f>138-220</f>
        <v>-82</v>
      </c>
      <c r="AE28" s="21"/>
      <c r="AF28" s="21">
        <f>2.964-2.466</f>
        <v>0.49799999999999978</v>
      </c>
    </row>
    <row r="29" spans="2:32" x14ac:dyDescent="0.25">
      <c r="B29" t="s">
        <v>75</v>
      </c>
      <c r="D29" s="19">
        <f>+D25-D26-D27-D28</f>
        <v>759</v>
      </c>
      <c r="E29" s="19"/>
      <c r="F29" s="19">
        <f>+F25-F26-F27-F28</f>
        <v>886.13899999999956</v>
      </c>
      <c r="G29" s="19"/>
      <c r="H29" s="19">
        <f>+H25-H26-H27-H28</f>
        <v>0</v>
      </c>
      <c r="I29" s="19"/>
      <c r="J29" s="19">
        <f>+J25-J26-J27-J28</f>
        <v>2734</v>
      </c>
      <c r="K29" s="19"/>
      <c r="L29" s="19">
        <f>+L25-L26-L27-L28</f>
        <v>0</v>
      </c>
      <c r="M29" s="19"/>
      <c r="N29" s="19">
        <f>+N25-N26-N27-N28</f>
        <v>4842</v>
      </c>
      <c r="O29" s="19"/>
      <c r="P29" s="19">
        <f>+P25-P26-P27-P28</f>
        <v>2341</v>
      </c>
      <c r="Q29" s="19"/>
      <c r="R29" s="19">
        <f>+R25-R26-R27-R28</f>
        <v>2565</v>
      </c>
      <c r="S29" s="19"/>
      <c r="T29" s="19">
        <f>+T25-T26-T27-T28</f>
        <v>622.44800000000009</v>
      </c>
      <c r="U29" s="19"/>
      <c r="V29" s="19">
        <f>+V25-V26-V27-V28</f>
        <v>-159.5210000000003</v>
      </c>
      <c r="W29" s="19"/>
      <c r="X29" s="19">
        <f>+X25-X26-X27-X28</f>
        <v>685</v>
      </c>
      <c r="Y29" s="19"/>
      <c r="Z29" s="19">
        <f>+Z25-Z26-Z27-Z28</f>
        <v>0</v>
      </c>
      <c r="AA29" s="19"/>
      <c r="AB29" s="19">
        <f>+AB25-AB26-AB27-AB28</f>
        <v>-3435</v>
      </c>
      <c r="AC29" s="19"/>
      <c r="AD29" s="19">
        <f>+AD25-AD26-AD27-AD28</f>
        <v>125</v>
      </c>
      <c r="AE29" s="19"/>
      <c r="AF29" s="19">
        <f>+AF25-AF26-AF27-AF28</f>
        <v>-178.29399999999956</v>
      </c>
    </row>
    <row r="30" spans="2:32" x14ac:dyDescent="0.25">
      <c r="B30" t="s">
        <v>73</v>
      </c>
      <c r="D30" s="19"/>
      <c r="E30" s="19"/>
      <c r="F30" s="19"/>
      <c r="G30" s="19"/>
      <c r="H30" s="19"/>
      <c r="I30" s="19"/>
      <c r="J30" s="19">
        <f>954+903</f>
        <v>1857</v>
      </c>
      <c r="K30" s="19"/>
      <c r="L30" s="19"/>
      <c r="M30" s="19"/>
      <c r="N30" s="19">
        <f>1395+2207</f>
        <v>3602</v>
      </c>
      <c r="O30" s="19"/>
      <c r="P30" s="19">
        <v>1369</v>
      </c>
      <c r="Q30" s="19"/>
      <c r="R30" s="19">
        <f>1618+156</f>
        <v>1774</v>
      </c>
      <c r="S30" s="19"/>
      <c r="T30" s="19">
        <v>865.43100000000004</v>
      </c>
      <c r="U30" s="19"/>
      <c r="V30" s="19">
        <v>1335.058</v>
      </c>
      <c r="W30" s="19"/>
      <c r="X30" s="19">
        <f>871+112+49</f>
        <v>1032</v>
      </c>
      <c r="Y30" s="19"/>
      <c r="Z30" s="19"/>
      <c r="AA30" s="19"/>
      <c r="AB30" s="19">
        <f>1571+158</f>
        <v>1729</v>
      </c>
      <c r="AC30" s="19"/>
      <c r="AD30" s="19">
        <f>1386+591</f>
        <v>1977</v>
      </c>
      <c r="AE30" s="19"/>
      <c r="AF30" s="19">
        <v>893.649</v>
      </c>
    </row>
    <row r="31" spans="2:32" ht="17.25" x14ac:dyDescent="0.4">
      <c r="B31" s="17" t="s">
        <v>74</v>
      </c>
      <c r="C31" s="17"/>
      <c r="D31" s="31"/>
      <c r="E31" s="19"/>
      <c r="F31" s="31"/>
      <c r="G31" s="19"/>
      <c r="H31" s="31"/>
      <c r="I31" s="31"/>
      <c r="J31" s="31">
        <v>3287</v>
      </c>
      <c r="K31" s="31"/>
      <c r="L31" s="31"/>
      <c r="M31" s="31"/>
      <c r="N31" s="31">
        <v>1590</v>
      </c>
      <c r="O31" s="31"/>
      <c r="P31" s="31">
        <v>1708</v>
      </c>
      <c r="Q31" s="31"/>
      <c r="R31" s="31">
        <v>273</v>
      </c>
      <c r="S31" s="31"/>
      <c r="T31" s="31">
        <v>0</v>
      </c>
      <c r="U31" s="19"/>
      <c r="V31" s="31">
        <v>0</v>
      </c>
      <c r="W31" s="19"/>
      <c r="X31" s="31">
        <v>0</v>
      </c>
      <c r="Y31" s="19"/>
      <c r="Z31" s="31"/>
      <c r="AA31" s="31"/>
      <c r="AB31" s="31">
        <v>0</v>
      </c>
      <c r="AC31" s="31"/>
      <c r="AD31" s="31">
        <v>0</v>
      </c>
      <c r="AE31" s="19"/>
      <c r="AF31" s="31">
        <v>0</v>
      </c>
    </row>
    <row r="32" spans="2:32" x14ac:dyDescent="0.25">
      <c r="B32" t="s">
        <v>20</v>
      </c>
      <c r="D32" s="19">
        <f>+D29-D30-D31</f>
        <v>759</v>
      </c>
      <c r="E32" s="19"/>
      <c r="F32" s="19">
        <f>+F29-F30-F31</f>
        <v>886.13899999999956</v>
      </c>
      <c r="G32" s="19"/>
      <c r="H32" s="19">
        <f>+H29-H30-H31</f>
        <v>0</v>
      </c>
      <c r="I32" s="19"/>
      <c r="J32" s="19">
        <f>+J29-J30-J31</f>
        <v>-2410</v>
      </c>
      <c r="K32" s="19"/>
      <c r="L32" s="19">
        <f>+L29-L30-L31</f>
        <v>0</v>
      </c>
      <c r="M32" s="19"/>
      <c r="N32" s="19">
        <f>+N29-N30-N31</f>
        <v>-350</v>
      </c>
      <c r="O32" s="19"/>
      <c r="P32" s="19">
        <f>+P29-P30-P31</f>
        <v>-736</v>
      </c>
      <c r="Q32" s="19"/>
      <c r="R32" s="19">
        <f>+R29-R30-R31</f>
        <v>518</v>
      </c>
      <c r="S32" s="19"/>
      <c r="T32" s="19">
        <f>+T29-T30-T31</f>
        <v>-242.98299999999995</v>
      </c>
      <c r="U32" s="19"/>
      <c r="V32" s="19">
        <f>+V29-V30-V31</f>
        <v>-1494.5790000000002</v>
      </c>
      <c r="W32" s="19"/>
      <c r="X32" s="19">
        <f>+X29-X30-X31</f>
        <v>-347</v>
      </c>
      <c r="Y32" s="19"/>
      <c r="Z32" s="19">
        <f>+Z29-Z30-Z31</f>
        <v>0</v>
      </c>
      <c r="AA32" s="19"/>
      <c r="AB32" s="19">
        <f>+AB29-AB30-AB31</f>
        <v>-5164</v>
      </c>
      <c r="AC32" s="19"/>
      <c r="AD32" s="19">
        <f>+AD29-AD30-AD31</f>
        <v>-1852</v>
      </c>
      <c r="AE32" s="19"/>
      <c r="AF32" s="19">
        <f>+AF29-AF30-AF31</f>
        <v>-1071.9429999999995</v>
      </c>
    </row>
    <row r="35" spans="2:14" x14ac:dyDescent="0.25">
      <c r="B35" t="s">
        <v>317</v>
      </c>
      <c r="J35" s="7">
        <f>+J11-3475</f>
        <v>4732</v>
      </c>
      <c r="N35" s="7">
        <f>+N11-1137</f>
        <v>8168</v>
      </c>
    </row>
    <row r="36" spans="2:14" x14ac:dyDescent="0.25">
      <c r="B36" t="s">
        <v>320</v>
      </c>
      <c r="J36" s="7">
        <f>+J35+1253</f>
        <v>5985</v>
      </c>
      <c r="N36" s="7">
        <f>+N35+214+236</f>
        <v>8618</v>
      </c>
    </row>
    <row r="37" spans="2:14" x14ac:dyDescent="0.25">
      <c r="B37" t="s">
        <v>318</v>
      </c>
      <c r="J37" s="7">
        <f>650+1000+337+614+241+750+719+496+1250+800+250+498+469+400+629+11</f>
        <v>9114</v>
      </c>
      <c r="N37" s="7">
        <f>2000+800+1000+1500+1700+300+200+500+1</f>
        <v>8001</v>
      </c>
    </row>
    <row r="38" spans="2:14" x14ac:dyDescent="0.25">
      <c r="B38" t="s">
        <v>319</v>
      </c>
      <c r="J38" s="7">
        <v>41677.5</v>
      </c>
      <c r="N38" s="7">
        <v>44590</v>
      </c>
    </row>
    <row r="39" spans="2:14" x14ac:dyDescent="0.25">
      <c r="B39" t="s">
        <v>7</v>
      </c>
      <c r="J39" s="6">
        <f>+J37/J35</f>
        <v>1.9260355029585798</v>
      </c>
      <c r="N39" s="6">
        <f>+N37/N35</f>
        <v>0.97955435847208616</v>
      </c>
    </row>
    <row r="40" spans="2:14" x14ac:dyDescent="0.25">
      <c r="B40" t="s">
        <v>356</v>
      </c>
      <c r="J40" s="6">
        <f>+J37/J36</f>
        <v>1.5228070175438597</v>
      </c>
      <c r="N40" s="6">
        <f>+N37/N36</f>
        <v>0.92840566256672086</v>
      </c>
    </row>
    <row r="41" spans="2:14" x14ac:dyDescent="0.25">
      <c r="B41" t="s">
        <v>207</v>
      </c>
      <c r="J41" s="6">
        <f>+J38/J36</f>
        <v>6.9636591478696745</v>
      </c>
      <c r="N41" s="6">
        <f>+N38/N36</f>
        <v>5.1740543049431427</v>
      </c>
    </row>
  </sheetData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E&amp;P Comps</vt:lpstr>
      <vt:lpstr>E&amp;P Sensitivity Rankings</vt:lpstr>
      <vt:lpstr>Midstream Comps</vt:lpstr>
      <vt:lpstr>Refining Comps</vt:lpstr>
      <vt:lpstr>'E&amp;P Comps'!Print_Area</vt:lpstr>
      <vt:lpstr>'Midstream Comps'!Print_Area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White</dc:creator>
  <cp:lastModifiedBy>Brian Fagan</cp:lastModifiedBy>
  <cp:lastPrinted>2019-05-13T17:44:27Z</cp:lastPrinted>
  <dcterms:created xsi:type="dcterms:W3CDTF">2019-02-21T20:41:23Z</dcterms:created>
  <dcterms:modified xsi:type="dcterms:W3CDTF">2019-06-19T12:38:52Z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