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I:\BFagan\Quant_Research_and_Development\Credit\Idiosyncratic\"/>
    </mc:Choice>
  </mc:AlternateContent>
  <bookViews>
    <workbookView xWindow="-15" yWindow="-15" windowWidth="19260" windowHeight="9180" tabRatio="822"/>
  </bookViews>
  <sheets>
    <sheet name="Cover" sheetId="25" r:id="rId1"/>
    <sheet name="Aggregated" sheetId="5" r:id="rId2"/>
    <sheet name="Sensitivity" sheetId="4" r:id="rId3"/>
    <sheet name="Sensitivity flex" sheetId="14" r:id="rId4"/>
    <sheet name="Relative Value" sheetId="11" r:id="rId5"/>
    <sheet name="3Q19 Actual" sheetId="31" r:id="rId6"/>
    <sheet name="2Q19 Actual" sheetId="37" r:id="rId7"/>
    <sheet name="1Q19 Actual" sheetId="36" r:id="rId8"/>
    <sheet name="4Q18 Actual" sheetId="35" r:id="rId9"/>
    <sheet name="3Q18 Actual" sheetId="33" r:id="rId10"/>
    <sheet name="2Q18 Actual" sheetId="32" r:id="rId11"/>
    <sheet name="1Q18 Actual" sheetId="29" r:id="rId12"/>
    <sheet name="4Q17 Actual" sheetId="28" state="hidden" r:id="rId13"/>
    <sheet name="3Q17 Actual" sheetId="27" state="hidden" r:id="rId14"/>
    <sheet name="2Q17 Actual" sheetId="15" state="hidden" r:id="rId15"/>
    <sheet name="1Q17 Actual" sheetId="22" state="hidden" r:id="rId16"/>
    <sheet name="4Q16 Actual" sheetId="20" state="hidden" r:id="rId17"/>
    <sheet name="3Q16 Actual" sheetId="17" state="hidden" r:id="rId18"/>
    <sheet name="2Q16 Actual" sheetId="16" state="hidden" r:id="rId19"/>
    <sheet name="1Q16 Actual" sheetId="12" state="hidden" r:id="rId20"/>
    <sheet name="4Q15 Actual" sheetId="10" state="hidden" r:id="rId21"/>
    <sheet name="3Q15 Actual" sheetId="9" state="hidden" r:id="rId22"/>
    <sheet name="2Q15 Actual" sheetId="1" state="hidden" r:id="rId23"/>
    <sheet name="Sheet1" sheetId="13" r:id="rId24"/>
    <sheet name="CERTIFICATION &amp; DISCLAIMER" sheetId="30" r:id="rId25"/>
  </sheets>
  <externalReferences>
    <externalReference r:id="rId26"/>
    <externalReference r:id="rId27"/>
    <externalReference r:id="rId28"/>
    <externalReference r:id="rId29"/>
    <externalReference r:id="rId30"/>
    <externalReference r:id="rId31"/>
    <externalReference r:id="rId32"/>
    <externalReference r:id="rId33"/>
    <externalReference r:id="rId34"/>
  </externalReferences>
  <definedNames>
    <definedName name="__Coy1">'[1]M&amp;A Local'!$E$5</definedName>
    <definedName name="__Coy2">'[1]M&amp;A Local'!$E$6</definedName>
    <definedName name="_1991" localSheetId="19">#REF!</definedName>
    <definedName name="_1991" localSheetId="15">#REF!</definedName>
    <definedName name="_1991" localSheetId="11">#REF!</definedName>
    <definedName name="_1991" localSheetId="18">#REF!</definedName>
    <definedName name="_1991" localSheetId="14">#REF!</definedName>
    <definedName name="_1991" localSheetId="6">#REF!</definedName>
    <definedName name="_1991" localSheetId="21">#REF!</definedName>
    <definedName name="_1991" localSheetId="17">#REF!</definedName>
    <definedName name="_1991" localSheetId="13">#REF!</definedName>
    <definedName name="_1991" localSheetId="5">#REF!</definedName>
    <definedName name="_1991" localSheetId="20">#REF!</definedName>
    <definedName name="_1991" localSheetId="16">#REF!</definedName>
    <definedName name="_1991" localSheetId="12">#REF!</definedName>
    <definedName name="_1991" localSheetId="8">#REF!</definedName>
    <definedName name="_1991">#REF!</definedName>
    <definedName name="_1992" localSheetId="19">#REF!</definedName>
    <definedName name="_1992" localSheetId="15">#REF!</definedName>
    <definedName name="_1992" localSheetId="11">#REF!</definedName>
    <definedName name="_1992" localSheetId="18">#REF!</definedName>
    <definedName name="_1992" localSheetId="14">#REF!</definedName>
    <definedName name="_1992" localSheetId="6">#REF!</definedName>
    <definedName name="_1992" localSheetId="21">#REF!</definedName>
    <definedName name="_1992" localSheetId="17">#REF!</definedName>
    <definedName name="_1992" localSheetId="13">#REF!</definedName>
    <definedName name="_1992" localSheetId="5">#REF!</definedName>
    <definedName name="_1992" localSheetId="20">#REF!</definedName>
    <definedName name="_1992" localSheetId="16">#REF!</definedName>
    <definedName name="_1992" localSheetId="12">#REF!</definedName>
    <definedName name="_1992" localSheetId="8">#REF!</definedName>
    <definedName name="_1992">#REF!</definedName>
    <definedName name="_1993" localSheetId="19">#REF!</definedName>
    <definedName name="_1993" localSheetId="15">#REF!</definedName>
    <definedName name="_1993" localSheetId="11">#REF!</definedName>
    <definedName name="_1993" localSheetId="18">#REF!</definedName>
    <definedName name="_1993" localSheetId="14">#REF!</definedName>
    <definedName name="_1993" localSheetId="6">#REF!</definedName>
    <definedName name="_1993" localSheetId="21">#REF!</definedName>
    <definedName name="_1993" localSheetId="17">#REF!</definedName>
    <definedName name="_1993" localSheetId="13">#REF!</definedName>
    <definedName name="_1993" localSheetId="5">#REF!</definedName>
    <definedName name="_1993" localSheetId="20">#REF!</definedName>
    <definedName name="_1993" localSheetId="16">#REF!</definedName>
    <definedName name="_1993" localSheetId="12">#REF!</definedName>
    <definedName name="_1993" localSheetId="8">#REF!</definedName>
    <definedName name="_1993">#REF!</definedName>
    <definedName name="_1H_02">[2]Sheet1!$AA$5:$AA$79</definedName>
    <definedName name="_1H_03">[2]Sheet1!$Z$5:$Z$79</definedName>
    <definedName name="_1Q01">[3]Safeway!$AL$5:$AL$76</definedName>
    <definedName name="_1Q02">[3]Safeway!$AK$5:$AK$76</definedName>
    <definedName name="_2000">[2]Sheet1!$AH$5:$AH$79</definedName>
    <definedName name="_2001">[2]Sheet1!$AG$5:$AG$79</definedName>
    <definedName name="_2002">[2]Sheet1!$AF$5:$AF$79</definedName>
    <definedName name="_2003">[4]Sheet1!$AG$5:$AG$65</definedName>
    <definedName name="_2003E">[2]Sheet1!$D$5:$D$79</definedName>
    <definedName name="_2004">[4]Sheet1!$AF$5:$AF$65</definedName>
    <definedName name="_2004E">[2]Sheet1!$C$5:$C$79</definedName>
    <definedName name="_2005">[2]Sheet1!$AC$5:$AC$79</definedName>
    <definedName name="_2006">[2]Sheet1!$AB$5:$AB$79</definedName>
    <definedName name="_2007">[5]Sheet1!$W$5:$W$68</definedName>
    <definedName name="_2Q01">[3]Safeway!$AJ$5:$AJ$76</definedName>
    <definedName name="_2Q02">[3]Safeway!$AI$5:$AI$76</definedName>
    <definedName name="_3Q01">[3]Safeway!$AH$5:$AH$76</definedName>
    <definedName name="_3Q02">[3]Safeway!$AG$5:$AG$76</definedName>
    <definedName name="_6months">[4]Sheet1!$AB$5:$AB$65</definedName>
    <definedName name="_Coy1">'[1]M&amp;A Local'!$E$5</definedName>
    <definedName name="_Coy2">'[1]M&amp;A Local'!$E$6</definedName>
    <definedName name="_Regression_Int" hidden="1">1</definedName>
    <definedName name="AccPay">[2]Sheet1!$B$35:$AH$35</definedName>
    <definedName name="AccRec">[2]Sheet1!$B$32:$AH$32</definedName>
    <definedName name="Analyst" localSheetId="19">#REF!</definedName>
    <definedName name="Analyst" localSheetId="15">#REF!</definedName>
    <definedName name="Analyst" localSheetId="11">#REF!</definedName>
    <definedName name="Analyst" localSheetId="18">#REF!</definedName>
    <definedName name="Analyst" localSheetId="14">#REF!</definedName>
    <definedName name="Analyst" localSheetId="6">#REF!</definedName>
    <definedName name="Analyst" localSheetId="21">#REF!</definedName>
    <definedName name="Analyst" localSheetId="17">#REF!</definedName>
    <definedName name="Analyst" localSheetId="13">#REF!</definedName>
    <definedName name="Analyst" localSheetId="5">#REF!</definedName>
    <definedName name="Analyst" localSheetId="20">#REF!</definedName>
    <definedName name="Analyst" localSheetId="16">#REF!</definedName>
    <definedName name="Analyst" localSheetId="12">#REF!</definedName>
    <definedName name="Analyst" localSheetId="8">#REF!</definedName>
    <definedName name="Analyst">#REF!</definedName>
    <definedName name="Analyst_Email" localSheetId="19">#REF!</definedName>
    <definedName name="Analyst_Email" localSheetId="15">#REF!</definedName>
    <definedName name="Analyst_Email" localSheetId="11">#REF!</definedName>
    <definedName name="Analyst_Email" localSheetId="18">#REF!</definedName>
    <definedName name="Analyst_Email" localSheetId="14">#REF!</definedName>
    <definedName name="Analyst_Email" localSheetId="6">#REF!</definedName>
    <definedName name="Analyst_Email" localSheetId="21">#REF!</definedName>
    <definedName name="Analyst_Email" localSheetId="17">#REF!</definedName>
    <definedName name="Analyst_Email" localSheetId="13">#REF!</definedName>
    <definedName name="Analyst_Email" localSheetId="5">#REF!</definedName>
    <definedName name="Analyst_Email" localSheetId="20">#REF!</definedName>
    <definedName name="Analyst_Email" localSheetId="16">#REF!</definedName>
    <definedName name="Analyst_Email" localSheetId="12">#REF!</definedName>
    <definedName name="Analyst_Email" localSheetId="8">#REF!</definedName>
    <definedName name="Analyst_Email">#REF!</definedName>
    <definedName name="Analyst_Phone" localSheetId="19">#REF!</definedName>
    <definedName name="Analyst_Phone" localSheetId="15">#REF!</definedName>
    <definedName name="Analyst_Phone" localSheetId="11">#REF!</definedName>
    <definedName name="Analyst_Phone" localSheetId="18">#REF!</definedName>
    <definedName name="Analyst_Phone" localSheetId="14">#REF!</definedName>
    <definedName name="Analyst_Phone" localSheetId="6">#REF!</definedName>
    <definedName name="Analyst_Phone" localSheetId="21">#REF!</definedName>
    <definedName name="Analyst_Phone" localSheetId="17">#REF!</definedName>
    <definedName name="Analyst_Phone" localSheetId="13">#REF!</definedName>
    <definedName name="Analyst_Phone" localSheetId="5">#REF!</definedName>
    <definedName name="Analyst_Phone" localSheetId="20">#REF!</definedName>
    <definedName name="Analyst_Phone" localSheetId="16">#REF!</definedName>
    <definedName name="Analyst_Phone" localSheetId="12">#REF!</definedName>
    <definedName name="Analyst_Phone" localSheetId="8">#REF!</definedName>
    <definedName name="Analyst_Phone">#REF!</definedName>
    <definedName name="and_sale_leaseback">[4]Sheet1!$O$5:$O$65</definedName>
    <definedName name="AREA" localSheetId="19">#REF!</definedName>
    <definedName name="AREA" localSheetId="15">#REF!</definedName>
    <definedName name="AREA" localSheetId="11">#REF!</definedName>
    <definedName name="AREA" localSheetId="18">#REF!</definedName>
    <definedName name="AREA" localSheetId="14">#REF!</definedName>
    <definedName name="AREA" localSheetId="6">#REF!</definedName>
    <definedName name="AREA" localSheetId="21">#REF!</definedName>
    <definedName name="AREA" localSheetId="17">#REF!</definedName>
    <definedName name="AREA" localSheetId="13">#REF!</definedName>
    <definedName name="AREA" localSheetId="5">#REF!</definedName>
    <definedName name="AREA" localSheetId="20">#REF!</definedName>
    <definedName name="AREA" localSheetId="16">#REF!</definedName>
    <definedName name="AREA" localSheetId="12">#REF!</definedName>
    <definedName name="AREA" localSheetId="8">#REF!</definedName>
    <definedName name="AREA">#REF!</definedName>
    <definedName name="As_of" localSheetId="19">#REF!</definedName>
    <definedName name="As_of" localSheetId="15">#REF!</definedName>
    <definedName name="As_of" localSheetId="11">#REF!</definedName>
    <definedName name="As_of" localSheetId="18">#REF!</definedName>
    <definedName name="As_of" localSheetId="14">#REF!</definedName>
    <definedName name="As_of" localSheetId="6">#REF!</definedName>
    <definedName name="As_of" localSheetId="21">#REF!</definedName>
    <definedName name="As_of" localSheetId="17">#REF!</definedName>
    <definedName name="As_of" localSheetId="13">#REF!</definedName>
    <definedName name="As_of" localSheetId="5">#REF!</definedName>
    <definedName name="As_of" localSheetId="20">#REF!</definedName>
    <definedName name="As_of" localSheetId="16">#REF!</definedName>
    <definedName name="As_of" localSheetId="12">#REF!</definedName>
    <definedName name="As_of" localSheetId="8">#REF!</definedName>
    <definedName name="As_of">#REF!</definedName>
    <definedName name="AssetsTotal">[2]Sheet1!$B$34:$AH$34</definedName>
    <definedName name="BGF_AP_DAYS">[6]Model!$BW$119</definedName>
    <definedName name="BGF_AR_DAYS">[6]Model!$BW$117</definedName>
    <definedName name="BGF_CAPEX">[6]Model!$BW$47</definedName>
    <definedName name="BGF_CASH">[6]Model!$BW$83</definedName>
    <definedName name="BGF_EBITDA">[6]Model!$BW$31</definedName>
    <definedName name="BGF_GM">[6]Model!$BW$38</definedName>
    <definedName name="BGF_INTEREST">[6]Model!$BW$45+[6]Model!$BW$46</definedName>
    <definedName name="BGF_INV_DAYS">[6]Model!$BW$118</definedName>
    <definedName name="BGF_NWC">[6]Model!$BW$110</definedName>
    <definedName name="BGF_SALES">[6]Model!$BW$8</definedName>
    <definedName name="BGF_SGA">[6]Model!$BW$39:$BW$40</definedName>
    <definedName name="BGF_TAXES">[6]Model!$BW$48</definedName>
    <definedName name="BGF_WK_CAP_CHG">[6]Model!$BW$53</definedName>
    <definedName name="BLPH1" localSheetId="19" hidden="1">#REF!</definedName>
    <definedName name="BLPH1" localSheetId="15" hidden="1">#REF!</definedName>
    <definedName name="BLPH1" localSheetId="11" hidden="1">#REF!</definedName>
    <definedName name="BLPH1" localSheetId="18" hidden="1">#REF!</definedName>
    <definedName name="BLPH1" localSheetId="14" hidden="1">#REF!</definedName>
    <definedName name="BLPH1" localSheetId="6" hidden="1">#REF!</definedName>
    <definedName name="BLPH1" localSheetId="21" hidden="1">#REF!</definedName>
    <definedName name="BLPH1" localSheetId="17" hidden="1">#REF!</definedName>
    <definedName name="BLPH1" localSheetId="13" hidden="1">#REF!</definedName>
    <definedName name="BLPH1" localSheetId="5" hidden="1">#REF!</definedName>
    <definedName name="BLPH1" localSheetId="20" hidden="1">#REF!</definedName>
    <definedName name="BLPH1" localSheetId="16" hidden="1">#REF!</definedName>
    <definedName name="BLPH1" localSheetId="12" hidden="1">#REF!</definedName>
    <definedName name="BLPH1" localSheetId="8" hidden="1">#REF!</definedName>
    <definedName name="BLPH1" hidden="1">#REF!</definedName>
    <definedName name="BLPH10" localSheetId="19" hidden="1">#REF!</definedName>
    <definedName name="BLPH10" localSheetId="15" hidden="1">#REF!</definedName>
    <definedName name="BLPH10" localSheetId="11" hidden="1">#REF!</definedName>
    <definedName name="BLPH10" localSheetId="18" hidden="1">#REF!</definedName>
    <definedName name="BLPH10" localSheetId="14" hidden="1">#REF!</definedName>
    <definedName name="BLPH10" localSheetId="6" hidden="1">#REF!</definedName>
    <definedName name="BLPH10" localSheetId="21" hidden="1">#REF!</definedName>
    <definedName name="BLPH10" localSheetId="17" hidden="1">#REF!</definedName>
    <definedName name="BLPH10" localSheetId="13" hidden="1">#REF!</definedName>
    <definedName name="BLPH10" localSheetId="5" hidden="1">#REF!</definedName>
    <definedName name="BLPH10" localSheetId="20" hidden="1">#REF!</definedName>
    <definedName name="BLPH10" localSheetId="16" hidden="1">#REF!</definedName>
    <definedName name="BLPH10" localSheetId="12" hidden="1">#REF!</definedName>
    <definedName name="BLPH10" localSheetId="8" hidden="1">#REF!</definedName>
    <definedName name="BLPH10" hidden="1">#REF!</definedName>
    <definedName name="BLPH11" localSheetId="19" hidden="1">#REF!</definedName>
    <definedName name="BLPH11" localSheetId="15" hidden="1">#REF!</definedName>
    <definedName name="BLPH11" localSheetId="11" hidden="1">#REF!</definedName>
    <definedName name="BLPH11" localSheetId="18" hidden="1">#REF!</definedName>
    <definedName name="BLPH11" localSheetId="14" hidden="1">#REF!</definedName>
    <definedName name="BLPH11" localSheetId="6" hidden="1">#REF!</definedName>
    <definedName name="BLPH11" localSheetId="21" hidden="1">#REF!</definedName>
    <definedName name="BLPH11" localSheetId="17" hidden="1">#REF!</definedName>
    <definedName name="BLPH11" localSheetId="13" hidden="1">#REF!</definedName>
    <definedName name="BLPH11" localSheetId="5" hidden="1">#REF!</definedName>
    <definedName name="BLPH11" localSheetId="20" hidden="1">#REF!</definedName>
    <definedName name="BLPH11" localSheetId="16" hidden="1">#REF!</definedName>
    <definedName name="BLPH11" localSheetId="12" hidden="1">#REF!</definedName>
    <definedName name="BLPH11" localSheetId="8" hidden="1">#REF!</definedName>
    <definedName name="BLPH11" hidden="1">#REF!</definedName>
    <definedName name="BLPH12" localSheetId="19" hidden="1">#REF!</definedName>
    <definedName name="BLPH12" localSheetId="15" hidden="1">#REF!</definedName>
    <definedName name="BLPH12" localSheetId="11" hidden="1">#REF!</definedName>
    <definedName name="BLPH12" localSheetId="18" hidden="1">#REF!</definedName>
    <definedName name="BLPH12" localSheetId="14" hidden="1">#REF!</definedName>
    <definedName name="BLPH12" localSheetId="6" hidden="1">#REF!</definedName>
    <definedName name="BLPH12" localSheetId="21" hidden="1">#REF!</definedName>
    <definedName name="BLPH12" localSheetId="17" hidden="1">#REF!</definedName>
    <definedName name="BLPH12" localSheetId="13" hidden="1">#REF!</definedName>
    <definedName name="BLPH12" localSheetId="5" hidden="1">#REF!</definedName>
    <definedName name="BLPH12" localSheetId="20" hidden="1">#REF!</definedName>
    <definedName name="BLPH12" localSheetId="16" hidden="1">#REF!</definedName>
    <definedName name="BLPH12" localSheetId="12" hidden="1">#REF!</definedName>
    <definedName name="BLPH12" localSheetId="8" hidden="1">#REF!</definedName>
    <definedName name="BLPH12" hidden="1">#REF!</definedName>
    <definedName name="BLPH13" localSheetId="19" hidden="1">#REF!</definedName>
    <definedName name="BLPH13" localSheetId="15" hidden="1">#REF!</definedName>
    <definedName name="BLPH13" localSheetId="11" hidden="1">#REF!</definedName>
    <definedName name="BLPH13" localSheetId="18" hidden="1">#REF!</definedName>
    <definedName name="BLPH13" localSheetId="14" hidden="1">#REF!</definedName>
    <definedName name="BLPH13" localSheetId="6" hidden="1">#REF!</definedName>
    <definedName name="BLPH13" localSheetId="21" hidden="1">#REF!</definedName>
    <definedName name="BLPH13" localSheetId="17" hidden="1">#REF!</definedName>
    <definedName name="BLPH13" localSheetId="13" hidden="1">#REF!</definedName>
    <definedName name="BLPH13" localSheetId="5" hidden="1">#REF!</definedName>
    <definedName name="BLPH13" localSheetId="20" hidden="1">#REF!</definedName>
    <definedName name="BLPH13" localSheetId="16" hidden="1">#REF!</definedName>
    <definedName name="BLPH13" localSheetId="12" hidden="1">#REF!</definedName>
    <definedName name="BLPH13" localSheetId="8" hidden="1">#REF!</definedName>
    <definedName name="BLPH13" hidden="1">#REF!</definedName>
    <definedName name="BLPH14" localSheetId="19" hidden="1">#REF!</definedName>
    <definedName name="BLPH14" localSheetId="15" hidden="1">#REF!</definedName>
    <definedName name="BLPH14" localSheetId="11" hidden="1">#REF!</definedName>
    <definedName name="BLPH14" localSheetId="18" hidden="1">#REF!</definedName>
    <definedName name="BLPH14" localSheetId="14" hidden="1">#REF!</definedName>
    <definedName name="BLPH14" localSheetId="6" hidden="1">#REF!</definedName>
    <definedName name="BLPH14" localSheetId="21" hidden="1">#REF!</definedName>
    <definedName name="BLPH14" localSheetId="17" hidden="1">#REF!</definedName>
    <definedName name="BLPH14" localSheetId="13" hidden="1">#REF!</definedName>
    <definedName name="BLPH14" localSheetId="5" hidden="1">#REF!</definedName>
    <definedName name="BLPH14" localSheetId="20" hidden="1">#REF!</definedName>
    <definedName name="BLPH14" localSheetId="16" hidden="1">#REF!</definedName>
    <definedName name="BLPH14" localSheetId="12" hidden="1">#REF!</definedName>
    <definedName name="BLPH14" localSheetId="8" hidden="1">#REF!</definedName>
    <definedName name="BLPH14" hidden="1">#REF!</definedName>
    <definedName name="BLPH15" localSheetId="19" hidden="1">#REF!</definedName>
    <definedName name="BLPH15" localSheetId="15" hidden="1">#REF!</definedName>
    <definedName name="BLPH15" localSheetId="11" hidden="1">#REF!</definedName>
    <definedName name="BLPH15" localSheetId="18" hidden="1">#REF!</definedName>
    <definedName name="BLPH15" localSheetId="14" hidden="1">#REF!</definedName>
    <definedName name="BLPH15" localSheetId="6" hidden="1">#REF!</definedName>
    <definedName name="BLPH15" localSheetId="21" hidden="1">#REF!</definedName>
    <definedName name="BLPH15" localSheetId="17" hidden="1">#REF!</definedName>
    <definedName name="BLPH15" localSheetId="13" hidden="1">#REF!</definedName>
    <definedName name="BLPH15" localSheetId="5" hidden="1">#REF!</definedName>
    <definedName name="BLPH15" localSheetId="20" hidden="1">#REF!</definedName>
    <definedName name="BLPH15" localSheetId="16" hidden="1">#REF!</definedName>
    <definedName name="BLPH15" localSheetId="12" hidden="1">#REF!</definedName>
    <definedName name="BLPH15" localSheetId="8" hidden="1">#REF!</definedName>
    <definedName name="BLPH15" hidden="1">#REF!</definedName>
    <definedName name="BLPH16" localSheetId="19" hidden="1">#REF!</definedName>
    <definedName name="BLPH16" localSheetId="15" hidden="1">#REF!</definedName>
    <definedName name="BLPH16" localSheetId="11" hidden="1">#REF!</definedName>
    <definedName name="BLPH16" localSheetId="18" hidden="1">#REF!</definedName>
    <definedName name="BLPH16" localSheetId="14" hidden="1">#REF!</definedName>
    <definedName name="BLPH16" localSheetId="6" hidden="1">#REF!</definedName>
    <definedName name="BLPH16" localSheetId="21" hidden="1">#REF!</definedName>
    <definedName name="BLPH16" localSheetId="17" hidden="1">#REF!</definedName>
    <definedName name="BLPH16" localSheetId="13" hidden="1">#REF!</definedName>
    <definedName name="BLPH16" localSheetId="5" hidden="1">#REF!</definedName>
    <definedName name="BLPH16" localSheetId="20" hidden="1">#REF!</definedName>
    <definedName name="BLPH16" localSheetId="16" hidden="1">#REF!</definedName>
    <definedName name="BLPH16" localSheetId="12" hidden="1">#REF!</definedName>
    <definedName name="BLPH16" localSheetId="8" hidden="1">#REF!</definedName>
    <definedName name="BLPH16" hidden="1">#REF!</definedName>
    <definedName name="BLPH17" localSheetId="19" hidden="1">#REF!</definedName>
    <definedName name="BLPH17" localSheetId="15" hidden="1">#REF!</definedName>
    <definedName name="BLPH17" localSheetId="11" hidden="1">#REF!</definedName>
    <definedName name="BLPH17" localSheetId="18" hidden="1">#REF!</definedName>
    <definedName name="BLPH17" localSheetId="14" hidden="1">#REF!</definedName>
    <definedName name="BLPH17" localSheetId="6" hidden="1">#REF!</definedName>
    <definedName name="BLPH17" localSheetId="21" hidden="1">#REF!</definedName>
    <definedName name="BLPH17" localSheetId="17" hidden="1">#REF!</definedName>
    <definedName name="BLPH17" localSheetId="13" hidden="1">#REF!</definedName>
    <definedName name="BLPH17" localSheetId="5" hidden="1">#REF!</definedName>
    <definedName name="BLPH17" localSheetId="20" hidden="1">#REF!</definedName>
    <definedName name="BLPH17" localSheetId="16" hidden="1">#REF!</definedName>
    <definedName name="BLPH17" localSheetId="12" hidden="1">#REF!</definedName>
    <definedName name="BLPH17" localSheetId="8" hidden="1">#REF!</definedName>
    <definedName name="BLPH17" hidden="1">#REF!</definedName>
    <definedName name="BLPH18" localSheetId="19" hidden="1">#REF!</definedName>
    <definedName name="BLPH18" localSheetId="15" hidden="1">#REF!</definedName>
    <definedName name="BLPH18" localSheetId="11" hidden="1">#REF!</definedName>
    <definedName name="BLPH18" localSheetId="18" hidden="1">#REF!</definedName>
    <definedName name="BLPH18" localSheetId="14" hidden="1">#REF!</definedName>
    <definedName name="BLPH18" localSheetId="6" hidden="1">#REF!</definedName>
    <definedName name="BLPH18" localSheetId="21" hidden="1">#REF!</definedName>
    <definedName name="BLPH18" localSheetId="17" hidden="1">#REF!</definedName>
    <definedName name="BLPH18" localSheetId="13" hidden="1">#REF!</definedName>
    <definedName name="BLPH18" localSheetId="5" hidden="1">#REF!</definedName>
    <definedName name="BLPH18" localSheetId="20" hidden="1">#REF!</definedName>
    <definedName name="BLPH18" localSheetId="16" hidden="1">#REF!</definedName>
    <definedName name="BLPH18" localSheetId="12" hidden="1">#REF!</definedName>
    <definedName name="BLPH18" localSheetId="8" hidden="1">#REF!</definedName>
    <definedName name="BLPH18" hidden="1">#REF!</definedName>
    <definedName name="BLPH19" localSheetId="19" hidden="1">#REF!</definedName>
    <definedName name="BLPH19" localSheetId="15" hidden="1">#REF!</definedName>
    <definedName name="BLPH19" localSheetId="11" hidden="1">#REF!</definedName>
    <definedName name="BLPH19" localSheetId="18" hidden="1">#REF!</definedName>
    <definedName name="BLPH19" localSheetId="14" hidden="1">#REF!</definedName>
    <definedName name="BLPH19" localSheetId="6" hidden="1">#REF!</definedName>
    <definedName name="BLPH19" localSheetId="21" hidden="1">#REF!</definedName>
    <definedName name="BLPH19" localSheetId="17" hidden="1">#REF!</definedName>
    <definedName name="BLPH19" localSheetId="13" hidden="1">#REF!</definedName>
    <definedName name="BLPH19" localSheetId="5" hidden="1">#REF!</definedName>
    <definedName name="BLPH19" localSheetId="20" hidden="1">#REF!</definedName>
    <definedName name="BLPH19" localSheetId="16" hidden="1">#REF!</definedName>
    <definedName name="BLPH19" localSheetId="12" hidden="1">#REF!</definedName>
    <definedName name="BLPH19" localSheetId="8" hidden="1">#REF!</definedName>
    <definedName name="BLPH19" hidden="1">#REF!</definedName>
    <definedName name="BLPH2" localSheetId="19" hidden="1">#REF!</definedName>
    <definedName name="BLPH2" localSheetId="15" hidden="1">#REF!</definedName>
    <definedName name="BLPH2" localSheetId="11" hidden="1">#REF!</definedName>
    <definedName name="BLPH2" localSheetId="18" hidden="1">#REF!</definedName>
    <definedName name="BLPH2" localSheetId="14" hidden="1">#REF!</definedName>
    <definedName name="BLPH2" localSheetId="6" hidden="1">#REF!</definedName>
    <definedName name="BLPH2" localSheetId="21" hidden="1">#REF!</definedName>
    <definedName name="BLPH2" localSheetId="17" hidden="1">#REF!</definedName>
    <definedName name="BLPH2" localSheetId="13" hidden="1">#REF!</definedName>
    <definedName name="BLPH2" localSheetId="5" hidden="1">#REF!</definedName>
    <definedName name="BLPH2" localSheetId="20" hidden="1">#REF!</definedName>
    <definedName name="BLPH2" localSheetId="16" hidden="1">#REF!</definedName>
    <definedName name="BLPH2" localSheetId="12" hidden="1">#REF!</definedName>
    <definedName name="BLPH2" localSheetId="8" hidden="1">#REF!</definedName>
    <definedName name="BLPH2" hidden="1">#REF!</definedName>
    <definedName name="BLPH3" localSheetId="19" hidden="1">#REF!</definedName>
    <definedName name="BLPH3" localSheetId="15" hidden="1">#REF!</definedName>
    <definedName name="BLPH3" localSheetId="11" hidden="1">#REF!</definedName>
    <definedName name="BLPH3" localSheetId="18" hidden="1">#REF!</definedName>
    <definedName name="BLPH3" localSheetId="14" hidden="1">#REF!</definedName>
    <definedName name="BLPH3" localSheetId="6" hidden="1">#REF!</definedName>
    <definedName name="BLPH3" localSheetId="21" hidden="1">#REF!</definedName>
    <definedName name="BLPH3" localSheetId="17" hidden="1">#REF!</definedName>
    <definedName name="BLPH3" localSheetId="13" hidden="1">#REF!</definedName>
    <definedName name="BLPH3" localSheetId="5" hidden="1">#REF!</definedName>
    <definedName name="BLPH3" localSheetId="20" hidden="1">#REF!</definedName>
    <definedName name="BLPH3" localSheetId="16" hidden="1">#REF!</definedName>
    <definedName name="BLPH3" localSheetId="12" hidden="1">#REF!</definedName>
    <definedName name="BLPH3" localSheetId="8" hidden="1">#REF!</definedName>
    <definedName name="BLPH3" hidden="1">#REF!</definedName>
    <definedName name="BLPH4" localSheetId="19" hidden="1">#REF!</definedName>
    <definedName name="BLPH4" localSheetId="15" hidden="1">#REF!</definedName>
    <definedName name="BLPH4" localSheetId="11" hidden="1">#REF!</definedName>
    <definedName name="BLPH4" localSheetId="18" hidden="1">#REF!</definedName>
    <definedName name="BLPH4" localSheetId="14" hidden="1">#REF!</definedName>
    <definedName name="BLPH4" localSheetId="6" hidden="1">#REF!</definedName>
    <definedName name="BLPH4" localSheetId="21" hidden="1">#REF!</definedName>
    <definedName name="BLPH4" localSheetId="17" hidden="1">#REF!</definedName>
    <definedName name="BLPH4" localSheetId="13" hidden="1">#REF!</definedName>
    <definedName name="BLPH4" localSheetId="5" hidden="1">#REF!</definedName>
    <definedName name="BLPH4" localSheetId="20" hidden="1">#REF!</definedName>
    <definedName name="BLPH4" localSheetId="16" hidden="1">#REF!</definedName>
    <definedName name="BLPH4" localSheetId="12" hidden="1">#REF!</definedName>
    <definedName name="BLPH4" localSheetId="8" hidden="1">#REF!</definedName>
    <definedName name="BLPH4" hidden="1">#REF!</definedName>
    <definedName name="BLPH5" localSheetId="19" hidden="1">#REF!</definedName>
    <definedName name="BLPH5" localSheetId="15" hidden="1">#REF!</definedName>
    <definedName name="BLPH5" localSheetId="11" hidden="1">#REF!</definedName>
    <definedName name="BLPH5" localSheetId="18" hidden="1">#REF!</definedName>
    <definedName name="BLPH5" localSheetId="14" hidden="1">#REF!</definedName>
    <definedName name="BLPH5" localSheetId="6" hidden="1">#REF!</definedName>
    <definedName name="BLPH5" localSheetId="21" hidden="1">#REF!</definedName>
    <definedName name="BLPH5" localSheetId="17" hidden="1">#REF!</definedName>
    <definedName name="BLPH5" localSheetId="13" hidden="1">#REF!</definedName>
    <definedName name="BLPH5" localSheetId="5" hidden="1">#REF!</definedName>
    <definedName name="BLPH5" localSheetId="20" hidden="1">#REF!</definedName>
    <definedName name="BLPH5" localSheetId="16" hidden="1">#REF!</definedName>
    <definedName name="BLPH5" localSheetId="12" hidden="1">#REF!</definedName>
    <definedName name="BLPH5" localSheetId="8" hidden="1">#REF!</definedName>
    <definedName name="BLPH5" hidden="1">#REF!</definedName>
    <definedName name="BLPH6" localSheetId="19" hidden="1">#REF!</definedName>
    <definedName name="BLPH6" localSheetId="15" hidden="1">#REF!</definedName>
    <definedName name="BLPH6" localSheetId="11" hidden="1">#REF!</definedName>
    <definedName name="BLPH6" localSheetId="18" hidden="1">#REF!</definedName>
    <definedName name="BLPH6" localSheetId="14" hidden="1">#REF!</definedName>
    <definedName name="BLPH6" localSheetId="6" hidden="1">#REF!</definedName>
    <definedName name="BLPH6" localSheetId="21" hidden="1">#REF!</definedName>
    <definedName name="BLPH6" localSheetId="17" hidden="1">#REF!</definedName>
    <definedName name="BLPH6" localSheetId="13" hidden="1">#REF!</definedName>
    <definedName name="BLPH6" localSheetId="5" hidden="1">#REF!</definedName>
    <definedName name="BLPH6" localSheetId="20" hidden="1">#REF!</definedName>
    <definedName name="BLPH6" localSheetId="16" hidden="1">#REF!</definedName>
    <definedName name="BLPH6" localSheetId="12" hidden="1">#REF!</definedName>
    <definedName name="BLPH6" localSheetId="8" hidden="1">#REF!</definedName>
    <definedName name="BLPH6" hidden="1">#REF!</definedName>
    <definedName name="BLPH7" localSheetId="19" hidden="1">#REF!</definedName>
    <definedName name="BLPH7" localSheetId="15" hidden="1">#REF!</definedName>
    <definedName name="BLPH7" localSheetId="11" hidden="1">#REF!</definedName>
    <definedName name="BLPH7" localSheetId="18" hidden="1">#REF!</definedName>
    <definedName name="BLPH7" localSheetId="14" hidden="1">#REF!</definedName>
    <definedName name="BLPH7" localSheetId="6" hidden="1">#REF!</definedName>
    <definedName name="BLPH7" localSheetId="21" hidden="1">#REF!</definedName>
    <definedName name="BLPH7" localSheetId="17" hidden="1">#REF!</definedName>
    <definedName name="BLPH7" localSheetId="13" hidden="1">#REF!</definedName>
    <definedName name="BLPH7" localSheetId="5" hidden="1">#REF!</definedName>
    <definedName name="BLPH7" localSheetId="20" hidden="1">#REF!</definedName>
    <definedName name="BLPH7" localSheetId="16" hidden="1">#REF!</definedName>
    <definedName name="BLPH7" localSheetId="12" hidden="1">#REF!</definedName>
    <definedName name="BLPH7" localSheetId="8" hidden="1">#REF!</definedName>
    <definedName name="BLPH7" hidden="1">#REF!</definedName>
    <definedName name="BLPH8" localSheetId="19" hidden="1">#REF!</definedName>
    <definedName name="BLPH8" localSheetId="15" hidden="1">#REF!</definedName>
    <definedName name="BLPH8" localSheetId="11" hidden="1">#REF!</definedName>
    <definedName name="BLPH8" localSheetId="18" hidden="1">#REF!</definedName>
    <definedName name="BLPH8" localSheetId="14" hidden="1">#REF!</definedName>
    <definedName name="BLPH8" localSheetId="6" hidden="1">#REF!</definedName>
    <definedName name="BLPH8" localSheetId="21" hidden="1">#REF!</definedName>
    <definedName name="BLPH8" localSheetId="17" hidden="1">#REF!</definedName>
    <definedName name="BLPH8" localSheetId="13" hidden="1">#REF!</definedName>
    <definedName name="BLPH8" localSheetId="5" hidden="1">#REF!</definedName>
    <definedName name="BLPH8" localSheetId="20" hidden="1">#REF!</definedName>
    <definedName name="BLPH8" localSheetId="16" hidden="1">#REF!</definedName>
    <definedName name="BLPH8" localSheetId="12" hidden="1">#REF!</definedName>
    <definedName name="BLPH8" localSheetId="8" hidden="1">#REF!</definedName>
    <definedName name="BLPH8" hidden="1">#REF!</definedName>
    <definedName name="BLPH9" localSheetId="19" hidden="1">#REF!</definedName>
    <definedName name="BLPH9" localSheetId="15" hidden="1">#REF!</definedName>
    <definedName name="BLPH9" localSheetId="11" hidden="1">#REF!</definedName>
    <definedName name="BLPH9" localSheetId="18" hidden="1">#REF!</definedName>
    <definedName name="BLPH9" localSheetId="14" hidden="1">#REF!</definedName>
    <definedName name="BLPH9" localSheetId="6" hidden="1">#REF!</definedName>
    <definedName name="BLPH9" localSheetId="21" hidden="1">#REF!</definedName>
    <definedName name="BLPH9" localSheetId="17" hidden="1">#REF!</definedName>
    <definedName name="BLPH9" localSheetId="13" hidden="1">#REF!</definedName>
    <definedName name="BLPH9" localSheetId="5" hidden="1">#REF!</definedName>
    <definedName name="BLPH9" localSheetId="20" hidden="1">#REF!</definedName>
    <definedName name="BLPH9" localSheetId="16" hidden="1">#REF!</definedName>
    <definedName name="BLPH9" localSheetId="12" hidden="1">#REF!</definedName>
    <definedName name="BLPH9" localSheetId="8" hidden="1">#REF!</definedName>
    <definedName name="BLPH9" hidden="1">#REF!</definedName>
    <definedName name="CAPEX">[2]Sheet1!$B$22:$AH$22</definedName>
    <definedName name="CapnTotal">[2]Sheet1!$B$43:$AH$43</definedName>
    <definedName name="CapnTotalAdj">[2]Sheet1!$B$44:$AH$44</definedName>
    <definedName name="case1" localSheetId="19">#REF!</definedName>
    <definedName name="case1" localSheetId="15">#REF!</definedName>
    <definedName name="case1" localSheetId="11">#REF!</definedName>
    <definedName name="case1" localSheetId="18">#REF!</definedName>
    <definedName name="case1" localSheetId="14">#REF!</definedName>
    <definedName name="case1" localSheetId="6">#REF!</definedName>
    <definedName name="case1" localSheetId="21">#REF!</definedName>
    <definedName name="case1" localSheetId="17">#REF!</definedName>
    <definedName name="case1" localSheetId="13">#REF!</definedName>
    <definedName name="case1" localSheetId="5">#REF!</definedName>
    <definedName name="case1" localSheetId="20">#REF!</definedName>
    <definedName name="case1" localSheetId="16">#REF!</definedName>
    <definedName name="case1" localSheetId="12">#REF!</definedName>
    <definedName name="case1" localSheetId="8">#REF!</definedName>
    <definedName name="case1">#REF!</definedName>
    <definedName name="case2" localSheetId="19">#REF!</definedName>
    <definedName name="case2" localSheetId="15">#REF!</definedName>
    <definedName name="case2" localSheetId="11">#REF!</definedName>
    <definedName name="case2" localSheetId="18">#REF!</definedName>
    <definedName name="case2" localSheetId="14">#REF!</definedName>
    <definedName name="case2" localSheetId="6">#REF!</definedName>
    <definedName name="case2" localSheetId="21">#REF!</definedName>
    <definedName name="case2" localSheetId="17">#REF!</definedName>
    <definedName name="case2" localSheetId="13">#REF!</definedName>
    <definedName name="case2" localSheetId="5">#REF!</definedName>
    <definedName name="case2" localSheetId="20">#REF!</definedName>
    <definedName name="case2" localSheetId="16">#REF!</definedName>
    <definedName name="case2" localSheetId="12">#REF!</definedName>
    <definedName name="case2" localSheetId="8">#REF!</definedName>
    <definedName name="case2">#REF!</definedName>
    <definedName name="case3" localSheetId="19">#REF!</definedName>
    <definedName name="case3" localSheetId="15">#REF!</definedName>
    <definedName name="case3" localSheetId="11">#REF!</definedName>
    <definedName name="case3" localSheetId="18">#REF!</definedName>
    <definedName name="case3" localSheetId="14">#REF!</definedName>
    <definedName name="case3" localSheetId="6">#REF!</definedName>
    <definedName name="case3" localSheetId="21">#REF!</definedName>
    <definedName name="case3" localSheetId="17">#REF!</definedName>
    <definedName name="case3" localSheetId="13">#REF!</definedName>
    <definedName name="case3" localSheetId="5">#REF!</definedName>
    <definedName name="case3" localSheetId="20">#REF!</definedName>
    <definedName name="case3" localSheetId="16">#REF!</definedName>
    <definedName name="case3" localSheetId="12">#REF!</definedName>
    <definedName name="case3" localSheetId="8">#REF!</definedName>
    <definedName name="case3">#REF!</definedName>
    <definedName name="Cash">[2]Sheet1!$B$31:$AH$31</definedName>
    <definedName name="Cash1">'[1]M&amp;A Local'!$E$12</definedName>
    <definedName name="Cash2">'[1]M&amp;A Local'!$E$20</definedName>
    <definedName name="CFPS_Curr_Yr" localSheetId="19">#REF!</definedName>
    <definedName name="CFPS_Curr_Yr" localSheetId="15">#REF!</definedName>
    <definedName name="CFPS_Curr_Yr" localSheetId="11">#REF!</definedName>
    <definedName name="CFPS_Curr_Yr" localSheetId="18">#REF!</definedName>
    <definedName name="CFPS_Curr_Yr" localSheetId="14">#REF!</definedName>
    <definedName name="CFPS_Curr_Yr" localSheetId="6">#REF!</definedName>
    <definedName name="CFPS_Curr_Yr" localSheetId="21">#REF!</definedName>
    <definedName name="CFPS_Curr_Yr" localSheetId="17">#REF!</definedName>
    <definedName name="CFPS_Curr_Yr" localSheetId="13">#REF!</definedName>
    <definedName name="CFPS_Curr_Yr" localSheetId="5">#REF!</definedName>
    <definedName name="CFPS_Curr_Yr" localSheetId="20">#REF!</definedName>
    <definedName name="CFPS_Curr_Yr" localSheetId="16">#REF!</definedName>
    <definedName name="CFPS_Curr_Yr" localSheetId="12">#REF!</definedName>
    <definedName name="CFPS_Curr_Yr" localSheetId="8">#REF!</definedName>
    <definedName name="CFPS_Curr_Yr">#REF!</definedName>
    <definedName name="CFPS_Lst_Yr" localSheetId="19">#REF!</definedName>
    <definedName name="CFPS_Lst_Yr" localSheetId="15">#REF!</definedName>
    <definedName name="CFPS_Lst_Yr" localSheetId="11">#REF!</definedName>
    <definedName name="CFPS_Lst_Yr" localSheetId="18">#REF!</definedName>
    <definedName name="CFPS_Lst_Yr" localSheetId="14">#REF!</definedName>
    <definedName name="CFPS_Lst_Yr" localSheetId="6">#REF!</definedName>
    <definedName name="CFPS_Lst_Yr" localSheetId="21">#REF!</definedName>
    <definedName name="CFPS_Lst_Yr" localSheetId="17">#REF!</definedName>
    <definedName name="CFPS_Lst_Yr" localSheetId="13">#REF!</definedName>
    <definedName name="CFPS_Lst_Yr" localSheetId="5">#REF!</definedName>
    <definedName name="CFPS_Lst_Yr" localSheetId="20">#REF!</definedName>
    <definedName name="CFPS_Lst_Yr" localSheetId="16">#REF!</definedName>
    <definedName name="CFPS_Lst_Yr" localSheetId="12">#REF!</definedName>
    <definedName name="CFPS_Lst_Yr" localSheetId="8">#REF!</definedName>
    <definedName name="CFPS_Lst_Yr">#REF!</definedName>
    <definedName name="CFPS_Next_Yr" localSheetId="19">#REF!</definedName>
    <definedName name="CFPS_Next_Yr" localSheetId="15">#REF!</definedName>
    <definedName name="CFPS_Next_Yr" localSheetId="11">#REF!</definedName>
    <definedName name="CFPS_Next_Yr" localSheetId="18">#REF!</definedName>
    <definedName name="CFPS_Next_Yr" localSheetId="14">#REF!</definedName>
    <definedName name="CFPS_Next_Yr" localSheetId="6">#REF!</definedName>
    <definedName name="CFPS_Next_Yr" localSheetId="21">#REF!</definedName>
    <definedName name="CFPS_Next_Yr" localSheetId="17">#REF!</definedName>
    <definedName name="CFPS_Next_Yr" localSheetId="13">#REF!</definedName>
    <definedName name="CFPS_Next_Yr" localSheetId="5">#REF!</definedName>
    <definedName name="CFPS_Next_Yr" localSheetId="20">#REF!</definedName>
    <definedName name="CFPS_Next_Yr" localSheetId="16">#REF!</definedName>
    <definedName name="CFPS_Next_Yr" localSheetId="12">#REF!</definedName>
    <definedName name="CFPS_Next_Yr" localSheetId="8">#REF!</definedName>
    <definedName name="CFPS_Next_Yr">#REF!</definedName>
    <definedName name="Choice">'[1]M&amp;A Local'!$E$7</definedName>
    <definedName name="CNWC">[2]Sheet1!$B$20:$AH$20</definedName>
    <definedName name="COGS">[2]Sheet1!$B$7:$AH$7</definedName>
    <definedName name="Collateral" localSheetId="19">#REF!</definedName>
    <definedName name="Collateral" localSheetId="15">#REF!</definedName>
    <definedName name="Collateral" localSheetId="11">#REF!</definedName>
    <definedName name="Collateral" localSheetId="18">#REF!</definedName>
    <definedName name="Collateral" localSheetId="14">#REF!</definedName>
    <definedName name="Collateral" localSheetId="6">#REF!</definedName>
    <definedName name="Collateral" localSheetId="21">#REF!</definedName>
    <definedName name="Collateral" localSheetId="17">#REF!</definedName>
    <definedName name="Collateral" localSheetId="13">#REF!</definedName>
    <definedName name="Collateral" localSheetId="5">#REF!</definedName>
    <definedName name="Collateral" localSheetId="20">#REF!</definedName>
    <definedName name="Collateral" localSheetId="16">#REF!</definedName>
    <definedName name="Collateral" localSheetId="12">#REF!</definedName>
    <definedName name="Collateral" localSheetId="8">#REF!</definedName>
    <definedName name="Collateral">#REF!</definedName>
    <definedName name="COT_CASH">[7]Model!$AV$77</definedName>
    <definedName name="Debt1">'[1]M&amp;A Local'!$E$11</definedName>
    <definedName name="Debt2">'[1]M&amp;A Local'!$E$19</definedName>
    <definedName name="DebtAdj">[2]Sheet1!$B$39:$AH$39</definedName>
    <definedName name="DebtLBO1" localSheetId="19">#REF!</definedName>
    <definedName name="DebtLBO1" localSheetId="15">#REF!</definedName>
    <definedName name="DebtLBO1" localSheetId="11">#REF!</definedName>
    <definedName name="DebtLBO1" localSheetId="18">#REF!</definedName>
    <definedName name="DebtLBO1" localSheetId="14">#REF!</definedName>
    <definedName name="DebtLBO1" localSheetId="6">#REF!</definedName>
    <definedName name="DebtLBO1" localSheetId="21">#REF!</definedName>
    <definedName name="DebtLBO1" localSheetId="17">#REF!</definedName>
    <definedName name="DebtLBO1" localSheetId="13">#REF!</definedName>
    <definedName name="DebtLBO1" localSheetId="5">#REF!</definedName>
    <definedName name="DebtLBO1" localSheetId="20">#REF!</definedName>
    <definedName name="DebtLBO1" localSheetId="16">#REF!</definedName>
    <definedName name="DebtLBO1" localSheetId="12">#REF!</definedName>
    <definedName name="DebtLBO1" localSheetId="8">#REF!</definedName>
    <definedName name="DebtLBO1">#REF!</definedName>
    <definedName name="DebtLT">[2]Sheet1!$B$37:$AH$37</definedName>
    <definedName name="DebtNetAdj">[2]Sheet1!$B$41:$AH$41</definedName>
    <definedName name="DebtST">[2]Sheet1!$B$36:$AH$36</definedName>
    <definedName name="DebtTotal">[2]Sheet1!$B$38:$AH$38</definedName>
    <definedName name="DebtTotalAdj">[2]Sheet1!$B$40:$AH$40</definedName>
    <definedName name="Depn">[2]Sheet1!$B$13:$AH$13</definedName>
    <definedName name="DEPR" localSheetId="19">#REF!</definedName>
    <definedName name="DEPR" localSheetId="15">#REF!</definedName>
    <definedName name="DEPR" localSheetId="11">#REF!</definedName>
    <definedName name="DEPR" localSheetId="18">#REF!</definedName>
    <definedName name="DEPR" localSheetId="14">#REF!</definedName>
    <definedName name="DEPR" localSheetId="6">#REF!</definedName>
    <definedName name="DEPR" localSheetId="21">#REF!</definedName>
    <definedName name="DEPR" localSheetId="17">#REF!</definedName>
    <definedName name="DEPR" localSheetId="13">#REF!</definedName>
    <definedName name="DEPR" localSheetId="5">#REF!</definedName>
    <definedName name="DEPR" localSheetId="20">#REF!</definedName>
    <definedName name="DEPR" localSheetId="16">#REF!</definedName>
    <definedName name="DEPR" localSheetId="12">#REF!</definedName>
    <definedName name="DEPR" localSheetId="8">#REF!</definedName>
    <definedName name="DEPR">#REF!</definedName>
    <definedName name="DIL" localSheetId="19">#REF!</definedName>
    <definedName name="DIL" localSheetId="15">#REF!</definedName>
    <definedName name="DIL" localSheetId="11">#REF!</definedName>
    <definedName name="DIL" localSheetId="18">#REF!</definedName>
    <definedName name="DIL" localSheetId="14">#REF!</definedName>
    <definedName name="DIL" localSheetId="6">#REF!</definedName>
    <definedName name="DIL" localSheetId="21">#REF!</definedName>
    <definedName name="DIL" localSheetId="17">#REF!</definedName>
    <definedName name="DIL" localSheetId="13">#REF!</definedName>
    <definedName name="DIL" localSheetId="5">#REF!</definedName>
    <definedName name="DIL" localSheetId="20">#REF!</definedName>
    <definedName name="DIL" localSheetId="16">#REF!</definedName>
    <definedName name="DIL" localSheetId="12">#REF!</definedName>
    <definedName name="DIL" localSheetId="8">#REF!</definedName>
    <definedName name="DIL">#REF!</definedName>
    <definedName name="Div">[2]Sheet1!$B$23:$AH$23</definedName>
    <definedName name="DPS_Curr_Yr" localSheetId="19">#REF!</definedName>
    <definedName name="DPS_Curr_Yr" localSheetId="15">#REF!</definedName>
    <definedName name="DPS_Curr_Yr" localSheetId="11">#REF!</definedName>
    <definedName name="DPS_Curr_Yr" localSheetId="18">#REF!</definedName>
    <definedName name="DPS_Curr_Yr" localSheetId="14">#REF!</definedName>
    <definedName name="DPS_Curr_Yr" localSheetId="6">#REF!</definedName>
    <definedName name="DPS_Curr_Yr" localSheetId="21">#REF!</definedName>
    <definedName name="DPS_Curr_Yr" localSheetId="17">#REF!</definedName>
    <definedName name="DPS_Curr_Yr" localSheetId="13">#REF!</definedName>
    <definedName name="DPS_Curr_Yr" localSheetId="5">#REF!</definedName>
    <definedName name="DPS_Curr_Yr" localSheetId="20">#REF!</definedName>
    <definedName name="DPS_Curr_Yr" localSheetId="16">#REF!</definedName>
    <definedName name="DPS_Curr_Yr" localSheetId="12">#REF!</definedName>
    <definedName name="DPS_Curr_Yr" localSheetId="8">#REF!</definedName>
    <definedName name="DPS_Curr_Yr">#REF!</definedName>
    <definedName name="DPS_Lst_Yr" localSheetId="19">#REF!</definedName>
    <definedName name="DPS_Lst_Yr" localSheetId="15">#REF!</definedName>
    <definedName name="DPS_Lst_Yr" localSheetId="11">#REF!</definedName>
    <definedName name="DPS_Lst_Yr" localSheetId="18">#REF!</definedName>
    <definedName name="DPS_Lst_Yr" localSheetId="14">#REF!</definedName>
    <definedName name="DPS_Lst_Yr" localSheetId="6">#REF!</definedName>
    <definedName name="DPS_Lst_Yr" localSheetId="21">#REF!</definedName>
    <definedName name="DPS_Lst_Yr" localSheetId="17">#REF!</definedName>
    <definedName name="DPS_Lst_Yr" localSheetId="13">#REF!</definedName>
    <definedName name="DPS_Lst_Yr" localSheetId="5">#REF!</definedName>
    <definedName name="DPS_Lst_Yr" localSheetId="20">#REF!</definedName>
    <definedName name="DPS_Lst_Yr" localSheetId="16">#REF!</definedName>
    <definedName name="DPS_Lst_Yr" localSheetId="12">#REF!</definedName>
    <definedName name="DPS_Lst_Yr" localSheetId="8">#REF!</definedName>
    <definedName name="DPS_Lst_Yr">#REF!</definedName>
    <definedName name="DPS_Next_Yr" localSheetId="19">#REF!</definedName>
    <definedName name="DPS_Next_Yr" localSheetId="15">#REF!</definedName>
    <definedName name="DPS_Next_Yr" localSheetId="11">#REF!</definedName>
    <definedName name="DPS_Next_Yr" localSheetId="18">#REF!</definedName>
    <definedName name="DPS_Next_Yr" localSheetId="14">#REF!</definedName>
    <definedName name="DPS_Next_Yr" localSheetId="6">#REF!</definedName>
    <definedName name="DPS_Next_Yr" localSheetId="21">#REF!</definedName>
    <definedName name="DPS_Next_Yr" localSheetId="17">#REF!</definedName>
    <definedName name="DPS_Next_Yr" localSheetId="13">#REF!</definedName>
    <definedName name="DPS_Next_Yr" localSheetId="5">#REF!</definedName>
    <definedName name="DPS_Next_Yr" localSheetId="20">#REF!</definedName>
    <definedName name="DPS_Next_Yr" localSheetId="16">#REF!</definedName>
    <definedName name="DPS_Next_Yr" localSheetId="12">#REF!</definedName>
    <definedName name="DPS_Next_Yr" localSheetId="8">#REF!</definedName>
    <definedName name="DPS_Next_Yr">#REF!</definedName>
    <definedName name="DRAFT_RCnum" localSheetId="19">#REF!</definedName>
    <definedName name="DRAFT_RCnum" localSheetId="15">#REF!</definedName>
    <definedName name="DRAFT_RCnum" localSheetId="11">#REF!</definedName>
    <definedName name="DRAFT_RCnum" localSheetId="18">#REF!</definedName>
    <definedName name="DRAFT_RCnum" localSheetId="14">#REF!</definedName>
    <definedName name="DRAFT_RCnum" localSheetId="6">#REF!</definedName>
    <definedName name="DRAFT_RCnum" localSheetId="21">#REF!</definedName>
    <definedName name="DRAFT_RCnum" localSheetId="17">#REF!</definedName>
    <definedName name="DRAFT_RCnum" localSheetId="13">#REF!</definedName>
    <definedName name="DRAFT_RCnum" localSheetId="5">#REF!</definedName>
    <definedName name="DRAFT_RCnum" localSheetId="20">#REF!</definedName>
    <definedName name="DRAFT_RCnum" localSheetId="16">#REF!</definedName>
    <definedName name="DRAFT_RCnum" localSheetId="12">#REF!</definedName>
    <definedName name="DRAFT_RCnum" localSheetId="8">#REF!</definedName>
    <definedName name="DRAFT_RCnum">#REF!</definedName>
    <definedName name="drusgstores">[4]Sheet1!$M$5:$M$65</definedName>
    <definedName name="EBIT">[2]Sheet1!$B$14:$AH$14</definedName>
    <definedName name="EBITDA">[2]Sheet1!$B$12:$AH$12</definedName>
    <definedName name="EBITDA1">'[1]M&amp;A Local'!$E$13</definedName>
    <definedName name="EBITDA2">'[1]M&amp;A Local'!$E$21</definedName>
    <definedName name="EBITDAR">[2]Sheet1!$B$10:$AH$10</definedName>
    <definedName name="EPS">[2]Sheet1!$B$17:$AH$17</definedName>
    <definedName name="EPS_Curr_Qtr" localSheetId="19">#REF!</definedName>
    <definedName name="EPS_Curr_Qtr" localSheetId="15">#REF!</definedName>
    <definedName name="EPS_Curr_Qtr" localSheetId="11">#REF!</definedName>
    <definedName name="EPS_Curr_Qtr" localSheetId="18">#REF!</definedName>
    <definedName name="EPS_Curr_Qtr" localSheetId="14">#REF!</definedName>
    <definedName name="EPS_Curr_Qtr" localSheetId="6">#REF!</definedName>
    <definedName name="EPS_Curr_Qtr" localSheetId="21">#REF!</definedName>
    <definedName name="EPS_Curr_Qtr" localSheetId="17">#REF!</definedName>
    <definedName name="EPS_Curr_Qtr" localSheetId="13">#REF!</definedName>
    <definedName name="EPS_Curr_Qtr" localSheetId="5">#REF!</definedName>
    <definedName name="EPS_Curr_Qtr" localSheetId="20">#REF!</definedName>
    <definedName name="EPS_Curr_Qtr" localSheetId="16">#REF!</definedName>
    <definedName name="EPS_Curr_Qtr" localSheetId="12">#REF!</definedName>
    <definedName name="EPS_Curr_Qtr" localSheetId="8">#REF!</definedName>
    <definedName name="EPS_Curr_Qtr">#REF!</definedName>
    <definedName name="EPS_Curr_Yr" localSheetId="19">#REF!</definedName>
    <definedName name="EPS_Curr_Yr" localSheetId="15">#REF!</definedName>
    <definedName name="EPS_Curr_Yr" localSheetId="11">#REF!</definedName>
    <definedName name="EPS_Curr_Yr" localSheetId="18">#REF!</definedName>
    <definedName name="EPS_Curr_Yr" localSheetId="14">#REF!</definedName>
    <definedName name="EPS_Curr_Yr" localSheetId="6">#REF!</definedName>
    <definedName name="EPS_Curr_Yr" localSheetId="21">#REF!</definedName>
    <definedName name="EPS_Curr_Yr" localSheetId="17">#REF!</definedName>
    <definedName name="EPS_Curr_Yr" localSheetId="13">#REF!</definedName>
    <definedName name="EPS_Curr_Yr" localSheetId="5">#REF!</definedName>
    <definedName name="EPS_Curr_Yr" localSheetId="20">#REF!</definedName>
    <definedName name="EPS_Curr_Yr" localSheetId="16">#REF!</definedName>
    <definedName name="EPS_Curr_Yr" localSheetId="12">#REF!</definedName>
    <definedName name="EPS_Curr_Yr" localSheetId="8">#REF!</definedName>
    <definedName name="EPS_Curr_Yr">#REF!</definedName>
    <definedName name="EPS_Growth_Rate" localSheetId="19">#REF!</definedName>
    <definedName name="EPS_Growth_Rate" localSheetId="15">#REF!</definedName>
    <definedName name="EPS_Growth_Rate" localSheetId="11">#REF!</definedName>
    <definedName name="EPS_Growth_Rate" localSheetId="18">#REF!</definedName>
    <definedName name="EPS_Growth_Rate" localSheetId="14">#REF!</definedName>
    <definedName name="EPS_Growth_Rate" localSheetId="6">#REF!</definedName>
    <definedName name="EPS_Growth_Rate" localSheetId="21">#REF!</definedName>
    <definedName name="EPS_Growth_Rate" localSheetId="17">#REF!</definedName>
    <definedName name="EPS_Growth_Rate" localSheetId="13">#REF!</definedName>
    <definedName name="EPS_Growth_Rate" localSheetId="5">#REF!</definedName>
    <definedName name="EPS_Growth_Rate" localSheetId="20">#REF!</definedName>
    <definedName name="EPS_Growth_Rate" localSheetId="16">#REF!</definedName>
    <definedName name="EPS_Growth_Rate" localSheetId="12">#REF!</definedName>
    <definedName name="EPS_Growth_Rate" localSheetId="8">#REF!</definedName>
    <definedName name="EPS_Growth_Rate">#REF!</definedName>
    <definedName name="EPS_Lst_Yr" localSheetId="19">#REF!</definedName>
    <definedName name="EPS_Lst_Yr" localSheetId="15">#REF!</definedName>
    <definedName name="EPS_Lst_Yr" localSheetId="11">#REF!</definedName>
    <definedName name="EPS_Lst_Yr" localSheetId="18">#REF!</definedName>
    <definedName name="EPS_Lst_Yr" localSheetId="14">#REF!</definedName>
    <definedName name="EPS_Lst_Yr" localSheetId="6">#REF!</definedName>
    <definedName name="EPS_Lst_Yr" localSheetId="21">#REF!</definedName>
    <definedName name="EPS_Lst_Yr" localSheetId="17">#REF!</definedName>
    <definedName name="EPS_Lst_Yr" localSheetId="13">#REF!</definedName>
    <definedName name="EPS_Lst_Yr" localSheetId="5">#REF!</definedName>
    <definedName name="EPS_Lst_Yr" localSheetId="20">#REF!</definedName>
    <definedName name="EPS_Lst_Yr" localSheetId="16">#REF!</definedName>
    <definedName name="EPS_Lst_Yr" localSheetId="12">#REF!</definedName>
    <definedName name="EPS_Lst_Yr" localSheetId="8">#REF!</definedName>
    <definedName name="EPS_Lst_Yr">#REF!</definedName>
    <definedName name="EPS_Next_Yr" localSheetId="19">#REF!</definedName>
    <definedName name="EPS_Next_Yr" localSheetId="15">#REF!</definedName>
    <definedName name="EPS_Next_Yr" localSheetId="11">#REF!</definedName>
    <definedName name="EPS_Next_Yr" localSheetId="18">#REF!</definedName>
    <definedName name="EPS_Next_Yr" localSheetId="14">#REF!</definedName>
    <definedName name="EPS_Next_Yr" localSheetId="6">#REF!</definedName>
    <definedName name="EPS_Next_Yr" localSheetId="21">#REF!</definedName>
    <definedName name="EPS_Next_Yr" localSheetId="17">#REF!</definedName>
    <definedName name="EPS_Next_Yr" localSheetId="13">#REF!</definedName>
    <definedName name="EPS_Next_Yr" localSheetId="5">#REF!</definedName>
    <definedName name="EPS_Next_Yr" localSheetId="20">#REF!</definedName>
    <definedName name="EPS_Next_Yr" localSheetId="16">#REF!</definedName>
    <definedName name="EPS_Next_Yr" localSheetId="12">#REF!</definedName>
    <definedName name="EPS_Next_Yr" localSheetId="8">#REF!</definedName>
    <definedName name="EPS_Next_Yr">#REF!</definedName>
    <definedName name="EPS_Qtr_Date" localSheetId="19">#REF!</definedName>
    <definedName name="EPS_Qtr_Date" localSheetId="15">#REF!</definedName>
    <definedName name="EPS_Qtr_Date" localSheetId="11">#REF!</definedName>
    <definedName name="EPS_Qtr_Date" localSheetId="18">#REF!</definedName>
    <definedName name="EPS_Qtr_Date" localSheetId="14">#REF!</definedName>
    <definedName name="EPS_Qtr_Date" localSheetId="6">#REF!</definedName>
    <definedName name="EPS_Qtr_Date" localSheetId="21">#REF!</definedName>
    <definedName name="EPS_Qtr_Date" localSheetId="17">#REF!</definedName>
    <definedName name="EPS_Qtr_Date" localSheetId="13">#REF!</definedName>
    <definedName name="EPS_Qtr_Date" localSheetId="5">#REF!</definedName>
    <definedName name="EPS_Qtr_Date" localSheetId="20">#REF!</definedName>
    <definedName name="EPS_Qtr_Date" localSheetId="16">#REF!</definedName>
    <definedName name="EPS_Qtr_Date" localSheetId="12">#REF!</definedName>
    <definedName name="EPS_Qtr_Date" localSheetId="8">#REF!</definedName>
    <definedName name="EPS_Qtr_Date">#REF!</definedName>
    <definedName name="Equity_Ticker" localSheetId="19">#REF!</definedName>
    <definedName name="Equity_Ticker" localSheetId="15">#REF!</definedName>
    <definedName name="Equity_Ticker" localSheetId="11">#REF!</definedName>
    <definedName name="Equity_Ticker" localSheetId="18">#REF!</definedName>
    <definedName name="Equity_Ticker" localSheetId="14">#REF!</definedName>
    <definedName name="Equity_Ticker" localSheetId="6">#REF!</definedName>
    <definedName name="Equity_Ticker" localSheetId="21">#REF!</definedName>
    <definedName name="Equity_Ticker" localSheetId="17">#REF!</definedName>
    <definedName name="Equity_Ticker" localSheetId="13">#REF!</definedName>
    <definedName name="Equity_Ticker" localSheetId="5">#REF!</definedName>
    <definedName name="Equity_Ticker" localSheetId="20">#REF!</definedName>
    <definedName name="Equity_Ticker" localSheetId="16">#REF!</definedName>
    <definedName name="Equity_Ticker" localSheetId="12">#REF!</definedName>
    <definedName name="Equity_Ticker" localSheetId="8">#REF!</definedName>
    <definedName name="Equity_Ticker">#REF!</definedName>
    <definedName name="ESOP">[4]Sheet1!$B$38:$AK$38</definedName>
    <definedName name="FCF">[2]Sheet1!$B$24:$AH$24</definedName>
    <definedName name="FFO">[2]Sheet1!$B$19:$AH$19</definedName>
    <definedName name="FootnoteDrop" localSheetId="19">#REF!</definedName>
    <definedName name="FootnoteDrop" localSheetId="15">#REF!</definedName>
    <definedName name="FootnoteDrop" localSheetId="11">#REF!</definedName>
    <definedName name="FootnoteDrop" localSheetId="18">#REF!</definedName>
    <definedName name="FootnoteDrop" localSheetId="14">#REF!</definedName>
    <definedName name="FootnoteDrop" localSheetId="6">#REF!</definedName>
    <definedName name="FootnoteDrop" localSheetId="21">#REF!</definedName>
    <definedName name="FootnoteDrop" localSheetId="17">#REF!</definedName>
    <definedName name="FootnoteDrop" localSheetId="13">#REF!</definedName>
    <definedName name="FootnoteDrop" localSheetId="5">#REF!</definedName>
    <definedName name="FootnoteDrop" localSheetId="20">#REF!</definedName>
    <definedName name="FootnoteDrop" localSheetId="16">#REF!</definedName>
    <definedName name="FootnoteDrop" localSheetId="12">#REF!</definedName>
    <definedName name="FootnoteDrop" localSheetId="8">#REF!</definedName>
    <definedName name="FootnoteDrop">#REF!</definedName>
    <definedName name="FootnoteDrop1" localSheetId="19">#REF!</definedName>
    <definedName name="FootnoteDrop1" localSheetId="15">#REF!</definedName>
    <definedName name="FootnoteDrop1" localSheetId="11">#REF!</definedName>
    <definedName name="FootnoteDrop1" localSheetId="18">#REF!</definedName>
    <definedName name="FootnoteDrop1" localSheetId="14">#REF!</definedName>
    <definedName name="FootnoteDrop1" localSheetId="6">#REF!</definedName>
    <definedName name="FootnoteDrop1" localSheetId="21">#REF!</definedName>
    <definedName name="FootnoteDrop1" localSheetId="17">#REF!</definedName>
    <definedName name="FootnoteDrop1" localSheetId="13">#REF!</definedName>
    <definedName name="FootnoteDrop1" localSheetId="5">#REF!</definedName>
    <definedName name="FootnoteDrop1" localSheetId="20">#REF!</definedName>
    <definedName name="FootnoteDrop1" localSheetId="16">#REF!</definedName>
    <definedName name="FootnoteDrop1" localSheetId="12">#REF!</definedName>
    <definedName name="FootnoteDrop1" localSheetId="8">#REF!</definedName>
    <definedName name="FootnoteDrop1">#REF!</definedName>
    <definedName name="FootnoteDrop10" localSheetId="19">#REF!</definedName>
    <definedName name="FootnoteDrop10" localSheetId="15">#REF!</definedName>
    <definedName name="FootnoteDrop10" localSheetId="11">#REF!</definedName>
    <definedName name="FootnoteDrop10" localSheetId="18">#REF!</definedName>
    <definedName name="FootnoteDrop10" localSheetId="14">#REF!</definedName>
    <definedName name="FootnoteDrop10" localSheetId="6">#REF!</definedName>
    <definedName name="FootnoteDrop10" localSheetId="21">#REF!</definedName>
    <definedName name="FootnoteDrop10" localSheetId="17">#REF!</definedName>
    <definedName name="FootnoteDrop10" localSheetId="13">#REF!</definedName>
    <definedName name="FootnoteDrop10" localSheetId="5">#REF!</definedName>
    <definedName name="FootnoteDrop10" localSheetId="20">#REF!</definedName>
    <definedName name="FootnoteDrop10" localSheetId="16">#REF!</definedName>
    <definedName name="FootnoteDrop10" localSheetId="12">#REF!</definedName>
    <definedName name="FootnoteDrop10" localSheetId="8">#REF!</definedName>
    <definedName name="FootnoteDrop10">#REF!</definedName>
    <definedName name="FootnoteDrop11" localSheetId="19">#REF!</definedName>
    <definedName name="FootnoteDrop11" localSheetId="15">#REF!</definedName>
    <definedName name="FootnoteDrop11" localSheetId="11">#REF!</definedName>
    <definedName name="FootnoteDrop11" localSheetId="18">#REF!</definedName>
    <definedName name="FootnoteDrop11" localSheetId="14">#REF!</definedName>
    <definedName name="FootnoteDrop11" localSheetId="6">#REF!</definedName>
    <definedName name="FootnoteDrop11" localSheetId="21">#REF!</definedName>
    <definedName name="FootnoteDrop11" localSheetId="17">#REF!</definedName>
    <definedName name="FootnoteDrop11" localSheetId="13">#REF!</definedName>
    <definedName name="FootnoteDrop11" localSheetId="5">#REF!</definedName>
    <definedName name="FootnoteDrop11" localSheetId="20">#REF!</definedName>
    <definedName name="FootnoteDrop11" localSheetId="16">#REF!</definedName>
    <definedName name="FootnoteDrop11" localSheetId="12">#REF!</definedName>
    <definedName name="FootnoteDrop11" localSheetId="8">#REF!</definedName>
    <definedName name="FootnoteDrop11">#REF!</definedName>
    <definedName name="FootnoteDrop12" localSheetId="19">#REF!</definedName>
    <definedName name="FootnoteDrop12" localSheetId="15">#REF!</definedName>
    <definedName name="FootnoteDrop12" localSheetId="11">#REF!</definedName>
    <definedName name="FootnoteDrop12" localSheetId="18">#REF!</definedName>
    <definedName name="FootnoteDrop12" localSheetId="14">#REF!</definedName>
    <definedName name="FootnoteDrop12" localSheetId="6">#REF!</definedName>
    <definedName name="FootnoteDrop12" localSheetId="21">#REF!</definedName>
    <definedName name="FootnoteDrop12" localSheetId="17">#REF!</definedName>
    <definedName name="FootnoteDrop12" localSheetId="13">#REF!</definedName>
    <definedName name="FootnoteDrop12" localSheetId="5">#REF!</definedName>
    <definedName name="FootnoteDrop12" localSheetId="20">#REF!</definedName>
    <definedName name="FootnoteDrop12" localSheetId="16">#REF!</definedName>
    <definedName name="FootnoteDrop12" localSheetId="12">#REF!</definedName>
    <definedName name="FootnoteDrop12" localSheetId="8">#REF!</definedName>
    <definedName name="FootnoteDrop12">#REF!</definedName>
    <definedName name="FootnoteDrop13" localSheetId="19">#REF!</definedName>
    <definedName name="FootnoteDrop13" localSheetId="15">#REF!</definedName>
    <definedName name="FootnoteDrop13" localSheetId="11">#REF!</definedName>
    <definedName name="FootnoteDrop13" localSheetId="18">#REF!</definedName>
    <definedName name="FootnoteDrop13" localSheetId="14">#REF!</definedName>
    <definedName name="FootnoteDrop13" localSheetId="6">#REF!</definedName>
    <definedName name="FootnoteDrop13" localSheetId="21">#REF!</definedName>
    <definedName name="FootnoteDrop13" localSheetId="17">#REF!</definedName>
    <definedName name="FootnoteDrop13" localSheetId="13">#REF!</definedName>
    <definedName name="FootnoteDrop13" localSheetId="5">#REF!</definedName>
    <definedName name="FootnoteDrop13" localSheetId="20">#REF!</definedName>
    <definedName name="FootnoteDrop13" localSheetId="16">#REF!</definedName>
    <definedName name="FootnoteDrop13" localSheetId="12">#REF!</definedName>
    <definedName name="FootnoteDrop13" localSheetId="8">#REF!</definedName>
    <definedName name="FootnoteDrop13">#REF!</definedName>
    <definedName name="FootnoteDrop14" localSheetId="19">#REF!</definedName>
    <definedName name="FootnoteDrop14" localSheetId="15">#REF!</definedName>
    <definedName name="FootnoteDrop14" localSheetId="11">#REF!</definedName>
    <definedName name="FootnoteDrop14" localSheetId="18">#REF!</definedName>
    <definedName name="FootnoteDrop14" localSheetId="14">#REF!</definedName>
    <definedName name="FootnoteDrop14" localSheetId="6">#REF!</definedName>
    <definedName name="FootnoteDrop14" localSheetId="21">#REF!</definedName>
    <definedName name="FootnoteDrop14" localSheetId="17">#REF!</definedName>
    <definedName name="FootnoteDrop14" localSheetId="13">#REF!</definedName>
    <definedName name="FootnoteDrop14" localSheetId="5">#REF!</definedName>
    <definedName name="FootnoteDrop14" localSheetId="20">#REF!</definedName>
    <definedName name="FootnoteDrop14" localSheetId="16">#REF!</definedName>
    <definedName name="FootnoteDrop14" localSheetId="12">#REF!</definedName>
    <definedName name="FootnoteDrop14" localSheetId="8">#REF!</definedName>
    <definedName name="FootnoteDrop14">#REF!</definedName>
    <definedName name="FootnoteDrop15" localSheetId="19">#REF!</definedName>
    <definedName name="FootnoteDrop15" localSheetId="15">#REF!</definedName>
    <definedName name="FootnoteDrop15" localSheetId="11">#REF!</definedName>
    <definedName name="FootnoteDrop15" localSheetId="18">#REF!</definedName>
    <definedName name="FootnoteDrop15" localSheetId="14">#REF!</definedName>
    <definedName name="FootnoteDrop15" localSheetId="6">#REF!</definedName>
    <definedName name="FootnoteDrop15" localSheetId="21">#REF!</definedName>
    <definedName name="FootnoteDrop15" localSheetId="17">#REF!</definedName>
    <definedName name="FootnoteDrop15" localSheetId="13">#REF!</definedName>
    <definedName name="FootnoteDrop15" localSheetId="5">#REF!</definedName>
    <definedName name="FootnoteDrop15" localSheetId="20">#REF!</definedName>
    <definedName name="FootnoteDrop15" localSheetId="16">#REF!</definedName>
    <definedName name="FootnoteDrop15" localSheetId="12">#REF!</definedName>
    <definedName name="FootnoteDrop15" localSheetId="8">#REF!</definedName>
    <definedName name="FootnoteDrop15">#REF!</definedName>
    <definedName name="FootnoteDrop16" localSheetId="19">#REF!</definedName>
    <definedName name="FootnoteDrop16" localSheetId="15">#REF!</definedName>
    <definedName name="FootnoteDrop16" localSheetId="11">#REF!</definedName>
    <definedName name="FootnoteDrop16" localSheetId="18">#REF!</definedName>
    <definedName name="FootnoteDrop16" localSheetId="14">#REF!</definedName>
    <definedName name="FootnoteDrop16" localSheetId="6">#REF!</definedName>
    <definedName name="FootnoteDrop16" localSheetId="21">#REF!</definedName>
    <definedName name="FootnoteDrop16" localSheetId="17">#REF!</definedName>
    <definedName name="FootnoteDrop16" localSheetId="13">#REF!</definedName>
    <definedName name="FootnoteDrop16" localSheetId="5">#REF!</definedName>
    <definedName name="FootnoteDrop16" localSheetId="20">#REF!</definedName>
    <definedName name="FootnoteDrop16" localSheetId="16">#REF!</definedName>
    <definedName name="FootnoteDrop16" localSheetId="12">#REF!</definedName>
    <definedName name="FootnoteDrop16" localSheetId="8">#REF!</definedName>
    <definedName name="FootnoteDrop16">#REF!</definedName>
    <definedName name="FootnoteDrop17" localSheetId="19">#REF!</definedName>
    <definedName name="FootnoteDrop17" localSheetId="15">#REF!</definedName>
    <definedName name="FootnoteDrop17" localSheetId="11">#REF!</definedName>
    <definedName name="FootnoteDrop17" localSheetId="18">#REF!</definedName>
    <definedName name="FootnoteDrop17" localSheetId="14">#REF!</definedName>
    <definedName name="FootnoteDrop17" localSheetId="6">#REF!</definedName>
    <definedName name="FootnoteDrop17" localSheetId="21">#REF!</definedName>
    <definedName name="FootnoteDrop17" localSheetId="17">#REF!</definedName>
    <definedName name="FootnoteDrop17" localSheetId="13">#REF!</definedName>
    <definedName name="FootnoteDrop17" localSheetId="5">#REF!</definedName>
    <definedName name="FootnoteDrop17" localSheetId="20">#REF!</definedName>
    <definedName name="FootnoteDrop17" localSheetId="16">#REF!</definedName>
    <definedName name="FootnoteDrop17" localSheetId="12">#REF!</definedName>
    <definedName name="FootnoteDrop17" localSheetId="8">#REF!</definedName>
    <definedName name="FootnoteDrop17">#REF!</definedName>
    <definedName name="FootnoteDrop18" localSheetId="19">#REF!</definedName>
    <definedName name="FootnoteDrop18" localSheetId="15">#REF!</definedName>
    <definedName name="FootnoteDrop18" localSheetId="11">#REF!</definedName>
    <definedName name="FootnoteDrop18" localSheetId="18">#REF!</definedName>
    <definedName name="FootnoteDrop18" localSheetId="14">#REF!</definedName>
    <definedName name="FootnoteDrop18" localSheetId="6">#REF!</definedName>
    <definedName name="FootnoteDrop18" localSheetId="21">#REF!</definedName>
    <definedName name="FootnoteDrop18" localSheetId="17">#REF!</definedName>
    <definedName name="FootnoteDrop18" localSheetId="13">#REF!</definedName>
    <definedName name="FootnoteDrop18" localSheetId="5">#REF!</definedName>
    <definedName name="FootnoteDrop18" localSheetId="20">#REF!</definedName>
    <definedName name="FootnoteDrop18" localSheetId="16">#REF!</definedName>
    <definedName name="FootnoteDrop18" localSheetId="12">#REF!</definedName>
    <definedName name="FootnoteDrop18" localSheetId="8">#REF!</definedName>
    <definedName name="FootnoteDrop18">#REF!</definedName>
    <definedName name="FootnoteDrop19" localSheetId="19">#REF!</definedName>
    <definedName name="FootnoteDrop19" localSheetId="15">#REF!</definedName>
    <definedName name="FootnoteDrop19" localSheetId="11">#REF!</definedName>
    <definedName name="FootnoteDrop19" localSheetId="18">#REF!</definedName>
    <definedName name="FootnoteDrop19" localSheetId="14">#REF!</definedName>
    <definedName name="FootnoteDrop19" localSheetId="6">#REF!</definedName>
    <definedName name="FootnoteDrop19" localSheetId="21">#REF!</definedName>
    <definedName name="FootnoteDrop19" localSheetId="17">#REF!</definedName>
    <definedName name="FootnoteDrop19" localSheetId="13">#REF!</definedName>
    <definedName name="FootnoteDrop19" localSheetId="5">#REF!</definedName>
    <definedName name="FootnoteDrop19" localSheetId="20">#REF!</definedName>
    <definedName name="FootnoteDrop19" localSheetId="16">#REF!</definedName>
    <definedName name="FootnoteDrop19" localSheetId="12">#REF!</definedName>
    <definedName name="FootnoteDrop19" localSheetId="8">#REF!</definedName>
    <definedName name="FootnoteDrop19">#REF!</definedName>
    <definedName name="FootnoteDrop2" localSheetId="19">#REF!</definedName>
    <definedName name="FootnoteDrop2" localSheetId="15">#REF!</definedName>
    <definedName name="FootnoteDrop2" localSheetId="11">#REF!</definedName>
    <definedName name="FootnoteDrop2" localSheetId="18">#REF!</definedName>
    <definedName name="FootnoteDrop2" localSheetId="14">#REF!</definedName>
    <definedName name="FootnoteDrop2" localSheetId="6">#REF!</definedName>
    <definedName name="FootnoteDrop2" localSheetId="21">#REF!</definedName>
    <definedName name="FootnoteDrop2" localSheetId="17">#REF!</definedName>
    <definedName name="FootnoteDrop2" localSheetId="13">#REF!</definedName>
    <definedName name="FootnoteDrop2" localSheetId="5">#REF!</definedName>
    <definedName name="FootnoteDrop2" localSheetId="20">#REF!</definedName>
    <definedName name="FootnoteDrop2" localSheetId="16">#REF!</definedName>
    <definedName name="FootnoteDrop2" localSheetId="12">#REF!</definedName>
    <definedName name="FootnoteDrop2" localSheetId="8">#REF!</definedName>
    <definedName name="FootnoteDrop2">#REF!</definedName>
    <definedName name="FootnoteDrop20" localSheetId="19">#REF!</definedName>
    <definedName name="FootnoteDrop20" localSheetId="15">#REF!</definedName>
    <definedName name="FootnoteDrop20" localSheetId="11">#REF!</definedName>
    <definedName name="FootnoteDrop20" localSheetId="18">#REF!</definedName>
    <definedName name="FootnoteDrop20" localSheetId="14">#REF!</definedName>
    <definedName name="FootnoteDrop20" localSheetId="6">#REF!</definedName>
    <definedName name="FootnoteDrop20" localSheetId="21">#REF!</definedName>
    <definedName name="FootnoteDrop20" localSheetId="17">#REF!</definedName>
    <definedName name="FootnoteDrop20" localSheetId="13">#REF!</definedName>
    <definedName name="FootnoteDrop20" localSheetId="5">#REF!</definedName>
    <definedName name="FootnoteDrop20" localSheetId="20">#REF!</definedName>
    <definedName name="FootnoteDrop20" localSheetId="16">#REF!</definedName>
    <definedName name="FootnoteDrop20" localSheetId="12">#REF!</definedName>
    <definedName name="FootnoteDrop20" localSheetId="8">#REF!</definedName>
    <definedName name="FootnoteDrop20">#REF!</definedName>
    <definedName name="FootnoteDrop21" localSheetId="19">#REF!</definedName>
    <definedName name="FootnoteDrop21" localSheetId="15">#REF!</definedName>
    <definedName name="FootnoteDrop21" localSheetId="11">#REF!</definedName>
    <definedName name="FootnoteDrop21" localSheetId="18">#REF!</definedName>
    <definedName name="FootnoteDrop21" localSheetId="14">#REF!</definedName>
    <definedName name="FootnoteDrop21" localSheetId="6">#REF!</definedName>
    <definedName name="FootnoteDrop21" localSheetId="21">#REF!</definedName>
    <definedName name="FootnoteDrop21" localSheetId="17">#REF!</definedName>
    <definedName name="FootnoteDrop21" localSheetId="13">#REF!</definedName>
    <definedName name="FootnoteDrop21" localSheetId="5">#REF!</definedName>
    <definedName name="FootnoteDrop21" localSheetId="20">#REF!</definedName>
    <definedName name="FootnoteDrop21" localSheetId="16">#REF!</definedName>
    <definedName name="FootnoteDrop21" localSheetId="12">#REF!</definedName>
    <definedName name="FootnoteDrop21" localSheetId="8">#REF!</definedName>
    <definedName name="FootnoteDrop21">#REF!</definedName>
    <definedName name="FootnoteDrop22" localSheetId="19">#REF!</definedName>
    <definedName name="FootnoteDrop22" localSheetId="15">#REF!</definedName>
    <definedName name="FootnoteDrop22" localSheetId="11">#REF!</definedName>
    <definedName name="FootnoteDrop22" localSheetId="18">#REF!</definedName>
    <definedName name="FootnoteDrop22" localSheetId="14">#REF!</definedName>
    <definedName name="FootnoteDrop22" localSheetId="6">#REF!</definedName>
    <definedName name="FootnoteDrop22" localSheetId="21">#REF!</definedName>
    <definedName name="FootnoteDrop22" localSheetId="17">#REF!</definedName>
    <definedName name="FootnoteDrop22" localSheetId="13">#REF!</definedName>
    <definedName name="FootnoteDrop22" localSheetId="5">#REF!</definedName>
    <definedName name="FootnoteDrop22" localSheetId="20">#REF!</definedName>
    <definedName name="FootnoteDrop22" localSheetId="16">#REF!</definedName>
    <definedName name="FootnoteDrop22" localSheetId="12">#REF!</definedName>
    <definedName name="FootnoteDrop22" localSheetId="8">#REF!</definedName>
    <definedName name="FootnoteDrop22">#REF!</definedName>
    <definedName name="FootnoteDrop23" localSheetId="19">#REF!</definedName>
    <definedName name="FootnoteDrop23" localSheetId="15">#REF!</definedName>
    <definedName name="FootnoteDrop23" localSheetId="11">#REF!</definedName>
    <definedName name="FootnoteDrop23" localSheetId="18">#REF!</definedName>
    <definedName name="FootnoteDrop23" localSheetId="14">#REF!</definedName>
    <definedName name="FootnoteDrop23" localSheetId="6">#REF!</definedName>
    <definedName name="FootnoteDrop23" localSheetId="21">#REF!</definedName>
    <definedName name="FootnoteDrop23" localSheetId="17">#REF!</definedName>
    <definedName name="FootnoteDrop23" localSheetId="13">#REF!</definedName>
    <definedName name="FootnoteDrop23" localSheetId="5">#REF!</definedName>
    <definedName name="FootnoteDrop23" localSheetId="20">#REF!</definedName>
    <definedName name="FootnoteDrop23" localSheetId="16">#REF!</definedName>
    <definedName name="FootnoteDrop23" localSheetId="12">#REF!</definedName>
    <definedName name="FootnoteDrop23" localSheetId="8">#REF!</definedName>
    <definedName name="FootnoteDrop23">#REF!</definedName>
    <definedName name="FootnoteDrop24" localSheetId="19">#REF!</definedName>
    <definedName name="FootnoteDrop24" localSheetId="15">#REF!</definedName>
    <definedName name="FootnoteDrop24" localSheetId="11">#REF!</definedName>
    <definedName name="FootnoteDrop24" localSheetId="18">#REF!</definedName>
    <definedName name="FootnoteDrop24" localSheetId="14">#REF!</definedName>
    <definedName name="FootnoteDrop24" localSheetId="6">#REF!</definedName>
    <definedName name="FootnoteDrop24" localSheetId="21">#REF!</definedName>
    <definedName name="FootnoteDrop24" localSheetId="17">#REF!</definedName>
    <definedName name="FootnoteDrop24" localSheetId="13">#REF!</definedName>
    <definedName name="FootnoteDrop24" localSheetId="5">#REF!</definedName>
    <definedName name="FootnoteDrop24" localSheetId="20">#REF!</definedName>
    <definedName name="FootnoteDrop24" localSheetId="16">#REF!</definedName>
    <definedName name="FootnoteDrop24" localSheetId="12">#REF!</definedName>
    <definedName name="FootnoteDrop24" localSheetId="8">#REF!</definedName>
    <definedName name="FootnoteDrop24">#REF!</definedName>
    <definedName name="FootnoteDrop25" localSheetId="19">#REF!</definedName>
    <definedName name="FootnoteDrop25" localSheetId="15">#REF!</definedName>
    <definedName name="FootnoteDrop25" localSheetId="11">#REF!</definedName>
    <definedName name="FootnoteDrop25" localSheetId="18">#REF!</definedName>
    <definedName name="FootnoteDrop25" localSheetId="14">#REF!</definedName>
    <definedName name="FootnoteDrop25" localSheetId="6">#REF!</definedName>
    <definedName name="FootnoteDrop25" localSheetId="21">#REF!</definedName>
    <definedName name="FootnoteDrop25" localSheetId="17">#REF!</definedName>
    <definedName name="FootnoteDrop25" localSheetId="13">#REF!</definedName>
    <definedName name="FootnoteDrop25" localSheetId="5">#REF!</definedName>
    <definedName name="FootnoteDrop25" localSheetId="20">#REF!</definedName>
    <definedName name="FootnoteDrop25" localSheetId="16">#REF!</definedName>
    <definedName name="FootnoteDrop25" localSheetId="12">#REF!</definedName>
    <definedName name="FootnoteDrop25" localSheetId="8">#REF!</definedName>
    <definedName name="FootnoteDrop25">#REF!</definedName>
    <definedName name="FootnoteDrop26" localSheetId="19">#REF!</definedName>
    <definedName name="FootnoteDrop26" localSheetId="15">#REF!</definedName>
    <definedName name="FootnoteDrop26" localSheetId="11">#REF!</definedName>
    <definedName name="FootnoteDrop26" localSheetId="18">#REF!</definedName>
    <definedName name="FootnoteDrop26" localSheetId="14">#REF!</definedName>
    <definedName name="FootnoteDrop26" localSheetId="6">#REF!</definedName>
    <definedName name="FootnoteDrop26" localSheetId="21">#REF!</definedName>
    <definedName name="FootnoteDrop26" localSheetId="17">#REF!</definedName>
    <definedName name="FootnoteDrop26" localSheetId="13">#REF!</definedName>
    <definedName name="FootnoteDrop26" localSheetId="5">#REF!</definedName>
    <definedName name="FootnoteDrop26" localSheetId="20">#REF!</definedName>
    <definedName name="FootnoteDrop26" localSheetId="16">#REF!</definedName>
    <definedName name="FootnoteDrop26" localSheetId="12">#REF!</definedName>
    <definedName name="FootnoteDrop26" localSheetId="8">#REF!</definedName>
    <definedName name="FootnoteDrop26">#REF!</definedName>
    <definedName name="FootnoteDrop27" localSheetId="19">#REF!</definedName>
    <definedName name="FootnoteDrop27" localSheetId="15">#REF!</definedName>
    <definedName name="FootnoteDrop27" localSheetId="11">#REF!</definedName>
    <definedName name="FootnoteDrop27" localSheetId="18">#REF!</definedName>
    <definedName name="FootnoteDrop27" localSheetId="14">#REF!</definedName>
    <definedName name="FootnoteDrop27" localSheetId="6">#REF!</definedName>
    <definedName name="FootnoteDrop27" localSheetId="21">#REF!</definedName>
    <definedName name="FootnoteDrop27" localSheetId="17">#REF!</definedName>
    <definedName name="FootnoteDrop27" localSheetId="13">#REF!</definedName>
    <definedName name="FootnoteDrop27" localSheetId="5">#REF!</definedName>
    <definedName name="FootnoteDrop27" localSheetId="20">#REF!</definedName>
    <definedName name="FootnoteDrop27" localSheetId="16">#REF!</definedName>
    <definedName name="FootnoteDrop27" localSheetId="12">#REF!</definedName>
    <definedName name="FootnoteDrop27" localSheetId="8">#REF!</definedName>
    <definedName name="FootnoteDrop27">#REF!</definedName>
    <definedName name="FootnoteDrop28" localSheetId="19">#REF!</definedName>
    <definedName name="FootnoteDrop28" localSheetId="15">#REF!</definedName>
    <definedName name="FootnoteDrop28" localSheetId="11">#REF!</definedName>
    <definedName name="FootnoteDrop28" localSheetId="18">#REF!</definedName>
    <definedName name="FootnoteDrop28" localSheetId="14">#REF!</definedName>
    <definedName name="FootnoteDrop28" localSheetId="6">#REF!</definedName>
    <definedName name="FootnoteDrop28" localSheetId="21">#REF!</definedName>
    <definedName name="FootnoteDrop28" localSheetId="17">#REF!</definedName>
    <definedName name="FootnoteDrop28" localSheetId="13">#REF!</definedName>
    <definedName name="FootnoteDrop28" localSheetId="5">#REF!</definedName>
    <definedName name="FootnoteDrop28" localSheetId="20">#REF!</definedName>
    <definedName name="FootnoteDrop28" localSheetId="16">#REF!</definedName>
    <definedName name="FootnoteDrop28" localSheetId="12">#REF!</definedName>
    <definedName name="FootnoteDrop28" localSheetId="8">#REF!</definedName>
    <definedName name="FootnoteDrop28">#REF!</definedName>
    <definedName name="FootnoteDrop29" localSheetId="19">#REF!</definedName>
    <definedName name="FootnoteDrop29" localSheetId="15">#REF!</definedName>
    <definedName name="FootnoteDrop29" localSheetId="11">#REF!</definedName>
    <definedName name="FootnoteDrop29" localSheetId="18">#REF!</definedName>
    <definedName name="FootnoteDrop29" localSheetId="14">#REF!</definedName>
    <definedName name="FootnoteDrop29" localSheetId="6">#REF!</definedName>
    <definedName name="FootnoteDrop29" localSheetId="21">#REF!</definedName>
    <definedName name="FootnoteDrop29" localSheetId="17">#REF!</definedName>
    <definedName name="FootnoteDrop29" localSheetId="13">#REF!</definedName>
    <definedName name="FootnoteDrop29" localSheetId="5">#REF!</definedName>
    <definedName name="FootnoteDrop29" localSheetId="20">#REF!</definedName>
    <definedName name="FootnoteDrop29" localSheetId="16">#REF!</definedName>
    <definedName name="FootnoteDrop29" localSheetId="12">#REF!</definedName>
    <definedName name="FootnoteDrop29" localSheetId="8">#REF!</definedName>
    <definedName name="FootnoteDrop29">#REF!</definedName>
    <definedName name="FootnoteDrop3" localSheetId="19">#REF!</definedName>
    <definedName name="FootnoteDrop3" localSheetId="15">#REF!</definedName>
    <definedName name="FootnoteDrop3" localSheetId="11">#REF!</definedName>
    <definedName name="FootnoteDrop3" localSheetId="18">#REF!</definedName>
    <definedName name="FootnoteDrop3" localSheetId="14">#REF!</definedName>
    <definedName name="FootnoteDrop3" localSheetId="6">#REF!</definedName>
    <definedName name="FootnoteDrop3" localSheetId="21">#REF!</definedName>
    <definedName name="FootnoteDrop3" localSheetId="17">#REF!</definedName>
    <definedName name="FootnoteDrop3" localSheetId="13">#REF!</definedName>
    <definedName name="FootnoteDrop3" localSheetId="5">#REF!</definedName>
    <definedName name="FootnoteDrop3" localSheetId="20">#REF!</definedName>
    <definedName name="FootnoteDrop3" localSheetId="16">#REF!</definedName>
    <definedName name="FootnoteDrop3" localSheetId="12">#REF!</definedName>
    <definedName name="FootnoteDrop3" localSheetId="8">#REF!</definedName>
    <definedName name="FootnoteDrop3">#REF!</definedName>
    <definedName name="FootnoteDrop30" localSheetId="19">#REF!</definedName>
    <definedName name="FootnoteDrop30" localSheetId="15">#REF!</definedName>
    <definedName name="FootnoteDrop30" localSheetId="11">#REF!</definedName>
    <definedName name="FootnoteDrop30" localSheetId="18">#REF!</definedName>
    <definedName name="FootnoteDrop30" localSheetId="14">#REF!</definedName>
    <definedName name="FootnoteDrop30" localSheetId="6">#REF!</definedName>
    <definedName name="FootnoteDrop30" localSheetId="21">#REF!</definedName>
    <definedName name="FootnoteDrop30" localSheetId="17">#REF!</definedName>
    <definedName name="FootnoteDrop30" localSheetId="13">#REF!</definedName>
    <definedName name="FootnoteDrop30" localSheetId="5">#REF!</definedName>
    <definedName name="FootnoteDrop30" localSheetId="20">#REF!</definedName>
    <definedName name="FootnoteDrop30" localSheetId="16">#REF!</definedName>
    <definedName name="FootnoteDrop30" localSheetId="12">#REF!</definedName>
    <definedName name="FootnoteDrop30" localSheetId="8">#REF!</definedName>
    <definedName name="FootnoteDrop30">#REF!</definedName>
    <definedName name="FootnoteDrop31" localSheetId="19">#REF!</definedName>
    <definedName name="FootnoteDrop31" localSheetId="15">#REF!</definedName>
    <definedName name="FootnoteDrop31" localSheetId="11">#REF!</definedName>
    <definedName name="FootnoteDrop31" localSheetId="18">#REF!</definedName>
    <definedName name="FootnoteDrop31" localSheetId="14">#REF!</definedName>
    <definedName name="FootnoteDrop31" localSheetId="6">#REF!</definedName>
    <definedName name="FootnoteDrop31" localSheetId="21">#REF!</definedName>
    <definedName name="FootnoteDrop31" localSheetId="17">#REF!</definedName>
    <definedName name="FootnoteDrop31" localSheetId="13">#REF!</definedName>
    <definedName name="FootnoteDrop31" localSheetId="5">#REF!</definedName>
    <definedName name="FootnoteDrop31" localSheetId="20">#REF!</definedName>
    <definedName name="FootnoteDrop31" localSheetId="16">#REF!</definedName>
    <definedName name="FootnoteDrop31" localSheetId="12">#REF!</definedName>
    <definedName name="FootnoteDrop31" localSheetId="8">#REF!</definedName>
    <definedName name="FootnoteDrop31">#REF!</definedName>
    <definedName name="FootnoteDrop32" localSheetId="19">#REF!</definedName>
    <definedName name="FootnoteDrop32" localSheetId="15">#REF!</definedName>
    <definedName name="FootnoteDrop32" localSheetId="11">#REF!</definedName>
    <definedName name="FootnoteDrop32" localSheetId="18">#REF!</definedName>
    <definedName name="FootnoteDrop32" localSheetId="14">#REF!</definedName>
    <definedName name="FootnoteDrop32" localSheetId="6">#REF!</definedName>
    <definedName name="FootnoteDrop32" localSheetId="21">#REF!</definedName>
    <definedName name="FootnoteDrop32" localSheetId="17">#REF!</definedName>
    <definedName name="FootnoteDrop32" localSheetId="13">#REF!</definedName>
    <definedName name="FootnoteDrop32" localSheetId="5">#REF!</definedName>
    <definedName name="FootnoteDrop32" localSheetId="20">#REF!</definedName>
    <definedName name="FootnoteDrop32" localSheetId="16">#REF!</definedName>
    <definedName name="FootnoteDrop32" localSheetId="12">#REF!</definedName>
    <definedName name="FootnoteDrop32" localSheetId="8">#REF!</definedName>
    <definedName name="FootnoteDrop32">#REF!</definedName>
    <definedName name="FootnoteDrop33" localSheetId="19">#REF!</definedName>
    <definedName name="FootnoteDrop33" localSheetId="15">#REF!</definedName>
    <definedName name="FootnoteDrop33" localSheetId="11">#REF!</definedName>
    <definedName name="FootnoteDrop33" localSheetId="18">#REF!</definedName>
    <definedName name="FootnoteDrop33" localSheetId="14">#REF!</definedName>
    <definedName name="FootnoteDrop33" localSheetId="6">#REF!</definedName>
    <definedName name="FootnoteDrop33" localSheetId="21">#REF!</definedName>
    <definedName name="FootnoteDrop33" localSheetId="17">#REF!</definedName>
    <definedName name="FootnoteDrop33" localSheetId="13">#REF!</definedName>
    <definedName name="FootnoteDrop33" localSheetId="5">#REF!</definedName>
    <definedName name="FootnoteDrop33" localSheetId="20">#REF!</definedName>
    <definedName name="FootnoteDrop33" localSheetId="16">#REF!</definedName>
    <definedName name="FootnoteDrop33" localSheetId="12">#REF!</definedName>
    <definedName name="FootnoteDrop33" localSheetId="8">#REF!</definedName>
    <definedName name="FootnoteDrop33">#REF!</definedName>
    <definedName name="FootnoteDrop34" localSheetId="19">#REF!</definedName>
    <definedName name="FootnoteDrop34" localSheetId="15">#REF!</definedName>
    <definedName name="FootnoteDrop34" localSheetId="11">#REF!</definedName>
    <definedName name="FootnoteDrop34" localSheetId="18">#REF!</definedName>
    <definedName name="FootnoteDrop34" localSheetId="14">#REF!</definedName>
    <definedName name="FootnoteDrop34" localSheetId="6">#REF!</definedName>
    <definedName name="FootnoteDrop34" localSheetId="21">#REF!</definedName>
    <definedName name="FootnoteDrop34" localSheetId="17">#REF!</definedName>
    <definedName name="FootnoteDrop34" localSheetId="13">#REF!</definedName>
    <definedName name="FootnoteDrop34" localSheetId="5">#REF!</definedName>
    <definedName name="FootnoteDrop34" localSheetId="20">#REF!</definedName>
    <definedName name="FootnoteDrop34" localSheetId="16">#REF!</definedName>
    <definedName name="FootnoteDrop34" localSheetId="12">#REF!</definedName>
    <definedName name="FootnoteDrop34" localSheetId="8">#REF!</definedName>
    <definedName name="FootnoteDrop34">#REF!</definedName>
    <definedName name="FootnoteDrop35" localSheetId="19">#REF!</definedName>
    <definedName name="FootnoteDrop35" localSheetId="15">#REF!</definedName>
    <definedName name="FootnoteDrop35" localSheetId="11">#REF!</definedName>
    <definedName name="FootnoteDrop35" localSheetId="18">#REF!</definedName>
    <definedName name="FootnoteDrop35" localSheetId="14">#REF!</definedName>
    <definedName name="FootnoteDrop35" localSheetId="6">#REF!</definedName>
    <definedName name="FootnoteDrop35" localSheetId="21">#REF!</definedName>
    <definedName name="FootnoteDrop35" localSheetId="17">#REF!</definedName>
    <definedName name="FootnoteDrop35" localSheetId="13">#REF!</definedName>
    <definedName name="FootnoteDrop35" localSheetId="5">#REF!</definedName>
    <definedName name="FootnoteDrop35" localSheetId="20">#REF!</definedName>
    <definedName name="FootnoteDrop35" localSheetId="16">#REF!</definedName>
    <definedName name="FootnoteDrop35" localSheetId="12">#REF!</definedName>
    <definedName name="FootnoteDrop35" localSheetId="8">#REF!</definedName>
    <definedName name="FootnoteDrop35">#REF!</definedName>
    <definedName name="FootnoteDrop36" localSheetId="19">#REF!</definedName>
    <definedName name="FootnoteDrop36" localSheetId="15">#REF!</definedName>
    <definedName name="FootnoteDrop36" localSheetId="11">#REF!</definedName>
    <definedName name="FootnoteDrop36" localSheetId="18">#REF!</definedName>
    <definedName name="FootnoteDrop36" localSheetId="14">#REF!</definedName>
    <definedName name="FootnoteDrop36" localSheetId="6">#REF!</definedName>
    <definedName name="FootnoteDrop36" localSheetId="21">#REF!</definedName>
    <definedName name="FootnoteDrop36" localSheetId="17">#REF!</definedName>
    <definedName name="FootnoteDrop36" localSheetId="13">#REF!</definedName>
    <definedName name="FootnoteDrop36" localSheetId="5">#REF!</definedName>
    <definedName name="FootnoteDrop36" localSheetId="20">#REF!</definedName>
    <definedName name="FootnoteDrop36" localSheetId="16">#REF!</definedName>
    <definedName name="FootnoteDrop36" localSheetId="12">#REF!</definedName>
    <definedName name="FootnoteDrop36" localSheetId="8">#REF!</definedName>
    <definedName name="FootnoteDrop36">#REF!</definedName>
    <definedName name="FootnoteDrop37" localSheetId="19">#REF!</definedName>
    <definedName name="FootnoteDrop37" localSheetId="15">#REF!</definedName>
    <definedName name="FootnoteDrop37" localSheetId="11">#REF!</definedName>
    <definedName name="FootnoteDrop37" localSheetId="18">#REF!</definedName>
    <definedName name="FootnoteDrop37" localSheetId="14">#REF!</definedName>
    <definedName name="FootnoteDrop37" localSheetId="6">#REF!</definedName>
    <definedName name="FootnoteDrop37" localSheetId="21">#REF!</definedName>
    <definedName name="FootnoteDrop37" localSheetId="17">#REF!</definedName>
    <definedName name="FootnoteDrop37" localSheetId="13">#REF!</definedName>
    <definedName name="FootnoteDrop37" localSheetId="5">#REF!</definedName>
    <definedName name="FootnoteDrop37" localSheetId="20">#REF!</definedName>
    <definedName name="FootnoteDrop37" localSheetId="16">#REF!</definedName>
    <definedName name="FootnoteDrop37" localSheetId="12">#REF!</definedName>
    <definedName name="FootnoteDrop37" localSheetId="8">#REF!</definedName>
    <definedName name="FootnoteDrop37">#REF!</definedName>
    <definedName name="FootnoteDrop38" localSheetId="19">#REF!</definedName>
    <definedName name="FootnoteDrop38" localSheetId="15">#REF!</definedName>
    <definedName name="FootnoteDrop38" localSheetId="11">#REF!</definedName>
    <definedName name="FootnoteDrop38" localSheetId="18">#REF!</definedName>
    <definedName name="FootnoteDrop38" localSheetId="14">#REF!</definedName>
    <definedName name="FootnoteDrop38" localSheetId="6">#REF!</definedName>
    <definedName name="FootnoteDrop38" localSheetId="21">#REF!</definedName>
    <definedName name="FootnoteDrop38" localSheetId="17">#REF!</definedName>
    <definedName name="FootnoteDrop38" localSheetId="13">#REF!</definedName>
    <definedName name="FootnoteDrop38" localSheetId="5">#REF!</definedName>
    <definedName name="FootnoteDrop38" localSheetId="20">#REF!</definedName>
    <definedName name="FootnoteDrop38" localSheetId="16">#REF!</definedName>
    <definedName name="FootnoteDrop38" localSheetId="12">#REF!</definedName>
    <definedName name="FootnoteDrop38" localSheetId="8">#REF!</definedName>
    <definedName name="FootnoteDrop38">#REF!</definedName>
    <definedName name="FootnoteDrop39" localSheetId="19">#REF!</definedName>
    <definedName name="FootnoteDrop39" localSheetId="15">#REF!</definedName>
    <definedName name="FootnoteDrop39" localSheetId="11">#REF!</definedName>
    <definedName name="FootnoteDrop39" localSheetId="18">#REF!</definedName>
    <definedName name="FootnoteDrop39" localSheetId="14">#REF!</definedName>
    <definedName name="FootnoteDrop39" localSheetId="6">#REF!</definedName>
    <definedName name="FootnoteDrop39" localSheetId="21">#REF!</definedName>
    <definedName name="FootnoteDrop39" localSheetId="17">#REF!</definedName>
    <definedName name="FootnoteDrop39" localSheetId="13">#REF!</definedName>
    <definedName name="FootnoteDrop39" localSheetId="5">#REF!</definedName>
    <definedName name="FootnoteDrop39" localSheetId="20">#REF!</definedName>
    <definedName name="FootnoteDrop39" localSheetId="16">#REF!</definedName>
    <definedName name="FootnoteDrop39" localSheetId="12">#REF!</definedName>
    <definedName name="FootnoteDrop39" localSheetId="8">#REF!</definedName>
    <definedName name="FootnoteDrop39">#REF!</definedName>
    <definedName name="FootnoteDrop4" localSheetId="19">#REF!</definedName>
    <definedName name="FootnoteDrop4" localSheetId="15">#REF!</definedName>
    <definedName name="FootnoteDrop4" localSheetId="11">#REF!</definedName>
    <definedName name="FootnoteDrop4" localSheetId="18">#REF!</definedName>
    <definedName name="FootnoteDrop4" localSheetId="14">#REF!</definedName>
    <definedName name="FootnoteDrop4" localSheetId="6">#REF!</definedName>
    <definedName name="FootnoteDrop4" localSheetId="21">#REF!</definedName>
    <definedName name="FootnoteDrop4" localSheetId="17">#REF!</definedName>
    <definedName name="FootnoteDrop4" localSheetId="13">#REF!</definedName>
    <definedName name="FootnoteDrop4" localSheetId="5">#REF!</definedName>
    <definedName name="FootnoteDrop4" localSheetId="20">#REF!</definedName>
    <definedName name="FootnoteDrop4" localSheetId="16">#REF!</definedName>
    <definedName name="FootnoteDrop4" localSheetId="12">#REF!</definedName>
    <definedName name="FootnoteDrop4" localSheetId="8">#REF!</definedName>
    <definedName name="FootnoteDrop4">#REF!</definedName>
    <definedName name="FootnoteDrop40" localSheetId="19">#REF!</definedName>
    <definedName name="FootnoteDrop40" localSheetId="15">#REF!</definedName>
    <definedName name="FootnoteDrop40" localSheetId="11">#REF!</definedName>
    <definedName name="FootnoteDrop40" localSheetId="18">#REF!</definedName>
    <definedName name="FootnoteDrop40" localSheetId="14">#REF!</definedName>
    <definedName name="FootnoteDrop40" localSheetId="6">#REF!</definedName>
    <definedName name="FootnoteDrop40" localSheetId="21">#REF!</definedName>
    <definedName name="FootnoteDrop40" localSheetId="17">#REF!</definedName>
    <definedName name="FootnoteDrop40" localSheetId="13">#REF!</definedName>
    <definedName name="FootnoteDrop40" localSheetId="5">#REF!</definedName>
    <definedName name="FootnoteDrop40" localSheetId="20">#REF!</definedName>
    <definedName name="FootnoteDrop40" localSheetId="16">#REF!</definedName>
    <definedName name="FootnoteDrop40" localSheetId="12">#REF!</definedName>
    <definedName name="FootnoteDrop40" localSheetId="8">#REF!</definedName>
    <definedName name="FootnoteDrop40">#REF!</definedName>
    <definedName name="FootnoteDrop41" localSheetId="19">#REF!</definedName>
    <definedName name="FootnoteDrop41" localSheetId="15">#REF!</definedName>
    <definedName name="FootnoteDrop41" localSheetId="11">#REF!</definedName>
    <definedName name="FootnoteDrop41" localSheetId="18">#REF!</definedName>
    <definedName name="FootnoteDrop41" localSheetId="14">#REF!</definedName>
    <definedName name="FootnoteDrop41" localSheetId="6">#REF!</definedName>
    <definedName name="FootnoteDrop41" localSheetId="21">#REF!</definedName>
    <definedName name="FootnoteDrop41" localSheetId="17">#REF!</definedName>
    <definedName name="FootnoteDrop41" localSheetId="13">#REF!</definedName>
    <definedName name="FootnoteDrop41" localSheetId="5">#REF!</definedName>
    <definedName name="FootnoteDrop41" localSheetId="20">#REF!</definedName>
    <definedName name="FootnoteDrop41" localSheetId="16">#REF!</definedName>
    <definedName name="FootnoteDrop41" localSheetId="12">#REF!</definedName>
    <definedName name="FootnoteDrop41" localSheetId="8">#REF!</definedName>
    <definedName name="FootnoteDrop41">#REF!</definedName>
    <definedName name="FootnoteDrop42" localSheetId="19">#REF!</definedName>
    <definedName name="FootnoteDrop42" localSheetId="15">#REF!</definedName>
    <definedName name="FootnoteDrop42" localSheetId="11">#REF!</definedName>
    <definedName name="FootnoteDrop42" localSheetId="18">#REF!</definedName>
    <definedName name="FootnoteDrop42" localSheetId="14">#REF!</definedName>
    <definedName name="FootnoteDrop42" localSheetId="6">#REF!</definedName>
    <definedName name="FootnoteDrop42" localSheetId="21">#REF!</definedName>
    <definedName name="FootnoteDrop42" localSheetId="17">#REF!</definedName>
    <definedName name="FootnoteDrop42" localSheetId="13">#REF!</definedName>
    <definedName name="FootnoteDrop42" localSheetId="5">#REF!</definedName>
    <definedName name="FootnoteDrop42" localSheetId="20">#REF!</definedName>
    <definedName name="FootnoteDrop42" localSheetId="16">#REF!</definedName>
    <definedName name="FootnoteDrop42" localSheetId="12">#REF!</definedName>
    <definedName name="FootnoteDrop42" localSheetId="8">#REF!</definedName>
    <definedName name="FootnoteDrop42">#REF!</definedName>
    <definedName name="FootnoteDrop43" localSheetId="19">#REF!</definedName>
    <definedName name="FootnoteDrop43" localSheetId="15">#REF!</definedName>
    <definedName name="FootnoteDrop43" localSheetId="11">#REF!</definedName>
    <definedName name="FootnoteDrop43" localSheetId="18">#REF!</definedName>
    <definedName name="FootnoteDrop43" localSheetId="14">#REF!</definedName>
    <definedName name="FootnoteDrop43" localSheetId="6">#REF!</definedName>
    <definedName name="FootnoteDrop43" localSheetId="21">#REF!</definedName>
    <definedName name="FootnoteDrop43" localSheetId="17">#REF!</definedName>
    <definedName name="FootnoteDrop43" localSheetId="13">#REF!</definedName>
    <definedName name="FootnoteDrop43" localSheetId="5">#REF!</definedName>
    <definedName name="FootnoteDrop43" localSheetId="20">#REF!</definedName>
    <definedName name="FootnoteDrop43" localSheetId="16">#REF!</definedName>
    <definedName name="FootnoteDrop43" localSheetId="12">#REF!</definedName>
    <definedName name="FootnoteDrop43" localSheetId="8">#REF!</definedName>
    <definedName name="FootnoteDrop43">#REF!</definedName>
    <definedName name="FootnoteDrop44" localSheetId="19">#REF!</definedName>
    <definedName name="FootnoteDrop44" localSheetId="15">#REF!</definedName>
    <definedName name="FootnoteDrop44" localSheetId="11">#REF!</definedName>
    <definedName name="FootnoteDrop44" localSheetId="18">#REF!</definedName>
    <definedName name="FootnoteDrop44" localSheetId="14">#REF!</definedName>
    <definedName name="FootnoteDrop44" localSheetId="6">#REF!</definedName>
    <definedName name="FootnoteDrop44" localSheetId="21">#REF!</definedName>
    <definedName name="FootnoteDrop44" localSheetId="17">#REF!</definedName>
    <definedName name="FootnoteDrop44" localSheetId="13">#REF!</definedName>
    <definedName name="FootnoteDrop44" localSheetId="5">#REF!</definedName>
    <definedName name="FootnoteDrop44" localSheetId="20">#REF!</definedName>
    <definedName name="FootnoteDrop44" localSheetId="16">#REF!</definedName>
    <definedName name="FootnoteDrop44" localSheetId="12">#REF!</definedName>
    <definedName name="FootnoteDrop44" localSheetId="8">#REF!</definedName>
    <definedName name="FootnoteDrop44">#REF!</definedName>
    <definedName name="FootnoteDrop45" localSheetId="19">#REF!</definedName>
    <definedName name="FootnoteDrop45" localSheetId="15">#REF!</definedName>
    <definedName name="FootnoteDrop45" localSheetId="11">#REF!</definedName>
    <definedName name="FootnoteDrop45" localSheetId="18">#REF!</definedName>
    <definedName name="FootnoteDrop45" localSheetId="14">#REF!</definedName>
    <definedName name="FootnoteDrop45" localSheetId="6">#REF!</definedName>
    <definedName name="FootnoteDrop45" localSheetId="21">#REF!</definedName>
    <definedName name="FootnoteDrop45" localSheetId="17">#REF!</definedName>
    <definedName name="FootnoteDrop45" localSheetId="13">#REF!</definedName>
    <definedName name="FootnoteDrop45" localSheetId="5">#REF!</definedName>
    <definedName name="FootnoteDrop45" localSheetId="20">#REF!</definedName>
    <definedName name="FootnoteDrop45" localSheetId="16">#REF!</definedName>
    <definedName name="FootnoteDrop45" localSheetId="12">#REF!</definedName>
    <definedName name="FootnoteDrop45" localSheetId="8">#REF!</definedName>
    <definedName name="FootnoteDrop45">#REF!</definedName>
    <definedName name="FootnoteDrop46" localSheetId="19">#REF!</definedName>
    <definedName name="FootnoteDrop46" localSheetId="15">#REF!</definedName>
    <definedName name="FootnoteDrop46" localSheetId="11">#REF!</definedName>
    <definedName name="FootnoteDrop46" localSheetId="18">#REF!</definedName>
    <definedName name="FootnoteDrop46" localSheetId="14">#REF!</definedName>
    <definedName name="FootnoteDrop46" localSheetId="6">#REF!</definedName>
    <definedName name="FootnoteDrop46" localSheetId="21">#REF!</definedName>
    <definedName name="FootnoteDrop46" localSheetId="17">#REF!</definedName>
    <definedName name="FootnoteDrop46" localSheetId="13">#REF!</definedName>
    <definedName name="FootnoteDrop46" localSheetId="5">#REF!</definedName>
    <definedName name="FootnoteDrop46" localSheetId="20">#REF!</definedName>
    <definedName name="FootnoteDrop46" localSheetId="16">#REF!</definedName>
    <definedName name="FootnoteDrop46" localSheetId="12">#REF!</definedName>
    <definedName name="FootnoteDrop46" localSheetId="8">#REF!</definedName>
    <definedName name="FootnoteDrop46">#REF!</definedName>
    <definedName name="FootnoteDrop47" localSheetId="19">#REF!</definedName>
    <definedName name="FootnoteDrop47" localSheetId="15">#REF!</definedName>
    <definedName name="FootnoteDrop47" localSheetId="11">#REF!</definedName>
    <definedName name="FootnoteDrop47" localSheetId="18">#REF!</definedName>
    <definedName name="FootnoteDrop47" localSheetId="14">#REF!</definedName>
    <definedName name="FootnoteDrop47" localSheetId="6">#REF!</definedName>
    <definedName name="FootnoteDrop47" localSheetId="21">#REF!</definedName>
    <definedName name="FootnoteDrop47" localSheetId="17">#REF!</definedName>
    <definedName name="FootnoteDrop47" localSheetId="13">#REF!</definedName>
    <definedName name="FootnoteDrop47" localSheetId="5">#REF!</definedName>
    <definedName name="FootnoteDrop47" localSheetId="20">#REF!</definedName>
    <definedName name="FootnoteDrop47" localSheetId="16">#REF!</definedName>
    <definedName name="FootnoteDrop47" localSheetId="12">#REF!</definedName>
    <definedName name="FootnoteDrop47" localSheetId="8">#REF!</definedName>
    <definedName name="FootnoteDrop47">#REF!</definedName>
    <definedName name="FootnoteDrop48" localSheetId="19">#REF!</definedName>
    <definedName name="FootnoteDrop48" localSheetId="15">#REF!</definedName>
    <definedName name="FootnoteDrop48" localSheetId="11">#REF!</definedName>
    <definedName name="FootnoteDrop48" localSheetId="18">#REF!</definedName>
    <definedName name="FootnoteDrop48" localSheetId="14">#REF!</definedName>
    <definedName name="FootnoteDrop48" localSheetId="6">#REF!</definedName>
    <definedName name="FootnoteDrop48" localSheetId="21">#REF!</definedName>
    <definedName name="FootnoteDrop48" localSheetId="17">#REF!</definedName>
    <definedName name="FootnoteDrop48" localSheetId="13">#REF!</definedName>
    <definedName name="FootnoteDrop48" localSheetId="5">#REF!</definedName>
    <definedName name="FootnoteDrop48" localSheetId="20">#REF!</definedName>
    <definedName name="FootnoteDrop48" localSheetId="16">#REF!</definedName>
    <definedName name="FootnoteDrop48" localSheetId="12">#REF!</definedName>
    <definedName name="FootnoteDrop48" localSheetId="8">#REF!</definedName>
    <definedName name="FootnoteDrop48">#REF!</definedName>
    <definedName name="FootnoteDrop49" localSheetId="19">#REF!</definedName>
    <definedName name="FootnoteDrop49" localSheetId="15">#REF!</definedName>
    <definedName name="FootnoteDrop49" localSheetId="11">#REF!</definedName>
    <definedName name="FootnoteDrop49" localSheetId="18">#REF!</definedName>
    <definedName name="FootnoteDrop49" localSheetId="14">#REF!</definedName>
    <definedName name="FootnoteDrop49" localSheetId="6">#REF!</definedName>
    <definedName name="FootnoteDrop49" localSheetId="21">#REF!</definedName>
    <definedName name="FootnoteDrop49" localSheetId="17">#REF!</definedName>
    <definedName name="FootnoteDrop49" localSheetId="13">#REF!</definedName>
    <definedName name="FootnoteDrop49" localSheetId="5">#REF!</definedName>
    <definedName name="FootnoteDrop49" localSheetId="20">#REF!</definedName>
    <definedName name="FootnoteDrop49" localSheetId="16">#REF!</definedName>
    <definedName name="FootnoteDrop49" localSheetId="12">#REF!</definedName>
    <definedName name="FootnoteDrop49" localSheetId="8">#REF!</definedName>
    <definedName name="FootnoteDrop49">#REF!</definedName>
    <definedName name="FootnoteDrop5" localSheetId="19">#REF!</definedName>
    <definedName name="FootnoteDrop5" localSheetId="15">#REF!</definedName>
    <definedName name="FootnoteDrop5" localSheetId="11">#REF!</definedName>
    <definedName name="FootnoteDrop5" localSheetId="18">#REF!</definedName>
    <definedName name="FootnoteDrop5" localSheetId="14">#REF!</definedName>
    <definedName name="FootnoteDrop5" localSheetId="6">#REF!</definedName>
    <definedName name="FootnoteDrop5" localSheetId="21">#REF!</definedName>
    <definedName name="FootnoteDrop5" localSheetId="17">#REF!</definedName>
    <definedName name="FootnoteDrop5" localSheetId="13">#REF!</definedName>
    <definedName name="FootnoteDrop5" localSheetId="5">#REF!</definedName>
    <definedName name="FootnoteDrop5" localSheetId="20">#REF!</definedName>
    <definedName name="FootnoteDrop5" localSheetId="16">#REF!</definedName>
    <definedName name="FootnoteDrop5" localSheetId="12">#REF!</definedName>
    <definedName name="FootnoteDrop5" localSheetId="8">#REF!</definedName>
    <definedName name="FootnoteDrop5">#REF!</definedName>
    <definedName name="FootnoteDrop50" localSheetId="19">#REF!</definedName>
    <definedName name="FootnoteDrop50" localSheetId="15">#REF!</definedName>
    <definedName name="FootnoteDrop50" localSheetId="11">#REF!</definedName>
    <definedName name="FootnoteDrop50" localSheetId="18">#REF!</definedName>
    <definedName name="FootnoteDrop50" localSheetId="14">#REF!</definedName>
    <definedName name="FootnoteDrop50" localSheetId="6">#REF!</definedName>
    <definedName name="FootnoteDrop50" localSheetId="21">#REF!</definedName>
    <definedName name="FootnoteDrop50" localSheetId="17">#REF!</definedName>
    <definedName name="FootnoteDrop50" localSheetId="13">#REF!</definedName>
    <definedName name="FootnoteDrop50" localSheetId="5">#REF!</definedName>
    <definedName name="FootnoteDrop50" localSheetId="20">#REF!</definedName>
    <definedName name="FootnoteDrop50" localSheetId="16">#REF!</definedName>
    <definedName name="FootnoteDrop50" localSheetId="12">#REF!</definedName>
    <definedName name="FootnoteDrop50" localSheetId="8">#REF!</definedName>
    <definedName name="FootnoteDrop50">#REF!</definedName>
    <definedName name="FootnoteDrop6" localSheetId="19">#REF!</definedName>
    <definedName name="FootnoteDrop6" localSheetId="15">#REF!</definedName>
    <definedName name="FootnoteDrop6" localSheetId="11">#REF!</definedName>
    <definedName name="FootnoteDrop6" localSheetId="18">#REF!</definedName>
    <definedName name="FootnoteDrop6" localSheetId="14">#REF!</definedName>
    <definedName name="FootnoteDrop6" localSheetId="6">#REF!</definedName>
    <definedName name="FootnoteDrop6" localSheetId="21">#REF!</definedName>
    <definedName name="FootnoteDrop6" localSheetId="17">#REF!</definedName>
    <definedName name="FootnoteDrop6" localSheetId="13">#REF!</definedName>
    <definedName name="FootnoteDrop6" localSheetId="5">#REF!</definedName>
    <definedName name="FootnoteDrop6" localSheetId="20">#REF!</definedName>
    <definedName name="FootnoteDrop6" localSheetId="16">#REF!</definedName>
    <definedName name="FootnoteDrop6" localSheetId="12">#REF!</definedName>
    <definedName name="FootnoteDrop6" localSheetId="8">#REF!</definedName>
    <definedName name="FootnoteDrop6">#REF!</definedName>
    <definedName name="FootnoteDrop7" localSheetId="19">#REF!</definedName>
    <definedName name="FootnoteDrop7" localSheetId="15">#REF!</definedName>
    <definedName name="FootnoteDrop7" localSheetId="11">#REF!</definedName>
    <definedName name="FootnoteDrop7" localSheetId="18">#REF!</definedName>
    <definedName name="FootnoteDrop7" localSheetId="14">#REF!</definedName>
    <definedName name="FootnoteDrop7" localSheetId="6">#REF!</definedName>
    <definedName name="FootnoteDrop7" localSheetId="21">#REF!</definedName>
    <definedName name="FootnoteDrop7" localSheetId="17">#REF!</definedName>
    <definedName name="FootnoteDrop7" localSheetId="13">#REF!</definedName>
    <definedName name="FootnoteDrop7" localSheetId="5">#REF!</definedName>
    <definedName name="FootnoteDrop7" localSheetId="20">#REF!</definedName>
    <definedName name="FootnoteDrop7" localSheetId="16">#REF!</definedName>
    <definedName name="FootnoteDrop7" localSheetId="12">#REF!</definedName>
    <definedName name="FootnoteDrop7" localSheetId="8">#REF!</definedName>
    <definedName name="FootnoteDrop7">#REF!</definedName>
    <definedName name="FootnoteDrop8" localSheetId="19">#REF!</definedName>
    <definedName name="FootnoteDrop8" localSheetId="15">#REF!</definedName>
    <definedName name="FootnoteDrop8" localSheetId="11">#REF!</definedName>
    <definedName name="FootnoteDrop8" localSheetId="18">#REF!</definedName>
    <definedName name="FootnoteDrop8" localSheetId="14">#REF!</definedName>
    <definedName name="FootnoteDrop8" localSheetId="6">#REF!</definedName>
    <definedName name="FootnoteDrop8" localSheetId="21">#REF!</definedName>
    <definedName name="FootnoteDrop8" localSheetId="17">#REF!</definedName>
    <definedName name="FootnoteDrop8" localSheetId="13">#REF!</definedName>
    <definedName name="FootnoteDrop8" localSheetId="5">#REF!</definedName>
    <definedName name="FootnoteDrop8" localSheetId="20">#REF!</definedName>
    <definedName name="FootnoteDrop8" localSheetId="16">#REF!</definedName>
    <definedName name="FootnoteDrop8" localSheetId="12">#REF!</definedName>
    <definedName name="FootnoteDrop8" localSheetId="8">#REF!</definedName>
    <definedName name="FootnoteDrop8">#REF!</definedName>
    <definedName name="FootnoteDrop9" localSheetId="19">#REF!</definedName>
    <definedName name="FootnoteDrop9" localSheetId="15">#REF!</definedName>
    <definedName name="FootnoteDrop9" localSheetId="11">#REF!</definedName>
    <definedName name="FootnoteDrop9" localSheetId="18">#REF!</definedName>
    <definedName name="FootnoteDrop9" localSheetId="14">#REF!</definedName>
    <definedName name="FootnoteDrop9" localSheetId="6">#REF!</definedName>
    <definedName name="FootnoteDrop9" localSheetId="21">#REF!</definedName>
    <definedName name="FootnoteDrop9" localSheetId="17">#REF!</definedName>
    <definedName name="FootnoteDrop9" localSheetId="13">#REF!</definedName>
    <definedName name="FootnoteDrop9" localSheetId="5">#REF!</definedName>
    <definedName name="FootnoteDrop9" localSheetId="20">#REF!</definedName>
    <definedName name="FootnoteDrop9" localSheetId="16">#REF!</definedName>
    <definedName name="FootnoteDrop9" localSheetId="12">#REF!</definedName>
    <definedName name="FootnoteDrop9" localSheetId="8">#REF!</definedName>
    <definedName name="FootnoteDrop9">#REF!</definedName>
    <definedName name="GrossProfit">[2]Sheet1!$B$8:$AH$8</definedName>
    <definedName name="Interest">[2]Sheet1!$B$15:$AH$15</definedName>
    <definedName name="Inv">[2]Sheet1!$B$33:$AH$33</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30YR_FIXED_MORTGAGE" hidden="1">"c6811"</definedName>
    <definedName name="IQ_30YR_FIXED_MORTGAGE_FC" hidden="1">"c7691"</definedName>
    <definedName name="IQ_30YR_FIXED_MORTGAGE_POP" hidden="1">"c7031"</definedName>
    <definedName name="IQ_30YR_FIXED_MORTGAGE_POP_FC" hidden="1">"c7911"</definedName>
    <definedName name="IQ_30YR_FIXED_MORTGAGE_YOY" hidden="1">"c7251"</definedName>
    <definedName name="IQ_30YR_FIXED_MORTGAGE_YOY_FC" hidden="1">"c8131"</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RED_BY_REPORTING_BANK_FDIC" hidden="1">"c6535"</definedName>
    <definedName name="IQ_ACQUISITION_RE_ASSETS" hidden="1">"c1628"</definedName>
    <definedName name="IQ_ACTUAL_PRODUCTION_ALUM" hidden="1">"c9247"</definedName>
    <definedName name="IQ_ACTUAL_PRODUCTION_CATHODE_COP" hidden="1">"c9192"</definedName>
    <definedName name="IQ_ACTUAL_PRODUCTION_COAL" hidden="1">"c9821"</definedName>
    <definedName name="IQ_ACTUAL_PRODUCTION_COP" hidden="1">"c9191"</definedName>
    <definedName name="IQ_ACTUAL_PRODUCTION_DIAM" hidden="1">"c9671"</definedName>
    <definedName name="IQ_ACTUAL_PRODUCTION_GOLD" hidden="1">"c9032"</definedName>
    <definedName name="IQ_ACTUAL_PRODUCTION_IRON" hidden="1">"c9406"</definedName>
    <definedName name="IQ_ACTUAL_PRODUCTION_LEAD" hidden="1">"c9459"</definedName>
    <definedName name="IQ_ACTUAL_PRODUCTION_MANG" hidden="1">"c9512"</definedName>
    <definedName name="IQ_ACTUAL_PRODUCTION_MET_COAL" hidden="1">"c9761"</definedName>
    <definedName name="IQ_ACTUAL_PRODUCTION_MOLYB" hidden="1">"c9724"</definedName>
    <definedName name="IQ_ACTUAL_PRODUCTION_NICK" hidden="1">"c9300"</definedName>
    <definedName name="IQ_ACTUAL_PRODUCTION_PLAT" hidden="1">"c9138"</definedName>
    <definedName name="IQ_ACTUAL_PRODUCTION_SILVER" hidden="1">"c9085"</definedName>
    <definedName name="IQ_ACTUAL_PRODUCTION_STEAM" hidden="1">"c9791"</definedName>
    <definedName name="IQ_ACTUAL_PRODUCTION_TITAN" hidden="1">"c9565"</definedName>
    <definedName name="IQ_ACTUAL_PRODUCTION_URAN" hidden="1">"c9618"</definedName>
    <definedName name="IQ_ACTUAL_PRODUCTION_ZINC" hidden="1">"c9353"</definedName>
    <definedName name="IQ_AD" hidden="1">"c7"</definedName>
    <definedName name="IQ_ADD_PAID_IN" hidden="1">"c1344"</definedName>
    <definedName name="IQ_ADDIN" hidden="1">"AUTO"</definedName>
    <definedName name="IQ_ADDITIONAL_NON_INT_INC_FDIC" hidden="1">"c6574"</definedName>
    <definedName name="IQ_ADJ_AVG_BANK_ASSETS" hidden="1">"c2671"</definedName>
    <definedName name="IQ_ADJUSTABLE_RATE_LOANS_FDIC" hidden="1">"c6375"</definedName>
    <definedName name="IQ_ADJUSTED_NAV_COVERED" hidden="1">"c9963"</definedName>
    <definedName name="IQ_ADJUSTED_NAV_GROUP" hidden="1">"c9949"</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FO" hidden="1">"c8756"</definedName>
    <definedName name="IQ_AFFO_PER_SHARE_BASIC" hidden="1">"c8869"</definedName>
    <definedName name="IQ_AFFO_PER_SHARE_DILUTED" hidden="1">"c8870"</definedName>
    <definedName name="IQ_AFTER_TAX_INCOME_FDIC" hidden="1">"c6583"</definedName>
    <definedName name="IQ_AGENCY" hidden="1">"c8960"</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AVG_PSGR_FARE" hidden="1">"c10029"</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NUMBER_HRS_FLOWN" hidden="1">"c10037"</definedName>
    <definedName name="IQ_AIR_NUMBER_OPERATING_AIRCRAFT_AVG" hidden="1">"c10035"</definedName>
    <definedName name="IQ_AIR_NUMBER_TRIPS_FLOWN" hidden="1">"c10030"</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EX_PER_ASK_EXCL_FUEL" hidden="1">"c10034"</definedName>
    <definedName name="IQ_AIR_OPEX_PER_ASM_EXCL_FUEL" hidden="1">"c10033"</definedName>
    <definedName name="IQ_AIR_OPTIONS" hidden="1">"c2837"</definedName>
    <definedName name="IQ_AIR_ORDERS" hidden="1">"c2836"</definedName>
    <definedName name="IQ_AIR_OWNED" hidden="1">"c2832"</definedName>
    <definedName name="IQ_AIR_PERCENTAGE_SALES_VIA_INTERNET" hidden="1">"c10036"</definedName>
    <definedName name="IQ_AIR_PSGR_HAUL_AVG_LENGTH_KM" hidden="1">"c10032"</definedName>
    <definedName name="IQ_AIR_PSGR_HAUL_AVG_LENGTH_MILES" hidden="1">"c10031"</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ENDED_BALANCE_PREVIOUS_YR_FDIC" hidden="1">"c6499"</definedName>
    <definedName name="IQ_AMORT_EXPENSE_FDIC" hidden="1">"c6677"</definedName>
    <definedName name="IQ_AMORTIZATION" hidden="1">"c1591"</definedName>
    <definedName name="IQ_AMORTIZED_COST_FDIC" hidden="1">"c6426"</definedName>
    <definedName name="IQ_AMT_OUT" hidden="1">"c2145"</definedName>
    <definedName name="IQ_ANNU_DISTRIBUTION_UNIT" hidden="1">"c3004"</definedName>
    <definedName name="IQ_ANNUAL_PREMIUM_EQUIVALENT_NEW_BUSINESS" hidden="1">"c9972"</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UTI" hidden="1">"c61"</definedName>
    <definedName name="IQ_ASSETS_AP" hidden="1">"c8883"</definedName>
    <definedName name="IQ_ASSETS_AP_ABS" hidden="1">"c8902"</definedName>
    <definedName name="IQ_ASSETS_CAP_LEASE_DEPR" hidden="1">"c2068"</definedName>
    <definedName name="IQ_ASSETS_CAP_LEASE_GROSS" hidden="1">"c2069"</definedName>
    <definedName name="IQ_ASSETS_HELD_FDIC" hidden="1">"c6305"</definedName>
    <definedName name="IQ_ASSETS_NAME_AP" hidden="1">"c8921"</definedName>
    <definedName name="IQ_ASSETS_NAME_AP_ABS" hidden="1">"c8940"</definedName>
    <definedName name="IQ_ASSETS_OPER_LEASE_DEPR" hidden="1">"c2070"</definedName>
    <definedName name="IQ_ASSETS_OPER_LEASE_GROSS" hidden="1">"c2071"</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M" hidden="1">"c10043"</definedName>
    <definedName name="IQ_AUM_EQUITY_FUNDS" hidden="1">"c10039"</definedName>
    <definedName name="IQ_AUM_FIXED_INCOME_FUNDS" hidden="1">"c10040"</definedName>
    <definedName name="IQ_AUM_MONEY_MARKET_FUNDS" hidden="1">"c10041"</definedName>
    <definedName name="IQ_AUM_OTHER" hidden="1">"c10042"</definedName>
    <definedName name="IQ_AUTO_REGIST_NEW" hidden="1">"c6923"</definedName>
    <definedName name="IQ_AUTO_REGIST_NEW_APR" hidden="1">"c7583"</definedName>
    <definedName name="IQ_AUTO_REGIST_NEW_APR_FC" hidden="1">"c8463"</definedName>
    <definedName name="IQ_AUTO_REGIST_NEW_FC" hidden="1">"c7803"</definedName>
    <definedName name="IQ_AUTO_REGIST_NEW_POP" hidden="1">"c7143"</definedName>
    <definedName name="IQ_AUTO_REGIST_NEW_POP_FC" hidden="1">"c8023"</definedName>
    <definedName name="IQ_AUTO_REGIST_NEW_YOY" hidden="1">"c7363"</definedName>
    <definedName name="IQ_AUTO_REGIST_NEW_YOY_FC" hidden="1">"c8243"</definedName>
    <definedName name="IQ_AUTO_SALES_DOM" hidden="1">"c6852"</definedName>
    <definedName name="IQ_AUTO_SALES_DOM_APR" hidden="1">"c7512"</definedName>
    <definedName name="IQ_AUTO_SALES_DOM_APR_FC" hidden="1">"c8392"</definedName>
    <definedName name="IQ_AUTO_SALES_DOM_FC" hidden="1">"c7732"</definedName>
    <definedName name="IQ_AUTO_SALES_DOM_POP" hidden="1">"c7072"</definedName>
    <definedName name="IQ_AUTO_SALES_DOM_POP_FC" hidden="1">"c7952"</definedName>
    <definedName name="IQ_AUTO_SALES_DOM_YOY" hidden="1">"c7292"</definedName>
    <definedName name="IQ_AUTO_SALES_DOM_YOY_FC" hidden="1">"c8172"</definedName>
    <definedName name="IQ_AUTO_SALES_FOREIGN" hidden="1">"c6873"</definedName>
    <definedName name="IQ_AUTO_SALES_FOREIGN_APR" hidden="1">"c7533"</definedName>
    <definedName name="IQ_AUTO_SALES_FOREIGN_APR_FC" hidden="1">"c8413"</definedName>
    <definedName name="IQ_AUTO_SALES_FOREIGN_FC" hidden="1">"c7753"</definedName>
    <definedName name="IQ_AUTO_SALES_FOREIGN_POP" hidden="1">"c7093"</definedName>
    <definedName name="IQ_AUTO_SALES_FOREIGN_POP_FC" hidden="1">"c7973"</definedName>
    <definedName name="IQ_AUTO_SALES_FOREIGN_YOY" hidden="1">"c7313"</definedName>
    <definedName name="IQ_AUTO_SALES_FOREIGN_YOY_FC" hidden="1">"c8193"</definedName>
    <definedName name="IQ_AUTO_WRITTEN" hidden="1">"c62"</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BANK_ASSETS" hidden="1">"c2072"</definedName>
    <definedName name="IQ_AVG_BANK_LOANS" hidden="1">"c2073"</definedName>
    <definedName name="IQ_AVG_BROKER_REC" hidden="1">"c63"</definedName>
    <definedName name="IQ_AVG_BROKER_REC_CIQ" hidden="1">"c3612"</definedName>
    <definedName name="IQ_AVG_BROKER_REC_NO" hidden="1">"c64"</definedName>
    <definedName name="IQ_AVG_BROKER_REC_NO_CIQ" hidden="1">"c4657"</definedName>
    <definedName name="IQ_AVG_BROKER_REC_NO_REUT" hidden="1">"c5315"</definedName>
    <definedName name="IQ_AVG_BROKER_REC_REUT" hidden="1">"c3630"</definedName>
    <definedName name="IQ_AVG_CALORIFIC_VALUE_COAL" hidden="1">"c9828"</definedName>
    <definedName name="IQ_AVG_CALORIFIC_VALUE_MET_COAL" hidden="1">"c9764"</definedName>
    <definedName name="IQ_AVG_CALORIFIC_VALUE_STEAM" hidden="1">"c9794"</definedName>
    <definedName name="IQ_AVG_DAILY_VOL" hidden="1">"c65"</definedName>
    <definedName name="IQ_AVG_EMPLOYEES" hidden="1">"c6019"</definedName>
    <definedName name="IQ_AVG_GRADE_ALUM" hidden="1">"c9254"</definedName>
    <definedName name="IQ_AVG_GRADE_COP" hidden="1">"c9201"</definedName>
    <definedName name="IQ_AVG_GRADE_DIAM" hidden="1">"c9678"</definedName>
    <definedName name="IQ_AVG_GRADE_GOLD" hidden="1">"c9039"</definedName>
    <definedName name="IQ_AVG_GRADE_IRON" hidden="1">"c9413"</definedName>
    <definedName name="IQ_AVG_GRADE_LEAD" hidden="1">"c9466"</definedName>
    <definedName name="IQ_AVG_GRADE_MANG" hidden="1">"c9519"</definedName>
    <definedName name="IQ_AVG_GRADE_MOLYB" hidden="1">"c9731"</definedName>
    <definedName name="IQ_AVG_GRADE_NICK" hidden="1">"c9307"</definedName>
    <definedName name="IQ_AVG_GRADE_PLAT" hidden="1">"c9145"</definedName>
    <definedName name="IQ_AVG_GRADE_SILVER" hidden="1">"c9092"</definedName>
    <definedName name="IQ_AVG_GRADE_TITAN" hidden="1">"c9572"</definedName>
    <definedName name="IQ_AVG_GRADE_URAN" hidden="1">"c9625"</definedName>
    <definedName name="IQ_AVG_GRADE_ZINC" hidden="1">"c9360"</definedName>
    <definedName name="IQ_AVG_INDUSTRY_REC" hidden="1">"c4455"</definedName>
    <definedName name="IQ_AVG_INDUSTRY_REC_CIQ" hidden="1">"c4984"</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MKTCAP" hidden="1">"c80"</definedName>
    <definedName name="IQ_AVG_PRICE" hidden="1">"c81"</definedName>
    <definedName name="IQ_AVG_PRICE_TARGET" hidden="1">"c82"</definedName>
    <definedName name="IQ_AVG_PRODUCTION_PER_MINE_ALUM" hidden="1">"c9249"</definedName>
    <definedName name="IQ_AVG_PRODUCTION_PER_MINE_COAL" hidden="1">"c9823"</definedName>
    <definedName name="IQ_AVG_PRODUCTION_PER_MINE_COP" hidden="1">"c9194"</definedName>
    <definedName name="IQ_AVG_PRODUCTION_PER_MINE_DIAM" hidden="1">"c9673"</definedName>
    <definedName name="IQ_AVG_PRODUCTION_PER_MINE_GOLD" hidden="1">"c9034"</definedName>
    <definedName name="IQ_AVG_PRODUCTION_PER_MINE_IRON" hidden="1">"c9408"</definedName>
    <definedName name="IQ_AVG_PRODUCTION_PER_MINE_LEAD" hidden="1">"c9461"</definedName>
    <definedName name="IQ_AVG_PRODUCTION_PER_MINE_MANG" hidden="1">"c9514"</definedName>
    <definedName name="IQ_AVG_PRODUCTION_PER_MINE_MOLYB" hidden="1">"c9726"</definedName>
    <definedName name="IQ_AVG_PRODUCTION_PER_MINE_NICK" hidden="1">"c9302"</definedName>
    <definedName name="IQ_AVG_PRODUCTION_PER_MINE_PLAT" hidden="1">"c9140"</definedName>
    <definedName name="IQ_AVG_PRODUCTION_PER_MINE_SILVER" hidden="1">"c9087"</definedName>
    <definedName name="IQ_AVG_PRODUCTION_PER_MINE_TITAN" hidden="1">"c9567"</definedName>
    <definedName name="IQ_AVG_PRODUCTION_PER_MINE_URAN" hidden="1">"c9620"</definedName>
    <definedName name="IQ_AVG_PRODUCTION_PER_MINE_ZINC" hidden="1">"c9355"</definedName>
    <definedName name="IQ_AVG_REAL_PRICE_POST_TREAT_REFINING_ALUM" hidden="1">"c9259"</definedName>
    <definedName name="IQ_AVG_REAL_PRICE_POST_TREAT_REFINING_COP" hidden="1">"c9206"</definedName>
    <definedName name="IQ_AVG_REAL_PRICE_POST_TREAT_REFINING_DIAM" hidden="1">"c9683"</definedName>
    <definedName name="IQ_AVG_REAL_PRICE_POST_TREAT_REFINING_GOLD" hidden="1">"c9044"</definedName>
    <definedName name="IQ_AVG_REAL_PRICE_POST_TREAT_REFINING_IRON" hidden="1">"c9418"</definedName>
    <definedName name="IQ_AVG_REAL_PRICE_POST_TREAT_REFINING_LEAD" hidden="1">"c9471"</definedName>
    <definedName name="IQ_AVG_REAL_PRICE_POST_TREAT_REFINING_MANG" hidden="1">"c9524"</definedName>
    <definedName name="IQ_AVG_REAL_PRICE_POST_TREAT_REFINING_MOLYB" hidden="1">"c9736"</definedName>
    <definedName name="IQ_AVG_REAL_PRICE_POST_TREAT_REFINING_NICK" hidden="1">"c9311"</definedName>
    <definedName name="IQ_AVG_REAL_PRICE_POST_TREAT_REFINING_PLAT" hidden="1">"c9150"</definedName>
    <definedName name="IQ_AVG_REAL_PRICE_POST_TREAT_REFINING_SILVER" hidden="1">"c9097"</definedName>
    <definedName name="IQ_AVG_REAL_PRICE_POST_TREAT_REFINING_TITAN" hidden="1">"c9577"</definedName>
    <definedName name="IQ_AVG_REAL_PRICE_POST_TREAT_REFINING_URAN" hidden="1">"c9630"</definedName>
    <definedName name="IQ_AVG_REAL_PRICE_POST_TREAT_REFINING_ZINC" hidden="1">"c9365"</definedName>
    <definedName name="IQ_AVG_REAL_PRICE_PRE_TREAT_REFINING_ALUM" hidden="1">"c9258"</definedName>
    <definedName name="IQ_AVG_REAL_PRICE_PRE_TREAT_REFINING_COP" hidden="1">"c9205"</definedName>
    <definedName name="IQ_AVG_REAL_PRICE_PRE_TREAT_REFINING_DIAM" hidden="1">"c9682"</definedName>
    <definedName name="IQ_AVG_REAL_PRICE_PRE_TREAT_REFINING_GOLD" hidden="1">"c9043"</definedName>
    <definedName name="IQ_AVG_REAL_PRICE_PRE_TREAT_REFINING_IRON" hidden="1">"c9417"</definedName>
    <definedName name="IQ_AVG_REAL_PRICE_PRE_TREAT_REFINING_LEAD" hidden="1">"c9470"</definedName>
    <definedName name="IQ_AVG_REAL_PRICE_PRE_TREAT_REFINING_MANG" hidden="1">"c9523"</definedName>
    <definedName name="IQ_AVG_REAL_PRICE_PRE_TREAT_REFINING_MOLYB" hidden="1">"c9735"</definedName>
    <definedName name="IQ_AVG_REAL_PRICE_PRE_TREAT_REFINING_NICK" hidden="1">"c9312"</definedName>
    <definedName name="IQ_AVG_REAL_PRICE_PRE_TREAT_REFINING_PLAT" hidden="1">"c9149"</definedName>
    <definedName name="IQ_AVG_REAL_PRICE_PRE_TREAT_REFINING_SILVER" hidden="1">"c9096"</definedName>
    <definedName name="IQ_AVG_REAL_PRICE_PRE_TREAT_REFINING_TITAN" hidden="1">"c9576"</definedName>
    <definedName name="IQ_AVG_REAL_PRICE_PRE_TREAT_REFINING_URAN" hidden="1">"c9629"</definedName>
    <definedName name="IQ_AVG_REAL_PRICE_PRE_TREAT_REFINING_ZINC" hidden="1">"c9364"</definedName>
    <definedName name="IQ_AVG_REALIZED_PRICE_AFTER_HEDGING_ALUM" hidden="1">"c9257"</definedName>
    <definedName name="IQ_AVG_REALIZED_PRICE_AFTER_HEDGING_COAL" hidden="1">"c9830"</definedName>
    <definedName name="IQ_AVG_REALIZED_PRICE_AFTER_HEDGING_COP" hidden="1">"c9204"</definedName>
    <definedName name="IQ_AVG_REALIZED_PRICE_AFTER_HEDGING_DIAM" hidden="1">"c9681"</definedName>
    <definedName name="IQ_AVG_REALIZED_PRICE_AFTER_HEDGING_GOLD" hidden="1">"c9042"</definedName>
    <definedName name="IQ_AVG_REALIZED_PRICE_AFTER_HEDGING_IRON" hidden="1">"c9416"</definedName>
    <definedName name="IQ_AVG_REALIZED_PRICE_AFTER_HEDGING_LEAD" hidden="1">"c9469"</definedName>
    <definedName name="IQ_AVG_REALIZED_PRICE_AFTER_HEDGING_MANG" hidden="1">"c9522"</definedName>
    <definedName name="IQ_AVG_REALIZED_PRICE_AFTER_HEDGING_MET_COAL" hidden="1">"c9766"</definedName>
    <definedName name="IQ_AVG_REALIZED_PRICE_AFTER_HEDGING_MOLYB" hidden="1">"c9734"</definedName>
    <definedName name="IQ_AVG_REALIZED_PRICE_AFTER_HEDGING_NICK" hidden="1">"c9310"</definedName>
    <definedName name="IQ_AVG_REALIZED_PRICE_AFTER_HEDGING_PLAT" hidden="1">"c9148"</definedName>
    <definedName name="IQ_AVG_REALIZED_PRICE_AFTER_HEDGING_SILVER" hidden="1">"c9095"</definedName>
    <definedName name="IQ_AVG_REALIZED_PRICE_AFTER_HEDGING_STEAM" hidden="1">"c9796"</definedName>
    <definedName name="IQ_AVG_REALIZED_PRICE_AFTER_HEDGING_TITAN" hidden="1">"c9575"</definedName>
    <definedName name="IQ_AVG_REALIZED_PRICE_AFTER_HEDGING_URAN" hidden="1">"c9628"</definedName>
    <definedName name="IQ_AVG_REALIZED_PRICE_AFTER_HEDGING_ZINC" hidden="1">"c9363"</definedName>
    <definedName name="IQ_AVG_REALIZED_PRICE_BEFORE_HEDGING_ALUM" hidden="1">"c9256"</definedName>
    <definedName name="IQ_AVG_REALIZED_PRICE_BEFORE_HEDGING_COAL" hidden="1">"c9829"</definedName>
    <definedName name="IQ_AVG_REALIZED_PRICE_BEFORE_HEDGING_COP" hidden="1">"c9203"</definedName>
    <definedName name="IQ_AVG_REALIZED_PRICE_BEFORE_HEDGING_DIAM" hidden="1">"c9680"</definedName>
    <definedName name="IQ_AVG_REALIZED_PRICE_BEFORE_HEDGING_GOLD" hidden="1">"c9041"</definedName>
    <definedName name="IQ_AVG_REALIZED_PRICE_BEFORE_HEDGING_IRON" hidden="1">"c9415"</definedName>
    <definedName name="IQ_AVG_REALIZED_PRICE_BEFORE_HEDGING_LEAD" hidden="1">"c9468"</definedName>
    <definedName name="IQ_AVG_REALIZED_PRICE_BEFORE_HEDGING_MANG" hidden="1">"c9521"</definedName>
    <definedName name="IQ_AVG_REALIZED_PRICE_BEFORE_HEDGING_MET_COAL" hidden="1">"c9765"</definedName>
    <definedName name="IQ_AVG_REALIZED_PRICE_BEFORE_HEDGING_MOLYB" hidden="1">"c9733"</definedName>
    <definedName name="IQ_AVG_REALIZED_PRICE_BEFORE_HEDGING_NICK" hidden="1">"c9309"</definedName>
    <definedName name="IQ_AVG_REALIZED_PRICE_BEFORE_HEDGING_PLAT" hidden="1">"c9147"</definedName>
    <definedName name="IQ_AVG_REALIZED_PRICE_BEFORE_HEDGING_SILVER" hidden="1">"c9094"</definedName>
    <definedName name="IQ_AVG_REALIZED_PRICE_BEFORE_HEDGING_STEAM" hidden="1">"c9795"</definedName>
    <definedName name="IQ_AVG_REALIZED_PRICE_BEFORE_HEDGING_TITAN" hidden="1">"c9574"</definedName>
    <definedName name="IQ_AVG_REALIZED_PRICE_BEFORE_HEDGING_URAN" hidden="1">"c9627"</definedName>
    <definedName name="IQ_AVG_REALIZED_PRICE_BEFORE_HEDGING_ZINC" hidden="1">"c9362"</definedName>
    <definedName name="IQ_AVG_SHAREOUTSTANDING" hidden="1">"c83"</definedName>
    <definedName name="IQ_AVG_TEMP_EMPLOYEES" hidden="1">"c6020"</definedName>
    <definedName name="IQ_AVG_TEV" hidden="1">"c84"</definedName>
    <definedName name="IQ_AVG_VOLUME" hidden="1">"c1346"</definedName>
    <definedName name="IQ_AVG_WAGES" hidden="1">"c6812"</definedName>
    <definedName name="IQ_AVG_WAGES_APR" hidden="1">"c7472"</definedName>
    <definedName name="IQ_AVG_WAGES_APR_FC" hidden="1">"c8352"</definedName>
    <definedName name="IQ_AVG_WAGES_FC" hidden="1">"c7692"</definedName>
    <definedName name="IQ_AVG_WAGES_POP" hidden="1">"c7032"</definedName>
    <definedName name="IQ_AVG_WAGES_POP_FC" hidden="1">"c7912"</definedName>
    <definedName name="IQ_AVG_WAGES_YOY" hidden="1">"c7252"</definedName>
    <definedName name="IQ_AVG_WAGES_YOY_FC" hidden="1">"c8132"</definedName>
    <definedName name="IQ_BALANCE_GOODS_APR_FC_UNUSED" hidden="1">"c8353"</definedName>
    <definedName name="IQ_BALANCE_GOODS_APR_UNUSED" hidden="1">"c7473"</definedName>
    <definedName name="IQ_BALANCE_GOODS_FC_UNUSED" hidden="1">"c7693"</definedName>
    <definedName name="IQ_BALANCE_GOODS_POP_FC_UNUSED" hidden="1">"c7913"</definedName>
    <definedName name="IQ_BALANCE_GOODS_POP_UNUSED" hidden="1">"c7033"</definedName>
    <definedName name="IQ_BALANCE_GOODS_REAL" hidden="1">"c6952"</definedName>
    <definedName name="IQ_BALANCE_GOODS_REAL_APR" hidden="1">"c7612"</definedName>
    <definedName name="IQ_BALANCE_GOODS_REAL_APR_FC" hidden="1">"c8492"</definedName>
    <definedName name="IQ_BALANCE_GOODS_REAL_FC" hidden="1">"c7832"</definedName>
    <definedName name="IQ_BALANCE_GOODS_REAL_POP" hidden="1">"c7172"</definedName>
    <definedName name="IQ_BALANCE_GOODS_REAL_POP_FC" hidden="1">"c8052"</definedName>
    <definedName name="IQ_BALANCE_GOODS_REAL_SAAR" hidden="1">"c6953"</definedName>
    <definedName name="IQ_BALANCE_GOODS_REAL_SAAR_APR" hidden="1">"c7613"</definedName>
    <definedName name="IQ_BALANCE_GOODS_REAL_SAAR_APR_FC" hidden="1">"c8493"</definedName>
    <definedName name="IQ_BALANCE_GOODS_REAL_SAAR_FC" hidden="1">"c7833"</definedName>
    <definedName name="IQ_BALANCE_GOODS_REAL_SAAR_POP" hidden="1">"c7173"</definedName>
    <definedName name="IQ_BALANCE_GOODS_REAL_SAAR_POP_FC" hidden="1">"c8053"</definedName>
    <definedName name="IQ_BALANCE_GOODS_REAL_SAAR_USD_APR_FC" hidden="1">"c11893"</definedName>
    <definedName name="IQ_BALANCE_GOODS_REAL_SAAR_USD_FC" hidden="1">"c11890"</definedName>
    <definedName name="IQ_BALANCE_GOODS_REAL_SAAR_USD_POP_FC" hidden="1">"c11891"</definedName>
    <definedName name="IQ_BALANCE_GOODS_REAL_SAAR_USD_YOY_FC" hidden="1">"c11892"</definedName>
    <definedName name="IQ_BALANCE_GOODS_REAL_SAAR_YOY" hidden="1">"c7393"</definedName>
    <definedName name="IQ_BALANCE_GOODS_REAL_SAAR_YOY_FC" hidden="1">"c8273"</definedName>
    <definedName name="IQ_BALANCE_GOODS_REAL_USD_APR_FC" hidden="1">"c11889"</definedName>
    <definedName name="IQ_BALANCE_GOODS_REAL_USD_FC" hidden="1">"c11886"</definedName>
    <definedName name="IQ_BALANCE_GOODS_REAL_USD_POP_FC" hidden="1">"c11887"</definedName>
    <definedName name="IQ_BALANCE_GOODS_REAL_USD_YOY_FC" hidden="1">"c11888"</definedName>
    <definedName name="IQ_BALANCE_GOODS_REAL_YOY" hidden="1">"c7392"</definedName>
    <definedName name="IQ_BALANCE_GOODS_REAL_YOY_FC" hidden="1">"c8272"</definedName>
    <definedName name="IQ_BALANCE_GOODS_SAAR" hidden="1">"c6814"</definedName>
    <definedName name="IQ_BALANCE_GOODS_SAAR_APR" hidden="1">"c7474"</definedName>
    <definedName name="IQ_BALANCE_GOODS_SAAR_APR_FC" hidden="1">"c8354"</definedName>
    <definedName name="IQ_BALANCE_GOODS_SAAR_FC" hidden="1">"c7694"</definedName>
    <definedName name="IQ_BALANCE_GOODS_SAAR_POP" hidden="1">"c7034"</definedName>
    <definedName name="IQ_BALANCE_GOODS_SAAR_POP_FC" hidden="1">"c7914"</definedName>
    <definedName name="IQ_BALANCE_GOODS_SAAR_USD_APR_FC" hidden="1">"c11762"</definedName>
    <definedName name="IQ_BALANCE_GOODS_SAAR_USD_FC" hidden="1">"c11759"</definedName>
    <definedName name="IQ_BALANCE_GOODS_SAAR_USD_POP_FC" hidden="1">"c11760"</definedName>
    <definedName name="IQ_BALANCE_GOODS_SAAR_USD_YOY_FC" hidden="1">"c11761"</definedName>
    <definedName name="IQ_BALANCE_GOODS_SAAR_YOY" hidden="1">"c7254"</definedName>
    <definedName name="IQ_BALANCE_GOODS_SAAR_YOY_FC" hidden="1">"c8134"</definedName>
    <definedName name="IQ_BALANCE_GOODS_UNUSED" hidden="1">"c6813"</definedName>
    <definedName name="IQ_BALANCE_GOODS_USD_APR_FC" hidden="1">"c11758"</definedName>
    <definedName name="IQ_BALANCE_GOODS_USD_FC" hidden="1">"c11755"</definedName>
    <definedName name="IQ_BALANCE_GOODS_USD_POP_FC" hidden="1">"c11756"</definedName>
    <definedName name="IQ_BALANCE_GOODS_USD_YOY_FC" hidden="1">"c11757"</definedName>
    <definedName name="IQ_BALANCE_GOODS_YOY_FC_UNUSED" hidden="1">"c8133"</definedName>
    <definedName name="IQ_BALANCE_GOODS_YOY_UNUSED" hidden="1">"c7253"</definedName>
    <definedName name="IQ_BALANCE_SERV_APR_FC_UNUSED" hidden="1">"c8355"</definedName>
    <definedName name="IQ_BALANCE_SERV_APR_UNUSED" hidden="1">"c7475"</definedName>
    <definedName name="IQ_BALANCE_SERV_FC_UNUSED" hidden="1">"c7695"</definedName>
    <definedName name="IQ_BALANCE_SERV_POP_FC_UNUSED" hidden="1">"c7915"</definedName>
    <definedName name="IQ_BALANCE_SERV_POP_UNUSED" hidden="1">"c7035"</definedName>
    <definedName name="IQ_BALANCE_SERV_SAAR" hidden="1">"c6816"</definedName>
    <definedName name="IQ_BALANCE_SERV_SAAR_APR" hidden="1">"c7476"</definedName>
    <definedName name="IQ_BALANCE_SERV_SAAR_APR_FC" hidden="1">"c8356"</definedName>
    <definedName name="IQ_BALANCE_SERV_SAAR_FC" hidden="1">"c7696"</definedName>
    <definedName name="IQ_BALANCE_SERV_SAAR_POP" hidden="1">"c7036"</definedName>
    <definedName name="IQ_BALANCE_SERV_SAAR_POP_FC" hidden="1">"c7916"</definedName>
    <definedName name="IQ_BALANCE_SERV_SAAR_YOY" hidden="1">"c7256"</definedName>
    <definedName name="IQ_BALANCE_SERV_SAAR_YOY_FC" hidden="1">"c8136"</definedName>
    <definedName name="IQ_BALANCE_SERV_UNUSED" hidden="1">"c6815"</definedName>
    <definedName name="IQ_BALANCE_SERV_USD_APR_FC" hidden="1">"c11766"</definedName>
    <definedName name="IQ_BALANCE_SERV_USD_FC" hidden="1">"c11763"</definedName>
    <definedName name="IQ_BALANCE_SERV_USD_POP_FC" hidden="1">"c11764"</definedName>
    <definedName name="IQ_BALANCE_SERV_USD_YOY_FC" hidden="1">"c11765"</definedName>
    <definedName name="IQ_BALANCE_SERV_YOY_FC_UNUSED" hidden="1">"c8135"</definedName>
    <definedName name="IQ_BALANCE_SERV_YOY_UNUSED" hidden="1">"c7255"</definedName>
    <definedName name="IQ_BALANCE_SERVICES_REAL" hidden="1">"c6954"</definedName>
    <definedName name="IQ_BALANCE_SERVICES_REAL_APR" hidden="1">"c7614"</definedName>
    <definedName name="IQ_BALANCE_SERVICES_REAL_APR_FC" hidden="1">"c8494"</definedName>
    <definedName name="IQ_BALANCE_SERVICES_REAL_FC" hidden="1">"c7834"</definedName>
    <definedName name="IQ_BALANCE_SERVICES_REAL_POP" hidden="1">"c7174"</definedName>
    <definedName name="IQ_BALANCE_SERVICES_REAL_POP_FC" hidden="1">"c8054"</definedName>
    <definedName name="IQ_BALANCE_SERVICES_REAL_SAAR" hidden="1">"c6955"</definedName>
    <definedName name="IQ_BALANCE_SERVICES_REAL_SAAR_APR" hidden="1">"c7615"</definedName>
    <definedName name="IQ_BALANCE_SERVICES_REAL_SAAR_APR_FC" hidden="1">"c8495"</definedName>
    <definedName name="IQ_BALANCE_SERVICES_REAL_SAAR_FC" hidden="1">"c7835"</definedName>
    <definedName name="IQ_BALANCE_SERVICES_REAL_SAAR_POP" hidden="1">"c7175"</definedName>
    <definedName name="IQ_BALANCE_SERVICES_REAL_SAAR_POP_FC" hidden="1">"c8055"</definedName>
    <definedName name="IQ_BALANCE_SERVICES_REAL_SAAR_YOY" hidden="1">"c7395"</definedName>
    <definedName name="IQ_BALANCE_SERVICES_REAL_SAAR_YOY_FC" hidden="1">"c8275"</definedName>
    <definedName name="IQ_BALANCE_SERVICES_REAL_USD_APR_FC" hidden="1">"c11897"</definedName>
    <definedName name="IQ_BALANCE_SERVICES_REAL_USD_FC" hidden="1">"c11894"</definedName>
    <definedName name="IQ_BALANCE_SERVICES_REAL_USD_POP_FC" hidden="1">"c11895"</definedName>
    <definedName name="IQ_BALANCE_SERVICES_REAL_USD_YOY_FC" hidden="1">"c11896"</definedName>
    <definedName name="IQ_BALANCE_SERVICES_REAL_YOY" hidden="1">"c7394"</definedName>
    <definedName name="IQ_BALANCE_SERVICES_REAL_YOY_FC" hidden="1">"c8274"</definedName>
    <definedName name="IQ_BALANCE_TRADE_APR_FC_UNUSED" hidden="1">"c8357"</definedName>
    <definedName name="IQ_BALANCE_TRADE_APR_UNUSED" hidden="1">"c7477"</definedName>
    <definedName name="IQ_BALANCE_TRADE_FC_UNUSED" hidden="1">"c7697"</definedName>
    <definedName name="IQ_BALANCE_TRADE_POP_FC_UNUSED" hidden="1">"c7917"</definedName>
    <definedName name="IQ_BALANCE_TRADE_POP_UNUSED" hidden="1">"c7037"</definedName>
    <definedName name="IQ_BALANCE_TRADE_REAL" hidden="1">"c6956"</definedName>
    <definedName name="IQ_BALANCE_TRADE_REAL_APR" hidden="1">"c7616"</definedName>
    <definedName name="IQ_BALANCE_TRADE_REAL_APR_FC" hidden="1">"c8496"</definedName>
    <definedName name="IQ_BALANCE_TRADE_REAL_FC" hidden="1">"c7836"</definedName>
    <definedName name="IQ_BALANCE_TRADE_REAL_POP" hidden="1">"c7176"</definedName>
    <definedName name="IQ_BALANCE_TRADE_REAL_POP_FC" hidden="1">"c8056"</definedName>
    <definedName name="IQ_BALANCE_TRADE_REAL_SAAR" hidden="1">"c6957"</definedName>
    <definedName name="IQ_BALANCE_TRADE_REAL_SAAR_APR" hidden="1">"c7617"</definedName>
    <definedName name="IQ_BALANCE_TRADE_REAL_SAAR_APR_FC" hidden="1">"c8497"</definedName>
    <definedName name="IQ_BALANCE_TRADE_REAL_SAAR_FC" hidden="1">"c7837"</definedName>
    <definedName name="IQ_BALANCE_TRADE_REAL_SAAR_POP" hidden="1">"c7177"</definedName>
    <definedName name="IQ_BALANCE_TRADE_REAL_SAAR_POP_FC" hidden="1">"c8057"</definedName>
    <definedName name="IQ_BALANCE_TRADE_REAL_SAAR_USD_APR_FC" hidden="1">"c11905"</definedName>
    <definedName name="IQ_BALANCE_TRADE_REAL_SAAR_USD_FC" hidden="1">"c11902"</definedName>
    <definedName name="IQ_BALANCE_TRADE_REAL_SAAR_USD_POP_FC" hidden="1">"c11903"</definedName>
    <definedName name="IQ_BALANCE_TRADE_REAL_SAAR_USD_YOY_FC" hidden="1">"c11904"</definedName>
    <definedName name="IQ_BALANCE_TRADE_REAL_SAAR_YOY" hidden="1">"c7397"</definedName>
    <definedName name="IQ_BALANCE_TRADE_REAL_SAAR_YOY_FC" hidden="1">"c8277"</definedName>
    <definedName name="IQ_BALANCE_TRADE_REAL_USD_APR_FC" hidden="1">"c11901"</definedName>
    <definedName name="IQ_BALANCE_TRADE_REAL_USD_FC" hidden="1">"c11898"</definedName>
    <definedName name="IQ_BALANCE_TRADE_REAL_USD_POP_FC" hidden="1">"c11899"</definedName>
    <definedName name="IQ_BALANCE_TRADE_REAL_USD_YOY_FC" hidden="1">"c11900"</definedName>
    <definedName name="IQ_BALANCE_TRADE_REAL_YOY" hidden="1">"c7396"</definedName>
    <definedName name="IQ_BALANCE_TRADE_REAL_YOY_FC" hidden="1">"c8276"</definedName>
    <definedName name="IQ_BALANCE_TRADE_SAAR" hidden="1">"c6818"</definedName>
    <definedName name="IQ_BALANCE_TRADE_SAAR_APR" hidden="1">"c7478"</definedName>
    <definedName name="IQ_BALANCE_TRADE_SAAR_APR_FC" hidden="1">"c8358"</definedName>
    <definedName name="IQ_BALANCE_TRADE_SAAR_FC" hidden="1">"c7698"</definedName>
    <definedName name="IQ_BALANCE_TRADE_SAAR_POP" hidden="1">"c7038"</definedName>
    <definedName name="IQ_BALANCE_TRADE_SAAR_POP_FC" hidden="1">"c7918"</definedName>
    <definedName name="IQ_BALANCE_TRADE_SAAR_USD_APR_FC" hidden="1">"c11774"</definedName>
    <definedName name="IQ_BALANCE_TRADE_SAAR_USD_FC" hidden="1">"c11771"</definedName>
    <definedName name="IQ_BALANCE_TRADE_SAAR_USD_POP_FC" hidden="1">"c11772"</definedName>
    <definedName name="IQ_BALANCE_TRADE_SAAR_USD_YOY_FC" hidden="1">"c11773"</definedName>
    <definedName name="IQ_BALANCE_TRADE_SAAR_YOY" hidden="1">"c7258"</definedName>
    <definedName name="IQ_BALANCE_TRADE_SAAR_YOY_FC" hidden="1">"c8138"</definedName>
    <definedName name="IQ_BALANCE_TRADE_UNUSED" hidden="1">"c6817"</definedName>
    <definedName name="IQ_BALANCE_TRADE_USD_APR_FC" hidden="1">"c11770"</definedName>
    <definedName name="IQ_BALANCE_TRADE_USD_FC" hidden="1">"c11767"</definedName>
    <definedName name="IQ_BALANCE_TRADE_USD_POP_FC" hidden="1">"c11768"</definedName>
    <definedName name="IQ_BALANCE_TRADE_USD_YOY_FC" hidden="1">"c11769"</definedName>
    <definedName name="IQ_BALANCE_TRADE_YOY_FC_UNUSED" hidden="1">"c8137"</definedName>
    <definedName name="IQ_BALANCE_TRADE_YOY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ASIC_EPS_EXCL" hidden="1">"c85"</definedName>
    <definedName name="IQ_BASIC_EPS_INCL" hidden="1">"c86"</definedName>
    <definedName name="IQ_BASIC_NORMAL_EPS" hidden="1">"c1592"</definedName>
    <definedName name="IQ_BASIC_WEIGHT" hidden="1">"c87"</definedName>
    <definedName name="IQ_BENCHMARK_SECURITY" hidden="1">"c2154"</definedName>
    <definedName name="IQ_BENCHMARK_SPRD" hidden="1">"c2153"</definedName>
    <definedName name="IQ_BENCHMARK_YIELD" hidden="1">"c8955"</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COUPON" hidden="1">"c2183"</definedName>
    <definedName name="IQ_BOND_COUPON_TYPE" hidden="1">"c2184"</definedName>
    <definedName name="IQ_BOND_PRICE" hidden="1">"c2162"</definedName>
    <definedName name="IQ_BROK_COMISSION" hidden="1">"c98"</definedName>
    <definedName name="IQ_BROK_COMMISSION" hidden="1">"c3514"</definedName>
    <definedName name="IQ_BROKERED_DEPOSITS_FDIC" hidden="1">"c6486"</definedName>
    <definedName name="IQ_BUDGET_BALANCE_APR_FC_UNUSED" hidden="1">"c8359"</definedName>
    <definedName name="IQ_BUDGET_BALANCE_APR_UNUSED" hidden="1">"c7479"</definedName>
    <definedName name="IQ_BUDGET_BALANCE_FC_UNUSED" hidden="1">"c7699"</definedName>
    <definedName name="IQ_BUDGET_BALANCE_POP_FC_UNUSED" hidden="1">"c7919"</definedName>
    <definedName name="IQ_BUDGET_BALANCE_POP_UNUSED" hidden="1">"c7039"</definedName>
    <definedName name="IQ_BUDGET_BALANCE_SAAR" hidden="1">"c6820"</definedName>
    <definedName name="IQ_BUDGET_BALANCE_SAAR_APR" hidden="1">"c7480"</definedName>
    <definedName name="IQ_BUDGET_BALANCE_SAAR_APR_FC" hidden="1">"c8360"</definedName>
    <definedName name="IQ_BUDGET_BALANCE_SAAR_FC" hidden="1">"c7700"</definedName>
    <definedName name="IQ_BUDGET_BALANCE_SAAR_POP" hidden="1">"c7040"</definedName>
    <definedName name="IQ_BUDGET_BALANCE_SAAR_POP_FC" hidden="1">"c7920"</definedName>
    <definedName name="IQ_BUDGET_BALANCE_SAAR_YOY" hidden="1">"c7260"</definedName>
    <definedName name="IQ_BUDGET_BALANCE_SAAR_YOY_FC" hidden="1">"c8140"</definedName>
    <definedName name="IQ_BUDGET_BALANCE_UNUSED" hidden="1">"c6819"</definedName>
    <definedName name="IQ_BUDGET_BALANCE_YOY_FC_UNUSED" hidden="1">"c8139"</definedName>
    <definedName name="IQ_BUDGET_BALANCE_YOY_UNUSED" hidden="1">"c7259"</definedName>
    <definedName name="IQ_BUDGET_RECEIPTS_APR_FC_UNUSED" hidden="1">"c8361"</definedName>
    <definedName name="IQ_BUDGET_RECEIPTS_APR_UNUSED" hidden="1">"c7481"</definedName>
    <definedName name="IQ_BUDGET_RECEIPTS_FC_UNUSED" hidden="1">"c7701"</definedName>
    <definedName name="IQ_BUDGET_RECEIPTS_POP_FC_UNUSED" hidden="1">"c7921"</definedName>
    <definedName name="IQ_BUDGET_RECEIPTS_POP_UNUSED" hidden="1">"c7041"</definedName>
    <definedName name="IQ_BUDGET_RECEIPTS_UNUSED" hidden="1">"c6821"</definedName>
    <definedName name="IQ_BUDGET_RECEIPTS_YOY_FC_UNUSED" hidden="1">"c8141"</definedName>
    <definedName name="IQ_BUDGET_RECEIPTS_YOY_UNUSED" hidden="1">"c7261"</definedName>
    <definedName name="IQ_BUDGET_SPENDING" hidden="1">"c6822"</definedName>
    <definedName name="IQ_BUDGET_SPENDING_APR" hidden="1">"c7482"</definedName>
    <definedName name="IQ_BUDGET_SPENDING_APR_FC" hidden="1">"c8362"</definedName>
    <definedName name="IQ_BUDGET_SPENDING_FC" hidden="1">"c7702"</definedName>
    <definedName name="IQ_BUDGET_SPENDING_POP" hidden="1">"c7042"</definedName>
    <definedName name="IQ_BUDGET_SPENDING_POP_FC" hidden="1">"c7922"</definedName>
    <definedName name="IQ_BUDGET_SPENDING_REAL" hidden="1">"c6958"</definedName>
    <definedName name="IQ_BUDGET_SPENDING_REAL_APR" hidden="1">"c7618"</definedName>
    <definedName name="IQ_BUDGET_SPENDING_REAL_APR_FC" hidden="1">"c8498"</definedName>
    <definedName name="IQ_BUDGET_SPENDING_REAL_FC" hidden="1">"c7838"</definedName>
    <definedName name="IQ_BUDGET_SPENDING_REAL_POP" hidden="1">"c7178"</definedName>
    <definedName name="IQ_BUDGET_SPENDING_REAL_POP_FC" hidden="1">"c8058"</definedName>
    <definedName name="IQ_BUDGET_SPENDING_REAL_SAAR" hidden="1">"c6959"</definedName>
    <definedName name="IQ_BUDGET_SPENDING_REAL_SAAR_APR" hidden="1">"c7619"</definedName>
    <definedName name="IQ_BUDGET_SPENDING_REAL_SAAR_APR_FC" hidden="1">"c8499"</definedName>
    <definedName name="IQ_BUDGET_SPENDING_REAL_SAAR_FC" hidden="1">"c7839"</definedName>
    <definedName name="IQ_BUDGET_SPENDING_REAL_SAAR_POP" hidden="1">"c7179"</definedName>
    <definedName name="IQ_BUDGET_SPENDING_REAL_SAAR_POP_FC" hidden="1">"c8059"</definedName>
    <definedName name="IQ_BUDGET_SPENDING_REAL_SAAR_USD" hidden="1">"c11906"</definedName>
    <definedName name="IQ_BUDGET_SPENDING_REAL_SAAR_USD_APR" hidden="1">"c11909"</definedName>
    <definedName name="IQ_BUDGET_SPENDING_REAL_SAAR_USD_POP" hidden="1">"c11907"</definedName>
    <definedName name="IQ_BUDGET_SPENDING_REAL_SAAR_USD_YOY" hidden="1">"c11908"</definedName>
    <definedName name="IQ_BUDGET_SPENDING_REAL_SAAR_YOY" hidden="1">"c7399"</definedName>
    <definedName name="IQ_BUDGET_SPENDING_REAL_SAAR_YOY_FC" hidden="1">"c8279"</definedName>
    <definedName name="IQ_BUDGET_SPENDING_REAL_YOY" hidden="1">"c7398"</definedName>
    <definedName name="IQ_BUDGET_SPENDING_REAL_YOY_FC" hidden="1">"c8278"</definedName>
    <definedName name="IQ_BUDGET_SPENDING_SAAR" hidden="1">"c6823"</definedName>
    <definedName name="IQ_BUDGET_SPENDING_SAAR_APR" hidden="1">"c7483"</definedName>
    <definedName name="IQ_BUDGET_SPENDING_SAAR_APR_FC" hidden="1">"c8363"</definedName>
    <definedName name="IQ_BUDGET_SPENDING_SAAR_FC" hidden="1">"c7703"</definedName>
    <definedName name="IQ_BUDGET_SPENDING_SAAR_POP" hidden="1">"c7043"</definedName>
    <definedName name="IQ_BUDGET_SPENDING_SAAR_POP_FC" hidden="1">"c7923"</definedName>
    <definedName name="IQ_BUDGET_SPENDING_SAAR_USD_APR_FC" hidden="1">"c11782"</definedName>
    <definedName name="IQ_BUDGET_SPENDING_SAAR_USD_FC" hidden="1">"c11779"</definedName>
    <definedName name="IQ_BUDGET_SPENDING_SAAR_USD_POP_FC" hidden="1">"c11780"</definedName>
    <definedName name="IQ_BUDGET_SPENDING_SAAR_USD_YOY_FC" hidden="1">"c11781"</definedName>
    <definedName name="IQ_BUDGET_SPENDING_SAAR_YOY" hidden="1">"c7263"</definedName>
    <definedName name="IQ_BUDGET_SPENDING_SAAR_YOY_FC" hidden="1">"c8143"</definedName>
    <definedName name="IQ_BUDGET_SPENDING_USD_APR_FC" hidden="1">"c11778"</definedName>
    <definedName name="IQ_BUDGET_SPENDING_USD_FC" hidden="1">"c11775"</definedName>
    <definedName name="IQ_BUDGET_SPENDING_USD_POP_FC" hidden="1">"c11776"</definedName>
    <definedName name="IQ_BUDGET_SPENDING_USD_YOY_FC" hidden="1">"c11777"</definedName>
    <definedName name="IQ_BUDGET_SPENDING_YOY" hidden="1">"c7262"</definedName>
    <definedName name="IQ_BUDGET_SPENDING_YOY_FC" hidden="1">"c8142"</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REV" hidden="1">"c4068"</definedName>
    <definedName name="IQ_BUS_SEG_REV_ABS" hidden="1">"c4090"</definedName>
    <definedName name="IQ_BUS_SEG_REV_TOTAL" hidden="1">"c4106"</definedName>
    <definedName name="IQ_BUSINESS_DESCRIPTION" hidden="1">"c322"</definedName>
    <definedName name="IQ_BV_ACT_OR_EST_CIQ" hidden="1">"c5068"</definedName>
    <definedName name="IQ_BV_OVER_SHARES" hidden="1">"c1349"</definedName>
    <definedName name="IQ_BV_SHARE" hidden="1">"c100"</definedName>
    <definedName name="IQ_CA_AP" hidden="1">"c8881"</definedName>
    <definedName name="IQ_CA_AP_ABS" hidden="1">"c8900"</definedName>
    <definedName name="IQ_CA_NAME_AP" hidden="1">"c8919"</definedName>
    <definedName name="IQ_CA_NAME_AP_ABS" hidden="1">"c8938"</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Q_EST" hidden="1">"c6796"</definedName>
    <definedName name="IQ_CAL_Q_EST_CIQ" hidden="1">"c6808"</definedName>
    <definedName name="IQ_CAL_Y" hidden="1">"c102"</definedName>
    <definedName name="IQ_CAL_Y_EST" hidden="1">"c6797"</definedName>
    <definedName name="IQ_CAL_Y_EST_CIQ" hidden="1">"c6809"</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_UTIL_RATE" hidden="1">"c6824"</definedName>
    <definedName name="IQ_CAP_UTIL_RATE_POP" hidden="1">"c7044"</definedName>
    <definedName name="IQ_CAP_UTIL_RATE_YOY" hidden="1">"c7264"</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_RAISED_PERIOD_COVERED" hidden="1">"c9959"</definedName>
    <definedName name="IQ_CAPITAL_RAISED_PERIOD_GROUP" hidden="1">"c9945"</definedName>
    <definedName name="IQ_CAPITALIZED_INTEREST" hidden="1">"c2076"</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"c116"</definedName>
    <definedName name="IQ_CASH_CONVERSION" hidden="1">"c117"</definedName>
    <definedName name="IQ_CASH_COST_ALUM" hidden="1">"c9252"</definedName>
    <definedName name="IQ_CASH_COST_COAL" hidden="1">"c9825"</definedName>
    <definedName name="IQ_CASH_COST_COP" hidden="1">"c9199"</definedName>
    <definedName name="IQ_CASH_COST_DIAM" hidden="1">"c9676"</definedName>
    <definedName name="IQ_CASH_COST_GOLD" hidden="1">"c9037"</definedName>
    <definedName name="IQ_CASH_COST_IRON" hidden="1">"c9411"</definedName>
    <definedName name="IQ_CASH_COST_LEAD" hidden="1">"c9464"</definedName>
    <definedName name="IQ_CASH_COST_MANG" hidden="1">"c9517"</definedName>
    <definedName name="IQ_CASH_COST_MET_COAL" hidden="1">"c9762"</definedName>
    <definedName name="IQ_CASH_COST_MOLYB" hidden="1">"c9729"</definedName>
    <definedName name="IQ_CASH_COST_NICK" hidden="1">"c9305"</definedName>
    <definedName name="IQ_CASH_COST_PLAT" hidden="1">"c9143"</definedName>
    <definedName name="IQ_CASH_COST_SILVER" hidden="1">"c9090"</definedName>
    <definedName name="IQ_CASH_COST_STEAM" hidden="1">"c9792"</definedName>
    <definedName name="IQ_CASH_COST_TITAN" hidden="1">"c9570"</definedName>
    <definedName name="IQ_CASH_COST_URAN" hidden="1">"c9623"</definedName>
    <definedName name="IQ_CASH_COST_ZINC" hidden="1">"c9358"</definedName>
    <definedName name="IQ_CASH_DIVIDENDS_NET_INCOME_FDIC" hidden="1">"c6738"</definedName>
    <definedName name="IQ_CASH_DUE_BANKS" hidden="1">"c1351"</definedName>
    <definedName name="IQ_CASH_EQUIV" hidden="1">"c118"</definedName>
    <definedName name="IQ_CASH_FINAN" hidden="1">"c119"</definedName>
    <definedName name="IQ_CASH_FINAN_AP" hidden="1">"c8890"</definedName>
    <definedName name="IQ_CASH_FINAN_AP_ABS" hidden="1">"c8909"</definedName>
    <definedName name="IQ_CASH_FINAN_NAME_AP" hidden="1">"c8928"</definedName>
    <definedName name="IQ_CASH_FINAN_NAME_AP_ABS" hidden="1">"c8947"</definedName>
    <definedName name="IQ_CASH_FINAN_SUBTOTAL_AP" hidden="1">"c10111"</definedName>
    <definedName name="IQ_CASH_FLOW_ACT_OR_EST" hidden="1">"c4154"</definedName>
    <definedName name="IQ_CASH_FLOW_ACT_OR_EST_CIQ" hidden="1">"c4566"</definedName>
    <definedName name="IQ_CASH_IN_PROCESS_FDIC" hidden="1">"c6386"</definedName>
    <definedName name="IQ_CASH_INTEREST" hidden="1">"c120"</definedName>
    <definedName name="IQ_CASH_INTEREST_FINAN" hidden="1">"c6295"</definedName>
    <definedName name="IQ_CASH_INTEREST_INVEST" hidden="1">"c6294"</definedName>
    <definedName name="IQ_CASH_INTEREST_NET" hidden="1">"c12753"</definedName>
    <definedName name="IQ_CASH_INTEREST_OPER" hidden="1">"c6293"</definedName>
    <definedName name="IQ_CASH_INTEREST_RECEIVED" hidden="1">"c12754"</definedName>
    <definedName name="IQ_CASH_INVEST" hidden="1">"c121"</definedName>
    <definedName name="IQ_CASH_INVEST_AP" hidden="1">"c8889"</definedName>
    <definedName name="IQ_CASH_INVEST_AP_ABS" hidden="1">"c8908"</definedName>
    <definedName name="IQ_CASH_INVEST_NAME_AP" hidden="1">"c8927"</definedName>
    <definedName name="IQ_CASH_INVEST_NAME_AP_ABS" hidden="1">"c8946"</definedName>
    <definedName name="IQ_CASH_INVEST_SUBTOTAL_AP" hidden="1">"c8991"</definedName>
    <definedName name="IQ_CASH_OPER" hidden="1">"c122"</definedName>
    <definedName name="IQ_CASH_OPER_ACT_OR_EST" hidden="1">"c4164"</definedName>
    <definedName name="IQ_CASH_OPER_ACT_OR_EST_CIQ" hidden="1">"c4576"</definedName>
    <definedName name="IQ_CASH_OPER_AP" hidden="1">"c8888"</definedName>
    <definedName name="IQ_CASH_OPER_AP_ABS" hidden="1">"c8907"</definedName>
    <definedName name="IQ_CASH_OPER_NAME_AP" hidden="1">"c8926"</definedName>
    <definedName name="IQ_CASH_OPER_NAME_AP_ABS" hidden="1">"c8945"</definedName>
    <definedName name="IQ_CASH_OPER_SUBTOTAL_AP" hidden="1">"c8990"</definedName>
    <definedName name="IQ_CASH_OTHER_ADJ_AP" hidden="1">"c8891"</definedName>
    <definedName name="IQ_CASH_OTHER_ADJ_AP_ABS" hidden="1">"c8910"</definedName>
    <definedName name="IQ_CASH_OTHER_ADJ_NAME_AP" hidden="1">"c8929"</definedName>
    <definedName name="IQ_CASH_OTHER_ADJ_NAME_AP_ABS" hidden="1">"c8948"</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ASH_TAXES_FINAN" hidden="1">"c6292"</definedName>
    <definedName name="IQ_CASH_TAXES_INVEST" hidden="1">"c6291"</definedName>
    <definedName name="IQ_CASH_TAXES_OPER" hidden="1">"c6290"</definedName>
    <definedName name="IQ_CCE_FDIC" hidden="1">"c6296"</definedName>
    <definedName name="IQ_CDS_5YR_CIQID" hidden="1">"c11751"</definedName>
    <definedName name="IQ_CDS_ASK" hidden="1">"c6027"</definedName>
    <definedName name="IQ_CDS_BID" hidden="1">"c6026"</definedName>
    <definedName name="IQ_CDS_CURRENCY" hidden="1">"c6031"</definedName>
    <definedName name="IQ_CDS_EVAL_DATE" hidden="1">"c6029"</definedName>
    <definedName name="IQ_CDS_MID" hidden="1">"c6028"</definedName>
    <definedName name="IQ_CDS_NAME" hidden="1">"c6034"</definedName>
    <definedName name="IQ_CDS_TERM" hidden="1">"c6030"</definedName>
    <definedName name="IQ_CDS_TYPE" hidden="1">"c6025"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 hidden="1">"c6826"</definedName>
    <definedName name="IQ_CHANGE_INVENT_APR" hidden="1">"c7486"</definedName>
    <definedName name="IQ_CHANGE_INVENT_POP" hidden="1">"c7046"</definedName>
    <definedName name="IQ_CHANGE_INVENT_REAL_APR_FC_UNUSED" hidden="1">"c8500"</definedName>
    <definedName name="IQ_CHANGE_INVENT_REAL_APR_UNUSED" hidden="1">"c7620"</definedName>
    <definedName name="IQ_CHANGE_INVENT_REAL_FC_UNUSED" hidden="1">"c7840"</definedName>
    <definedName name="IQ_CHANGE_INVENT_REAL_POP_FC_UNUSED" hidden="1">"c8060"</definedName>
    <definedName name="IQ_CHANGE_INVENT_REAL_POP_UNUSED" hidden="1">"c7180"</definedName>
    <definedName name="IQ_CHANGE_INVENT_REAL_SAAR" hidden="1">"c6962"</definedName>
    <definedName name="IQ_CHANGE_INVENT_REAL_SAAR_APR" hidden="1">"c7622"</definedName>
    <definedName name="IQ_CHANGE_INVENT_REAL_SAAR_APR_FC" hidden="1">"c8502"</definedName>
    <definedName name="IQ_CHANGE_INVENT_REAL_SAAR_FC" hidden="1">"c7842"</definedName>
    <definedName name="IQ_CHANGE_INVENT_REAL_SAAR_POP" hidden="1">"c7182"</definedName>
    <definedName name="IQ_CHANGE_INVENT_REAL_SAAR_POP_FC" hidden="1">"c8062"</definedName>
    <definedName name="IQ_CHANGE_INVENT_REAL_SAAR_USD_APR_FC" hidden="1">"c11917"</definedName>
    <definedName name="IQ_CHANGE_INVENT_REAL_SAAR_USD_FC" hidden="1">"c11914"</definedName>
    <definedName name="IQ_CHANGE_INVENT_REAL_SAAR_USD_POP_FC" hidden="1">"c11915"</definedName>
    <definedName name="IQ_CHANGE_INVENT_REAL_SAAR_USD_YOY_FC" hidden="1">"c11916"</definedName>
    <definedName name="IQ_CHANGE_INVENT_REAL_SAAR_YOY" hidden="1">"c7402"</definedName>
    <definedName name="IQ_CHANGE_INVENT_REAL_SAAR_YOY_FC" hidden="1">"c8282"</definedName>
    <definedName name="IQ_CHANGE_INVENT_REAL_UNUSED" hidden="1">"c6960"</definedName>
    <definedName name="IQ_CHANGE_INVENT_REAL_USD_APR_FC" hidden="1">"c11913"</definedName>
    <definedName name="IQ_CHANGE_INVENT_REAL_USD_FC" hidden="1">"c11910"</definedName>
    <definedName name="IQ_CHANGE_INVENT_REAL_USD_POP_FC" hidden="1">"c11911"</definedName>
    <definedName name="IQ_CHANGE_INVENT_REAL_USD_YOY_FC" hidden="1">"c11912"</definedName>
    <definedName name="IQ_CHANGE_INVENT_REAL_YOY_FC_UNUSED" hidden="1">"c8280"</definedName>
    <definedName name="IQ_CHANGE_INVENT_REAL_YOY_UNUSED" hidden="1">"c7400"</definedName>
    <definedName name="IQ_CHANGE_INVENT_SAAR" hidden="1">"c6827"</definedName>
    <definedName name="IQ_CHANGE_INVENT_SAAR_APR" hidden="1">"c7487"</definedName>
    <definedName name="IQ_CHANGE_INVENT_SAAR_APR_FC" hidden="1">"c8367"</definedName>
    <definedName name="IQ_CHANGE_INVENT_SAAR_FC" hidden="1">"c7707"</definedName>
    <definedName name="IQ_CHANGE_INVENT_SAAR_POP" hidden="1">"c7047"</definedName>
    <definedName name="IQ_CHANGE_INVENT_SAAR_POP_FC" hidden="1">"c7927"</definedName>
    <definedName name="IQ_CHANGE_INVENT_SAAR_YOY" hidden="1">"c7267"</definedName>
    <definedName name="IQ_CHANGE_INVENT_SAAR_YOY_FC" hidden="1">"c8147"</definedName>
    <definedName name="IQ_CHANGE_INVENT_YOY" hidden="1">"c7266"</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PRIVATE_INVENT" hidden="1">"c6828"</definedName>
    <definedName name="IQ_CHANGE_PRIVATE_INVENT_APR" hidden="1">"c7488"</definedName>
    <definedName name="IQ_CHANGE_PRIVATE_INVENT_APR_FC" hidden="1">"c8368"</definedName>
    <definedName name="IQ_CHANGE_PRIVATE_INVENT_FC" hidden="1">"c7708"</definedName>
    <definedName name="IQ_CHANGE_PRIVATE_INVENT_POP" hidden="1">"c7048"</definedName>
    <definedName name="IQ_CHANGE_PRIVATE_INVENT_POP_FC" hidden="1">"c7928"</definedName>
    <definedName name="IQ_CHANGE_PRIVATE_INVENT_YOY" hidden="1">"c7268"</definedName>
    <definedName name="IQ_CHANGE_PRIVATE_INVENT_YOY_FC" hidden="1">"c8148"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HICAGO_PMI" hidden="1">"c6829"</definedName>
    <definedName name="IQ_CHICAGO_PMI_APR" hidden="1">"c7489"</definedName>
    <definedName name="IQ_CHICAGO_PMI_APR_FC" hidden="1">"c8369"</definedName>
    <definedName name="IQ_CHICAGO_PMI_FC" hidden="1">"c7709"</definedName>
    <definedName name="IQ_CHICAGO_PMI_POP" hidden="1">"c7049"</definedName>
    <definedName name="IQ_CHICAGO_PMI_POP_FC" hidden="1">"c7929"</definedName>
    <definedName name="IQ_CHICAGO_PMI_YOY" hidden="1">"c7269"</definedName>
    <definedName name="IQ_CHICAGO_PMI_YOY_FC" hidden="1">"c8149"</definedName>
    <definedName name="IQ_CITY" hidden="1">"c166"</definedName>
    <definedName name="IQ_CL_AP" hidden="1">"c8884"</definedName>
    <definedName name="IQ_CL_AP_ABS" hidden="1">"c8903"</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NAME_AP" hidden="1">"c8922"</definedName>
    <definedName name="IQ_CL_NAME_AP_ABS" hidden="1">"c8941"</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MO_FDIC" hidden="1">"c6406"</definedName>
    <definedName name="IQ_COGS" hidden="1">"c175"</definedName>
    <definedName name="IQ_COLLATERAL_TYPE" hidden="1">"c8954"</definedName>
    <definedName name="IQ_COLLECTION_DOMESTIC_FDIC" hidden="1">"c6387"</definedName>
    <definedName name="IQ_COMBINED_RATIO" hidden="1">"c176"</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SS_FEES" hidden="1">"c180"</definedName>
    <definedName name="IQ_COMMISSION_DEF" hidden="1">"c181"</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ID" hidden="1">"c3513"</definedName>
    <definedName name="IQ_COMPANY_NAME" hidden="1">"c215"</definedName>
    <definedName name="IQ_COMPANY_NAME_LONG" hidden="1">"c1585"</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MPOSITE_CYCLICAL_IND" hidden="1">"c6830"</definedName>
    <definedName name="IQ_COMPOSITE_CYCLICAL_IND_APR" hidden="1">"c7490"</definedName>
    <definedName name="IQ_COMPOSITE_CYCLICAL_IND_APR_FC" hidden="1">"c8370"</definedName>
    <definedName name="IQ_COMPOSITE_CYCLICAL_IND_FC" hidden="1">"c7710"</definedName>
    <definedName name="IQ_COMPOSITE_CYCLICAL_IND_POP" hidden="1">"c7050"</definedName>
    <definedName name="IQ_COMPOSITE_CYCLICAL_IND_POP_FC" hidden="1">"c7930"</definedName>
    <definedName name="IQ_COMPOSITE_CYCLICAL_IND_YOY" hidden="1">"c7270"</definedName>
    <definedName name="IQ_COMPOSITE_CYCLICAL_IND_YOY_FC" hidden="1">"c8150"</definedName>
    <definedName name="IQ_CONSOL_BEDS" hidden="1">"c8782"</definedName>
    <definedName name="IQ_CONSOL_PROP_OPERATIONAL" hidden="1">"c8758"</definedName>
    <definedName name="IQ_CONSOL_PROP_OTHER_OWNED" hidden="1">"c8760"</definedName>
    <definedName name="IQ_CONSOL_PROP_TOTAL" hidden="1">"c8761"</definedName>
    <definedName name="IQ_CONSOL_PROP_UNDEVELOPED" hidden="1">"c8759"</definedName>
    <definedName name="IQ_CONSOL_ROOMS" hidden="1">"c8786"</definedName>
    <definedName name="IQ_CONSOL_SQ_FT_OPERATIONAL" hidden="1">"c8774"</definedName>
    <definedName name="IQ_CONSOL_SQ_FT_OTHER_OWNED" hidden="1">"c8776"</definedName>
    <definedName name="IQ_CONSOL_SQ_FT_TOTAL" hidden="1">"c8777"</definedName>
    <definedName name="IQ_CONSOL_SQ_FT_UNDEVELOPED" hidden="1">"c8775"</definedName>
    <definedName name="IQ_CONSOL_UNITS_OPERATIONAL" hidden="1">"c8766"</definedName>
    <definedName name="IQ_CONSOL_UNITS_OTHER_OWNED" hidden="1">"c8768"</definedName>
    <definedName name="IQ_CONSOL_UNITS_TOTAL" hidden="1">"c8769"</definedName>
    <definedName name="IQ_CONSOL_UNITS_UNDEVELOPED" hidden="1">"c8767"</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OANS" hidden="1">"c222"</definedName>
    <definedName name="IQ_CONSUMER_COMFORT" hidden="1">"c6831"</definedName>
    <definedName name="IQ_CONSUMER_COMFORT_APR" hidden="1">"c7491"</definedName>
    <definedName name="IQ_CONSUMER_COMFORT_APR_FC" hidden="1">"c8371"</definedName>
    <definedName name="IQ_CONSUMER_COMFORT_FC" hidden="1">"c7711"</definedName>
    <definedName name="IQ_CONSUMER_COMFORT_POP" hidden="1">"c7051"</definedName>
    <definedName name="IQ_CONSUMER_COMFORT_POP_FC" hidden="1">"c7931"</definedName>
    <definedName name="IQ_CONSUMER_CONFIDENCE" hidden="1">"c6832"</definedName>
    <definedName name="IQ_CONSUMER_CONFIDENCE_APR" hidden="1">"c7492"</definedName>
    <definedName name="IQ_CONSUMER_CONFIDENCE_APR_FC" hidden="1">"c8372"</definedName>
    <definedName name="IQ_CONSUMER_CONFIDENCE_FC" hidden="1">"c7712"</definedName>
    <definedName name="IQ_CONSUMER_CONFIDENCE_POP" hidden="1">"c7052"</definedName>
    <definedName name="IQ_CONSUMER_CONFIDENCE_POP_FC" hidden="1">"c7932"</definedName>
    <definedName name="IQ_CONSUMER_CONFIDENCE_YOY" hidden="1">"c7272"</definedName>
    <definedName name="IQ_CONSUMER_CONFIDENCE_YOY_FC" hidden="1">"c8152"</definedName>
    <definedName name="IQ_CONSUMER_LENDING" hidden="1">"c6833"</definedName>
    <definedName name="IQ_CONSUMER_LENDING_APR" hidden="1">"c7493"</definedName>
    <definedName name="IQ_CONSUMER_LENDING_APR_FC" hidden="1">"c8373"</definedName>
    <definedName name="IQ_CONSUMER_LENDING_FC" hidden="1">"c7713"</definedName>
    <definedName name="IQ_CONSUMER_LENDING_GROSS" hidden="1">"c6878"</definedName>
    <definedName name="IQ_CONSUMER_LENDING_GROSS_APR" hidden="1">"c7538"</definedName>
    <definedName name="IQ_CONSUMER_LENDING_GROSS_APR_FC" hidden="1">"c8418"</definedName>
    <definedName name="IQ_CONSUMER_LENDING_GROSS_FC" hidden="1">"c7758"</definedName>
    <definedName name="IQ_CONSUMER_LENDING_GROSS_POP" hidden="1">"c7098"</definedName>
    <definedName name="IQ_CONSUMER_LENDING_GROSS_POP_FC" hidden="1">"c7978"</definedName>
    <definedName name="IQ_CONSUMER_LENDING_GROSS_YOY" hidden="1">"c7318"</definedName>
    <definedName name="IQ_CONSUMER_LENDING_GROSS_YOY_FC" hidden="1">"c8198"</definedName>
    <definedName name="IQ_CONSUMER_LENDING_NET" hidden="1">"c6922"</definedName>
    <definedName name="IQ_CONSUMER_LENDING_NET_APR" hidden="1">"c7582"</definedName>
    <definedName name="IQ_CONSUMER_LENDING_NET_APR_FC" hidden="1">"c8462"</definedName>
    <definedName name="IQ_CONSUMER_LENDING_NET_FC" hidden="1">"c7802"</definedName>
    <definedName name="IQ_CONSUMER_LENDING_NET_POP" hidden="1">"c7142"</definedName>
    <definedName name="IQ_CONSUMER_LENDING_NET_POP_FC" hidden="1">"c8022"</definedName>
    <definedName name="IQ_CONSUMER_LENDING_NET_YOY" hidden="1">"c7362"</definedName>
    <definedName name="IQ_CONSUMER_LENDING_NET_YOY_FC" hidden="1">"c8242"</definedName>
    <definedName name="IQ_CONSUMER_LENDING_POP" hidden="1">"c7053"</definedName>
    <definedName name="IQ_CONSUMER_LENDING_POP_FC" hidden="1">"c7933"</definedName>
    <definedName name="IQ_CONSUMER_LENDING_TOTAL" hidden="1">"c7018"</definedName>
    <definedName name="IQ_CONSUMER_LENDING_TOTAL_APR" hidden="1">"c7678"</definedName>
    <definedName name="IQ_CONSUMER_LENDING_TOTAL_APR_FC" hidden="1">"c8558"</definedName>
    <definedName name="IQ_CONSUMER_LENDING_TOTAL_FC" hidden="1">"c7898"</definedName>
    <definedName name="IQ_CONSUMER_LENDING_TOTAL_POP" hidden="1">"c7238"</definedName>
    <definedName name="IQ_CONSUMER_LENDING_TOTAL_POP_FC" hidden="1">"c8118"</definedName>
    <definedName name="IQ_CONSUMER_LENDING_TOTAL_YOY" hidden="1">"c7458"</definedName>
    <definedName name="IQ_CONSUMER_LENDING_TOTAL_YOY_FC" hidden="1">"c8338"</definedName>
    <definedName name="IQ_CONSUMER_LENDING_YOY" hidden="1">"c7273"</definedName>
    <definedName name="IQ_CONSUMER_LENDING_YOY_FC" hidden="1">"c8153"</definedName>
    <definedName name="IQ_CONSUMER_LOANS" hidden="1">"c223"</definedName>
    <definedName name="IQ_CONSUMER_SPENDING" hidden="1">"c6834"</definedName>
    <definedName name="IQ_CONSUMER_SPENDING_APR" hidden="1">"c7494"</definedName>
    <definedName name="IQ_CONSUMER_SPENDING_APR_FC" hidden="1">"c8374"</definedName>
    <definedName name="IQ_CONSUMER_SPENDING_DURABLE" hidden="1">"c6835"</definedName>
    <definedName name="IQ_CONSUMER_SPENDING_DURABLE_APR" hidden="1">"c7495"</definedName>
    <definedName name="IQ_CONSUMER_SPENDING_DURABLE_APR_FC" hidden="1">"c8375"</definedName>
    <definedName name="IQ_CONSUMER_SPENDING_DURABLE_FC" hidden="1">"c7715"</definedName>
    <definedName name="IQ_CONSUMER_SPENDING_DURABLE_POP" hidden="1">"c7055"</definedName>
    <definedName name="IQ_CONSUMER_SPENDING_DURABLE_POP_FC" hidden="1">"c7935"</definedName>
    <definedName name="IQ_CONSUMER_SPENDING_DURABLE_REAL" hidden="1">"c6964"</definedName>
    <definedName name="IQ_CONSUMER_SPENDING_DURABLE_REAL_APR" hidden="1">"c7624"</definedName>
    <definedName name="IQ_CONSUMER_SPENDING_DURABLE_REAL_APR_FC" hidden="1">"c8504"</definedName>
    <definedName name="IQ_CONSUMER_SPENDING_DURABLE_REAL_FC" hidden="1">"c7844"</definedName>
    <definedName name="IQ_CONSUMER_SPENDING_DURABLE_REAL_POP" hidden="1">"c7184"</definedName>
    <definedName name="IQ_CONSUMER_SPENDING_DURABLE_REAL_POP_FC" hidden="1">"c8064"</definedName>
    <definedName name="IQ_CONSUMER_SPENDING_DURABLE_REAL_SAAR" hidden="1">"c6965"</definedName>
    <definedName name="IQ_CONSUMER_SPENDING_DURABLE_REAL_SAAR_APR" hidden="1">"c7625"</definedName>
    <definedName name="IQ_CONSUMER_SPENDING_DURABLE_REAL_SAAR_APR_FC" hidden="1">"c8505"</definedName>
    <definedName name="IQ_CONSUMER_SPENDING_DURABLE_REAL_SAAR_FC" hidden="1">"c7845"</definedName>
    <definedName name="IQ_CONSUMER_SPENDING_DURABLE_REAL_SAAR_POP" hidden="1">"c7185"</definedName>
    <definedName name="IQ_CONSUMER_SPENDING_DURABLE_REAL_SAAR_POP_FC" hidden="1">"c8065"</definedName>
    <definedName name="IQ_CONSUMER_SPENDING_DURABLE_REAL_SAAR_YOY" hidden="1">"c7405"</definedName>
    <definedName name="IQ_CONSUMER_SPENDING_DURABLE_REAL_SAAR_YOY_FC" hidden="1">"c8285"</definedName>
    <definedName name="IQ_CONSUMER_SPENDING_DURABLE_REAL_YOY" hidden="1">"c7404"</definedName>
    <definedName name="IQ_CONSUMER_SPENDING_DURABLE_REAL_YOY_FC" hidden="1">"c8284"</definedName>
    <definedName name="IQ_CONSUMER_SPENDING_DURABLE_YOY" hidden="1">"c7275"</definedName>
    <definedName name="IQ_CONSUMER_SPENDING_DURABLE_YOY_FC" hidden="1">"c8155"</definedName>
    <definedName name="IQ_CONSUMER_SPENDING_FC" hidden="1">"c7714"</definedName>
    <definedName name="IQ_CONSUMER_SPENDING_NONDURABLE" hidden="1">"c6836"</definedName>
    <definedName name="IQ_CONSUMER_SPENDING_NONDURABLE_APR" hidden="1">"c7496"</definedName>
    <definedName name="IQ_CONSUMER_SPENDING_NONDURABLE_APR_FC" hidden="1">"c8376"</definedName>
    <definedName name="IQ_CONSUMER_SPENDING_NONDURABLE_FC" hidden="1">"c7716"</definedName>
    <definedName name="IQ_CONSUMER_SPENDING_NONDURABLE_POP" hidden="1">"c7056"</definedName>
    <definedName name="IQ_CONSUMER_SPENDING_NONDURABLE_POP_FC" hidden="1">"c7936"</definedName>
    <definedName name="IQ_CONSUMER_SPENDING_NONDURABLE_REAL" hidden="1">"c6966"</definedName>
    <definedName name="IQ_CONSUMER_SPENDING_NONDURABLE_REAL_APR" hidden="1">"c7626"</definedName>
    <definedName name="IQ_CONSUMER_SPENDING_NONDURABLE_REAL_APR_FC" hidden="1">"c8506"</definedName>
    <definedName name="IQ_CONSUMER_SPENDING_NONDURABLE_REAL_FC" hidden="1">"c7846"</definedName>
    <definedName name="IQ_CONSUMER_SPENDING_NONDURABLE_REAL_POP" hidden="1">"c7186"</definedName>
    <definedName name="IQ_CONSUMER_SPENDING_NONDURABLE_REAL_POP_FC" hidden="1">"c8066"</definedName>
    <definedName name="IQ_CONSUMER_SPENDING_NONDURABLE_REAL_SAAR" hidden="1">"c6967"</definedName>
    <definedName name="IQ_CONSUMER_SPENDING_NONDURABLE_REAL_SAAR_APR" hidden="1">"c7627"</definedName>
    <definedName name="IQ_CONSUMER_SPENDING_NONDURABLE_REAL_SAAR_APR_FC" hidden="1">"c8507"</definedName>
    <definedName name="IQ_CONSUMER_SPENDING_NONDURABLE_REAL_SAAR_FC" hidden="1">"c7847"</definedName>
    <definedName name="IQ_CONSUMER_SPENDING_NONDURABLE_REAL_SAAR_POP" hidden="1">"c7187"</definedName>
    <definedName name="IQ_CONSUMER_SPENDING_NONDURABLE_REAL_SAAR_POP_FC" hidden="1">"c8067"</definedName>
    <definedName name="IQ_CONSUMER_SPENDING_NONDURABLE_REAL_SAAR_YOY" hidden="1">"c7407"</definedName>
    <definedName name="IQ_CONSUMER_SPENDING_NONDURABLE_REAL_SAAR_YOY_FC" hidden="1">"c8287"</definedName>
    <definedName name="IQ_CONSUMER_SPENDING_NONDURABLE_REAL_YOY" hidden="1">"c7406"</definedName>
    <definedName name="IQ_CONSUMER_SPENDING_NONDURABLE_REAL_YOY_FC" hidden="1">"c8286"</definedName>
    <definedName name="IQ_CONSUMER_SPENDING_NONDURABLE_YOY" hidden="1">"c7276"</definedName>
    <definedName name="IQ_CONSUMER_SPENDING_NONDURABLE_YOY_FC" hidden="1">"c8156"</definedName>
    <definedName name="IQ_CONSUMER_SPENDING_POP" hidden="1">"c7054"</definedName>
    <definedName name="IQ_CONSUMER_SPENDING_POP_FC" hidden="1">"c7934"</definedName>
    <definedName name="IQ_CONSUMER_SPENDING_REAL" hidden="1">"c6963"</definedName>
    <definedName name="IQ_CONSUMER_SPENDING_REAL_APR" hidden="1">"c7623"</definedName>
    <definedName name="IQ_CONSUMER_SPENDING_REAL_APR_FC" hidden="1">"c8503"</definedName>
    <definedName name="IQ_CONSUMER_SPENDING_REAL_FC" hidden="1">"c7843"</definedName>
    <definedName name="IQ_CONSUMER_SPENDING_REAL_POP" hidden="1">"c7183"</definedName>
    <definedName name="IQ_CONSUMER_SPENDING_REAL_POP_FC" hidden="1">"c8063"</definedName>
    <definedName name="IQ_CONSUMER_SPENDING_REAL_SAAR" hidden="1">"c6968"</definedName>
    <definedName name="IQ_CONSUMER_SPENDING_REAL_SAAR_APR" hidden="1">"c7628"</definedName>
    <definedName name="IQ_CONSUMER_SPENDING_REAL_SAAR_APR_FC" hidden="1">"c8508"</definedName>
    <definedName name="IQ_CONSUMER_SPENDING_REAL_SAAR_FC" hidden="1">"c7848"</definedName>
    <definedName name="IQ_CONSUMER_SPENDING_REAL_SAAR_POP" hidden="1">"c7188"</definedName>
    <definedName name="IQ_CONSUMER_SPENDING_REAL_SAAR_POP_FC" hidden="1">"c8068"</definedName>
    <definedName name="IQ_CONSUMER_SPENDING_REAL_SAAR_YOY" hidden="1">"c7408"</definedName>
    <definedName name="IQ_CONSUMER_SPENDING_REAL_SAAR_YOY_FC" hidden="1">"c8288"</definedName>
    <definedName name="IQ_CONSUMER_SPENDING_REAL_USD_APR_FC" hidden="1">"c11921"</definedName>
    <definedName name="IQ_CONSUMER_SPENDING_REAL_USD_FC" hidden="1">"c11918"</definedName>
    <definedName name="IQ_CONSUMER_SPENDING_REAL_USD_POP_FC" hidden="1">"c11919"</definedName>
    <definedName name="IQ_CONSUMER_SPENDING_REAL_USD_YOY_FC" hidden="1">"c11920"</definedName>
    <definedName name="IQ_CONSUMER_SPENDING_REAL_YOY" hidden="1">"c7403"</definedName>
    <definedName name="IQ_CONSUMER_SPENDING_REAL_YOY_FC" hidden="1">"c8283"</definedName>
    <definedName name="IQ_CONSUMER_SPENDING_SERVICES" hidden="1">"c6837"</definedName>
    <definedName name="IQ_CONSUMER_SPENDING_SERVICES_APR" hidden="1">"c7497"</definedName>
    <definedName name="IQ_CONSUMER_SPENDING_SERVICES_APR_FC" hidden="1">"c8377"</definedName>
    <definedName name="IQ_CONSUMER_SPENDING_SERVICES_FC" hidden="1">"c7717"</definedName>
    <definedName name="IQ_CONSUMER_SPENDING_SERVICES_POP" hidden="1">"c7057"</definedName>
    <definedName name="IQ_CONSUMER_SPENDING_SERVICES_POP_FC" hidden="1">"c7937"</definedName>
    <definedName name="IQ_CONSUMER_SPENDING_SERVICES_REAL" hidden="1">"c6969"</definedName>
    <definedName name="IQ_CONSUMER_SPENDING_SERVICES_REAL_APR" hidden="1">"c7629"</definedName>
    <definedName name="IQ_CONSUMER_SPENDING_SERVICES_REAL_APR_FC" hidden="1">"c8509"</definedName>
    <definedName name="IQ_CONSUMER_SPENDING_SERVICES_REAL_FC" hidden="1">"c7849"</definedName>
    <definedName name="IQ_CONSUMER_SPENDING_SERVICES_REAL_POP" hidden="1">"c7189"</definedName>
    <definedName name="IQ_CONSUMER_SPENDING_SERVICES_REAL_POP_FC" hidden="1">"c8069"</definedName>
    <definedName name="IQ_CONSUMER_SPENDING_SERVICES_REAL_SAAR" hidden="1">"c6970"</definedName>
    <definedName name="IQ_CONSUMER_SPENDING_SERVICES_REAL_SAAR_APR" hidden="1">"c7630"</definedName>
    <definedName name="IQ_CONSUMER_SPENDING_SERVICES_REAL_SAAR_APR_FC" hidden="1">"c8510"</definedName>
    <definedName name="IQ_CONSUMER_SPENDING_SERVICES_REAL_SAAR_FC" hidden="1">"c7850"</definedName>
    <definedName name="IQ_CONSUMER_SPENDING_SERVICES_REAL_SAAR_POP" hidden="1">"c7190"</definedName>
    <definedName name="IQ_CONSUMER_SPENDING_SERVICES_REAL_SAAR_POP_FC" hidden="1">"c8070"</definedName>
    <definedName name="IQ_CONSUMER_SPENDING_SERVICES_REAL_SAAR_YOY" hidden="1">"c7410"</definedName>
    <definedName name="IQ_CONSUMER_SPENDING_SERVICES_REAL_SAAR_YOY_FC" hidden="1">"c8290"</definedName>
    <definedName name="IQ_CONSUMER_SPENDING_SERVICES_REAL_YOY" hidden="1">"c7409"</definedName>
    <definedName name="IQ_CONSUMER_SPENDING_SERVICES_REAL_YOY_FC" hidden="1">"c8289"</definedName>
    <definedName name="IQ_CONSUMER_SPENDING_SERVICES_YOY" hidden="1">"c7277"</definedName>
    <definedName name="IQ_CONSUMER_SPENDING_SERVICES_YOY_FC" hidden="1">"c8157"</definedName>
    <definedName name="IQ_CONSUMER_SPENDING_YOY" hidden="1">"c7274"</definedName>
    <definedName name="IQ_CONSUMER_SPENDING_YOY_FC" hidden="1">"c8154"</definedName>
    <definedName name="IQ_CONTRACTS_OTHER_COMMODITIES_EQUITIES_FDIC" hidden="1">"c6522"</definedName>
    <definedName name="IQ_CONV_DATE" hidden="1">"c2191"</definedName>
    <definedName name="IQ_CONV_EXP_DATE" hidden="1">"c3043"</definedName>
    <definedName name="IQ_CONV_PREMIUM" hidden="1">"c2195"</definedName>
    <definedName name="IQ_CONV_PRICE" hidden="1">"c2193"</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T" hidden="1">"c2536"</definedName>
    <definedName name="IQ_CONVERT_PCT" hidden="1">"c2537"</definedName>
    <definedName name="IQ_CONVEXITY" hidden="1">"c2182"</definedName>
    <definedName name="IQ_CONVEYED_TO_OTHERS_FDIC" hidden="1">"c6534"</definedName>
    <definedName name="IQ_CORE_CAPITAL_RATIO_FDIC" hidden="1">"c6745"</definedName>
    <definedName name="IQ_CORP_GOODS_PRICE_INDEX_APR_FC_UNUSED" hidden="1">"c8381"</definedName>
    <definedName name="IQ_CORP_GOODS_PRICE_INDEX_APR_UNUSED" hidden="1">"c7501"</definedName>
    <definedName name="IQ_CORP_GOODS_PRICE_INDEX_FC_UNUSED" hidden="1">"c7721"</definedName>
    <definedName name="IQ_CORP_GOODS_PRICE_INDEX_POP_FC_UNUSED" hidden="1">"c7941"</definedName>
    <definedName name="IQ_CORP_GOODS_PRICE_INDEX_POP_UNUSED" hidden="1">"c7061"</definedName>
    <definedName name="IQ_CORP_GOODS_PRICE_INDEX_UNUSED" hidden="1">"c6841"</definedName>
    <definedName name="IQ_CORP_GOODS_PRICE_INDEX_YOY_FC_UNUSED" hidden="1">"c8161"</definedName>
    <definedName name="IQ_CORP_GOODS_PRICE_INDEX_YOY_UNUSED" hidden="1">"c7281"</definedName>
    <definedName name="IQ_CORP_PROFITS" hidden="1">"c6843"</definedName>
    <definedName name="IQ_CORP_PROFITS_AFTER_TAX_SAAR" hidden="1">"c6842"</definedName>
    <definedName name="IQ_CORP_PROFITS_AFTER_TAX_SAAR_APR" hidden="1">"c7502"</definedName>
    <definedName name="IQ_CORP_PROFITS_AFTER_TAX_SAAR_APR_FC" hidden="1">"c8382"</definedName>
    <definedName name="IQ_CORP_PROFITS_AFTER_TAX_SAAR_FC" hidden="1">"c7722"</definedName>
    <definedName name="IQ_CORP_PROFITS_AFTER_TAX_SAAR_POP" hidden="1">"c7062"</definedName>
    <definedName name="IQ_CORP_PROFITS_AFTER_TAX_SAAR_POP_FC" hidden="1">"c7942"</definedName>
    <definedName name="IQ_CORP_PROFITS_AFTER_TAX_SAAR_YOY" hidden="1">"c7282"</definedName>
    <definedName name="IQ_CORP_PROFITS_AFTER_TAX_SAAR_YOY_FC" hidden="1">"c8162"</definedName>
    <definedName name="IQ_CORP_PROFITS_APR" hidden="1">"c7503"</definedName>
    <definedName name="IQ_CORP_PROFITS_APR_FC" hidden="1">"c8383"</definedName>
    <definedName name="IQ_CORP_PROFITS_FC" hidden="1">"c7723"</definedName>
    <definedName name="IQ_CORP_PROFITS_POP" hidden="1">"c7063"</definedName>
    <definedName name="IQ_CORP_PROFITS_POP_FC" hidden="1">"c7943"</definedName>
    <definedName name="IQ_CORP_PROFITS_SAAR" hidden="1">"c6844"</definedName>
    <definedName name="IQ_CORP_PROFITS_SAAR_APR" hidden="1">"c7504"</definedName>
    <definedName name="IQ_CORP_PROFITS_SAAR_APR_FC" hidden="1">"c8384"</definedName>
    <definedName name="IQ_CORP_PROFITS_SAAR_FC" hidden="1">"c7724"</definedName>
    <definedName name="IQ_CORP_PROFITS_SAAR_POP" hidden="1">"c7064"</definedName>
    <definedName name="IQ_CORP_PROFITS_SAAR_POP_FC" hidden="1">"c7944"</definedName>
    <definedName name="IQ_CORP_PROFITS_SAAR_YOY" hidden="1">"c7284"</definedName>
    <definedName name="IQ_CORP_PROFITS_SAAR_YOY_FC" hidden="1">"c8164"</definedName>
    <definedName name="IQ_CORP_PROFITS_YOY" hidden="1">"c7283"</definedName>
    <definedName name="IQ_CORP_PROFITS_YOY_FC" hidden="1">"c8163"</definedName>
    <definedName name="IQ_COST_BORROWING" hidden="1">"c2936"</definedName>
    <definedName name="IQ_COST_BORROWINGS" hidden="1">"c225"</definedName>
    <definedName name="IQ_COST_CAPITAL_NEW_BUSINESS" hidden="1">"c9968"</definedName>
    <definedName name="IQ_COST_OF_FUNDING_ASSETS_FDIC" hidden="1">"c6725"</definedName>
    <definedName name="IQ_COST_REV" hidden="1">"c226"</definedName>
    <definedName name="IQ_COST_REVENUE" hidden="1">"c1359"</definedName>
    <definedName name="IQ_COST_SAVINGS" hidden="1">"c227"</definedName>
    <definedName name="IQ_COST_SERVICE" hidden="1">"c228"</definedName>
    <definedName name="IQ_COST_SOLVENCY_CAPITAL_COVERED" hidden="1">"c9965"</definedName>
    <definedName name="IQ_COST_SOLVENCY_CAPITAL_GROUP" hidden="1">"c9951"</definedName>
    <definedName name="IQ_COST_TOTAL_BORROWINGS" hidden="1">"c229"</definedName>
    <definedName name="IQ_COUNTRY_NAME" hidden="1">"c230"</definedName>
    <definedName name="IQ_COUNTRY_NAME_ECON" hidden="1">"c11752"</definedName>
    <definedName name="IQ_COUPON_FORMULA" hidden="1">"c8965"</definedName>
    <definedName name="IQ_COVERED_POPS" hidden="1">"c2124"</definedName>
    <definedName name="IQ_CP" hidden="1">"c2495"</definedName>
    <definedName name="IQ_CP_PCT" hidden="1">"c2496"</definedName>
    <definedName name="IQ_CPI" hidden="1">"c6845"</definedName>
    <definedName name="IQ_CPI_APR" hidden="1">"c7505"</definedName>
    <definedName name="IQ_CPI_APR_FC" hidden="1">"c8385"</definedName>
    <definedName name="IQ_CPI_CORE" hidden="1">"c6838"</definedName>
    <definedName name="IQ_CPI_CORE_APR" hidden="1">"c7498"</definedName>
    <definedName name="IQ_CPI_CORE_POP" hidden="1">"c7058"</definedName>
    <definedName name="IQ_CPI_CORE_YOY" hidden="1">"c7278"</definedName>
    <definedName name="IQ_CPI_FC" hidden="1">"c7725"</definedName>
    <definedName name="IQ_CPI_POP" hidden="1">"c7065"</definedName>
    <definedName name="IQ_CPI_POP_FC" hidden="1">"c7945"</definedName>
    <definedName name="IQ_CPI_YOY" hidden="1">"c7285"</definedName>
    <definedName name="IQ_CPI_YOY_FC" hidden="1">"c8165"</definedName>
    <definedName name="IQ_CQ" hidden="1">5000</definedName>
    <definedName name="IQ_CREDIT_CARD_CHARGE_OFFS_FDIC" hidden="1">"c6652"</definedName>
    <definedName name="IQ_CREDIT_CARD_FEE_BNK" hidden="1">"c231"</definedName>
    <definedName name="IQ_CREDIT_CARD_FEE_FIN" hidden="1">"c1583"</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EXPOSURE" hidden="1">"c10038"</definedName>
    <definedName name="IQ_CREDIT_LOSS_CF" hidden="1">"c232"</definedName>
    <definedName name="IQ_CREDIT_LOSS_PROVISION_NET_CHARGE_OFFS_FDIC" hidden="1">"c6734"</definedName>
    <definedName name="IQ_CUMULATIVE_SPLIT_FACTOR" hidden="1">"c2094"</definedName>
    <definedName name="IQ_CURR_ACCT_BALANCE_APR_FC_UNUSED" hidden="1">"c8387"</definedName>
    <definedName name="IQ_CURR_ACCT_BALANCE_APR_UNUSED" hidden="1">"c7507"</definedName>
    <definedName name="IQ_CURR_ACCT_BALANCE_FC_UNUSED" hidden="1">"c7727"</definedName>
    <definedName name="IQ_CURR_ACCT_BALANCE_PCT" hidden="1">"c6846"</definedName>
    <definedName name="IQ_CURR_ACCT_BALANCE_PCT_FC" hidden="1">"c7726"</definedName>
    <definedName name="IQ_CURR_ACCT_BALANCE_PCT_POP" hidden="1">"c7066"</definedName>
    <definedName name="IQ_CURR_ACCT_BALANCE_PCT_POP_FC" hidden="1">"c7946"</definedName>
    <definedName name="IQ_CURR_ACCT_BALANCE_PCT_YOY" hidden="1">"c7286"</definedName>
    <definedName name="IQ_CURR_ACCT_BALANCE_PCT_YOY_FC" hidden="1">"c8166"</definedName>
    <definedName name="IQ_CURR_ACCT_BALANCE_POP_FC_UNUSED" hidden="1">"c7947"</definedName>
    <definedName name="IQ_CURR_ACCT_BALANCE_POP_UNUSED" hidden="1">"c7067"</definedName>
    <definedName name="IQ_CURR_ACCT_BALANCE_SAAR" hidden="1">"c6848"</definedName>
    <definedName name="IQ_CURR_ACCT_BALANCE_SAAR_APR" hidden="1">"c7508"</definedName>
    <definedName name="IQ_CURR_ACCT_BALANCE_SAAR_APR_FC" hidden="1">"c8388"</definedName>
    <definedName name="IQ_CURR_ACCT_BALANCE_SAAR_FC" hidden="1">"c7728"</definedName>
    <definedName name="IQ_CURR_ACCT_BALANCE_SAAR_POP" hidden="1">"c7068"</definedName>
    <definedName name="IQ_CURR_ACCT_BALANCE_SAAR_POP_FC" hidden="1">"c7948"</definedName>
    <definedName name="IQ_CURR_ACCT_BALANCE_SAAR_USD_APR_FC" hidden="1">"c11797"</definedName>
    <definedName name="IQ_CURR_ACCT_BALANCE_SAAR_USD_FC" hidden="1">"c11794"</definedName>
    <definedName name="IQ_CURR_ACCT_BALANCE_SAAR_USD_POP_FC" hidden="1">"c11795"</definedName>
    <definedName name="IQ_CURR_ACCT_BALANCE_SAAR_USD_YOY_FC" hidden="1">"c11796"</definedName>
    <definedName name="IQ_CURR_ACCT_BALANCE_SAAR_YOY" hidden="1">"c7288"</definedName>
    <definedName name="IQ_CURR_ACCT_BALANCE_SAAR_YOY_FC" hidden="1">"c8168"</definedName>
    <definedName name="IQ_CURR_ACCT_BALANCE_UNUSED" hidden="1">"c6847"</definedName>
    <definedName name="IQ_CURR_ACCT_BALANCE_USD" hidden="1">"c11786"</definedName>
    <definedName name="IQ_CURR_ACCT_BALANCE_USD_APR" hidden="1">"c11789"</definedName>
    <definedName name="IQ_CURR_ACCT_BALANCE_USD_APR_FC" hidden="1">"c11793"</definedName>
    <definedName name="IQ_CURR_ACCT_BALANCE_USD_FC" hidden="1">"c11790"</definedName>
    <definedName name="IQ_CURR_ACCT_BALANCE_USD_POP" hidden="1">"c11787"</definedName>
    <definedName name="IQ_CURR_ACCT_BALANCE_USD_POP_FC" hidden="1">"c11791"</definedName>
    <definedName name="IQ_CURR_ACCT_BALANCE_USD_YOY" hidden="1">"c11788"</definedName>
    <definedName name="IQ_CURR_ACCT_BALANCE_USD_YOY_FC" hidden="1">"c11792"</definedName>
    <definedName name="IQ_CURR_ACCT_BALANCE_YOY_FC_UNUSED" hidden="1">"c8167"</definedName>
    <definedName name="IQ_CURR_ACCT_BALANCE_YOY_UNUSED" hidden="1">"c7287"</definedName>
    <definedName name="IQ_CURR_ACCT_INC_RECEIPTS" hidden="1">"c6849"</definedName>
    <definedName name="IQ_CURR_ACCT_INC_RECEIPTS_APR" hidden="1">"c7509"</definedName>
    <definedName name="IQ_CURR_ACCT_INC_RECEIPTS_APR_FC" hidden="1">"c8389"</definedName>
    <definedName name="IQ_CURR_ACCT_INC_RECEIPTS_FC" hidden="1">"c7729"</definedName>
    <definedName name="IQ_CURR_ACCT_INC_RECEIPTS_POP" hidden="1">"c7069"</definedName>
    <definedName name="IQ_CURR_ACCT_INC_RECEIPTS_POP_FC" hidden="1">"c7949"</definedName>
    <definedName name="IQ_CURR_ACCT_INC_RECEIPTS_YOY" hidden="1">"c7289"</definedName>
    <definedName name="IQ_CURR_ACCT_INC_RECEIPTS_YOY_FC" hidden="1">"c8169"</definedName>
    <definedName name="IQ_CURR_DOMESTIC_TAXES" hidden="1">"c2074"</definedName>
    <definedName name="IQ_CURR_FOREIGN_TAXES" hidden="1">"c2075"</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TED_DATE" hidden="1">"c2185"</definedName>
    <definedName name="IQ_DAY_COUNT" hidden="1">"c2161"</definedName>
    <definedName name="IQ_DAYS_COVER_SHORT" hidden="1">"c1578"</definedName>
    <definedName name="IQ_DAYS_DELAY" hidden="1">"c8963"</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SPENDING_REAL_SAAR" hidden="1">"c6971"</definedName>
    <definedName name="IQ_DEF_SPENDING_REAL_SAAR_APR" hidden="1">"c7631"</definedName>
    <definedName name="IQ_DEF_SPENDING_REAL_SAAR_APR_FC" hidden="1">"c8511"</definedName>
    <definedName name="IQ_DEF_SPENDING_REAL_SAAR_FC" hidden="1">"c7851"</definedName>
    <definedName name="IQ_DEF_SPENDING_REAL_SAAR_POP" hidden="1">"c7191"</definedName>
    <definedName name="IQ_DEF_SPENDING_REAL_SAAR_POP_FC" hidden="1">"c8071"</definedName>
    <definedName name="IQ_DEF_SPENDING_REAL_SAAR_YOY" hidden="1">"c7411"</definedName>
    <definedName name="IQ_DEF_SPENDING_REAL_SAAR_YOY_FC" hidden="1">"c8291"</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FIN" hidden="1">"c321"</definedName>
    <definedName name="IQ_DEPOSITS_HELD_DOMESTIC_FDIC" hidden="1">"c6340"</definedName>
    <definedName name="IQ_DEPOSITS_HELD_FOREIGN_FDIC" hidden="1">"c6341"</definedName>
    <definedName name="IQ_DEPOSITS_INTEREST_SECURITIES" hidden="1">"c5509"</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S_FDIC" hidden="1">"c6523"</definedName>
    <definedName name="IQ_DESCRIPTION_LONG" hidden="1">"c1520"</definedName>
    <definedName name="IQ_DEVELOP_LAND" hidden="1">"c323"</definedName>
    <definedName name="IQ_DIFF_LASTCLOSE_TARGET_PRICE" hidden="1">"c1854"</definedName>
    <definedName name="IQ_DIFF_LASTCLOSE_TARGET_PRICE_CIQ" hidden="1">"c4767"</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POSABLE_PERSONAL_INC" hidden="1">"c6850"</definedName>
    <definedName name="IQ_DISPOSABLE_PERSONAL_INC_APR" hidden="1">"c7510"</definedName>
    <definedName name="IQ_DISPOSABLE_PERSONAL_INC_APR_FC" hidden="1">"c8390"</definedName>
    <definedName name="IQ_DISPOSABLE_PERSONAL_INC_FC" hidden="1">"c7730"</definedName>
    <definedName name="IQ_DISPOSABLE_PERSONAL_INC_POP" hidden="1">"c7070"</definedName>
    <definedName name="IQ_DISPOSABLE_PERSONAL_INC_POP_FC" hidden="1">"c7950"</definedName>
    <definedName name="IQ_DISPOSABLE_PERSONAL_INC_REAL" hidden="1">"c11922"</definedName>
    <definedName name="IQ_DISPOSABLE_PERSONAL_INC_REAL_APR" hidden="1">"c11925"</definedName>
    <definedName name="IQ_DISPOSABLE_PERSONAL_INC_REAL_POP" hidden="1">"c11923"</definedName>
    <definedName name="IQ_DISPOSABLE_PERSONAL_INC_REAL_YOY" hidden="1">"c11924"</definedName>
    <definedName name="IQ_DISPOSABLE_PERSONAL_INC_SAAR" hidden="1">"c6851"</definedName>
    <definedName name="IQ_DISPOSABLE_PERSONAL_INC_SAAR_APR" hidden="1">"c7511"</definedName>
    <definedName name="IQ_DISPOSABLE_PERSONAL_INC_SAAR_APR_FC" hidden="1">"c8391"</definedName>
    <definedName name="IQ_DISPOSABLE_PERSONAL_INC_SAAR_FC" hidden="1">"c7731"</definedName>
    <definedName name="IQ_DISPOSABLE_PERSONAL_INC_SAAR_POP" hidden="1">"c7071"</definedName>
    <definedName name="IQ_DISPOSABLE_PERSONAL_INC_SAAR_POP_FC" hidden="1">"c7951"</definedName>
    <definedName name="IQ_DISPOSABLE_PERSONAL_INC_SAAR_USD_APR_FC" hidden="1">"c11805"</definedName>
    <definedName name="IQ_DISPOSABLE_PERSONAL_INC_SAAR_USD_FC" hidden="1">"c11802"</definedName>
    <definedName name="IQ_DISPOSABLE_PERSONAL_INC_SAAR_USD_POP_FC" hidden="1">"c11803"</definedName>
    <definedName name="IQ_DISPOSABLE_PERSONAL_INC_SAAR_USD_YOY_FC" hidden="1">"c11804"</definedName>
    <definedName name="IQ_DISPOSABLE_PERSONAL_INC_SAAR_YOY" hidden="1">"c7291"</definedName>
    <definedName name="IQ_DISPOSABLE_PERSONAL_INC_SAAR_YOY_FC" hidden="1">"c8171"</definedName>
    <definedName name="IQ_DISPOSABLE_PERSONAL_INC_USD_APR_FC" hidden="1">"c11801"</definedName>
    <definedName name="IQ_DISPOSABLE_PERSONAL_INC_USD_FC" hidden="1">"c11798"</definedName>
    <definedName name="IQ_DISPOSABLE_PERSONAL_INC_USD_POP_FC" hidden="1">"c11799"</definedName>
    <definedName name="IQ_DISPOSABLE_PERSONAL_INC_USD_YOY_FC" hidden="1">"c11800"</definedName>
    <definedName name="IQ_DISPOSABLE_PERSONAL_INC_YOY" hidden="1">"c7290"</definedName>
    <definedName name="IQ_DISPOSABLE_PERSONAL_INC_YOY_FC" hidden="1">"c8170"</definedName>
    <definedName name="IQ_DISTR_EXCESS_EARN" hidden="1">"c329"</definedName>
    <definedName name="IQ_DISTRIBUTABLE_CASH" hidden="1">"c3002"</definedName>
    <definedName name="IQ_DISTRIBUTABLE_CASH_ACT_OR_EST" hidden="1">"c4278"</definedName>
    <definedName name="IQ_DISTRIBUTABLE_CASH_ACT_OR_EST_CIQ" hidden="1">"c4803"</definedName>
    <definedName name="IQ_DISTRIBUTABLE_CASH_PAYOUT" hidden="1">"c3005"</definedName>
    <definedName name="IQ_DISTRIBUTABLE_CASH_SHARE" hidden="1">"c3003"</definedName>
    <definedName name="IQ_DISTRIBUTABLE_CASH_SHARE_ACT_OR_EST" hidden="1">"c4286"</definedName>
    <definedName name="IQ_DISTRIBUTABLE_CASH_SHARE_ACT_OR_EST_CIQ" hidden="1">"c4811"</definedName>
    <definedName name="IQ_DIV_AMOUNT" hidden="1">"c3041"</definedName>
    <definedName name="IQ_DIV_PAYMENT_DATE" hidden="1">"c2205"</definedName>
    <definedName name="IQ_DIV_PAYMENT_TYPE" hidden="1">"c12752"</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DIC" hidden="1">"c6659"</definedName>
    <definedName name="IQ_DIVIDENDS_DECLARED_PREFERRED_FDIC" hidden="1">"c6658"</definedName>
    <definedName name="IQ_DIVIDENDS_FDIC" hidden="1">"c6660"</definedName>
    <definedName name="IQ_DIVIDENDS_PAID_DECLARED_PERIOD_COVERED" hidden="1">"c9960"</definedName>
    <definedName name="IQ_DIVIDENDS_PAID_DECLARED_PERIOD_GROUP" hidden="1">"c9946"</definedName>
    <definedName name="IQ_DNB_OTHER_EXP_INC_TAX_US" hidden="1">"c6787"</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URABLE_INVENTORIES" hidden="1">"c6853"</definedName>
    <definedName name="IQ_DURABLE_INVENTORIES_APR" hidden="1">"c7513"</definedName>
    <definedName name="IQ_DURABLE_INVENTORIES_APR_FC" hidden="1">"c8393"</definedName>
    <definedName name="IQ_DURABLE_INVENTORIES_FC" hidden="1">"c7733"</definedName>
    <definedName name="IQ_DURABLE_INVENTORIES_POP" hidden="1">"c7073"</definedName>
    <definedName name="IQ_DURABLE_INVENTORIES_POP_FC" hidden="1">"c7953"</definedName>
    <definedName name="IQ_DURABLE_INVENTORIES_YOY" hidden="1">"c7293"</definedName>
    <definedName name="IQ_DURABLE_INVENTORIES_YOY_FC" hidden="1">"c8173"</definedName>
    <definedName name="IQ_DURABLE_ORDERS" hidden="1">"c6854"</definedName>
    <definedName name="IQ_DURABLE_ORDERS_APR" hidden="1">"c7514"</definedName>
    <definedName name="IQ_DURABLE_ORDERS_APR_FC" hidden="1">"c8394"</definedName>
    <definedName name="IQ_DURABLE_ORDERS_FC" hidden="1">"c7734"</definedName>
    <definedName name="IQ_DURABLE_ORDERS_POP" hidden="1">"c7074"</definedName>
    <definedName name="IQ_DURABLE_ORDERS_POP_FC" hidden="1">"c7954"</definedName>
    <definedName name="IQ_DURABLE_ORDERS_YOY" hidden="1">"c7294"</definedName>
    <definedName name="IQ_DURABLE_ORDERS_YOY_FC" hidden="1">"c8174"</definedName>
    <definedName name="IQ_DURABLE_SHIPMENTS" hidden="1">"c6855"</definedName>
    <definedName name="IQ_DURABLE_SHIPMENTS_APR" hidden="1">"c7515"</definedName>
    <definedName name="IQ_DURABLE_SHIPMENTS_APR_FC" hidden="1">"c8395"</definedName>
    <definedName name="IQ_DURABLE_SHIPMENTS_FC" hidden="1">"c7735"</definedName>
    <definedName name="IQ_DURABLE_SHIPMENTS_POP" hidden="1">"c7075"</definedName>
    <definedName name="IQ_DURABLE_SHIPMENTS_POP_FC" hidden="1">"c7955"</definedName>
    <definedName name="IQ_DURABLE_SHIPMENTS_YOY" hidden="1">"c7295"</definedName>
    <definedName name="IQ_DURABLE_SHIPMENTS_YOY_FC" hidden="1">"c8175"</definedName>
    <definedName name="IQ_DURATION" hidden="1">"c2181"</definedName>
    <definedName name="IQ_EARNING_ASSET_YIELD" hidden="1">"c343"</definedName>
    <definedName name="IQ_EARNING_ASSETS_FDIC" hidden="1">"c6360"</definedName>
    <definedName name="IQ_EARNING_ASSETS_YIELD_FDIC" hidden="1">"c6724"</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ANNOUNCE_DATE_CIQ" hidden="1">"c4656"</definedName>
    <definedName name="IQ_EARNINGS_ANNOUNCE_DATE_REUT" hidden="1">"c5314"</definedName>
    <definedName name="IQ_EARNINGS_COVERAGE_NET_CHARGE_OFFS_FDIC" hidden="1">"c6735"</definedName>
    <definedName name="IQ_EARNINGS_PERIOD_COVERED" hidden="1">"c9958"</definedName>
    <definedName name="IQ_EARNINGS_PERIOD_GROUP" hidden="1">"c9944"</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EQ_INC" hidden="1">"c3498"</definedName>
    <definedName name="IQ_EBIT_EQ_INC_EXCL_SBC" hidden="1">"c3502"</definedName>
    <definedName name="IQ_EBIT_EXCL_SBC" hidden="1">"c3082"</definedName>
    <definedName name="IQ_EBIT_GW_ACT_OR_EST" hidden="1">"c4306"</definedName>
    <definedName name="IQ_EBIT_INT" hidden="1">"c360"</definedName>
    <definedName name="IQ_EBIT_MARGIN" hidden="1">"c359"</definedName>
    <definedName name="IQ_EBIT_OVER_IE" hidden="1">"c1369"</definedName>
    <definedName name="IQ_EBIT_SBC_ACT_OR_EST" hidden="1">"c4316"</definedName>
    <definedName name="IQ_EBIT_SBC_ACT_OR_EST_CIQ" hidden="1">"c4841"</definedName>
    <definedName name="IQ_EBIT_SBC_GW_ACT_OR_EST" hidden="1">"c4320"</definedName>
    <definedName name="IQ_EBIT_SBC_GW_ACT_OR_EST_CIQ" hidden="1">"c4845"</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ACT_OR_EST" hidden="1">"c2215"</definedName>
    <definedName name="IQ_EBITDA_ACT_OR_EST_CIQ" hidden="1">"c5060"</definedName>
    <definedName name="IQ_EBITDA_CAPEX_INT" hidden="1">"c368"</definedName>
    <definedName name="IQ_EBITDA_CAPEX_OVER_TOTAL_IE" hidden="1">"c1370"</definedName>
    <definedName name="IQ_EBITDA_EQ_INC" hidden="1">"c3496"</definedName>
    <definedName name="IQ_EBITDA_EQ_INC_EXCL_SBC" hidden="1">"c3500"</definedName>
    <definedName name="IQ_EBITDA_EST" hidden="1">"c369"</definedName>
    <definedName name="IQ_EBITDA_EST_CIQ" hidden="1">"c3622"</definedName>
    <definedName name="IQ_EBITDA_EST_REUT" hidden="1">"c3640"</definedName>
    <definedName name="IQ_EBITDA_EXCL_SBC" hidden="1">"c3081"</definedName>
    <definedName name="IQ_EBITDA_HIGH_EST" hidden="1">"c370"</definedName>
    <definedName name="IQ_EBITDA_HIGH_EST_CIQ" hidden="1">"c3624"</definedName>
    <definedName name="IQ_EBITDA_HIGH_EST_REUT" hidden="1">"c3642"</definedName>
    <definedName name="IQ_EBITDA_INT" hidden="1">"c373"</definedName>
    <definedName name="IQ_EBITDA_LOW_EST" hidden="1">"c371"</definedName>
    <definedName name="IQ_EBITDA_LOW_EST_CIQ" hidden="1">"c3625"</definedName>
    <definedName name="IQ_EBITDA_LOW_EST_REUT" hidden="1">"c3643"</definedName>
    <definedName name="IQ_EBITDA_MARGIN" hidden="1">"c372"</definedName>
    <definedName name="IQ_EBITDA_MEDIAN_EST" hidden="1">"c1663"</definedName>
    <definedName name="IQ_EBITDA_MEDIAN_EST_CIQ" hidden="1">"c3623"</definedName>
    <definedName name="IQ_EBITDA_MEDIAN_EST_REUT" hidden="1">"c3641"</definedName>
    <definedName name="IQ_EBITDA_NUM_EST" hidden="1">"c374"</definedName>
    <definedName name="IQ_EBITDA_NUM_EST_CIQ" hidden="1">"c3626"</definedName>
    <definedName name="IQ_EBITDA_NUM_EST_REUT" hidden="1">"c3644"</definedName>
    <definedName name="IQ_EBITDA_OVER_TOTAL_IE" hidden="1">"c1371"</definedName>
    <definedName name="IQ_EBITDA_SBC_ACT_OR_EST" hidden="1">"c4337"</definedName>
    <definedName name="IQ_EBITDA_SBC_ACT_OR_EST_CIQ" hidden="1">"c4862"</definedName>
    <definedName name="IQ_EBITDA_STDDEV_EST" hidden="1">"c375"</definedName>
    <definedName name="IQ_EBITDA_STDDEV_EST_CIQ" hidden="1">"c3627"</definedName>
    <definedName name="IQ_EBITDA_STDDEV_EST_REUT" hidden="1">"c3645"</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 hidden="1">"c6215"</definedName>
    <definedName name="IQ_EBT_REIT" hidden="1">"c389"</definedName>
    <definedName name="IQ_EBT_SBC_ACT_OR_EST" hidden="1">"c4350"</definedName>
    <definedName name="IQ_EBT_SBC_ACT_OR_EST_CIQ" hidden="1">"c4875"</definedName>
    <definedName name="IQ_EBT_SBC_GW_ACT_OR_EST" hidden="1">"c4354"</definedName>
    <definedName name="IQ_EBT_SBC_GW_ACT_OR_EST_CIQ" hidden="1">"c4879"</definedName>
    <definedName name="IQ_EBT_SUBTOTAL_AP" hidden="1">"c8982"</definedName>
    <definedName name="IQ_EBT_UTI" hidden="1">"c390"</definedName>
    <definedName name="IQ_ECO_METRIC_6825_UNUSED" hidden="1">"c6825"</definedName>
    <definedName name="IQ_ECO_METRIC_6839_UNUSED" hidden="1">"c6839"</definedName>
    <definedName name="IQ_ECO_METRIC_6896_UNUSED" hidden="1">"c6896"</definedName>
    <definedName name="IQ_ECO_METRIC_6897_UNUSED" hidden="1">"c6897"</definedName>
    <definedName name="IQ_ECO_METRIC_6927" hidden="1">"c6927"</definedName>
    <definedName name="IQ_ECO_METRIC_6988_UNUSED" hidden="1">"c6988"</definedName>
    <definedName name="IQ_ECO_METRIC_7045_UNUSED" hidden="1">"c7045"</definedName>
    <definedName name="IQ_ECO_METRIC_7059_UNUSED" hidden="1">"c7059"</definedName>
    <definedName name="IQ_ECO_METRIC_7116_UNUSED" hidden="1">"c7116"</definedName>
    <definedName name="IQ_ECO_METRIC_7117_UNUSED" hidden="1">"c7117"</definedName>
    <definedName name="IQ_ECO_METRIC_7147" hidden="1">"c7147"</definedName>
    <definedName name="IQ_ECO_METRIC_7208_UNUSED" hidden="1">"c7208"</definedName>
    <definedName name="IQ_ECO_METRIC_7265_UNUSED" hidden="1">"c7265"</definedName>
    <definedName name="IQ_ECO_METRIC_7279_UNUSED" hidden="1">"c7279"</definedName>
    <definedName name="IQ_ECO_METRIC_7336_UNUSED" hidden="1">"c7336"</definedName>
    <definedName name="IQ_ECO_METRIC_7337_UNUSED" hidden="1">"c7337"</definedName>
    <definedName name="IQ_ECO_METRIC_7367" hidden="1">"c7367"</definedName>
    <definedName name="IQ_ECO_METRIC_7428_UNUSED" hidden="1">"c7428"</definedName>
    <definedName name="IQ_ECO_METRIC_7556_UNUSED" hidden="1">"c7556"</definedName>
    <definedName name="IQ_ECO_METRIC_7557_UNUSED" hidden="1">"c7557"</definedName>
    <definedName name="IQ_ECO_METRIC_7587" hidden="1">"c7587"</definedName>
    <definedName name="IQ_ECO_METRIC_7648_UNUSED" hidden="1">"c7648"</definedName>
    <definedName name="IQ_ECO_METRIC_7704" hidden="1">"c7704"</definedName>
    <definedName name="IQ_ECO_METRIC_7705_UNUSED" hidden="1">"c7705"</definedName>
    <definedName name="IQ_ECO_METRIC_7706" hidden="1">"c7706"</definedName>
    <definedName name="IQ_ECO_METRIC_7718" hidden="1">"c7718"</definedName>
    <definedName name="IQ_ECO_METRIC_7719_UNUSED" hidden="1">"c7719"</definedName>
    <definedName name="IQ_ECO_METRIC_7776_UNUSED" hidden="1">"c7776"</definedName>
    <definedName name="IQ_ECO_METRIC_7777_UNUSED" hidden="1">"c7777"</definedName>
    <definedName name="IQ_ECO_METRIC_7807" hidden="1">"c7807"</definedName>
    <definedName name="IQ_ECO_METRIC_7811" hidden="1">"c7811"</definedName>
    <definedName name="IQ_ECO_METRIC_7868_UNUSED" hidden="1">"c7868"</definedName>
    <definedName name="IQ_ECO_METRIC_7873" hidden="1">"c7873"</definedName>
    <definedName name="IQ_ECO_METRIC_7924" hidden="1">"c7924"</definedName>
    <definedName name="IQ_ECO_METRIC_7925_UNUSED" hidden="1">"c7925"</definedName>
    <definedName name="IQ_ECO_METRIC_7926" hidden="1">"c7926"</definedName>
    <definedName name="IQ_ECO_METRIC_7938" hidden="1">"c7938"</definedName>
    <definedName name="IQ_ECO_METRIC_7939_UNUSED" hidden="1">"c7939"</definedName>
    <definedName name="IQ_ECO_METRIC_7996_UNUSED" hidden="1">"c7996"</definedName>
    <definedName name="IQ_ECO_METRIC_7997_UNUSED" hidden="1">"c7997"</definedName>
    <definedName name="IQ_ECO_METRIC_8027" hidden="1">"c8027"</definedName>
    <definedName name="IQ_ECO_METRIC_8031" hidden="1">"c8031"</definedName>
    <definedName name="IQ_ECO_METRIC_8088_UNUSED" hidden="1">"c8088"</definedName>
    <definedName name="IQ_ECO_METRIC_8093" hidden="1">"c8093"</definedName>
    <definedName name="IQ_ECO_METRIC_8144" hidden="1">"c8144"</definedName>
    <definedName name="IQ_ECO_METRIC_8145_UNUSED" hidden="1">"c8145"</definedName>
    <definedName name="IQ_ECO_METRIC_8146" hidden="1">"c8146"</definedName>
    <definedName name="IQ_ECO_METRIC_8158" hidden="1">"c8158"</definedName>
    <definedName name="IQ_ECO_METRIC_8159_UNUSED" hidden="1">"c8159"</definedName>
    <definedName name="IQ_ECO_METRIC_8216_UNUSED" hidden="1">"c8216"</definedName>
    <definedName name="IQ_ECO_METRIC_8217_UNUSED" hidden="1">"c8217"</definedName>
    <definedName name="IQ_ECO_METRIC_8247" hidden="1">"c8247"</definedName>
    <definedName name="IQ_ECO_METRIC_8251" hidden="1">"c8251"</definedName>
    <definedName name="IQ_ECO_METRIC_8308_UNUSED" hidden="1">"c8308"</definedName>
    <definedName name="IQ_ECO_METRIC_8313" hidden="1">"c8313"</definedName>
    <definedName name="IQ_ECO_METRIC_8366" hidden="1">"c8366"</definedName>
    <definedName name="IQ_ECO_METRIC_8378" hidden="1">"c8378"</definedName>
    <definedName name="IQ_ECO_METRIC_8436_UNUSED" hidden="1">"c8436"</definedName>
    <definedName name="IQ_ECO_METRIC_8437_UNUSED" hidden="1">"c8437"</definedName>
    <definedName name="IQ_ECO_METRIC_8467" hidden="1">"c8467"</definedName>
    <definedName name="IQ_ECO_METRIC_8471" hidden="1">"c8471"</definedName>
    <definedName name="IQ_ECO_METRIC_8528_UNUSED" hidden="1">"c8528"</definedName>
    <definedName name="IQ_ECO_METRIC_8533" hidden="1">"c8533"</definedName>
    <definedName name="IQ_ECS_AUTHORIZED_SHARES" hidden="1">"c5583"</definedName>
    <definedName name="IQ_ECS_AUTHORIZED_SHARES_ABS" hidden="1">"c5597"</definedName>
    <definedName name="IQ_ECS_CONVERT_FACTOR" hidden="1">"c5581"</definedName>
    <definedName name="IQ_ECS_CONVERT_FACTOR_ABS" hidden="1">"c5595"</definedName>
    <definedName name="IQ_ECS_CONVERT_INTO" hidden="1">"c5580"</definedName>
    <definedName name="IQ_ECS_CONVERT_INTO_ABS" hidden="1">"c5594"</definedName>
    <definedName name="IQ_ECS_CONVERT_TYPE" hidden="1">"c5579"</definedName>
    <definedName name="IQ_ECS_CONVERT_TYPE_ABS" hidden="1">"c5593"</definedName>
    <definedName name="IQ_ECS_INACTIVE_DATE" hidden="1">"c5576"</definedName>
    <definedName name="IQ_ECS_INACTIVE_DATE_ABS" hidden="1">"c5590"</definedName>
    <definedName name="IQ_ECS_NAME" hidden="1">"c5571"</definedName>
    <definedName name="IQ_ECS_NAME_ABS" hidden="1">"c5585"</definedName>
    <definedName name="IQ_ECS_NUM_SHAREHOLDERS" hidden="1">"c5584"</definedName>
    <definedName name="IQ_ECS_NUM_SHAREHOLDERS_ABS" hidden="1">"c5598"</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SHARES_OUT_BS_DATE" hidden="1">"c5572"</definedName>
    <definedName name="IQ_ECS_SHARES_OUT_BS_DATE_ABS" hidden="1">"c5586"</definedName>
    <definedName name="IQ_ECS_SHARES_OUT_FILING_DATE" hidden="1">"c5573"</definedName>
    <definedName name="IQ_ECS_SHARES_OUT_FILING_DATE_ABS" hidden="1">"c5587"</definedName>
    <definedName name="IQ_ECS_START_DATE" hidden="1">"c5575"</definedName>
    <definedName name="IQ_ECS_START_DATE_ABS" hidden="1">"c5589"</definedName>
    <definedName name="IQ_ECS_TYPE" hidden="1">"c5574"</definedName>
    <definedName name="IQ_ECS_TYPE_ABS" hidden="1">"c5588"</definedName>
    <definedName name="IQ_ECS_VOTING" hidden="1">"c5582"</definedName>
    <definedName name="IQ_ECS_VOTING_ABS" hidden="1">"c5596"</definedName>
    <definedName name="IQ_EFFECT_SPECIAL_CHARGE" hidden="1">"c1595"</definedName>
    <definedName name="IQ_EFFECT_TAX_RATE" hidden="1">"c1899"</definedName>
    <definedName name="IQ_EFFECTIVE_DATE" hidden="1">"c8966"</definedName>
    <definedName name="IQ_EFFICIENCY_RATIO" hidden="1">"c391"</definedName>
    <definedName name="IQ_EFFICIENCY_RATIO_FDIC" hidden="1">"c6736"</definedName>
    <definedName name="IQ_EMBEDDED_VAL_COVERED" hidden="1">"c9962"</definedName>
    <definedName name="IQ_EMBEDDED_VAL_COVERED_BEG" hidden="1">"c9957"</definedName>
    <definedName name="IQ_EMBEDDED_VAL_GROUP" hidden="1">"c9948"</definedName>
    <definedName name="IQ_EMBEDDED_VAL_GROUP_BEG" hidden="1">"c9943"</definedName>
    <definedName name="IQ_EMPLOY_COST_INDEX_BENEFITS" hidden="1">"c6857"</definedName>
    <definedName name="IQ_EMPLOY_COST_INDEX_BENEFITS_APR" hidden="1">"c7517"</definedName>
    <definedName name="IQ_EMPLOY_COST_INDEX_BENEFITS_APR_FC" hidden="1">"c8397"</definedName>
    <definedName name="IQ_EMPLOY_COST_INDEX_BENEFITS_FC" hidden="1">"c7737"</definedName>
    <definedName name="IQ_EMPLOY_COST_INDEX_BENEFITS_POP" hidden="1">"c7077"</definedName>
    <definedName name="IQ_EMPLOY_COST_INDEX_BENEFITS_POP_FC" hidden="1">"c7957"</definedName>
    <definedName name="IQ_EMPLOY_COST_INDEX_BENEFITS_YOY" hidden="1">"c7297"</definedName>
    <definedName name="IQ_EMPLOY_COST_INDEX_BENEFITS_YOY_FC" hidden="1">"c8177"</definedName>
    <definedName name="IQ_EMPLOY_COST_INDEX_COMP" hidden="1">"c6856"</definedName>
    <definedName name="IQ_EMPLOY_COST_INDEX_COMP_APR" hidden="1">"c7516"</definedName>
    <definedName name="IQ_EMPLOY_COST_INDEX_COMP_APR_FC" hidden="1">"c8396"</definedName>
    <definedName name="IQ_EMPLOY_COST_INDEX_COMP_FC" hidden="1">"c7736"</definedName>
    <definedName name="IQ_EMPLOY_COST_INDEX_COMP_POP" hidden="1">"c7076"</definedName>
    <definedName name="IQ_EMPLOY_COST_INDEX_COMP_POP_FC" hidden="1">"c7956"</definedName>
    <definedName name="IQ_EMPLOY_COST_INDEX_COMP_YOY" hidden="1">"c7296"</definedName>
    <definedName name="IQ_EMPLOY_COST_INDEX_COMP_YOY_FC" hidden="1">"c8176"</definedName>
    <definedName name="IQ_EMPLOY_COST_INDEX_WAGE_SALARY" hidden="1">"c6858"</definedName>
    <definedName name="IQ_EMPLOY_COST_INDEX_WAGE_SALARY_APR" hidden="1">"c7518"</definedName>
    <definedName name="IQ_EMPLOY_COST_INDEX_WAGE_SALARY_APR_FC" hidden="1">"c8398"</definedName>
    <definedName name="IQ_EMPLOY_COST_INDEX_WAGE_SALARY_FC" hidden="1">"c7738"</definedName>
    <definedName name="IQ_EMPLOY_COST_INDEX_WAGE_SALARY_POP" hidden="1">"c7078"</definedName>
    <definedName name="IQ_EMPLOY_COST_INDEX_WAGE_SALARY_POP_FC" hidden="1">"c7958"</definedName>
    <definedName name="IQ_EMPLOY_COST_INDEX_WAGE_SALARY_YOY" hidden="1">"c7298"</definedName>
    <definedName name="IQ_EMPLOY_COST_INDEX_WAGE_SALARY_YOY_FC" hidden="1">"c8178"</definedName>
    <definedName name="IQ_EMPLOYEES" hidden="1">"c392"</definedName>
    <definedName name="IQ_ENTERPRISE_VALUE" hidden="1">"c1348"</definedName>
    <definedName name="IQ_ENTREPRENEURAL_PROPERTY_INC" hidden="1">"c6859"</definedName>
    <definedName name="IQ_ENTREPRENEURAL_PROPERTY_INC_APR" hidden="1">"c7519"</definedName>
    <definedName name="IQ_ENTREPRENEURAL_PROPERTY_INC_APR_FC" hidden="1">"c8399"</definedName>
    <definedName name="IQ_ENTREPRENEURAL_PROPERTY_INC_FC" hidden="1">"c7739"</definedName>
    <definedName name="IQ_ENTREPRENEURAL_PROPERTY_INC_POP" hidden="1">"c7079"</definedName>
    <definedName name="IQ_ENTREPRENEURAL_PROPERTY_INC_POP_FC" hidden="1">"c7959"</definedName>
    <definedName name="IQ_ENTREPRENEURAL_PROPERTY_INC_YOY" hidden="1">"c7299"</definedName>
    <definedName name="IQ_ENTREPRENEURAL_PROPERTY_INC_YOY_FC" hidden="1">"c8179"</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 hidden="1">"c2213"</definedName>
    <definedName name="IQ_EPS_ACT_OR_EST_CIQ" hidden="1">"c5058"</definedName>
    <definedName name="IQ_EPS_AP" hidden="1">"c8880"</definedName>
    <definedName name="IQ_EPS_AP_ABS" hidden="1">"c8899"</definedName>
    <definedName name="IQ_EPS_EST" hidden="1">"c399"</definedName>
    <definedName name="IQ_EPS_EST_CIQ" hidden="1">"c4994"</definedName>
    <definedName name="IQ_EPS_EST_REUT" hidden="1">"c5453"</definedName>
    <definedName name="IQ_EPS_GW_ACT_OR_EST_CIQ" hidden="1">"c5066"</definedName>
    <definedName name="IQ_EPS_GW_EST" hidden="1">"c1737"</definedName>
    <definedName name="IQ_EPS_GW_EST_CIQ" hidden="1">"c4723"</definedName>
    <definedName name="IQ_EPS_GW_EST_REUT" hidden="1">"c5389"</definedName>
    <definedName name="IQ_EPS_GW_HIGH_EST" hidden="1">"c1739"</definedName>
    <definedName name="IQ_EPS_GW_HIGH_EST_CIQ" hidden="1">"c4725"</definedName>
    <definedName name="IQ_EPS_GW_HIGH_EST_REUT" hidden="1">"c5391"</definedName>
    <definedName name="IQ_EPS_GW_LOW_EST" hidden="1">"c1740"</definedName>
    <definedName name="IQ_EPS_GW_LOW_EST_CIQ" hidden="1">"c4726"</definedName>
    <definedName name="IQ_EPS_GW_LOW_EST_REUT" hidden="1">"c5392"</definedName>
    <definedName name="IQ_EPS_GW_MEDIAN_EST" hidden="1">"c1738"</definedName>
    <definedName name="IQ_EPS_GW_MEDIAN_EST_CIQ" hidden="1">"c4724"</definedName>
    <definedName name="IQ_EPS_GW_MEDIAN_EST_REUT" hidden="1">"c5390"</definedName>
    <definedName name="IQ_EPS_GW_NUM_EST" hidden="1">"c1741"</definedName>
    <definedName name="IQ_EPS_GW_NUM_EST_CIQ" hidden="1">"c4727"</definedName>
    <definedName name="IQ_EPS_GW_NUM_EST_REUT" hidden="1">"c5393"</definedName>
    <definedName name="IQ_EPS_GW_STDDEV_EST" hidden="1">"c1742"</definedName>
    <definedName name="IQ_EPS_GW_STDDEV_EST_CIQ" hidden="1">"c4728"</definedName>
    <definedName name="IQ_EPS_GW_STDDEV_EST_REUT" hidden="1">"c5394"</definedName>
    <definedName name="IQ_EPS_HIGH_EST" hidden="1">"c400"</definedName>
    <definedName name="IQ_EPS_HIGH_EST_CIQ" hidden="1">"c4995"</definedName>
    <definedName name="IQ_EPS_HIGH_EST_REUT" hidden="1">"c5454"</definedName>
    <definedName name="IQ_EPS_LOW_EST" hidden="1">"c401"</definedName>
    <definedName name="IQ_EPS_LOW_EST_CIQ" hidden="1">"c4996"</definedName>
    <definedName name="IQ_EPS_LOW_EST_REUT" hidden="1">"c5455"</definedName>
    <definedName name="IQ_EPS_MEDIAN_EST" hidden="1">"c1661"</definedName>
    <definedName name="IQ_EPS_MEDIAN_EST_CIQ" hidden="1">"c4997"</definedName>
    <definedName name="IQ_EPS_MEDIAN_EST_REUT" hidden="1">"c5456"</definedName>
    <definedName name="IQ_EPS_NAME_AP" hidden="1">"c8918"</definedName>
    <definedName name="IQ_EPS_NAME_AP_ABS" hidden="1">"c8937"</definedName>
    <definedName name="IQ_EPS_NORM" hidden="1">"c1902"</definedName>
    <definedName name="IQ_EPS_NORM_EST" hidden="1">"c2226"</definedName>
    <definedName name="IQ_EPS_NORM_EST_CIQ" hidden="1">"c4667"</definedName>
    <definedName name="IQ_EPS_NORM_EST_REUT" hidden="1">"c5326"</definedName>
    <definedName name="IQ_EPS_NORM_HIGH_EST" hidden="1">"c2228"</definedName>
    <definedName name="IQ_EPS_NORM_HIGH_EST_CIQ" hidden="1">"c4669"</definedName>
    <definedName name="IQ_EPS_NORM_HIGH_EST_REUT" hidden="1">"c5328"</definedName>
    <definedName name="IQ_EPS_NORM_LOW_EST" hidden="1">"c2229"</definedName>
    <definedName name="IQ_EPS_NORM_LOW_EST_CIQ" hidden="1">"c4670"</definedName>
    <definedName name="IQ_EPS_NORM_LOW_EST_REUT" hidden="1">"c5329"</definedName>
    <definedName name="IQ_EPS_NORM_MEDIAN_EST" hidden="1">"c2227"</definedName>
    <definedName name="IQ_EPS_NORM_MEDIAN_EST_CIQ" hidden="1">"c4668"</definedName>
    <definedName name="IQ_EPS_NORM_MEDIAN_EST_REUT" hidden="1">"c5327"</definedName>
    <definedName name="IQ_EPS_NORM_NUM_EST" hidden="1">"c2230"</definedName>
    <definedName name="IQ_EPS_NORM_NUM_EST_CIQ" hidden="1">"c4671"</definedName>
    <definedName name="IQ_EPS_NORM_NUM_EST_REUT" hidden="1">"c5330"</definedName>
    <definedName name="IQ_EPS_NORM_STDDEV_EST" hidden="1">"c2231"</definedName>
    <definedName name="IQ_EPS_NORM_STDDEV_EST_CIQ" hidden="1">"c4672"</definedName>
    <definedName name="IQ_EPS_NORM_STDDEV_EST_REUT" hidden="1">"c5331"</definedName>
    <definedName name="IQ_EPS_NUM_EST" hidden="1">"c402"</definedName>
    <definedName name="IQ_EPS_NUM_EST_CIQ" hidden="1">"c4992"</definedName>
    <definedName name="IQ_EPS_NUM_EST_REUT" hidden="1">"c5451"</definedName>
    <definedName name="IQ_EPS_REPORT_ACT_OR_EST_CIQ" hidden="1">"c5067"</definedName>
    <definedName name="IQ_EPS_REPORTED_EST" hidden="1">"c1744"</definedName>
    <definedName name="IQ_EPS_REPORTED_EST_CIQ" hidden="1">"c4730"</definedName>
    <definedName name="IQ_EPS_REPORTED_EST_REUT" hidden="1">"c5396"</definedName>
    <definedName name="IQ_EPS_REPORTED_HIGH_EST" hidden="1">"c1746"</definedName>
    <definedName name="IQ_EPS_REPORTED_HIGH_EST_CIQ" hidden="1">"c4732"</definedName>
    <definedName name="IQ_EPS_REPORTED_HIGH_EST_REUT" hidden="1">"c5398"</definedName>
    <definedName name="IQ_EPS_REPORTED_LOW_EST" hidden="1">"c1747"</definedName>
    <definedName name="IQ_EPS_REPORTED_LOW_EST_CIQ" hidden="1">"c4733"</definedName>
    <definedName name="IQ_EPS_REPORTED_LOW_EST_REUT" hidden="1">"c5399"</definedName>
    <definedName name="IQ_EPS_REPORTED_MEDIAN_EST" hidden="1">"c1745"</definedName>
    <definedName name="IQ_EPS_REPORTED_MEDIAN_EST_CIQ" hidden="1">"c4731"</definedName>
    <definedName name="IQ_EPS_REPORTED_MEDIAN_EST_REUT" hidden="1">"c5397"</definedName>
    <definedName name="IQ_EPS_REPORTED_NUM_EST" hidden="1">"c1748"</definedName>
    <definedName name="IQ_EPS_REPORTED_NUM_EST_CIQ" hidden="1">"c4734"</definedName>
    <definedName name="IQ_EPS_REPORTED_NUM_EST_REUT" hidden="1">"c5400"</definedName>
    <definedName name="IQ_EPS_REPORTED_STDDEV_EST" hidden="1">"c1749"</definedName>
    <definedName name="IQ_EPS_REPORTED_STDDEV_EST_CIQ" hidden="1">"c4735"</definedName>
    <definedName name="IQ_EPS_REPORTED_STDDEV_EST_REUT" hidden="1">"c5401"</definedName>
    <definedName name="IQ_EPS_SBC_ACT_OR_EST" hidden="1">"c4376"</definedName>
    <definedName name="IQ_EPS_SBC_ACT_OR_EST_CIQ" hidden="1">"c4901"</definedName>
    <definedName name="IQ_EPS_SBC_GW_ACT_OR_EST" hidden="1">"c4380"</definedName>
    <definedName name="IQ_EPS_SBC_GW_ACT_OR_EST_CIQ" hidden="1">"c4905"</definedName>
    <definedName name="IQ_EPS_STDDEV_EST" hidden="1">"c403"</definedName>
    <definedName name="IQ_EPS_STDDEV_EST_CIQ" hidden="1">"c4993"</definedName>
    <definedName name="IQ_EPS_STDDEV_EST_REUT" hidden="1">"c5452"</definedName>
    <definedName name="IQ_EQUITY_AFFIL" hidden="1">"c1451"</definedName>
    <definedName name="IQ_EQUITY_AP" hidden="1">"c8887"</definedName>
    <definedName name="IQ_EQUITY_AP_ABS" hidden="1">"c8906"</definedName>
    <definedName name="IQ_EQUITY_CAPITAL_ASSETS_FDIC" hidden="1">"c6744"</definedName>
    <definedName name="IQ_EQUITY_FDIC" hidden="1">"c6353"</definedName>
    <definedName name="IQ_EQUITY_METHOD" hidden="1">"c404"</definedName>
    <definedName name="IQ_EQUITY_NAME_AP" hidden="1">"c8925"</definedName>
    <definedName name="IQ_EQUITY_NAME_AP_ABS" hidden="1">"c8944"</definedName>
    <definedName name="IQ_EQUITY_SECURITIES_FDIC" hidden="1">"c6304"</definedName>
    <definedName name="IQ_EQUITY_SECURITY_EXPOSURES_FDIC" hidden="1">"c6664"</definedName>
    <definedName name="IQ_EQV_OVER_BV" hidden="1">"c1596"</definedName>
    <definedName name="IQ_EQV_OVER_LTM_PRETAX_INC" hidden="1">"c1390"</definedName>
    <definedName name="IQ_ESOP_DEBT" hidden="1">"c1597"</definedName>
    <definedName name="IQ_EST_ACT_EPS" hidden="1">"c1648"</definedName>
    <definedName name="IQ_EST_ACT_EPS_GW" hidden="1">"c1743"</definedName>
    <definedName name="IQ_EST_ACT_EPS_GW_CIQ" hidden="1">"c4729"</definedName>
    <definedName name="IQ_EST_ACT_EPS_GW_REUT" hidden="1">"c5395"</definedName>
    <definedName name="IQ_EST_ACT_EPS_NORM" hidden="1">"c2232"</definedName>
    <definedName name="IQ_EST_ACT_EPS_NORM_CIQ" hidden="1">"c4673"</definedName>
    <definedName name="IQ_EST_ACT_EPS_NORM_REUT" hidden="1">"c5332"</definedName>
    <definedName name="IQ_EST_ACT_EPS_REPORTED" hidden="1">"c1750"</definedName>
    <definedName name="IQ_EST_ACT_EPS_REPORTED_CIQ" hidden="1">"c4736"</definedName>
    <definedName name="IQ_EST_ACT_EPS_REPORTED_REUT" hidden="1">"c5402"</definedName>
    <definedName name="IQ_EST_CURRENCY" hidden="1">"c2140"</definedName>
    <definedName name="IQ_EST_CURRENCY_CIQ" hidden="1">"c4769"</definedName>
    <definedName name="IQ_EST_CURRENCY_REUT" hidden="1">"c5437"</definedName>
    <definedName name="IQ_EST_DATE" hidden="1">"c1634"</definedName>
    <definedName name="IQ_EST_DATE_CIQ" hidden="1">"c4770"</definedName>
    <definedName name="IQ_EST_DATE_REUT" hidden="1">"c5438"</definedName>
    <definedName name="IQ_EST_EPS_DIFF" hidden="1">"c1864"</definedName>
    <definedName name="IQ_EST_EPS_GROWTH_1YR" hidden="1">"c1636"</definedName>
    <definedName name="IQ_EST_EPS_GROWTH_1YR_CIQ" hidden="1">"c3628"</definedName>
    <definedName name="IQ_EST_EPS_GROWTH_1YR_REUT" hidden="1">"c3646"</definedName>
    <definedName name="IQ_EST_EPS_GROWTH_5YR" hidden="1">"c1655"</definedName>
    <definedName name="IQ_EST_EPS_GROWTH_5YR_CIQ" hidden="1">"c3615"</definedName>
    <definedName name="IQ_EST_EPS_GROWTH_5YR_HIGH" hidden="1">"c1657"</definedName>
    <definedName name="IQ_EST_EPS_GROWTH_5YR_HIGH_CIQ" hidden="1">"c4663"</definedName>
    <definedName name="IQ_EST_EPS_GROWTH_5YR_LOW" hidden="1">"c1658"</definedName>
    <definedName name="IQ_EST_EPS_GROWTH_5YR_LOW_CIQ" hidden="1">"c4664"</definedName>
    <definedName name="IQ_EST_EPS_GROWTH_5YR_MEDIAN" hidden="1">"c1656"</definedName>
    <definedName name="IQ_EST_EPS_GROWTH_5YR_MEDIAN_CIQ" hidden="1">"c5480"</definedName>
    <definedName name="IQ_EST_EPS_GROWTH_5YR_NUM" hidden="1">"c1659"</definedName>
    <definedName name="IQ_EST_EPS_GROWTH_5YR_NUM_CIQ" hidden="1">"c4665"</definedName>
    <definedName name="IQ_EST_EPS_GROWTH_5YR_REUT" hidden="1">"c3633"</definedName>
    <definedName name="IQ_EST_EPS_GROWTH_5YR_STDDEV" hidden="1">"c1660"</definedName>
    <definedName name="IQ_EST_EPS_GROWTH_5YR_STDDEV_CIQ" hidden="1">"c4666"</definedName>
    <definedName name="IQ_EST_EPS_GROWTH_Q_1YR" hidden="1">"c1641"</definedName>
    <definedName name="IQ_EST_EPS_GROWTH_Q_1YR_CIQ" hidden="1">"c4744"</definedName>
    <definedName name="IQ_EST_EPS_GROWTH_Q_1YR_REUT" hidden="1">"c5410"</definedName>
    <definedName name="IQ_EST_EPS_GW_DIFF" hidden="1">"c1891"</definedName>
    <definedName name="IQ_EST_EPS_GW_DIFF_CIQ" hidden="1">"c4761"</definedName>
    <definedName name="IQ_EST_EPS_GW_DIFF_REUT" hidden="1">"c5429"</definedName>
    <definedName name="IQ_EST_EPS_GW_SURPRISE_PERCENT" hidden="1">"c1892"</definedName>
    <definedName name="IQ_EST_EPS_GW_SURPRISE_PERCENT_CIQ" hidden="1">"c4762"</definedName>
    <definedName name="IQ_EST_EPS_GW_SURPRISE_PERCENT_REUT" hidden="1">"c5430"</definedName>
    <definedName name="IQ_EST_EPS_NORM_DIFF" hidden="1">"c2247"</definedName>
    <definedName name="IQ_EST_EPS_NORM_DIFF_CIQ" hidden="1">"c4745"</definedName>
    <definedName name="IQ_EST_EPS_NORM_DIFF_REUT" hidden="1">"c5411"</definedName>
    <definedName name="IQ_EST_EPS_NORM_SURPRISE_PERCENT" hidden="1">"c2248"</definedName>
    <definedName name="IQ_EST_EPS_NORM_SURPRISE_PERCENT_CIQ" hidden="1">"c4746"</definedName>
    <definedName name="IQ_EST_EPS_NORM_SURPRISE_PERCENT_REUT" hidden="1">"c5412"</definedName>
    <definedName name="IQ_EST_EPS_REPORT_DIFF" hidden="1">"c1893"</definedName>
    <definedName name="IQ_EST_EPS_REPORT_DIFF_CIQ" hidden="1">"c4763"</definedName>
    <definedName name="IQ_EST_EPS_REPORT_DIFF_REUT" hidden="1">"c5431"</definedName>
    <definedName name="IQ_EST_EPS_REPORT_SURPRISE_PERCENT" hidden="1">"c1894"</definedName>
    <definedName name="IQ_EST_EPS_REPORT_SURPRISE_PERCENT_CIQ" hidden="1">"c4764"</definedName>
    <definedName name="IQ_EST_EPS_REPORT_SURPRISE_PERCENT_REUT" hidden="1">"c5432"</definedName>
    <definedName name="IQ_EST_FOOTNOTE" hidden="1">"c4540"</definedName>
    <definedName name="IQ_EST_FOOTNOTE_CIQ" hidden="1">"c12022"</definedName>
    <definedName name="IQ_EST_VENDOR" hidden="1">"c5564"</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ENSES_AP" hidden="1">"c8875"</definedName>
    <definedName name="IQ_EXPENSES_AP_ABS" hidden="1">"c8894"</definedName>
    <definedName name="IQ_EXPENSES_NAME_AP" hidden="1">"c8913"</definedName>
    <definedName name="IQ_EXPENSES_NAME_AP_ABS" hidden="1">"c8932"</definedName>
    <definedName name="IQ_EXPLORATION_EXPENDITURE_ALUM" hidden="1">"c9255"</definedName>
    <definedName name="IQ_EXPLORATION_EXPENDITURE_COAL" hidden="1">"c9827"</definedName>
    <definedName name="IQ_EXPLORATION_EXPENDITURE_COP" hidden="1">"c9202"</definedName>
    <definedName name="IQ_EXPLORATION_EXPENDITURE_DIAM" hidden="1">"c9679"</definedName>
    <definedName name="IQ_EXPLORATION_EXPENDITURE_GOLD" hidden="1">"c9040"</definedName>
    <definedName name="IQ_EXPLORATION_EXPENDITURE_IRON" hidden="1">"c9414"</definedName>
    <definedName name="IQ_EXPLORATION_EXPENDITURE_LEAD" hidden="1">"c9467"</definedName>
    <definedName name="IQ_EXPLORATION_EXPENDITURE_MANG" hidden="1">"c9520"</definedName>
    <definedName name="IQ_EXPLORATION_EXPENDITURE_MOLYB" hidden="1">"c9732"</definedName>
    <definedName name="IQ_EXPLORATION_EXPENDITURE_NICK" hidden="1">"c9308"</definedName>
    <definedName name="IQ_EXPLORATION_EXPENDITURE_PLAT" hidden="1">"c9146"</definedName>
    <definedName name="IQ_EXPLORATION_EXPENDITURE_SILVER" hidden="1">"c9093"</definedName>
    <definedName name="IQ_EXPLORATION_EXPENDITURE_TITAN" hidden="1">"c9573"</definedName>
    <definedName name="IQ_EXPLORATION_EXPENDITURE_URAN" hidden="1">"c9626"</definedName>
    <definedName name="IQ_EXPLORATION_EXPENDITURE_ZINC" hidden="1">"c9361"</definedName>
    <definedName name="IQ_EXPLORE_DRILL" hidden="1">"c409"</definedName>
    <definedName name="IQ_EXPORT_PRICE_INDEX" hidden="1">"c6860"</definedName>
    <definedName name="IQ_EXPORT_PRICE_INDEX_APR" hidden="1">"c7520"</definedName>
    <definedName name="IQ_EXPORT_PRICE_INDEX_APR_FC" hidden="1">"c8400"</definedName>
    <definedName name="IQ_EXPORT_PRICE_INDEX_FC" hidden="1">"c7740"</definedName>
    <definedName name="IQ_EXPORT_PRICE_INDEX_POP" hidden="1">"c7080"</definedName>
    <definedName name="IQ_EXPORT_PRICE_INDEX_POP_FC" hidden="1">"c7960"</definedName>
    <definedName name="IQ_EXPORT_PRICE_INDEX_YOY" hidden="1">"c7300"</definedName>
    <definedName name="IQ_EXPORT_PRICE_INDEX_YOY_FC" hidden="1">"c8180"</definedName>
    <definedName name="IQ_EXPORTS_APR_FC_UNUSED" hidden="1">"c8401"</definedName>
    <definedName name="IQ_EXPORTS_APR_UNUSED" hidden="1">"c7521"</definedName>
    <definedName name="IQ_EXPORTS_FACTOR_SERVICES" hidden="1">"c6862"</definedName>
    <definedName name="IQ_EXPORTS_FACTOR_SERVICES_APR" hidden="1">"c7522"</definedName>
    <definedName name="IQ_EXPORTS_FACTOR_SERVICES_APR_FC" hidden="1">"c8402"</definedName>
    <definedName name="IQ_EXPORTS_FACTOR_SERVICES_FC" hidden="1">"c7742"</definedName>
    <definedName name="IQ_EXPORTS_FACTOR_SERVICES_POP" hidden="1">"c7082"</definedName>
    <definedName name="IQ_EXPORTS_FACTOR_SERVICES_POP_FC" hidden="1">"c7962"</definedName>
    <definedName name="IQ_EXPORTS_FACTOR_SERVICES_SAAR" hidden="1">"c6863"</definedName>
    <definedName name="IQ_EXPORTS_FACTOR_SERVICES_SAAR_APR" hidden="1">"c7523"</definedName>
    <definedName name="IQ_EXPORTS_FACTOR_SERVICES_SAAR_APR_FC" hidden="1">"c8403"</definedName>
    <definedName name="IQ_EXPORTS_FACTOR_SERVICES_SAAR_FC" hidden="1">"c7743"</definedName>
    <definedName name="IQ_EXPORTS_FACTOR_SERVICES_SAAR_POP" hidden="1">"c7083"</definedName>
    <definedName name="IQ_EXPORTS_FACTOR_SERVICES_SAAR_POP_FC" hidden="1">"c7963"</definedName>
    <definedName name="IQ_EXPORTS_FACTOR_SERVICES_SAAR_USD_APR_FC" hidden="1">"c11817"</definedName>
    <definedName name="IQ_EXPORTS_FACTOR_SERVICES_SAAR_USD_FC" hidden="1">"c11814"</definedName>
    <definedName name="IQ_EXPORTS_FACTOR_SERVICES_SAAR_USD_POP_FC" hidden="1">"c11815"</definedName>
    <definedName name="IQ_EXPORTS_FACTOR_SERVICES_SAAR_USD_YOY_FC" hidden="1">"c11816"</definedName>
    <definedName name="IQ_EXPORTS_FACTOR_SERVICES_SAAR_YOY" hidden="1">"c7303"</definedName>
    <definedName name="IQ_EXPORTS_FACTOR_SERVICES_SAAR_YOY_FC" hidden="1">"c8183"</definedName>
    <definedName name="IQ_EXPORTS_FACTOR_SERVICES_USD_APR_FC" hidden="1">"c11813"</definedName>
    <definedName name="IQ_EXPORTS_FACTOR_SERVICES_USD_FC" hidden="1">"c11810"</definedName>
    <definedName name="IQ_EXPORTS_FACTOR_SERVICES_USD_POP_FC" hidden="1">"c11811"</definedName>
    <definedName name="IQ_EXPORTS_FACTOR_SERVICES_USD_YOY_FC" hidden="1">"c11812"</definedName>
    <definedName name="IQ_EXPORTS_FACTOR_SERVICES_YOY" hidden="1">"c7302"</definedName>
    <definedName name="IQ_EXPORTS_FACTOR_SERVICES_YOY_FC" hidden="1">"c8182"</definedName>
    <definedName name="IQ_EXPORTS_FC_UNUSED" hidden="1">"c7741"</definedName>
    <definedName name="IQ_EXPORTS_GOODS" hidden="1">"c6864"</definedName>
    <definedName name="IQ_EXPORTS_GOODS_APR" hidden="1">"c7524"</definedName>
    <definedName name="IQ_EXPORTS_GOODS_APR_FC" hidden="1">"c8404"</definedName>
    <definedName name="IQ_EXPORTS_GOODS_FC" hidden="1">"c7744"</definedName>
    <definedName name="IQ_EXPORTS_GOODS_NONFACTOR_SERVICES" hidden="1">"c6865"</definedName>
    <definedName name="IQ_EXPORTS_GOODS_NONFACTOR_SERVICES_APR" hidden="1">"c7525"</definedName>
    <definedName name="IQ_EXPORTS_GOODS_NONFACTOR_SERVICES_APR_FC" hidden="1">"c8405"</definedName>
    <definedName name="IQ_EXPORTS_GOODS_NONFACTOR_SERVICES_FC" hidden="1">"c7745"</definedName>
    <definedName name="IQ_EXPORTS_GOODS_NONFACTOR_SERVICES_POP" hidden="1">"c7085"</definedName>
    <definedName name="IQ_EXPORTS_GOODS_NONFACTOR_SERVICES_POP_FC" hidden="1">"c7965"</definedName>
    <definedName name="IQ_EXPORTS_GOODS_NONFACTOR_SERVICES_YOY" hidden="1">"c7305"</definedName>
    <definedName name="IQ_EXPORTS_GOODS_NONFACTOR_SERVICES_YOY_FC" hidden="1">"c8185"</definedName>
    <definedName name="IQ_EXPORTS_GOODS_POP" hidden="1">"c7084"</definedName>
    <definedName name="IQ_EXPORTS_GOODS_POP_FC" hidden="1">"c7964"</definedName>
    <definedName name="IQ_EXPORTS_GOODS_REAL" hidden="1">"c6973"</definedName>
    <definedName name="IQ_EXPORTS_GOODS_REAL_APR" hidden="1">"c7633"</definedName>
    <definedName name="IQ_EXPORTS_GOODS_REAL_APR_FC" hidden="1">"c8513"</definedName>
    <definedName name="IQ_EXPORTS_GOODS_REAL_FC" hidden="1">"c7853"</definedName>
    <definedName name="IQ_EXPORTS_GOODS_REAL_POP" hidden="1">"c7193"</definedName>
    <definedName name="IQ_EXPORTS_GOODS_REAL_POP_FC" hidden="1">"c8073"</definedName>
    <definedName name="IQ_EXPORTS_GOODS_REAL_SAAR" hidden="1">"c11930"</definedName>
    <definedName name="IQ_EXPORTS_GOODS_REAL_SAAR_APR" hidden="1">"c11933"</definedName>
    <definedName name="IQ_EXPORTS_GOODS_REAL_SAAR_APR_FC_UNUSED" hidden="1">"c8512"</definedName>
    <definedName name="IQ_EXPORTS_GOODS_REAL_SAAR_APR_UNUSED" hidden="1">"c7632"</definedName>
    <definedName name="IQ_EXPORTS_GOODS_REAL_SAAR_FC_UNUSED" hidden="1">"c7852"</definedName>
    <definedName name="IQ_EXPORTS_GOODS_REAL_SAAR_POP" hidden="1">"c11931"</definedName>
    <definedName name="IQ_EXPORTS_GOODS_REAL_SAAR_POP_FC_UNUSED" hidden="1">"c8072"</definedName>
    <definedName name="IQ_EXPORTS_GOODS_REAL_SAAR_POP_UNUSED" hidden="1">"c7192"</definedName>
    <definedName name="IQ_EXPORTS_GOODS_REAL_SAAR_UNUSED" hidden="1">"c6972"</definedName>
    <definedName name="IQ_EXPORTS_GOODS_REAL_SAAR_YOY" hidden="1">"c11932"</definedName>
    <definedName name="IQ_EXPORTS_GOODS_REAL_SAAR_YOY_FC_UNUSED" hidden="1">"c8292"</definedName>
    <definedName name="IQ_EXPORTS_GOODS_REAL_SAAR_YOY_UNUSED" hidden="1">"c7412"</definedName>
    <definedName name="IQ_EXPORTS_GOODS_REAL_YOY" hidden="1">"c7413"</definedName>
    <definedName name="IQ_EXPORTS_GOODS_REAL_YOY_FC" hidden="1">"c8293"</definedName>
    <definedName name="IQ_EXPORTS_GOODS_SERVICES" hidden="1">"c6866"</definedName>
    <definedName name="IQ_EXPORTS_GOODS_SERVICES_APR" hidden="1">"c7526"</definedName>
    <definedName name="IQ_EXPORTS_GOODS_SERVICES_APR_FC" hidden="1">"c8406"</definedName>
    <definedName name="IQ_EXPORTS_GOODS_SERVICES_FC" hidden="1">"c7746"</definedName>
    <definedName name="IQ_EXPORTS_GOODS_SERVICES_POP" hidden="1">"c7086"</definedName>
    <definedName name="IQ_EXPORTS_GOODS_SERVICES_POP_FC" hidden="1">"c7966"</definedName>
    <definedName name="IQ_EXPORTS_GOODS_SERVICES_REAL" hidden="1">"c6974"</definedName>
    <definedName name="IQ_EXPORTS_GOODS_SERVICES_REAL_APR" hidden="1">"c7634"</definedName>
    <definedName name="IQ_EXPORTS_GOODS_SERVICES_REAL_APR_FC" hidden="1">"c8514"</definedName>
    <definedName name="IQ_EXPORTS_GOODS_SERVICES_REAL_FC" hidden="1">"c7854"</definedName>
    <definedName name="IQ_EXPORTS_GOODS_SERVICES_REAL_POP" hidden="1">"c7194"</definedName>
    <definedName name="IQ_EXPORTS_GOODS_SERVICES_REAL_POP_FC" hidden="1">"c8074"</definedName>
    <definedName name="IQ_EXPORTS_GOODS_SERVICES_REAL_SAAR" hidden="1">"c6975"</definedName>
    <definedName name="IQ_EXPORTS_GOODS_SERVICES_REAL_SAAR_APR" hidden="1">"c7635"</definedName>
    <definedName name="IQ_EXPORTS_GOODS_SERVICES_REAL_SAAR_APR_FC" hidden="1">"c8515"</definedName>
    <definedName name="IQ_EXPORTS_GOODS_SERVICES_REAL_SAAR_FC" hidden="1">"c7855"</definedName>
    <definedName name="IQ_EXPORTS_GOODS_SERVICES_REAL_SAAR_POP" hidden="1">"c7195"</definedName>
    <definedName name="IQ_EXPORTS_GOODS_SERVICES_REAL_SAAR_POP_FC" hidden="1">"c8075"</definedName>
    <definedName name="IQ_EXPORTS_GOODS_SERVICES_REAL_SAAR_YOY" hidden="1">"c7415"</definedName>
    <definedName name="IQ_EXPORTS_GOODS_SERVICES_REAL_SAAR_YOY_FC" hidden="1">"c8295"</definedName>
    <definedName name="IQ_EXPORTS_GOODS_SERVICES_REAL_USD" hidden="1">"c11926"</definedName>
    <definedName name="IQ_EXPORTS_GOODS_SERVICES_REAL_USD_APR" hidden="1">"c11929"</definedName>
    <definedName name="IQ_EXPORTS_GOODS_SERVICES_REAL_USD_POP" hidden="1">"c11927"</definedName>
    <definedName name="IQ_EXPORTS_GOODS_SERVICES_REAL_USD_YOY" hidden="1">"c11928"</definedName>
    <definedName name="IQ_EXPORTS_GOODS_SERVICES_REAL_YOY" hidden="1">"c7414"</definedName>
    <definedName name="IQ_EXPORTS_GOODS_SERVICES_REAL_YOY_FC" hidden="1">"c8294"</definedName>
    <definedName name="IQ_EXPORTS_GOODS_SERVICES_SAAR" hidden="1">"c6867"</definedName>
    <definedName name="IQ_EXPORTS_GOODS_SERVICES_SAAR_APR" hidden="1">"c7527"</definedName>
    <definedName name="IQ_EXPORTS_GOODS_SERVICES_SAAR_APR_FC" hidden="1">"c8407"</definedName>
    <definedName name="IQ_EXPORTS_GOODS_SERVICES_SAAR_FC" hidden="1">"c7747"</definedName>
    <definedName name="IQ_EXPORTS_GOODS_SERVICES_SAAR_POP" hidden="1">"c7087"</definedName>
    <definedName name="IQ_EXPORTS_GOODS_SERVICES_SAAR_POP_FC" hidden="1">"c7967"</definedName>
    <definedName name="IQ_EXPORTS_GOODS_SERVICES_SAAR_YOY" hidden="1">"c7307"</definedName>
    <definedName name="IQ_EXPORTS_GOODS_SERVICES_SAAR_YOY_FC" hidden="1">"c8187"</definedName>
    <definedName name="IQ_EXPORTS_GOODS_SERVICES_USD" hidden="1">"c11822"</definedName>
    <definedName name="IQ_EXPORTS_GOODS_SERVICES_USD_APR" hidden="1">"c11825"</definedName>
    <definedName name="IQ_EXPORTS_GOODS_SERVICES_USD_POP" hidden="1">"c11823"</definedName>
    <definedName name="IQ_EXPORTS_GOODS_SERVICES_USD_YOY" hidden="1">"c11824"</definedName>
    <definedName name="IQ_EXPORTS_GOODS_SERVICES_YOY" hidden="1">"c7306"</definedName>
    <definedName name="IQ_EXPORTS_GOODS_SERVICES_YOY_FC" hidden="1">"c8186"</definedName>
    <definedName name="IQ_EXPORTS_GOODS_USD" hidden="1">"c11818"</definedName>
    <definedName name="IQ_EXPORTS_GOODS_USD_APR" hidden="1">"c11821"</definedName>
    <definedName name="IQ_EXPORTS_GOODS_USD_POP" hidden="1">"c11819"</definedName>
    <definedName name="IQ_EXPORTS_GOODS_USD_YOY" hidden="1">"c11820"</definedName>
    <definedName name="IQ_EXPORTS_GOODS_YOY" hidden="1">"c7304"</definedName>
    <definedName name="IQ_EXPORTS_GOODS_YOY_FC" hidden="1">"c8184"</definedName>
    <definedName name="IQ_EXPORTS_NONFACTOR_SERVICES" hidden="1">"c6868"</definedName>
    <definedName name="IQ_EXPORTS_NONFACTOR_SERVICES_APR" hidden="1">"c7528"</definedName>
    <definedName name="IQ_EXPORTS_NONFACTOR_SERVICES_APR_FC" hidden="1">"c8408"</definedName>
    <definedName name="IQ_EXPORTS_NONFACTOR_SERVICES_FC" hidden="1">"c7748"</definedName>
    <definedName name="IQ_EXPORTS_NONFACTOR_SERVICES_POP" hidden="1">"c7088"</definedName>
    <definedName name="IQ_EXPORTS_NONFACTOR_SERVICES_POP_FC" hidden="1">"c7968"</definedName>
    <definedName name="IQ_EXPORTS_NONFACTOR_SERVICES_YOY" hidden="1">"c7308"</definedName>
    <definedName name="IQ_EXPORTS_NONFACTOR_SERVICES_YOY_FC" hidden="1">"c8188"</definedName>
    <definedName name="IQ_EXPORTS_POP_FC_UNUSED" hidden="1">"c7961"</definedName>
    <definedName name="IQ_EXPORTS_POP_UNUSED" hidden="1">"c7081"</definedName>
    <definedName name="IQ_EXPORTS_SERVICES_REAL" hidden="1">"c6977"</definedName>
    <definedName name="IQ_EXPORTS_SERVICES_REAL_APR" hidden="1">"c7637"</definedName>
    <definedName name="IQ_EXPORTS_SERVICES_REAL_APR_FC" hidden="1">"c8517"</definedName>
    <definedName name="IQ_EXPORTS_SERVICES_REAL_FC" hidden="1">"c7857"</definedName>
    <definedName name="IQ_EXPORTS_SERVICES_REAL_POP" hidden="1">"c7197"</definedName>
    <definedName name="IQ_EXPORTS_SERVICES_REAL_POP_FC" hidden="1">"c8077"</definedName>
    <definedName name="IQ_EXPORTS_SERVICES_REAL_SAAR" hidden="1">"c11934"</definedName>
    <definedName name="IQ_EXPORTS_SERVICES_REAL_SAAR_APR" hidden="1">"c11937"</definedName>
    <definedName name="IQ_EXPORTS_SERVICES_REAL_SAAR_APR_FC_UNUSED" hidden="1">"c8516"</definedName>
    <definedName name="IQ_EXPORTS_SERVICES_REAL_SAAR_APR_UNUSED" hidden="1">"c7636"</definedName>
    <definedName name="IQ_EXPORTS_SERVICES_REAL_SAAR_FC_UNUSED" hidden="1">"c7856"</definedName>
    <definedName name="IQ_EXPORTS_SERVICES_REAL_SAAR_POP" hidden="1">"c11935"</definedName>
    <definedName name="IQ_EXPORTS_SERVICES_REAL_SAAR_POP_FC_UNUSED" hidden="1">"c8076"</definedName>
    <definedName name="IQ_EXPORTS_SERVICES_REAL_SAAR_POP_UNUSED" hidden="1">"c7196"</definedName>
    <definedName name="IQ_EXPORTS_SERVICES_REAL_SAAR_UNUSED" hidden="1">"c6976"</definedName>
    <definedName name="IQ_EXPORTS_SERVICES_REAL_SAAR_YOY" hidden="1">"c11936"</definedName>
    <definedName name="IQ_EXPORTS_SERVICES_REAL_SAAR_YOY_FC_UNUSED" hidden="1">"c8296"</definedName>
    <definedName name="IQ_EXPORTS_SERVICES_REAL_SAAR_YOY_UNUSED" hidden="1">"c7416"</definedName>
    <definedName name="IQ_EXPORTS_SERVICES_REAL_YOY" hidden="1">"c7417"</definedName>
    <definedName name="IQ_EXPORTS_SERVICES_REAL_YOY_FC" hidden="1">"c8297"</definedName>
    <definedName name="IQ_EXPORTS_UNUSED" hidden="1">"c6861"</definedName>
    <definedName name="IQ_EXPORTS_USD" hidden="1">"c11806"</definedName>
    <definedName name="IQ_EXPORTS_USD_APR" hidden="1">"c11809"</definedName>
    <definedName name="IQ_EXPORTS_USD_POP" hidden="1">"c11807"</definedName>
    <definedName name="IQ_EXPORTS_USD_YOY" hidden="1">"c11808"</definedName>
    <definedName name="IQ_EXPORTS_YOY_FC_UNUSED" hidden="1">"c8181"</definedName>
    <definedName name="IQ_EXPORTS_YOY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ITEMS" hidden="1">"c1459"</definedName>
    <definedName name="IQ_EXTRAORDINARY_GAINS_FDIC" hidden="1">"c6586"</definedName>
    <definedName name="IQ_FAD" hidden="1">"c8757"</definedName>
    <definedName name="IQ_FAD_PAYOUT_RATIO" hidden="1">"c8872"</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DIC" hidden="1">"c417"</definedName>
    <definedName name="IQ_FED_BUDGET_RECEIPTS" hidden="1">"c6869"</definedName>
    <definedName name="IQ_FED_BUDGET_RECEIPTS_APR" hidden="1">"c7529"</definedName>
    <definedName name="IQ_FED_BUDGET_RECEIPTS_APR_FC" hidden="1">"c8409"</definedName>
    <definedName name="IQ_FED_BUDGET_RECEIPTS_FC" hidden="1">"c7749"</definedName>
    <definedName name="IQ_FED_BUDGET_RECEIPTS_POP" hidden="1">"c7089"</definedName>
    <definedName name="IQ_FED_BUDGET_RECEIPTS_POP_FC" hidden="1">"c7969"</definedName>
    <definedName name="IQ_FED_BUDGET_RECEIPTS_YOY" hidden="1">"c7309"</definedName>
    <definedName name="IQ_FED_BUDGET_RECEIPTS_YOY_FC" hidden="1">"c8189"</definedName>
    <definedName name="IQ_FED_FUNDS_PURCHASED_FDIC" hidden="1">"c6343"</definedName>
    <definedName name="IQ_FED_FUNDS_SOLD_FDIC" hidden="1">"c6307"</definedName>
    <definedName name="IQ_FEDFUNDS_SOLD" hidden="1">"c2256"</definedName>
    <definedName name="IQ_FFO" hidden="1">"c1574"</definedName>
    <definedName name="IQ_FFO_ADJ_ACT_OR_EST" hidden="1">"c4435"</definedName>
    <definedName name="IQ_FFO_ADJ_ACT_OR_EST_CIQ" hidden="1">"c4960"</definedName>
    <definedName name="IQ_FFO_PAYOUT_RATIO" hidden="1">"c3492"</definedName>
    <definedName name="IQ_FFO_PER_SHARE_BASIC" hidden="1">"c8867"</definedName>
    <definedName name="IQ_FFO_PER_SHARE_DILUTED" hidden="1">"c8868"</definedName>
    <definedName name="IQ_FFO_SHARE_ACT_OR_EST" hidden="1">"c4446"</definedName>
    <definedName name="IQ_FFO_SHARE_ACT_OR_EST_CIQ" hidden="1">"c4971"</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FETEEN_YEAR_FIXED_AND_FLOATING_RATE_FDIC" hidden="1">"c6423"</definedName>
    <definedName name="IQ_FIFETEEN_YEAR_MORTGAGE_PASS_THROUGHS_FDIC" hidden="1">"c6415"</definedName>
    <definedName name="IQ_FILING_CURRENCY" hidden="1">"c2129"</definedName>
    <definedName name="IQ_FILING_CURRENCY_AP" hidden="1">"c11747"</definedName>
    <definedName name="IQ_FILINGDATE_BS" hidden="1">"c424"</definedName>
    <definedName name="IQ_FILINGDATE_CF" hidden="1">"c425"</definedName>
    <definedName name="IQ_FILINGDATE_IS" hidden="1">"c426"</definedName>
    <definedName name="IQ_FILM_RIGHTS" hidden="1">"c2254"</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DEBT_CURRENT" hidden="1">"c429"</definedName>
    <definedName name="IQ_FIN_DIV_DEBT_LT" hidden="1">"c430"</definedName>
    <definedName name="IQ_FIN_DIV_DEBT_TOTAL" hidden="1">"c5656"</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REV" hidden="1">"c437"</definedName>
    <definedName name="IQ_FIN_DIV_ST_DEBT_TOTAL" hidden="1">"c5527"</definedName>
    <definedName name="IQ_FIN_DIV_ST_INVEST" hidden="1">"c6288"</definedName>
    <definedName name="IQ_FINANCING_CASH" hidden="1">"c1405"</definedName>
    <definedName name="IQ_FINANCING_CASH_SUPPL" hidden="1">"c1406"</definedName>
    <definedName name="IQ_FINANCING_OBLIG_CURRENT" hidden="1">"c6190"</definedName>
    <definedName name="IQ_FINANCING_OBLIG_NON_CURRENT" hidden="1">"c6191"</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Q_EST" hidden="1">"c6794"</definedName>
    <definedName name="IQ_FISCAL_Q_EST_CIQ" hidden="1">"c6806"</definedName>
    <definedName name="IQ_FISCAL_Y" hidden="1">"c441"</definedName>
    <definedName name="IQ_FISCAL_Y_EST" hidden="1">"c6795"</definedName>
    <definedName name="IQ_FISCAL_Y_EST_CIQ" hidden="1">"c6807"</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_FREQUENCY" hidden="1">"c8964"</definedName>
    <definedName name="IQ_FIXED_ASSET_TURNS" hidden="1">"c445"</definedName>
    <definedName name="IQ_FIXED_INVEST_APR_FC_UNUSED" hidden="1">"c8410"</definedName>
    <definedName name="IQ_FIXED_INVEST_APR_UNUSED" hidden="1">"c7530"</definedName>
    <definedName name="IQ_FIXED_INVEST_FC_UNUSED" hidden="1">"c7750"</definedName>
    <definedName name="IQ_FIXED_INVEST_MACH_EQUIP" hidden="1">"c6871"</definedName>
    <definedName name="IQ_FIXED_INVEST_MACH_EQUIP_APR" hidden="1">"c7531"</definedName>
    <definedName name="IQ_FIXED_INVEST_MACH_EQUIP_APR_FC" hidden="1">"c8411"</definedName>
    <definedName name="IQ_FIXED_INVEST_MACH_EQUIP_FC" hidden="1">"c7751"</definedName>
    <definedName name="IQ_FIXED_INVEST_MACH_EQUIP_POP" hidden="1">"c7091"</definedName>
    <definedName name="IQ_FIXED_INVEST_MACH_EQUIP_POP_FC" hidden="1">"c7971"</definedName>
    <definedName name="IQ_FIXED_INVEST_MACH_EQUIP_REAL" hidden="1">"c6979"</definedName>
    <definedName name="IQ_FIXED_INVEST_MACH_EQUIP_REAL_APR" hidden="1">"c7639"</definedName>
    <definedName name="IQ_FIXED_INVEST_MACH_EQUIP_REAL_APR_FC" hidden="1">"c8519"</definedName>
    <definedName name="IQ_FIXED_INVEST_MACH_EQUIP_REAL_FC" hidden="1">"c7859"</definedName>
    <definedName name="IQ_FIXED_INVEST_MACH_EQUIP_REAL_POP" hidden="1">"c7199"</definedName>
    <definedName name="IQ_FIXED_INVEST_MACH_EQUIP_REAL_POP_FC" hidden="1">"c8079"</definedName>
    <definedName name="IQ_FIXED_INVEST_MACH_EQUIP_REAL_YOY" hidden="1">"c7419"</definedName>
    <definedName name="IQ_FIXED_INVEST_MACH_EQUIP_REAL_YOY_FC" hidden="1">"c8299"</definedName>
    <definedName name="IQ_FIXED_INVEST_MACH_EQUIP_YOY" hidden="1">"c7311"</definedName>
    <definedName name="IQ_FIXED_INVEST_MACH_EQUIP_YOY_FC" hidden="1">"c8191"</definedName>
    <definedName name="IQ_FIXED_INVEST_POP_FC_UNUSED" hidden="1">"c7970"</definedName>
    <definedName name="IQ_FIXED_INVEST_POP_UNUSED" hidden="1">"c7090"</definedName>
    <definedName name="IQ_FIXED_INVEST_REAL_APR_FC_UNUSED" hidden="1">"c8518"</definedName>
    <definedName name="IQ_FIXED_INVEST_REAL_APR_UNUSED" hidden="1">"c7638"</definedName>
    <definedName name="IQ_FIXED_INVEST_REAL_FC_UNUSED" hidden="1">"c7858"</definedName>
    <definedName name="IQ_FIXED_INVEST_REAL_POP_FC_UNUSED" hidden="1">"c8078"</definedName>
    <definedName name="IQ_FIXED_INVEST_REAL_POP_UNUSED" hidden="1">"c7198"</definedName>
    <definedName name="IQ_FIXED_INVEST_REAL_SAAR" hidden="1">"c6980"</definedName>
    <definedName name="IQ_FIXED_INVEST_REAL_SAAR_APR" hidden="1">"c7640"</definedName>
    <definedName name="IQ_FIXED_INVEST_REAL_SAAR_APR_FC" hidden="1">"c8520"</definedName>
    <definedName name="IQ_FIXED_INVEST_REAL_SAAR_FC" hidden="1">"c7860"</definedName>
    <definedName name="IQ_FIXED_INVEST_REAL_SAAR_POP" hidden="1">"c7200"</definedName>
    <definedName name="IQ_FIXED_INVEST_REAL_SAAR_POP_FC" hidden="1">"c8080"</definedName>
    <definedName name="IQ_FIXED_INVEST_REAL_SAAR_USD_APR_FC" hidden="1">"c11945"</definedName>
    <definedName name="IQ_FIXED_INVEST_REAL_SAAR_USD_FC" hidden="1">"c11942"</definedName>
    <definedName name="IQ_FIXED_INVEST_REAL_SAAR_USD_POP_FC" hidden="1">"c11943"</definedName>
    <definedName name="IQ_FIXED_INVEST_REAL_SAAR_USD_YOY_FC" hidden="1">"c11944"</definedName>
    <definedName name="IQ_FIXED_INVEST_REAL_SAAR_YOY" hidden="1">"c7420"</definedName>
    <definedName name="IQ_FIXED_INVEST_REAL_SAAR_YOY_FC" hidden="1">"c8300"</definedName>
    <definedName name="IQ_FIXED_INVEST_REAL_UNUSED" hidden="1">"c6978"</definedName>
    <definedName name="IQ_FIXED_INVEST_REAL_USD_APR_FC" hidden="1">"c11941"</definedName>
    <definedName name="IQ_FIXED_INVEST_REAL_USD_FC" hidden="1">"c11938"</definedName>
    <definedName name="IQ_FIXED_INVEST_REAL_USD_POP_FC" hidden="1">"c11939"</definedName>
    <definedName name="IQ_FIXED_INVEST_REAL_USD_YOY_FC" hidden="1">"c11940"</definedName>
    <definedName name="IQ_FIXED_INVEST_REAL_YOY_FC_UNUSED" hidden="1">"c8298"</definedName>
    <definedName name="IQ_FIXED_INVEST_REAL_YOY_UNUSED" hidden="1">"c7418"</definedName>
    <definedName name="IQ_FIXED_INVEST_SAAR" hidden="1">"c6872"</definedName>
    <definedName name="IQ_FIXED_INVEST_SAAR_APR" hidden="1">"c7532"</definedName>
    <definedName name="IQ_FIXED_INVEST_SAAR_APR_FC" hidden="1">"c8412"</definedName>
    <definedName name="IQ_FIXED_INVEST_SAAR_FC" hidden="1">"c7752"</definedName>
    <definedName name="IQ_FIXED_INVEST_SAAR_POP" hidden="1">"c7092"</definedName>
    <definedName name="IQ_FIXED_INVEST_SAAR_POP_FC" hidden="1">"c7972"</definedName>
    <definedName name="IQ_FIXED_INVEST_SAAR_USD_APR_FC" hidden="1">"c11833"</definedName>
    <definedName name="IQ_FIXED_INVEST_SAAR_USD_FC" hidden="1">"c11830"</definedName>
    <definedName name="IQ_FIXED_INVEST_SAAR_USD_POP_FC" hidden="1">"c11831"</definedName>
    <definedName name="IQ_FIXED_INVEST_SAAR_USD_YOY_FC" hidden="1">"c11832"</definedName>
    <definedName name="IQ_FIXED_INVEST_SAAR_YOY" hidden="1">"c7312"</definedName>
    <definedName name="IQ_FIXED_INVEST_SAAR_YOY_FC" hidden="1">"c8192"</definedName>
    <definedName name="IQ_FIXED_INVEST_UNUSED" hidden="1">"c6870"</definedName>
    <definedName name="IQ_FIXED_INVEST_USD_APR_FC" hidden="1">"c11829"</definedName>
    <definedName name="IQ_FIXED_INVEST_USD_FC" hidden="1">"c11826"</definedName>
    <definedName name="IQ_FIXED_INVEST_USD_POP_FC" hidden="1">"c11827"</definedName>
    <definedName name="IQ_FIXED_INVEST_USD_YOY_FC" hidden="1">"c11828"</definedName>
    <definedName name="IQ_FIXED_INVEST_YOY_FC_UNUSED" hidden="1">"c8190"</definedName>
    <definedName name="IQ_FIXED_INVEST_YOY_UNUSED" hidden="1">"c7310"</definedName>
    <definedName name="IQ_FLOAT_PERCENT" hidden="1">"c1575"</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NONTRANSACTION_ACCOUNTS_FDIC" hidden="1">"c6549"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LOANS" hidden="1">"c448"</definedName>
    <definedName name="IQ_FQ" hidden="1">500</definedName>
    <definedName name="IQ_FUEL" hidden="1">"c449"</definedName>
    <definedName name="IQ_FULL_TIME" hidden="1">"c450"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SPOT_FDIC" hidden="1">"c6356"</definedName>
    <definedName name="IQ_FY" hidden="1">1000</definedName>
    <definedName name="IQ_GA_EXP" hidden="1">"c2241"</definedName>
    <definedName name="IQ_GAAP_BS" hidden="1">"c6789"</definedName>
    <definedName name="IQ_GAAP_CF" hidden="1">"c6790"</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AIN_SALE_LOANS_FDIC" hidden="1">"c6673"</definedName>
    <definedName name="IQ_GAIN_SALE_RE_FDIC" hidden="1">"c6674"</definedName>
    <definedName name="IQ_GAINS_SALE_ASSETS_FDIC" hidden="1">"c6675"</definedName>
    <definedName name="IQ_GDP" hidden="1">"c6874"</definedName>
    <definedName name="IQ_GDP_APR" hidden="1">"c7534"</definedName>
    <definedName name="IQ_GDP_APR_FC" hidden="1">"c8414"</definedName>
    <definedName name="IQ_GDP_FC" hidden="1">"c7754"</definedName>
    <definedName name="IQ_GDP_POP" hidden="1">"c7094"</definedName>
    <definedName name="IQ_GDP_POP_FC" hidden="1">"c7974"</definedName>
    <definedName name="IQ_GDP_REAL" hidden="1">"c6981"</definedName>
    <definedName name="IQ_GDP_REAL_APR" hidden="1">"c7641"</definedName>
    <definedName name="IQ_GDP_REAL_APR_FC" hidden="1">"c8521"</definedName>
    <definedName name="IQ_GDP_REAL_FC" hidden="1">"c7861"</definedName>
    <definedName name="IQ_GDP_REAL_POP" hidden="1">"c7201"</definedName>
    <definedName name="IQ_GDP_REAL_POP_FC" hidden="1">"c8081"</definedName>
    <definedName name="IQ_GDP_REAL_SAAR" hidden="1">"c6982"</definedName>
    <definedName name="IQ_GDP_REAL_SAAR_APR" hidden="1">"c7642"</definedName>
    <definedName name="IQ_GDP_REAL_SAAR_APR_FC" hidden="1">"c8522"</definedName>
    <definedName name="IQ_GDP_REAL_SAAR_FC" hidden="1">"c7862"</definedName>
    <definedName name="IQ_GDP_REAL_SAAR_POP" hidden="1">"c7202"</definedName>
    <definedName name="IQ_GDP_REAL_SAAR_POP_FC" hidden="1">"c8082"</definedName>
    <definedName name="IQ_GDP_REAL_SAAR_YOY" hidden="1">"c7422"</definedName>
    <definedName name="IQ_GDP_REAL_SAAR_YOY_FC" hidden="1">"c8302"</definedName>
    <definedName name="IQ_GDP_REAL_USD" hidden="1">"c11946"</definedName>
    <definedName name="IQ_GDP_REAL_USD_APR" hidden="1">"c11949"</definedName>
    <definedName name="IQ_GDP_REAL_USD_POP" hidden="1">"c11947"</definedName>
    <definedName name="IQ_GDP_REAL_USD_YOY" hidden="1">"c11948"</definedName>
    <definedName name="IQ_GDP_REAL_YOY" hidden="1">"c7421"</definedName>
    <definedName name="IQ_GDP_REAL_YOY_FC" hidden="1">"c8301"</definedName>
    <definedName name="IQ_GDP_SAAR" hidden="1">"c6875"</definedName>
    <definedName name="IQ_GDP_SAAR_APR" hidden="1">"c7535"</definedName>
    <definedName name="IQ_GDP_SAAR_APR_FC" hidden="1">"c8415"</definedName>
    <definedName name="IQ_GDP_SAAR_FC" hidden="1">"c7755"</definedName>
    <definedName name="IQ_GDP_SAAR_POP" hidden="1">"c7095"</definedName>
    <definedName name="IQ_GDP_SAAR_POP_FC" hidden="1">"c7975"</definedName>
    <definedName name="IQ_GDP_SAAR_YOY" hidden="1">"c7315"</definedName>
    <definedName name="IQ_GDP_SAAR_YOY_FC" hidden="1">"c8195"</definedName>
    <definedName name="IQ_GDP_USD" hidden="1">"c11834"</definedName>
    <definedName name="IQ_GDP_USD_APR" hidden="1">"c11837"</definedName>
    <definedName name="IQ_GDP_USD_POP" hidden="1">"c11835"</definedName>
    <definedName name="IQ_GDP_USD_YOY" hidden="1">"c11836"</definedName>
    <definedName name="IQ_GDP_YOY" hidden="1">"c7314"</definedName>
    <definedName name="IQ_GDP_YOY_FC" hidden="1">"c8194"</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LA_PCT_LEASED_CONSOL" hidden="1">"c8810"</definedName>
    <definedName name="IQ_GLA_PCT_LEASED_MANAGED" hidden="1">"c8812"</definedName>
    <definedName name="IQ_GLA_PCT_LEASED_OTHER" hidden="1">"c8813"</definedName>
    <definedName name="IQ_GLA_PCT_LEASED_TOTAL" hidden="1">"c8814"</definedName>
    <definedName name="IQ_GLA_PCT_LEASED_UNCONSOL" hidden="1">"c8811"</definedName>
    <definedName name="IQ_GLA_SQ_FT_CONSOL" hidden="1">"c8790"</definedName>
    <definedName name="IQ_GLA_SQ_FT_MANAGED" hidden="1">"c8792"</definedName>
    <definedName name="IQ_GLA_SQ_FT_OTHER" hidden="1">"c8793"</definedName>
    <definedName name="IQ_GLA_SQ_FT_TOTAL" hidden="1">"c8794"</definedName>
    <definedName name="IQ_GLA_SQ_FT_UNCONSOL" hidden="1">"c8791"</definedName>
    <definedName name="IQ_GLA_SQ_METER_CONSOL" hidden="1">"c8795"</definedName>
    <definedName name="IQ_GLA_SQ_METER_MANAGED" hidden="1">"c8797"</definedName>
    <definedName name="IQ_GLA_SQ_METER_OTHER" hidden="1">"c8798"</definedName>
    <definedName name="IQ_GLA_SQ_METER_TOTAL" hidden="1">"c8799"</definedName>
    <definedName name="IQ_GLA_SQ_METER_UNCONSOL" hidden="1">"c8796"</definedName>
    <definedName name="IQ_GNMA_FDIC" hidden="1">"c6398"</definedName>
    <definedName name="IQ_GOODWILL_FDIC" hidden="1">"c6334"</definedName>
    <definedName name="IQ_GOODWILL_IMPAIRMENT_FDIC" hidden="1">"c6678"</definedName>
    <definedName name="IQ_GOODWILL_INTAN_FDIC" hidden="1">"c6333"</definedName>
    <definedName name="IQ_GOODWILL_NET" hidden="1">"c1380"</definedName>
    <definedName name="IQ_GOVT_PERSONAL_TAXES_RECEIPTS" hidden="1">"c6876"</definedName>
    <definedName name="IQ_GOVT_PERSONAL_TAXES_RECEIPTS_APR" hidden="1">"c7536"</definedName>
    <definedName name="IQ_GOVT_PERSONAL_TAXES_RECEIPTS_APR_FC" hidden="1">"c8416"</definedName>
    <definedName name="IQ_GOVT_PERSONAL_TAXES_RECEIPTS_FC" hidden="1">"c7756"</definedName>
    <definedName name="IQ_GOVT_PERSONAL_TAXES_RECEIPTS_POP" hidden="1">"c7096"</definedName>
    <definedName name="IQ_GOVT_PERSONAL_TAXES_RECEIPTS_POP_FC" hidden="1">"c7976"</definedName>
    <definedName name="IQ_GOVT_PERSONAL_TAXES_RECEIPTS_YOY" hidden="1">"c7316"</definedName>
    <definedName name="IQ_GOVT_PERSONAL_TAXES_RECEIPTS_YOY_FC" hidden="1">"c8196"</definedName>
    <definedName name="IQ_GOVT_RECEIPTS" hidden="1">"c6877"</definedName>
    <definedName name="IQ_GOVT_RECEIPTS_APR" hidden="1">"c7537"</definedName>
    <definedName name="IQ_GOVT_RECEIPTS_APR_FC" hidden="1">"c8417"</definedName>
    <definedName name="IQ_GOVT_RECEIPTS_FC" hidden="1">"c7757"</definedName>
    <definedName name="IQ_GOVT_RECEIPTS_POP" hidden="1">"c7097"</definedName>
    <definedName name="IQ_GOVT_RECEIPTS_POP_FC" hidden="1">"c7977"</definedName>
    <definedName name="IQ_GOVT_RECEIPTS_YOY" hidden="1">"c7317"</definedName>
    <definedName name="IQ_GOVT_RECEIPTS_YOY_FC" hidden="1">"c8197"</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SPRD" hidden="1">"c2155"</definedName>
    <definedName name="IQ_GROSS_WRITTEN" hidden="1">"c2726"</definedName>
    <definedName name="IQ_GROUP_EMBEDDED_VALUE_ASSET_MANAGEMENT" hidden="1">"c9955"</definedName>
    <definedName name="IQ_GROUP_EMBEDDED_VALUE_HEALTH" hidden="1">"c9954"</definedName>
    <definedName name="IQ_GROUP_EMBEDDED_VALUE_LIFE" hidden="1">"c9953"</definedName>
    <definedName name="IQ_GROUP_EMBEDDED_VALUE_LIFE_OTHER" hidden="1">"c9956"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JUSTED_DISCHARGES" hidden="1">"c9977"</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SO_COVERED_LIVES" hidden="1">"c9982"</definedName>
    <definedName name="IQ_HC_ASO_MEMBERSHIP" hidden="1">"c9985"</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CASES" hidden="1">"c9978"</definedName>
    <definedName name="IQ_HC_CLAIMS_RESERVES" hidden="1">"c9989"</definedName>
    <definedName name="IQ_HC_DAYS_REV_OUT" hidden="1">"c5993"</definedName>
    <definedName name="IQ_HC_DISCHARGES" hidden="1">"c9976"</definedName>
    <definedName name="IQ_HC_EQUIV_ADMISSIONS_GROWTH" hidden="1">"c5998"</definedName>
    <definedName name="IQ_HC_EQUIVALENT_ADMISSIONS" hidden="1">"c5958"</definedName>
    <definedName name="IQ_HC_EQUIVALENT_ADMISSIONS_SF" hidden="1">"c6007"</definedName>
    <definedName name="IQ_HC_EQUIVALENT_PATIENT_DAYS" hidden="1">"c9980"</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L_EXPENSE_RATIO" hidden="1">"c9987"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CASE" hidden="1">"c9979"</definedName>
    <definedName name="IQ_HC_REV_PER_DISCHARGE" hidden="1">"c9990"</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RISK_COVERED_LIVES" hidden="1">"c9981"</definedName>
    <definedName name="IQ_HC_RISK_MEMBERSHIP" hidden="1">"c9984"</definedName>
    <definedName name="IQ_HC_SALARIES_PCT_REV" hidden="1">"c5970"</definedName>
    <definedName name="IQ_HC_SGA_MARGIN" hidden="1">"c9988"</definedName>
    <definedName name="IQ_HC_SUPPLIES_PCT_REV" hidden="1">"c5971"</definedName>
    <definedName name="IQ_HC_TOTAL_COVERED_LIVES" hidden="1">"c9983"</definedName>
    <definedName name="IQ_HC_TOTAL_MEMBERSHIP" hidden="1">"c9986"</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LD_MATURITY_FDIC" hidden="1">"c6408"</definedName>
    <definedName name="IQ_HG_ACQUIRED_FRANCHISE_HOTEL_PROPERTIES" hidden="1">"c8584"</definedName>
    <definedName name="IQ_HG_ACQUIRED_FRANCHISE_ROOMS" hidden="1">"c8614"</definedName>
    <definedName name="IQ_HG_ACQUIRED_HOTEL_PROPERTIES" hidden="1">"c8572"</definedName>
    <definedName name="IQ_HG_ACQUIRED_MANAGED_HOTEL_PROPERTIES" hidden="1">"c8590"</definedName>
    <definedName name="IQ_HG_ACQUIRED_MANAGED_ROOMS" hidden="1">"c8620"</definedName>
    <definedName name="IQ_HG_ACQUIRED_OTHER_HOTEL_PROPERTIES" hidden="1">"c8596"</definedName>
    <definedName name="IQ_HG_ACQUIRED_OTHER_ROOMS" hidden="1">"c8626"</definedName>
    <definedName name="IQ_HG_ACQUIRED_OWNED_HOTEL_PROPERTIES" hidden="1">"c8578"</definedName>
    <definedName name="IQ_HG_ACQUIRED_OWNED_ROOMS" hidden="1">"c8608"</definedName>
    <definedName name="IQ_HG_ACQUIRED_ROOMS" hidden="1">"c8602"</definedName>
    <definedName name="IQ_HG_ADR_CHANGE_FRANCHISE" hidden="1">"c8684"</definedName>
    <definedName name="IQ_HG_ADR_CHANGE_MANAGED" hidden="1">"c8685"</definedName>
    <definedName name="IQ_HG_ADR_CHANGE_OTHER" hidden="1">"c8686"</definedName>
    <definedName name="IQ_HG_ADR_CHANGE_OWNED" hidden="1">"c8683"</definedName>
    <definedName name="IQ_HG_ADR_CHANGE_OWNED_COMP" hidden="1">"c8709"</definedName>
    <definedName name="IQ_HG_ADR_CHANGE_TOTAL" hidden="1">"c8687"</definedName>
    <definedName name="IQ_HG_ADR_CHANGE_TOTAL_COMP" hidden="1">"c8710"</definedName>
    <definedName name="IQ_HG_ADR_FRANCHISE" hidden="1">"c8664"</definedName>
    <definedName name="IQ_HG_ADR_MANAGED" hidden="1">"c8665"</definedName>
    <definedName name="IQ_HG_ADR_OTHER" hidden="1">"c8666"</definedName>
    <definedName name="IQ_HG_ADR_OWNED" hidden="1">"c8663"</definedName>
    <definedName name="IQ_HG_ADR_OWNED_COMP" hidden="1">"c8701"</definedName>
    <definedName name="IQ_HG_ADR_TOTAL" hidden="1">"c8667"</definedName>
    <definedName name="IQ_HG_ADR_TOTAL_COMP" hidden="1">"c8702"</definedName>
    <definedName name="IQ_HG_CASINOS_JV" hidden="1">"c8631"</definedName>
    <definedName name="IQ_HG_CASINOS_MANAGED" hidden="1">"c8632"</definedName>
    <definedName name="IQ_HG_CASINOS_OWNED" hidden="1">"c8630"</definedName>
    <definedName name="IQ_HG_CASINOS_TOTAL" hidden="1">"c8633"</definedName>
    <definedName name="IQ_HG_CLOSED_FRANCHISE_HOTEL_PROPERTIES" hidden="1">"c8586"</definedName>
    <definedName name="IQ_HG_CLOSED_FRANCHISE_ROOMS" hidden="1">"c8616"</definedName>
    <definedName name="IQ_HG_CLOSED_HOTEL_PROPERTIES" hidden="1">"c8574"</definedName>
    <definedName name="IQ_HG_CLOSED_MANAGED_HOTEL_PROPERTIES" hidden="1">"c8592"</definedName>
    <definedName name="IQ_HG_CLOSED_MANAGED_ROOMS" hidden="1">"c8622"</definedName>
    <definedName name="IQ_HG_CLOSED_OTHER_HOTEL_PROPERTIES" hidden="1">"c8598"</definedName>
    <definedName name="IQ_HG_CLOSED_OTHER_ROOMS" hidden="1">"c8628"</definedName>
    <definedName name="IQ_HG_CLOSED_OWNED_HOTEL_PROPERTIES" hidden="1">"c8580"</definedName>
    <definedName name="IQ_HG_CLOSED_OWNED_ROOMS" hidden="1">"c8610"</definedName>
    <definedName name="IQ_HG_CLOSED_ROOMS" hidden="1">"c8604"</definedName>
    <definedName name="IQ_HG_EXP_CASINO" hidden="1">"c8733"</definedName>
    <definedName name="IQ_HG_EXP_DEVELOPMENT" hidden="1">"c8738"</definedName>
    <definedName name="IQ_HG_EXP_ENTERTAINMENT" hidden="1">"c8736"</definedName>
    <definedName name="IQ_HG_EXP_FOOD_BEV" hidden="1">"c8734"</definedName>
    <definedName name="IQ_HG_EXP_FRANCHISE_MANAGEMENT" hidden="1">"c8744"</definedName>
    <definedName name="IQ_HG_EXP_OTHER_MNGD_FRANCHISE_PROP" hidden="1">"c8742"</definedName>
    <definedName name="IQ_HG_EXP_OWNED_LEASED_CONSOL_JV" hidden="1">"c8740"</definedName>
    <definedName name="IQ_HG_EXP_REIMBURSEMENTS" hidden="1">"c8743"</definedName>
    <definedName name="IQ_HG_EXP_RETAIL" hidden="1">"c8737"</definedName>
    <definedName name="IQ_HG_EXP_ROOMS" hidden="1">"c8735"</definedName>
    <definedName name="IQ_HG_EXP_THEATRE_CONCESSION" hidden="1">"c8739"</definedName>
    <definedName name="IQ_HG_EXP_VACA_OWNERSHIP_RES" hidden="1">"c8741"</definedName>
    <definedName name="IQ_HG_FOOD_PROM_COSTS" hidden="1">"c8746"</definedName>
    <definedName name="IQ_HG_FRANCHISE_HOTEL_PROPERTIES_BEG" hidden="1">"c8582"</definedName>
    <definedName name="IQ_HG_FRANCHISE_ROOMS_BEG" hidden="1">"c8612"</definedName>
    <definedName name="IQ_HG_GAMING_SPACE_JV" hidden="1">"c8635"</definedName>
    <definedName name="IQ_HG_GAMING_SPACE_MANAGED" hidden="1">"c8636"</definedName>
    <definedName name="IQ_HG_GAMING_SPACE_OWNED" hidden="1">"c8634"</definedName>
    <definedName name="IQ_HG_GAMING_SPACE_TOTAL" hidden="1">"c8637"</definedName>
    <definedName name="IQ_HG_HOTEL_PROPERTIES_BEG" hidden="1">"c8570"</definedName>
    <definedName name="IQ_HG_LAND_AVAIL_JV" hidden="1">"c8647"</definedName>
    <definedName name="IQ_HG_LAND_AVAIL_MANAGED" hidden="1">"c8648"</definedName>
    <definedName name="IQ_HG_LAND_AVAIL_OWNED" hidden="1">"c8646"</definedName>
    <definedName name="IQ_HG_LAND_AVAIL_TOTAL" hidden="1">"c8649"</definedName>
    <definedName name="IQ_HG_LAND_JV" hidden="1">"c8651"</definedName>
    <definedName name="IQ_HG_LAND_MANAGED" hidden="1">"c8652"</definedName>
    <definedName name="IQ_HG_LAND_OWNED" hidden="1">"c8650"</definedName>
    <definedName name="IQ_HG_LAND_TOTAL" hidden="1">"c8653"</definedName>
    <definedName name="IQ_HG_MANAGED_HOTEL_PROPERTIES_BEG" hidden="1">"c8588"</definedName>
    <definedName name="IQ_HG_MANAGED_ROOMS_BEG" hidden="1">"c8618"</definedName>
    <definedName name="IQ_HG_OCCUPANCY_CHANGE_FRANCHISE" hidden="1">"c8675"</definedName>
    <definedName name="IQ_HG_OCCUPANCY_CHANGE_MANAGED" hidden="1">"c8677"</definedName>
    <definedName name="IQ_HG_OCCUPANCY_CHANGE_OTHER" hidden="1">"c8679"</definedName>
    <definedName name="IQ_HG_OCCUPANCY_CHANGE_OWNED" hidden="1">"c8673"</definedName>
    <definedName name="IQ_HG_OCCUPANCY_CHANGE_OWNED_COMP" hidden="1">"c8705"</definedName>
    <definedName name="IQ_HG_OCCUPANCY_CHANGE_TOTAL" hidden="1">"c8681"</definedName>
    <definedName name="IQ_HG_OCCUPANCY_CHANGE_TOTAL_COMP" hidden="1">"c8707"</definedName>
    <definedName name="IQ_HG_OCCUPANCY_FRANCHISE" hidden="1">"c8659"</definedName>
    <definedName name="IQ_HG_OCCUPANCY_INCDEC_FRANCHISE" hidden="1">"c8676"</definedName>
    <definedName name="IQ_HG_OCCUPANCY_INCDEC_MANAGED" hidden="1">"c8678"</definedName>
    <definedName name="IQ_HG_OCCUPANCY_INCDEC_OTHER" hidden="1">"c8680"</definedName>
    <definedName name="IQ_HG_OCCUPANCY_INCDEC_OWNED" hidden="1">"c8674"</definedName>
    <definedName name="IQ_HG_OCCUPANCY_INCDEC_OWNED_COMP" hidden="1">"c8706"</definedName>
    <definedName name="IQ_HG_OCCUPANCY_INCDEC_TOTAL" hidden="1">"c8682"</definedName>
    <definedName name="IQ_HG_OCCUPANCY_INCDEC_TOTAL_COMP" hidden="1">"c8708"</definedName>
    <definedName name="IQ_HG_OCCUPANCY_MANAGED" hidden="1">"c8660"</definedName>
    <definedName name="IQ_HG_OCCUPANCY_OTHER" hidden="1">"c8661"</definedName>
    <definedName name="IQ_HG_OCCUPANCY_OWNED" hidden="1">"c8658"</definedName>
    <definedName name="IQ_HG_OCCUPANCY_OWNED_COMP" hidden="1">"c8699"</definedName>
    <definedName name="IQ_HG_OCCUPANCY_TOTAL" hidden="1">"c8662"</definedName>
    <definedName name="IQ_HG_OCCUPANCY_TOTAL_COMP" hidden="1">"c8700"</definedName>
    <definedName name="IQ_HG_OPENED_FRANCHISE_HOTEL_PROPERTIES" hidden="1">"c8583"</definedName>
    <definedName name="IQ_HG_OPENED_FRANCHISE_ROOMS" hidden="1">"c8613"</definedName>
    <definedName name="IQ_HG_OPENED_HOTEL_PROPERTIES" hidden="1">"c8571"</definedName>
    <definedName name="IQ_HG_OPENED_MANAGED_HOTEL_PROPERTIES" hidden="1">"c8589"</definedName>
    <definedName name="IQ_HG_OPENED_MANAGED_ROOMS" hidden="1">"c8619"</definedName>
    <definedName name="IQ_HG_OPENED_OTHER_HOTEL_PROPERTIES" hidden="1">"c8595"</definedName>
    <definedName name="IQ_HG_OPENED_OTHER_ROOMS" hidden="1">"c8625"</definedName>
    <definedName name="IQ_HG_OPENED_OWNED_HOTEL_PROPERTIES" hidden="1">"c8577"</definedName>
    <definedName name="IQ_HG_OPENED_OWNED_ROOMS" hidden="1">"c8607"</definedName>
    <definedName name="IQ_HG_OPENED_ROOMS" hidden="1">"c8601"</definedName>
    <definedName name="IQ_HG_OTHER_HOTEL_PROPERTIES_BEG" hidden="1">"c8594"</definedName>
    <definedName name="IQ_HG_OTHER_PROM_COSTS" hidden="1">"c8747"</definedName>
    <definedName name="IQ_HG_OTHER_ROOMS_BEG" hidden="1">"c8624"</definedName>
    <definedName name="IQ_HG_OWNED_HOTEL_PROPERTIES_BEG" hidden="1">"c8576"</definedName>
    <definedName name="IQ_HG_OWNED_ROOMS_BEG" hidden="1">"c8606"</definedName>
    <definedName name="IQ_HG_PARKING_SPACES_JV" hidden="1">"c8655"</definedName>
    <definedName name="IQ_HG_PARKING_SPACES_MANAGED" hidden="1">"c8656"</definedName>
    <definedName name="IQ_HG_PARKING_SPACES_OWNED" hidden="1">"c8654"</definedName>
    <definedName name="IQ_HG_PARKING_SPACES_TOTAL" hidden="1">"c8657"</definedName>
    <definedName name="IQ_HG_REV_BASE_MANAGEMENT_FEES" hidden="1">"c8726"</definedName>
    <definedName name="IQ_HG_REV_CASINO" hidden="1">"c8713"</definedName>
    <definedName name="IQ_HG_REV_COST_REIMBURSEMENT" hidden="1">"c8728"</definedName>
    <definedName name="IQ_HG_REV_ENTERTAINMENT" hidden="1">"c8716"</definedName>
    <definedName name="IQ_HG_REV_FOOD_BEV" hidden="1">"c8714"</definedName>
    <definedName name="IQ_HG_REV_FRANCHISE" hidden="1">"c8725"</definedName>
    <definedName name="IQ_HG_REV_INCENTIVE_MANAGEMENT_FEES" hidden="1">"c8727"</definedName>
    <definedName name="IQ_HG_REV_MANAGEMENT_FEES" hidden="1">"c8718"</definedName>
    <definedName name="IQ_HG_REV_OTHER_MNGD_FRANCHISE_PROP" hidden="1">"c8730"</definedName>
    <definedName name="IQ_HG_REV_OTHER_OP_SEGMENT" hidden="1">"c8721"</definedName>
    <definedName name="IQ_HG_REV_OTHER_OWNERSHIP_MIX" hidden="1">"c8731"</definedName>
    <definedName name="IQ_HG_REV_OWNED_LEASED_CONSOL_JV_HOTELS" hidden="1">"c8724"</definedName>
    <definedName name="IQ_HG_REV_PROMOTIONAL_ALLOWANCE" hidden="1">"c8722"</definedName>
    <definedName name="IQ_HG_REV_RACING" hidden="1">"c8719"</definedName>
    <definedName name="IQ_HG_REV_RETAIL" hidden="1">"c8717"</definedName>
    <definedName name="IQ_HG_REV_ROOMS" hidden="1">"c8715"</definedName>
    <definedName name="IQ_HG_REV_THEATRE_CONCESSION" hidden="1">"c8720"</definedName>
    <definedName name="IQ_HG_REV_TOTAL_OP_SEGMENT" hidden="1">"c8723"</definedName>
    <definedName name="IQ_HG_REV_TOTAL_OWNERSHIP_MIX" hidden="1">"c8732"</definedName>
    <definedName name="IQ_HG_REV_VACA_OWNERSHIP_RES_SALES_SVCS" hidden="1">"c8729"</definedName>
    <definedName name="IQ_HG_REVENUES_CHANGE_OWNED_COMP" hidden="1">"c8697"</definedName>
    <definedName name="IQ_HG_REVENUES_CHANGE_TOTAL_COMP" hidden="1">"c8698"</definedName>
    <definedName name="IQ_HG_REVPAR_CHANGE_MANAGED" hidden="1">"c8690"</definedName>
    <definedName name="IQ_HG_REVPAR_CHANGE_OTHER" hidden="1">"c8691"</definedName>
    <definedName name="IQ_HG_REVPAR_CHANGE_OWNED" hidden="1">"c8688"</definedName>
    <definedName name="IQ_HG_REVPAR_CHANGE_OWNED_COMP" hidden="1">"c8711"</definedName>
    <definedName name="IQ_HG_REVPAR_CHANGE_TOTAL" hidden="1">"c8692"</definedName>
    <definedName name="IQ_HG_REVPAR_CHANGE_TOTAL_COMP" hidden="1">"c8712"</definedName>
    <definedName name="IQ_HG_REVPAR_CHNAGE_FRANCHISE" hidden="1">"c8689"</definedName>
    <definedName name="IQ_HG_REVPAR_FRANCHISE" hidden="1">"c8669"</definedName>
    <definedName name="IQ_HG_REVPAR_MANAGED" hidden="1">"c8670"</definedName>
    <definedName name="IQ_HG_REVPAR_OTHER" hidden="1">"c8671"</definedName>
    <definedName name="IQ_HG_REVPAR_OWNED" hidden="1">"c8668"</definedName>
    <definedName name="IQ_HG_REVPAR_OWNED_COMP" hidden="1">"c8703"</definedName>
    <definedName name="IQ_HG_REVPAR_TOTAL" hidden="1">"c8672"</definedName>
    <definedName name="IQ_HG_REVPAR_TOTAL_COMP" hidden="1">"c8704"</definedName>
    <definedName name="IQ_HG_ROOM_PROM_COSTS" hidden="1">"c8745"</definedName>
    <definedName name="IQ_HG_ROOMS_BEG" hidden="1">"c8600"</definedName>
    <definedName name="IQ_HG_SLOT_MACHINES_JV" hidden="1">"c8639"</definedName>
    <definedName name="IQ_HG_SLOT_MACHINES_MANAGED" hidden="1">"c8640"</definedName>
    <definedName name="IQ_HG_SLOT_MACHINES_OWNED" hidden="1">"c8638"</definedName>
    <definedName name="IQ_HG_SLOT_MACHINES_TOTAL" hidden="1">"c8641"</definedName>
    <definedName name="IQ_HG_SOLD_FRANCHISE_HOTEL_PROPERTIES" hidden="1">"c8585"</definedName>
    <definedName name="IQ_HG_SOLD_FRANCHISE_ROOMS" hidden="1">"c8615"</definedName>
    <definedName name="IQ_HG_SOLD_HOTEL_PROPERTIES" hidden="1">"c8573"</definedName>
    <definedName name="IQ_HG_SOLD_MANAGED_HOTEL_PROPERTIES" hidden="1">"c8591"</definedName>
    <definedName name="IQ_HG_SOLD_MANAGED_ROOMS" hidden="1">"c8621"</definedName>
    <definedName name="IQ_HG_SOLD_OTHER_HOTEL_PROPERTIES" hidden="1">"c8597"</definedName>
    <definedName name="IQ_HG_SOLD_OTHER_ROOMS" hidden="1">"c8627"</definedName>
    <definedName name="IQ_HG_SOLD_OWNED_HOTEL_PROPERTIES" hidden="1">"c8579"</definedName>
    <definedName name="IQ_HG_SOLD_OWNED_ROOMS" hidden="1">"c8609"</definedName>
    <definedName name="IQ_HG_SOLD_ROOMS" hidden="1">"c8603"</definedName>
    <definedName name="IQ_HG_TABLE_GAMES_JV" hidden="1">"c8643"</definedName>
    <definedName name="IQ_HG_TABLE_GAMES_MANAGED" hidden="1">"c8644"</definedName>
    <definedName name="IQ_HG_TABLE_GAMES_OWNED" hidden="1">"c8642"</definedName>
    <definedName name="IQ_HG_TABLE_GAMES_TOTAL" hidden="1">"c8645"</definedName>
    <definedName name="IQ_HG_TOTAL_FRANCHISE_HOTEL_PROPERTIES" hidden="1">"c8587"</definedName>
    <definedName name="IQ_HG_TOTAL_FRANCHISE_ROOMS" hidden="1">"c8617"</definedName>
    <definedName name="IQ_HG_TOTAL_HOTEL_PROPERTIES" hidden="1">"c8575"</definedName>
    <definedName name="IQ_HG_TOTAL_MANAGED_HOTEL_PROPERTIES" hidden="1">"c8593"</definedName>
    <definedName name="IQ_HG_TOTAL_MANAGED_ROOMS" hidden="1">"c8623"</definedName>
    <definedName name="IQ_HG_TOTAL_OTHER_HOTEL_PROPERTIES" hidden="1">"c8599"</definedName>
    <definedName name="IQ_HG_TOTAL_OTHER_ROOMS" hidden="1">"c8629"</definedName>
    <definedName name="IQ_HG_TOTAL_OWNED_HOTEL_PROPERTIES" hidden="1">"c8581"</definedName>
    <definedName name="IQ_HG_TOTAL_OWNED_PROPERTIES_COMP" hidden="1">"c8693"</definedName>
    <definedName name="IQ_HG_TOTAL_OWNED_ROOMS" hidden="1">"c8611"</definedName>
    <definedName name="IQ_HG_TOTAL_OWNED_ROOMS_COMP" hidden="1">"c8695"</definedName>
    <definedName name="IQ_HG_TOTAL_PROM_COSTS" hidden="1">"c8748"</definedName>
    <definedName name="IQ_HG_TOTAL_PROPERTIES_COMP" hidden="1">"c8694"</definedName>
    <definedName name="IQ_HG_TOTAL_ROOMS" hidden="1">"c8605"</definedName>
    <definedName name="IQ_HG_TOTAL_ROOMS_COMP" hidden="1">"c8696"</definedName>
    <definedName name="IQ_HIGH_TARGET_PRICE" hidden="1">"c1651"</definedName>
    <definedName name="IQ_HIGH_TARGET_PRICE_CIQ" hidden="1">"c4659"</definedName>
    <definedName name="IQ_HIGH_TARGET_PRICE_REUT" hidden="1">"c5317"</definedName>
    <definedName name="IQ_HIGHPRICE" hidden="1">"c545"</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C_NET_CHARGE_OFFS_FDIC" hidden="1">"c6644"</definedName>
    <definedName name="IQ_HOME_EQUITY_LOC_TOTAL_CHARGE_OFFS_FDIC" hidden="1">"c6606"</definedName>
    <definedName name="IQ_HOME_EQUITY_LOC_TOTAL_RECOVERIES_FDIC" hidden="1">"c6625"</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SALES_NEW" hidden="1">"c6924"</definedName>
    <definedName name="IQ_HOME_SALES_NEW_APR" hidden="1">"c7584"</definedName>
    <definedName name="IQ_HOME_SALES_NEW_APR_FC" hidden="1">"c8464"</definedName>
    <definedName name="IQ_HOME_SALES_NEW_FC" hidden="1">"c7804"</definedName>
    <definedName name="IQ_HOME_SALES_NEW_POP" hidden="1">"c7144"</definedName>
    <definedName name="IQ_HOME_SALES_NEW_POP_FC" hidden="1">"c8024"</definedName>
    <definedName name="IQ_HOME_SALES_NEW_YOY" hidden="1">"c7364"</definedName>
    <definedName name="IQ_HOME_SALES_NEW_YOY_FC" hidden="1">"c8244"</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OWNERS_WRITTEN" hidden="1">"c546"</definedName>
    <definedName name="IQ_HOURLY_COMP" hidden="1">"c6879"</definedName>
    <definedName name="IQ_HOURLY_COMP_APR" hidden="1">"c7539"</definedName>
    <definedName name="IQ_HOURLY_COMP_APR_FC" hidden="1">"c8419"</definedName>
    <definedName name="IQ_HOURLY_COMP_FC" hidden="1">"c7759"</definedName>
    <definedName name="IQ_HOURLY_COMP_POP" hidden="1">"c7099"</definedName>
    <definedName name="IQ_HOURLY_COMP_POP_FC" hidden="1">"c7979"</definedName>
    <definedName name="IQ_HOURLY_COMP_YOY" hidden="1">"c7319"</definedName>
    <definedName name="IQ_HOURLY_COMP_YOY_FC" hidden="1">"c8199"</definedName>
    <definedName name="IQ_HOUSING_COMPLETIONS" hidden="1">"c6881"</definedName>
    <definedName name="IQ_HOUSING_COMPLETIONS_APR" hidden="1">"c7541"</definedName>
    <definedName name="IQ_HOUSING_COMPLETIONS_APR_FC" hidden="1">"c8421"</definedName>
    <definedName name="IQ_HOUSING_COMPLETIONS_FC" hidden="1">"c7761"</definedName>
    <definedName name="IQ_HOUSING_COMPLETIONS_POP" hidden="1">"c7101"</definedName>
    <definedName name="IQ_HOUSING_COMPLETIONS_POP_FC" hidden="1">"c7981"</definedName>
    <definedName name="IQ_HOUSING_COMPLETIONS_SINGLE_FAM_APR_FC_UNUSED" hidden="1">"c8422"</definedName>
    <definedName name="IQ_HOUSING_COMPLETIONS_SINGLE_FAM_APR_UNUSED" hidden="1">"c7542"</definedName>
    <definedName name="IQ_HOUSING_COMPLETIONS_SINGLE_FAM_FC_UNUSED" hidden="1">"c7762"</definedName>
    <definedName name="IQ_HOUSING_COMPLETIONS_SINGLE_FAM_POP_FC_UNUSED" hidden="1">"c7982"</definedName>
    <definedName name="IQ_HOUSING_COMPLETIONS_SINGLE_FAM_POP_UNUSED" hidden="1">"c7102"</definedName>
    <definedName name="IQ_HOUSING_COMPLETIONS_SINGLE_FAM_UNUSED" hidden="1">"c6882"</definedName>
    <definedName name="IQ_HOUSING_COMPLETIONS_SINGLE_FAM_YOY_FC_UNUSED" hidden="1">"c8202"</definedName>
    <definedName name="IQ_HOUSING_COMPLETIONS_SINGLE_FAM_YOY_UNUSED" hidden="1">"c7322"</definedName>
    <definedName name="IQ_HOUSING_COMPLETIONS_YOY" hidden="1">"c7321"</definedName>
    <definedName name="IQ_HOUSING_COMPLETIONS_YOY_FC" hidden="1">"c8201"</definedName>
    <definedName name="IQ_HOUSING_PERMITS" hidden="1">"c6883"</definedName>
    <definedName name="IQ_HOUSING_PERMITS_APR" hidden="1">"c7543"</definedName>
    <definedName name="IQ_HOUSING_PERMITS_APR_FC" hidden="1">"c8423"</definedName>
    <definedName name="IQ_HOUSING_PERMITS_FC" hidden="1">"c7763"</definedName>
    <definedName name="IQ_HOUSING_PERMITS_POP" hidden="1">"c7103"</definedName>
    <definedName name="IQ_HOUSING_PERMITS_POP_FC" hidden="1">"c7983"</definedName>
    <definedName name="IQ_HOUSING_PERMITS_YOY" hidden="1">"c7323"</definedName>
    <definedName name="IQ_HOUSING_PERMITS_YOY_FC" hidden="1">"c8203"</definedName>
    <definedName name="IQ_HOUSING_STARTS" hidden="1">"c6884"</definedName>
    <definedName name="IQ_HOUSING_STARTS_APR" hidden="1">"c7544"</definedName>
    <definedName name="IQ_HOUSING_STARTS_APR_FC" hidden="1">"c8424"</definedName>
    <definedName name="IQ_HOUSING_STARTS_FC" hidden="1">"c7764"</definedName>
    <definedName name="IQ_HOUSING_STARTS_POP" hidden="1">"c7104"</definedName>
    <definedName name="IQ_HOUSING_STARTS_POP_FC" hidden="1">"c7984"</definedName>
    <definedName name="IQ_HOUSING_STARTS_SAAR" hidden="1">"c6885"</definedName>
    <definedName name="IQ_HOUSING_STARTS_SAAR_APR" hidden="1">"c7545"</definedName>
    <definedName name="IQ_HOUSING_STARTS_SAAR_APR_FC" hidden="1">"c8425"</definedName>
    <definedName name="IQ_HOUSING_STARTS_SAAR_FC" hidden="1">"c7765"</definedName>
    <definedName name="IQ_HOUSING_STARTS_SAAR_POP" hidden="1">"c7105"</definedName>
    <definedName name="IQ_HOUSING_STARTS_SAAR_POP_FC" hidden="1">"c7985"</definedName>
    <definedName name="IQ_HOUSING_STARTS_SAAR_YOY" hidden="1">"c7325"</definedName>
    <definedName name="IQ_HOUSING_STARTS_SAAR_YOY_FC" hidden="1">"c8205"</definedName>
    <definedName name="IQ_HOUSING_STARTS_YOY" hidden="1">"c7324"</definedName>
    <definedName name="IQ_HOUSING_STARTS_YOY_FC" hidden="1">"c8204"</definedName>
    <definedName name="IQ_HRS_WORKED_FULL_PT" hidden="1">"c6880"</definedName>
    <definedName name="IQ_HRS_WORKED_FULL_PT_APR" hidden="1">"c7540"</definedName>
    <definedName name="IQ_HRS_WORKED_FULL_PT_APR_FC" hidden="1">"c8420"</definedName>
    <definedName name="IQ_HRS_WORKED_FULL_PT_FC" hidden="1">"c7760"</definedName>
    <definedName name="IQ_HRS_WORKED_FULL_PT_POP" hidden="1">"c7100"</definedName>
    <definedName name="IQ_HRS_WORKED_FULL_PT_POP_FC" hidden="1">"c7980"</definedName>
    <definedName name="IQ_HRS_WORKED_FULL_PT_YOY" hidden="1">"c7320"</definedName>
    <definedName name="IQ_HRS_WORKED_FULL_PT_YOY_FC" hidden="1">"c8200"</definedName>
    <definedName name="IQ_IM_AVG_REV_PER_CLICK" hidden="1">"c9991"</definedName>
    <definedName name="IQ_IM_NUMBER_PAGE_VIEWS" hidden="1">"c9993"</definedName>
    <definedName name="IQ_IM_NUMBER_PAID_CLICKS" hidden="1">"c9995"</definedName>
    <definedName name="IQ_IM_NUMBER_PAID_CLICKS_GROWTH" hidden="1">"c9996"</definedName>
    <definedName name="IQ_IM_PAGE_VIEWS_GROWTH" hidden="1">"c9994"</definedName>
    <definedName name="IQ_IM_REV_PER_PAGE_VIEW_GROWTH" hidden="1">"c9992"</definedName>
    <definedName name="IQ_IM_TRAFFIC_ACQUISITION_CHANGE" hidden="1">"c9998"</definedName>
    <definedName name="IQ_IM_TRAFFIC_ACQUISITION_COST_TO_AD_REV_RATIO" hidden="1">"c10000"</definedName>
    <definedName name="IQ_IM_TRAFFIC_ACQUISITION_COST_TO_TOTAL_REV_RATIO" hidden="1">"c9999"</definedName>
    <definedName name="IQ_IM_TRAFFIC_ACQUISITION_COSTS" hidden="1">"c9997"</definedName>
    <definedName name="IQ_IMPAIR_OIL" hidden="1">"c547"</definedName>
    <definedName name="IQ_IMPAIRMENT_GW" hidden="1">"c548"</definedName>
    <definedName name="IQ_IMPORT_PRICE_INDEX" hidden="1">"c6886"</definedName>
    <definedName name="IQ_IMPORT_PRICE_INDEX_APR" hidden="1">"c7546"</definedName>
    <definedName name="IQ_IMPORT_PRICE_INDEX_APR_FC" hidden="1">"c8426"</definedName>
    <definedName name="IQ_IMPORT_PRICE_INDEX_FC" hidden="1">"c7766"</definedName>
    <definedName name="IQ_IMPORT_PRICE_INDEX_POP" hidden="1">"c7106"</definedName>
    <definedName name="IQ_IMPORT_PRICE_INDEX_POP_FC" hidden="1">"c7986"</definedName>
    <definedName name="IQ_IMPORT_PRICE_INDEX_YOY" hidden="1">"c7326"</definedName>
    <definedName name="IQ_IMPORT_PRICE_INDEX_YOY_FC" hidden="1">"c8206"</definedName>
    <definedName name="IQ_IMPORTS_GOODS" hidden="1">"c6887"</definedName>
    <definedName name="IQ_IMPORTS_GOODS_APR" hidden="1">"c7547"</definedName>
    <definedName name="IQ_IMPORTS_GOODS_APR_FC" hidden="1">"c8427"</definedName>
    <definedName name="IQ_IMPORTS_GOODS_FC" hidden="1">"c7767"</definedName>
    <definedName name="IQ_IMPORTS_GOODS_NONFACTOR_SERVICES" hidden="1">"c6888"</definedName>
    <definedName name="IQ_IMPORTS_GOODS_NONFACTOR_SERVICES_APR" hidden="1">"c7548"</definedName>
    <definedName name="IQ_IMPORTS_GOODS_NONFACTOR_SERVICES_APR_FC" hidden="1">"c8428"</definedName>
    <definedName name="IQ_IMPORTS_GOODS_NONFACTOR_SERVICES_FC" hidden="1">"c7768"</definedName>
    <definedName name="IQ_IMPORTS_GOODS_NONFACTOR_SERVICES_POP" hidden="1">"c7108"</definedName>
    <definedName name="IQ_IMPORTS_GOODS_NONFACTOR_SERVICES_POP_FC" hidden="1">"c7988"</definedName>
    <definedName name="IQ_IMPORTS_GOODS_NONFACTOR_SERVICES_YOY" hidden="1">"c7328"</definedName>
    <definedName name="IQ_IMPORTS_GOODS_NONFACTOR_SERVICES_YOY_FC" hidden="1">"c8208"</definedName>
    <definedName name="IQ_IMPORTS_GOODS_POP" hidden="1">"c7107"</definedName>
    <definedName name="IQ_IMPORTS_GOODS_POP_FC" hidden="1">"c7987"</definedName>
    <definedName name="IQ_IMPORTS_GOODS_REAL" hidden="1">"c11950"</definedName>
    <definedName name="IQ_IMPORTS_GOODS_REAL_APR" hidden="1">"c11953"</definedName>
    <definedName name="IQ_IMPORTS_GOODS_REAL_POP" hidden="1">"c11951"</definedName>
    <definedName name="IQ_IMPORTS_GOODS_REAL_SAAR_APR_FC_UNUSED" hidden="1">"c8523"</definedName>
    <definedName name="IQ_IMPORTS_GOODS_REAL_SAAR_APR_UNUSED" hidden="1">"c7643"</definedName>
    <definedName name="IQ_IMPORTS_GOODS_REAL_SAAR_FC_UNUSED" hidden="1">"c7863"</definedName>
    <definedName name="IQ_IMPORTS_GOODS_REAL_SAAR_POP_FC_UNUSED" hidden="1">"c8083"</definedName>
    <definedName name="IQ_IMPORTS_GOODS_REAL_SAAR_POP_UNUSED" hidden="1">"c7203"</definedName>
    <definedName name="IQ_IMPORTS_GOODS_REAL_SAAR_UNUSED" hidden="1">"c6983"</definedName>
    <definedName name="IQ_IMPORTS_GOODS_REAL_SAAR_YOY_FC_UNUSED" hidden="1">"c8303"</definedName>
    <definedName name="IQ_IMPORTS_GOODS_REAL_SAAR_YOY_UNUSED" hidden="1">"c7423"</definedName>
    <definedName name="IQ_IMPORTS_GOODS_REAL_YOY" hidden="1">"c11952"</definedName>
    <definedName name="IQ_IMPORTS_GOODS_SAAR" hidden="1">"c6891"</definedName>
    <definedName name="IQ_IMPORTS_GOODS_SAAR_APR" hidden="1">"c7551"</definedName>
    <definedName name="IQ_IMPORTS_GOODS_SAAR_APR_FC" hidden="1">"c8431"</definedName>
    <definedName name="IQ_IMPORTS_GOODS_SAAR_FC" hidden="1">"c7771"</definedName>
    <definedName name="IQ_IMPORTS_GOODS_SAAR_POP" hidden="1">"c7111"</definedName>
    <definedName name="IQ_IMPORTS_GOODS_SAAR_POP_FC" hidden="1">"c7991"</definedName>
    <definedName name="IQ_IMPORTS_GOODS_SAAR_USD_APR_FC" hidden="1">"c11849"</definedName>
    <definedName name="IQ_IMPORTS_GOODS_SAAR_USD_FC" hidden="1">"c11846"</definedName>
    <definedName name="IQ_IMPORTS_GOODS_SAAR_USD_POP_FC" hidden="1">"c11847"</definedName>
    <definedName name="IQ_IMPORTS_GOODS_SAAR_USD_YOY_FC" hidden="1">"c11848"</definedName>
    <definedName name="IQ_IMPORTS_GOODS_SAAR_YOY" hidden="1">"c7331"</definedName>
    <definedName name="IQ_IMPORTS_GOODS_SAAR_YOY_FC" hidden="1">"c8211"</definedName>
    <definedName name="IQ_IMPORTS_GOODS_SERVICES_APR_FC_UNUSED" hidden="1">"c8429"</definedName>
    <definedName name="IQ_IMPORTS_GOODS_SERVICES_APR_UNUSED" hidden="1">"c7549"</definedName>
    <definedName name="IQ_IMPORTS_GOODS_SERVICES_FC_UNUSED" hidden="1">"c7769"</definedName>
    <definedName name="IQ_IMPORTS_GOODS_SERVICES_POP_FC_UNUSED" hidden="1">"c7989"</definedName>
    <definedName name="IQ_IMPORTS_GOODS_SERVICES_POP_UNUSED" hidden="1">"c7109"</definedName>
    <definedName name="IQ_IMPORTS_GOODS_SERVICES_REAL" hidden="1">"c6985"</definedName>
    <definedName name="IQ_IMPORTS_GOODS_SERVICES_REAL_APR" hidden="1">"c7645"</definedName>
    <definedName name="IQ_IMPORTS_GOODS_SERVICES_REAL_APR_FC" hidden="1">"c8525"</definedName>
    <definedName name="IQ_IMPORTS_GOODS_SERVICES_REAL_FC" hidden="1">"c7865"</definedName>
    <definedName name="IQ_IMPORTS_GOODS_SERVICES_REAL_POP" hidden="1">"c7205"</definedName>
    <definedName name="IQ_IMPORTS_GOODS_SERVICES_REAL_POP_FC" hidden="1">"c8085"</definedName>
    <definedName name="IQ_IMPORTS_GOODS_SERVICES_REAL_SAAR" hidden="1">"c11958"</definedName>
    <definedName name="IQ_IMPORTS_GOODS_SERVICES_REAL_SAAR_APR" hidden="1">"c11961"</definedName>
    <definedName name="IQ_IMPORTS_GOODS_SERVICES_REAL_SAAR_APR_FC_UNUSED" hidden="1">"c8524"</definedName>
    <definedName name="IQ_IMPORTS_GOODS_SERVICES_REAL_SAAR_APR_UNUSED" hidden="1">"c7644"</definedName>
    <definedName name="IQ_IMPORTS_GOODS_SERVICES_REAL_SAAR_FC_UNUSED" hidden="1">"c7864"</definedName>
    <definedName name="IQ_IMPORTS_GOODS_SERVICES_REAL_SAAR_POP" hidden="1">"c11959"</definedName>
    <definedName name="IQ_IMPORTS_GOODS_SERVICES_REAL_SAAR_POP_FC_UNUSED" hidden="1">"c8084"</definedName>
    <definedName name="IQ_IMPORTS_GOODS_SERVICES_REAL_SAAR_POP_UNUSED" hidden="1">"c7204"</definedName>
    <definedName name="IQ_IMPORTS_GOODS_SERVICES_REAL_SAAR_UNUSED" hidden="1">"c6984"</definedName>
    <definedName name="IQ_IMPORTS_GOODS_SERVICES_REAL_SAAR_USD" hidden="1">"c11962"</definedName>
    <definedName name="IQ_IMPORTS_GOODS_SERVICES_REAL_SAAR_USD_APR" hidden="1">"c11965"</definedName>
    <definedName name="IQ_IMPORTS_GOODS_SERVICES_REAL_SAAR_USD_APR_FC" hidden="1">"c11969"</definedName>
    <definedName name="IQ_IMPORTS_GOODS_SERVICES_REAL_SAAR_USD_FC" hidden="1">"c11966"</definedName>
    <definedName name="IQ_IMPORTS_GOODS_SERVICES_REAL_SAAR_USD_POP" hidden="1">"c11963"</definedName>
    <definedName name="IQ_IMPORTS_GOODS_SERVICES_REAL_SAAR_USD_POP_FC" hidden="1">"c11967"</definedName>
    <definedName name="IQ_IMPORTS_GOODS_SERVICES_REAL_SAAR_USD_YOY" hidden="1">"c11964"</definedName>
    <definedName name="IQ_IMPORTS_GOODS_SERVICES_REAL_SAAR_USD_YOY_FC" hidden="1">"c11968"</definedName>
    <definedName name="IQ_IMPORTS_GOODS_SERVICES_REAL_SAAR_YOY" hidden="1">"c11960"</definedName>
    <definedName name="IQ_IMPORTS_GOODS_SERVICES_REAL_SAAR_YOY_FC_UNUSED" hidden="1">"c8304"</definedName>
    <definedName name="IQ_IMPORTS_GOODS_SERVICES_REAL_SAAR_YOY_UNUSED" hidden="1">"c7424"</definedName>
    <definedName name="IQ_IMPORTS_GOODS_SERVICES_REAL_USD" hidden="1">"c11954"</definedName>
    <definedName name="IQ_IMPORTS_GOODS_SERVICES_REAL_USD_APR" hidden="1">"c11957"</definedName>
    <definedName name="IQ_IMPORTS_GOODS_SERVICES_REAL_USD_POP" hidden="1">"c11955"</definedName>
    <definedName name="IQ_IMPORTS_GOODS_SERVICES_REAL_USD_YOY" hidden="1">"c11956"</definedName>
    <definedName name="IQ_IMPORTS_GOODS_SERVICES_REAL_YOY" hidden="1">"c7425"</definedName>
    <definedName name="IQ_IMPORTS_GOODS_SERVICES_REAL_YOY_FC" hidden="1">"c8305"</definedName>
    <definedName name="IQ_IMPORTS_GOODS_SERVICES_SAAR" hidden="1">"c6890"</definedName>
    <definedName name="IQ_IMPORTS_GOODS_SERVICES_SAAR_APR" hidden="1">"c7550"</definedName>
    <definedName name="IQ_IMPORTS_GOODS_SERVICES_SAAR_APR_FC" hidden="1">"c8430"</definedName>
    <definedName name="IQ_IMPORTS_GOODS_SERVICES_SAAR_FC" hidden="1">"c7770"</definedName>
    <definedName name="IQ_IMPORTS_GOODS_SERVICES_SAAR_POP" hidden="1">"c7110"</definedName>
    <definedName name="IQ_IMPORTS_GOODS_SERVICES_SAAR_POP_FC" hidden="1">"c7990"</definedName>
    <definedName name="IQ_IMPORTS_GOODS_SERVICES_SAAR_YOY" hidden="1">"c7330"</definedName>
    <definedName name="IQ_IMPORTS_GOODS_SERVICES_SAAR_YOY_FC" hidden="1">"c8210"</definedName>
    <definedName name="IQ_IMPORTS_GOODS_SERVICES_UNUSED" hidden="1">"c6889"</definedName>
    <definedName name="IQ_IMPORTS_GOODS_SERVICES_USD" hidden="1">"c11842"</definedName>
    <definedName name="IQ_IMPORTS_GOODS_SERVICES_USD_APR" hidden="1">"c11845"</definedName>
    <definedName name="IQ_IMPORTS_GOODS_SERVICES_USD_POP" hidden="1">"c11843"</definedName>
    <definedName name="IQ_IMPORTS_GOODS_SERVICES_USD_YOY" hidden="1">"c11844"</definedName>
    <definedName name="IQ_IMPORTS_GOODS_SERVICES_YOY_FC_UNUSED" hidden="1">"c8209"</definedName>
    <definedName name="IQ_IMPORTS_GOODS_SERVICES_YOY_UNUSED" hidden="1">"c7329"</definedName>
    <definedName name="IQ_IMPORTS_GOODS_USD_APR_FC" hidden="1">"c11841"</definedName>
    <definedName name="IQ_IMPORTS_GOODS_USD_FC" hidden="1">"c11838"</definedName>
    <definedName name="IQ_IMPORTS_GOODS_USD_POP_FC" hidden="1">"c11839"</definedName>
    <definedName name="IQ_IMPORTS_GOODS_USD_YOY_FC" hidden="1">"c11840"</definedName>
    <definedName name="IQ_IMPORTS_GOODS_YOY" hidden="1">"c7327"</definedName>
    <definedName name="IQ_IMPORTS_GOODS_YOY_FC" hidden="1">"c8207"</definedName>
    <definedName name="IQ_IMPORTS_NONFACTOR_SERVICES" hidden="1">"c6892"</definedName>
    <definedName name="IQ_IMPORTS_NONFACTOR_SERVICES_APR" hidden="1">"c7552"</definedName>
    <definedName name="IQ_IMPORTS_NONFACTOR_SERVICES_APR_FC" hidden="1">"c8432"</definedName>
    <definedName name="IQ_IMPORTS_NONFACTOR_SERVICES_FC" hidden="1">"c7772"</definedName>
    <definedName name="IQ_IMPORTS_NONFACTOR_SERVICES_POP" hidden="1">"c7112"</definedName>
    <definedName name="IQ_IMPORTS_NONFACTOR_SERVICES_POP_FC" hidden="1">"c7992"</definedName>
    <definedName name="IQ_IMPORTS_NONFACTOR_SERVICES_SAAR" hidden="1">"c6893"</definedName>
    <definedName name="IQ_IMPORTS_NONFACTOR_SERVICES_SAAR_APR" hidden="1">"c7553"</definedName>
    <definedName name="IQ_IMPORTS_NONFACTOR_SERVICES_SAAR_APR_FC" hidden="1">"c8433"</definedName>
    <definedName name="IQ_IMPORTS_NONFACTOR_SERVICES_SAAR_FC" hidden="1">"c7773"</definedName>
    <definedName name="IQ_IMPORTS_NONFACTOR_SERVICES_SAAR_POP" hidden="1">"c7113"</definedName>
    <definedName name="IQ_IMPORTS_NONFACTOR_SERVICES_SAAR_POP_FC" hidden="1">"c7993"</definedName>
    <definedName name="IQ_IMPORTS_NONFACTOR_SERVICES_SAAR_USD_APR_FC" hidden="1">"c11857"</definedName>
    <definedName name="IQ_IMPORTS_NONFACTOR_SERVICES_SAAR_USD_FC" hidden="1">"c11854"</definedName>
    <definedName name="IQ_IMPORTS_NONFACTOR_SERVICES_SAAR_USD_POP_FC" hidden="1">"c11855"</definedName>
    <definedName name="IQ_IMPORTS_NONFACTOR_SERVICES_SAAR_USD_YOY_FC" hidden="1">"c11856"</definedName>
    <definedName name="IQ_IMPORTS_NONFACTOR_SERVICES_SAAR_YOY" hidden="1">"c7333"</definedName>
    <definedName name="IQ_IMPORTS_NONFACTOR_SERVICES_SAAR_YOY_FC" hidden="1">"c8213"</definedName>
    <definedName name="IQ_IMPORTS_NONFACTOR_SERVICES_USD_APR_FC" hidden="1">"c11853"</definedName>
    <definedName name="IQ_IMPORTS_NONFACTOR_SERVICES_USD_FC" hidden="1">"c11850"</definedName>
    <definedName name="IQ_IMPORTS_NONFACTOR_SERVICES_USD_POP_FC" hidden="1">"c11851"</definedName>
    <definedName name="IQ_IMPORTS_NONFACTOR_SERVICES_USD_YOY_FC" hidden="1">"c11852"</definedName>
    <definedName name="IQ_IMPORTS_NONFACTOR_SERVICES_YOY" hidden="1">"c7332"</definedName>
    <definedName name="IQ_IMPORTS_NONFACTOR_SERVICES_YOY_FC" hidden="1">"c8212"</definedName>
    <definedName name="IQ_IMPORTS_SERVICES" hidden="1">"c11858"</definedName>
    <definedName name="IQ_IMPORTS_SERVICES_APR" hidden="1">"c11861"</definedName>
    <definedName name="IQ_IMPORTS_SERVICES_POP" hidden="1">"c11859"</definedName>
    <definedName name="IQ_IMPORTS_SERVICES_REAL" hidden="1">"c6986"</definedName>
    <definedName name="IQ_IMPORTS_SERVICES_REAL_APR" hidden="1">"c7646"</definedName>
    <definedName name="IQ_IMPORTS_SERVICES_REAL_APR_FC" hidden="1">"c8526"</definedName>
    <definedName name="IQ_IMPORTS_SERVICES_REAL_FC" hidden="1">"c7866"</definedName>
    <definedName name="IQ_IMPORTS_SERVICES_REAL_POP" hidden="1">"c7206"</definedName>
    <definedName name="IQ_IMPORTS_SERVICES_REAL_POP_FC" hidden="1">"c8086"</definedName>
    <definedName name="IQ_IMPORTS_SERVICES_REAL_YOY" hidden="1">"c7426"</definedName>
    <definedName name="IQ_IMPORTS_SERVICES_REAL_YOY_FC" hidden="1">"c8306"</definedName>
    <definedName name="IQ_IMPORTS_SERVICES_YOY" hidden="1">"c11860"</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EX_LEADING_IND" hidden="1">"c6894"</definedName>
    <definedName name="IQ_INDEX_LEADING_IND_APR" hidden="1">"c7554"</definedName>
    <definedName name="IQ_INDEX_LEADING_IND_APR_FC" hidden="1">"c8434"</definedName>
    <definedName name="IQ_INDEX_LEADING_IND_FC" hidden="1">"c7774"</definedName>
    <definedName name="IQ_INDEX_LEADING_IND_POP" hidden="1">"c7114"</definedName>
    <definedName name="IQ_INDEX_LEADING_IND_POP_FC" hidden="1">"c7994"</definedName>
    <definedName name="IQ_INDEX_LEADING_IND_YOY" hidden="1">"c7334"</definedName>
    <definedName name="IQ_INDEX_LEADING_IND_YOY_FC" hidden="1">"c8214"</definedName>
    <definedName name="IQ_INDICATED_ATTRIB_ORE_RESOURCES_ALUM" hidden="1">"c9238"</definedName>
    <definedName name="IQ_INDICATED_ATTRIB_ORE_RESOURCES_COP" hidden="1">"c9182"</definedName>
    <definedName name="IQ_INDICATED_ATTRIB_ORE_RESOURCES_DIAM" hidden="1">"c9662"</definedName>
    <definedName name="IQ_INDICATED_ATTRIB_ORE_RESOURCES_GOLD" hidden="1">"c9023"</definedName>
    <definedName name="IQ_INDICATED_ATTRIB_ORE_RESOURCES_IRON" hidden="1">"c9397"</definedName>
    <definedName name="IQ_INDICATED_ATTRIB_ORE_RESOURCES_LEAD" hidden="1">"c9450"</definedName>
    <definedName name="IQ_INDICATED_ATTRIB_ORE_RESOURCES_MANG" hidden="1">"c9503"</definedName>
    <definedName name="IQ_INDICATED_ATTRIB_ORE_RESOURCES_MOLYB" hidden="1">"c9715"</definedName>
    <definedName name="IQ_INDICATED_ATTRIB_ORE_RESOURCES_NICK" hidden="1">"c9291"</definedName>
    <definedName name="IQ_INDICATED_ATTRIB_ORE_RESOURCES_PLAT" hidden="1">"c9129"</definedName>
    <definedName name="IQ_INDICATED_ATTRIB_ORE_RESOURCES_SILVER" hidden="1">"c9076"</definedName>
    <definedName name="IQ_INDICATED_ATTRIB_ORE_RESOURCES_TITAN" hidden="1">"c9556"</definedName>
    <definedName name="IQ_INDICATED_ATTRIB_ORE_RESOURCES_URAN" hidden="1">"c9609"</definedName>
    <definedName name="IQ_INDICATED_ATTRIB_ORE_RESOURCES_ZINC" hidden="1">"c9344"</definedName>
    <definedName name="IQ_INDICATED_ORE_RESOURCES_ALUM" hidden="1">"c9224"</definedName>
    <definedName name="IQ_INDICATED_ORE_RESOURCES_COP" hidden="1">"c9168"</definedName>
    <definedName name="IQ_INDICATED_ORE_RESOURCES_DIAM" hidden="1">"c9648"</definedName>
    <definedName name="IQ_INDICATED_ORE_RESOURCES_GOLD" hidden="1">"c9009"</definedName>
    <definedName name="IQ_INDICATED_ORE_RESOURCES_IRON" hidden="1">"c9383"</definedName>
    <definedName name="IQ_INDICATED_ORE_RESOURCES_LEAD" hidden="1">"c9436"</definedName>
    <definedName name="IQ_INDICATED_ORE_RESOURCES_MANG" hidden="1">"c9489"</definedName>
    <definedName name="IQ_INDICATED_ORE_RESOURCES_MOLYB" hidden="1">"c9701"</definedName>
    <definedName name="IQ_INDICATED_ORE_RESOURCES_NICK" hidden="1">"c9277"</definedName>
    <definedName name="IQ_INDICATED_ORE_RESOURCES_PLAT" hidden="1">"c9115"</definedName>
    <definedName name="IQ_INDICATED_ORE_RESOURCES_SILVER" hidden="1">"c9062"</definedName>
    <definedName name="IQ_INDICATED_ORE_RESOURCES_TITAN" hidden="1">"c9542"</definedName>
    <definedName name="IQ_INDICATED_ORE_RESOURCES_URAN" hidden="1">"c9595"</definedName>
    <definedName name="IQ_INDICATED_ORE_RESOURCES_ZINC" hidden="1">"c9330"</definedName>
    <definedName name="IQ_INDICATED_RECOV_ATTRIB_RESOURCES_ALUM" hidden="1">"c9243"</definedName>
    <definedName name="IQ_INDICATED_RECOV_ATTRIB_RESOURCES_COAL" hidden="1">"c9817"</definedName>
    <definedName name="IQ_INDICATED_RECOV_ATTRIB_RESOURCES_COP" hidden="1">"c9187"</definedName>
    <definedName name="IQ_INDICATED_RECOV_ATTRIB_RESOURCES_DIAM" hidden="1">"c9667"</definedName>
    <definedName name="IQ_INDICATED_RECOV_ATTRIB_RESOURCES_GOLD" hidden="1">"c9028"</definedName>
    <definedName name="IQ_INDICATED_RECOV_ATTRIB_RESOURCES_IRON" hidden="1">"c9402"</definedName>
    <definedName name="IQ_INDICATED_RECOV_ATTRIB_RESOURCES_LEAD" hidden="1">"c9455"</definedName>
    <definedName name="IQ_INDICATED_RECOV_ATTRIB_RESOURCES_MANG" hidden="1">"c9508"</definedName>
    <definedName name="IQ_INDICATED_RECOV_ATTRIB_RESOURCES_MET_COAL" hidden="1">"c9757"</definedName>
    <definedName name="IQ_INDICATED_RECOV_ATTRIB_RESOURCES_MOLYB" hidden="1">"c9720"</definedName>
    <definedName name="IQ_INDICATED_RECOV_ATTRIB_RESOURCES_NICK" hidden="1">"c9296"</definedName>
    <definedName name="IQ_INDICATED_RECOV_ATTRIB_RESOURCES_PLAT" hidden="1">"c9134"</definedName>
    <definedName name="IQ_INDICATED_RECOV_ATTRIB_RESOURCES_SILVER" hidden="1">"c9081"</definedName>
    <definedName name="IQ_INDICATED_RECOV_ATTRIB_RESOURCES_STEAM" hidden="1">"c9787"</definedName>
    <definedName name="IQ_INDICATED_RECOV_ATTRIB_RESOURCES_TITAN" hidden="1">"c9561"</definedName>
    <definedName name="IQ_INDICATED_RECOV_ATTRIB_RESOURCES_URAN" hidden="1">"c9614"</definedName>
    <definedName name="IQ_INDICATED_RECOV_ATTRIB_RESOURCES_ZINC" hidden="1">"c9349"</definedName>
    <definedName name="IQ_INDICATED_RECOV_RESOURCES_ALUM" hidden="1">"c9233"</definedName>
    <definedName name="IQ_INDICATED_RECOV_RESOURCES_COAL" hidden="1">"c9812"</definedName>
    <definedName name="IQ_INDICATED_RECOV_RESOURCES_COP" hidden="1">"c9177"</definedName>
    <definedName name="IQ_INDICATED_RECOV_RESOURCES_DIAM" hidden="1">"c9657"</definedName>
    <definedName name="IQ_INDICATED_RECOV_RESOURCES_GOLD" hidden="1">"c9018"</definedName>
    <definedName name="IQ_INDICATED_RECOV_RESOURCES_IRON" hidden="1">"c9392"</definedName>
    <definedName name="IQ_INDICATED_RECOV_RESOURCES_LEAD" hidden="1">"c9445"</definedName>
    <definedName name="IQ_INDICATED_RECOV_RESOURCES_MANG" hidden="1">"c9498"</definedName>
    <definedName name="IQ_INDICATED_RECOV_RESOURCES_MET_COAL" hidden="1">"c9752"</definedName>
    <definedName name="IQ_INDICATED_RECOV_RESOURCES_MOLYB" hidden="1">"c9710"</definedName>
    <definedName name="IQ_INDICATED_RECOV_RESOURCES_NICK" hidden="1">"c9286"</definedName>
    <definedName name="IQ_INDICATED_RECOV_RESOURCES_PLAT" hidden="1">"c9124"</definedName>
    <definedName name="IQ_INDICATED_RECOV_RESOURCES_SILVER" hidden="1">"c9071"</definedName>
    <definedName name="IQ_INDICATED_RECOV_RESOURCES_STEAM" hidden="1">"c9782"</definedName>
    <definedName name="IQ_INDICATED_RECOV_RESOURCES_TITAN" hidden="1">"c9551"</definedName>
    <definedName name="IQ_INDICATED_RECOV_RESOURCES_URAN" hidden="1">"c9604"</definedName>
    <definedName name="IQ_INDICATED_RECOV_RESOURCES_ZINC" hidden="1">"c9339"</definedName>
    <definedName name="IQ_INDICATED_RESOURCES_CALORIFIC_VALUE_COAL" hidden="1">"c9807"</definedName>
    <definedName name="IQ_INDICATED_RESOURCES_CALORIFIC_VALUE_MET_COAL" hidden="1">"c9747"</definedName>
    <definedName name="IQ_INDICATED_RESOURCES_CALORIFIC_VALUE_STEAM" hidden="1">"c9777"</definedName>
    <definedName name="IQ_INDICATED_RESOURCES_GRADE_ALUM" hidden="1">"c9225"</definedName>
    <definedName name="IQ_INDICATED_RESOURCES_GRADE_COP" hidden="1">"c9169"</definedName>
    <definedName name="IQ_INDICATED_RESOURCES_GRADE_DIAM" hidden="1">"c9649"</definedName>
    <definedName name="IQ_INDICATED_RESOURCES_GRADE_GOLD" hidden="1">"c9010"</definedName>
    <definedName name="IQ_INDICATED_RESOURCES_GRADE_IRON" hidden="1">"c9384"</definedName>
    <definedName name="IQ_INDICATED_RESOURCES_GRADE_LEAD" hidden="1">"c9437"</definedName>
    <definedName name="IQ_INDICATED_RESOURCES_GRADE_MANG" hidden="1">"c9490"</definedName>
    <definedName name="IQ_INDICATED_RESOURCES_GRADE_MOLYB" hidden="1">"c9702"</definedName>
    <definedName name="IQ_INDICATED_RESOURCES_GRADE_NICK" hidden="1">"c9278"</definedName>
    <definedName name="IQ_INDICATED_RESOURCES_GRADE_PLAT" hidden="1">"c9116"</definedName>
    <definedName name="IQ_INDICATED_RESOURCES_GRADE_SILVER" hidden="1">"c9063"</definedName>
    <definedName name="IQ_INDICATED_RESOURCES_GRADE_TITAN" hidden="1">"c9543"</definedName>
    <definedName name="IQ_INDICATED_RESOURCES_GRADE_URAN" hidden="1">"c9596"</definedName>
    <definedName name="IQ_INDICATED_RESOURCES_GRADE_ZINC" hidden="1">"c9331"</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DUSTRIAL_PROD" hidden="1">"c6895"</definedName>
    <definedName name="IQ_INDUSTRIAL_PROD_APR" hidden="1">"c7555"</definedName>
    <definedName name="IQ_INDUSTRIAL_PROD_APR_FC" hidden="1">"c8435"</definedName>
    <definedName name="IQ_INDUSTRIAL_PROD_FC" hidden="1">"c7775"</definedName>
    <definedName name="IQ_INDUSTRIAL_PROD_POP" hidden="1">"c7115"</definedName>
    <definedName name="IQ_INDUSTRIAL_PROD_POP_FC" hidden="1">"c7995"</definedName>
    <definedName name="IQ_INDUSTRIAL_PROD_YOY" hidden="1">"c7335"</definedName>
    <definedName name="IQ_INDUSTRIAL_PROD_YOY_FC" hidden="1">"c8215"</definedName>
    <definedName name="IQ_INDUSTRY" hidden="1">"c3601"</definedName>
    <definedName name="IQ_INDUSTRY_GROUP" hidden="1">"c3602"</definedName>
    <definedName name="IQ_INDUSTRY_SECTOR" hidden="1">"c3603"</definedName>
    <definedName name="IQ_INFERRED_ATTRIB_ORE_RESOURCES_ALUM" hidden="1">"c9240"</definedName>
    <definedName name="IQ_INFERRED_ATTRIB_ORE_RESOURCES_COP" hidden="1">"c9184"</definedName>
    <definedName name="IQ_INFERRED_ATTRIB_ORE_RESOURCES_DIAM" hidden="1">"c9664"</definedName>
    <definedName name="IQ_INFERRED_ATTRIB_ORE_RESOURCES_GOLD" hidden="1">"c9025"</definedName>
    <definedName name="IQ_INFERRED_ATTRIB_ORE_RESOURCES_IRON" hidden="1">"c9399"</definedName>
    <definedName name="IQ_INFERRED_ATTRIB_ORE_RESOURCES_LEAD" hidden="1">"c9452"</definedName>
    <definedName name="IQ_INFERRED_ATTRIB_ORE_RESOURCES_MANG" hidden="1">"c9505"</definedName>
    <definedName name="IQ_INFERRED_ATTRIB_ORE_RESOURCES_MOLYB" hidden="1">"c9717"</definedName>
    <definedName name="IQ_INFERRED_ATTRIB_ORE_RESOURCES_NICK" hidden="1">"c9293"</definedName>
    <definedName name="IQ_INFERRED_ATTRIB_ORE_RESOURCES_PLAT" hidden="1">"c9131"</definedName>
    <definedName name="IQ_INFERRED_ATTRIB_ORE_RESOURCES_SILVER" hidden="1">"c9078"</definedName>
    <definedName name="IQ_INFERRED_ATTRIB_ORE_RESOURCES_TITAN" hidden="1">"c9558"</definedName>
    <definedName name="IQ_INFERRED_ATTRIB_ORE_RESOURCES_URAN" hidden="1">"c9611"</definedName>
    <definedName name="IQ_INFERRED_ATTRIB_ORE_RESOURCES_ZINC" hidden="1">"c9346"</definedName>
    <definedName name="IQ_INFERRED_ORE_RESOURCES_ALUM" hidden="1">"c9228"</definedName>
    <definedName name="IQ_INFERRED_ORE_RESOURCES_COP" hidden="1">"c9172"</definedName>
    <definedName name="IQ_INFERRED_ORE_RESOURCES_DIAM" hidden="1">"c9652"</definedName>
    <definedName name="IQ_INFERRED_ORE_RESOURCES_GOLD" hidden="1">"c9013"</definedName>
    <definedName name="IQ_INFERRED_ORE_RESOURCES_IRON" hidden="1">"c9387"</definedName>
    <definedName name="IQ_INFERRED_ORE_RESOURCES_LEAD" hidden="1">"c9440"</definedName>
    <definedName name="IQ_INFERRED_ORE_RESOURCES_MANG" hidden="1">"c9493"</definedName>
    <definedName name="IQ_INFERRED_ORE_RESOURCES_MOLYB" hidden="1">"c9705"</definedName>
    <definedName name="IQ_INFERRED_ORE_RESOURCES_NICK" hidden="1">"c9281"</definedName>
    <definedName name="IQ_INFERRED_ORE_RESOURCES_PLAT" hidden="1">"c9119"</definedName>
    <definedName name="IQ_INFERRED_ORE_RESOURCES_SILVER" hidden="1">"c9066"</definedName>
    <definedName name="IQ_INFERRED_ORE_RESOURCES_TITAN" hidden="1">"c9546"</definedName>
    <definedName name="IQ_INFERRED_ORE_RESOURCES_URAN" hidden="1">"c9599"</definedName>
    <definedName name="IQ_INFERRED_ORE_RESOURCES_ZINC" hidden="1">"c9334"</definedName>
    <definedName name="IQ_INFERRED_RECOV_ATTRIB_RESOURCES_ALUM" hidden="1">"c9245"</definedName>
    <definedName name="IQ_INFERRED_RECOV_ATTRIB_RESOURCES_COAL" hidden="1">"c9819"</definedName>
    <definedName name="IQ_INFERRED_RECOV_ATTRIB_RESOURCES_COP" hidden="1">"c9189"</definedName>
    <definedName name="IQ_INFERRED_RECOV_ATTRIB_RESOURCES_DIAM" hidden="1">"c9669"</definedName>
    <definedName name="IQ_INFERRED_RECOV_ATTRIB_RESOURCES_GOLD" hidden="1">"c9030"</definedName>
    <definedName name="IQ_INFERRED_RECOV_ATTRIB_RESOURCES_IRON" hidden="1">"c9404"</definedName>
    <definedName name="IQ_INFERRED_RECOV_ATTRIB_RESOURCES_LEAD" hidden="1">"c9457"</definedName>
    <definedName name="IQ_INFERRED_RECOV_ATTRIB_RESOURCES_MANG" hidden="1">"c9510"</definedName>
    <definedName name="IQ_INFERRED_RECOV_ATTRIB_RESOURCES_MET_COAL" hidden="1">"c9759"</definedName>
    <definedName name="IQ_INFERRED_RECOV_ATTRIB_RESOURCES_MOLYB" hidden="1">"c9722"</definedName>
    <definedName name="IQ_INFERRED_RECOV_ATTRIB_RESOURCES_NICK" hidden="1">"c9298"</definedName>
    <definedName name="IQ_INFERRED_RECOV_ATTRIB_RESOURCES_PLAT" hidden="1">"c9136"</definedName>
    <definedName name="IQ_INFERRED_RECOV_ATTRIB_RESOURCES_SILVER" hidden="1">"c9083"</definedName>
    <definedName name="IQ_INFERRED_RECOV_ATTRIB_RESOURCES_STEAM" hidden="1">"c9789"</definedName>
    <definedName name="IQ_INFERRED_RECOV_ATTRIB_RESOURCES_TITAN" hidden="1">"c9563"</definedName>
    <definedName name="IQ_INFERRED_RECOV_ATTRIB_RESOURCES_URAN" hidden="1">"c9616"</definedName>
    <definedName name="IQ_INFERRED_RECOV_ATTRIB_RESOURCES_ZINC" hidden="1">"c9351"</definedName>
    <definedName name="IQ_INFERRED_RECOV_RESOURCES_ALUM" hidden="1">"c9235"</definedName>
    <definedName name="IQ_INFERRED_RECOV_RESOURCES_COAL" hidden="1">"c9814"</definedName>
    <definedName name="IQ_INFERRED_RECOV_RESOURCES_COP" hidden="1">"c9179"</definedName>
    <definedName name="IQ_INFERRED_RECOV_RESOURCES_DIAM" hidden="1">"c9659"</definedName>
    <definedName name="IQ_INFERRED_RECOV_RESOURCES_GOLD" hidden="1">"c9020"</definedName>
    <definedName name="IQ_INFERRED_RECOV_RESOURCES_IRON" hidden="1">"c9394"</definedName>
    <definedName name="IQ_INFERRED_RECOV_RESOURCES_LEAD" hidden="1">"c9447"</definedName>
    <definedName name="IQ_INFERRED_RECOV_RESOURCES_MANG" hidden="1">"c9500"</definedName>
    <definedName name="IQ_INFERRED_RECOV_RESOURCES_MET_COAL" hidden="1">"c9754"</definedName>
    <definedName name="IQ_INFERRED_RECOV_RESOURCES_MOLYB" hidden="1">"c9712"</definedName>
    <definedName name="IQ_INFERRED_RECOV_RESOURCES_NICK" hidden="1">"c9288"</definedName>
    <definedName name="IQ_INFERRED_RECOV_RESOURCES_PLAT" hidden="1">"c9126"</definedName>
    <definedName name="IQ_INFERRED_RECOV_RESOURCES_SILVER" hidden="1">"c9073"</definedName>
    <definedName name="IQ_INFERRED_RECOV_RESOURCES_STEAM" hidden="1">"c9784"</definedName>
    <definedName name="IQ_INFERRED_RECOV_RESOURCES_TITAN" hidden="1">"c9553"</definedName>
    <definedName name="IQ_INFERRED_RECOV_RESOURCES_URAN" hidden="1">"c9606"</definedName>
    <definedName name="IQ_INFERRED_RECOV_RESOURCES_ZINC" hidden="1">"c9341"</definedName>
    <definedName name="IQ_INFERRED_RESOURCES_CALORIFIC_VALUE_COAL" hidden="1">"c9809"</definedName>
    <definedName name="IQ_INFERRED_RESOURCES_CALORIFIC_VALUE_MET_COAL" hidden="1">"c9749"</definedName>
    <definedName name="IQ_INFERRED_RESOURCES_CALORIFIC_VALUE_STEAM" hidden="1">"c9779"</definedName>
    <definedName name="IQ_INFERRED_RESOURCES_GRADE_ALUM" hidden="1">"c9229"</definedName>
    <definedName name="IQ_INFERRED_RESOURCES_GRADE_COP" hidden="1">"c9173"</definedName>
    <definedName name="IQ_INFERRED_RESOURCES_GRADE_DIAM" hidden="1">"c9653"</definedName>
    <definedName name="IQ_INFERRED_RESOURCES_GRADE_GOLD" hidden="1">"c9014"</definedName>
    <definedName name="IQ_INFERRED_RESOURCES_GRADE_IRON" hidden="1">"c9388"</definedName>
    <definedName name="IQ_INFERRED_RESOURCES_GRADE_LEAD" hidden="1">"c9441"</definedName>
    <definedName name="IQ_INFERRED_RESOURCES_GRADE_MANG" hidden="1">"c9494"</definedName>
    <definedName name="IQ_INFERRED_RESOURCES_GRADE_MOLYB" hidden="1">"c9706"</definedName>
    <definedName name="IQ_INFERRED_RESOURCES_GRADE_NICK" hidden="1">"c9282"</definedName>
    <definedName name="IQ_INFERRED_RESOURCES_GRADE_PLAT" hidden="1">"c9120"</definedName>
    <definedName name="IQ_INFERRED_RESOURCES_GRADE_SILVER" hidden="1">"c9067"</definedName>
    <definedName name="IQ_INFERRED_RESOURCES_GRADE_TITAN" hidden="1">"c9547"</definedName>
    <definedName name="IQ_INFERRED_RESOURCES_GRADE_URAN" hidden="1">"c9600"</definedName>
    <definedName name="IQ_INFERRED_RESOURCES_GRADE_ZINC" hidden="1">"c9335"</definedName>
    <definedName name="IQ_INFLATION_RATE" hidden="1">"c6899"</definedName>
    <definedName name="IQ_INFLATION_RATE_CORE" hidden="1">"c11783"</definedName>
    <definedName name="IQ_INFLATION_RATE_CORE_POP" hidden="1">"c11784"</definedName>
    <definedName name="IQ_INFLATION_RATE_CORE_YOY" hidden="1">"c11785"</definedName>
    <definedName name="IQ_INFLATION_RATE_FC" hidden="1">"c7779"</definedName>
    <definedName name="IQ_INFLATION_RATE_POP" hidden="1">"c7119"</definedName>
    <definedName name="IQ_INFLATION_RATE_POP_FC" hidden="1">"c7999"</definedName>
    <definedName name="IQ_INFLATION_RATE_YOY" hidden="1">"c7339"</definedName>
    <definedName name="IQ_INFLATION_RATE_YOY_FC" hidden="1">"c8219"</definedName>
    <definedName name="IQ_INITIAL_CLAIMS" hidden="1">"c6900"</definedName>
    <definedName name="IQ_INITIAL_CLAIMS_APR" hidden="1">"c7560"</definedName>
    <definedName name="IQ_INITIAL_CLAIMS_APR_FC" hidden="1">"c8440"</definedName>
    <definedName name="IQ_INITIAL_CLAIMS_FC" hidden="1">"c7780"</definedName>
    <definedName name="IQ_INITIAL_CLAIMS_POP" hidden="1">"c7120"</definedName>
    <definedName name="IQ_INITIAL_CLAIMS_POP_FC" hidden="1">"c8000"</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_DEPOSITS" hidden="1">"c89"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UNDERWRITING_INCOME_FDIC" hidden="1">"c6671"</definedName>
    <definedName name="IQ_INT_BEARING_DEPOSITS" hidden="1">"c1166"</definedName>
    <definedName name="IQ_INT_BORROW" hidden="1">"c583"</definedName>
    <definedName name="IQ_INT_DEMAND_NOTES_FDIC" hidden="1">"c6567"</definedName>
    <definedName name="IQ_INT_DEPOSITS" hidden="1">"c584"</definedName>
    <definedName name="IQ_INT_DIV_INC" hidden="1">"c585"</definedName>
    <definedName name="IQ_INT_DOMESTIC_DEPOSITS_FDIC" hidden="1">"c6564"</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TOTAL_BNK_SUBTOTAL_AP" hidden="1">"c8977"</definedName>
    <definedName name="IQ_INT_EXP_TOTAL_FDIC" hidden="1">"c6569"</definedName>
    <definedName name="IQ_INT_EXP_UTI" hidden="1">"c592"</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 hidden="1">"c6225"</definedName>
    <definedName name="IQ_INT_INC_REIT" hidden="1">"c597"</definedName>
    <definedName name="IQ_INT_INC_SECURITIES_FDIC" hidden="1">"c6559"</definedName>
    <definedName name="IQ_INT_INC_TOTAL" hidden="1">"c598"</definedName>
    <definedName name="IQ_INT_INC_TOTAL_BNK_SUBTOTAL_AP" hidden="1">"c8976"</definedName>
    <definedName name="IQ_INT_INC_TOTAL_FDIC" hidden="1">"c6563"</definedName>
    <definedName name="IQ_INT_INC_TRADING_ACCOUNTS_FDIC" hidden="1">"c6560"</definedName>
    <definedName name="IQ_INT_INC_UTI" hidden="1">"c599"</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RATE_SPREAD" hidden="1">"c604"</definedName>
    <definedName name="IQ_INT_SUB_NOTES_FDIC" hidden="1">"c6568"</definedName>
    <definedName name="IQ_INTANGIBLES_NET" hidden="1">"c1407"</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RATE_CONTRACTS_FDIC" hidden="1">"c6512"</definedName>
    <definedName name="IQ_INTEREST_RATE_EXPOSURES_FDIC" hidden="1">"c6662"</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ENTORIES" hidden="1">"c6901"</definedName>
    <definedName name="IQ_INVENTORIES_APR" hidden="1">"c7561"</definedName>
    <definedName name="IQ_INVENTORIES_APR_FC" hidden="1">"c8441"</definedName>
    <definedName name="IQ_INVENTORIES_FC" hidden="1">"c7781"</definedName>
    <definedName name="IQ_INVENTORIES_POP" hidden="1">"c7121"</definedName>
    <definedName name="IQ_INVENTORIES_POP_FC" hidden="1">"c8001"</definedName>
    <definedName name="IQ_INVENTORIES_YOY" hidden="1">"c7341"</definedName>
    <definedName name="IQ_INVENTORIES_YOY_FC" hidden="1">"c8221"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MENT_BANKING_OTHER_FEES_FDIC" hidden="1">"c6666"</definedName>
    <definedName name="IQ_IPRD" hidden="1">"c644"</definedName>
    <definedName name="IQ_IRA_KEOGH_ACCOUNTS_FDIC" hidden="1">"c6496"</definedName>
    <definedName name="IQ_ISIN" hidden="1">"c12041"</definedName>
    <definedName name="IQ_ISM_INDEX" hidden="1">"c6902"</definedName>
    <definedName name="IQ_ISM_INDEX_APR" hidden="1">"c7562"</definedName>
    <definedName name="IQ_ISM_INDEX_APR_FC" hidden="1">"c8442"</definedName>
    <definedName name="IQ_ISM_INDEX_FC" hidden="1">"c7782"</definedName>
    <definedName name="IQ_ISM_INDEX_POP" hidden="1">"c7122"</definedName>
    <definedName name="IQ_ISM_INDEX_POP_FC" hidden="1">"c8002"</definedName>
    <definedName name="IQ_ISM_INDEX_YOY" hidden="1">"c7342"</definedName>
    <definedName name="IQ_ISM_INDEX_YOY_FC" hidden="1">"c8222"</definedName>
    <definedName name="IQ_ISM_SERVICES_APR_FC_UNUSED" hidden="1">"c8443"</definedName>
    <definedName name="IQ_ISM_SERVICES_APR_UNUSED" hidden="1">"c7563"</definedName>
    <definedName name="IQ_ISM_SERVICES_FC_UNUSED" hidden="1">"c7783"</definedName>
    <definedName name="IQ_ISM_SERVICES_INDEX" hidden="1">"c11862"</definedName>
    <definedName name="IQ_ISM_SERVICES_INDEX_APR" hidden="1">"c11865"</definedName>
    <definedName name="IQ_ISM_SERVICES_INDEX_POP" hidden="1">"c11863"</definedName>
    <definedName name="IQ_ISM_SERVICES_INDEX_YOY" hidden="1">"c11864"</definedName>
    <definedName name="IQ_ISM_SERVICES_POP_FC_UNUSED" hidden="1">"c8003"</definedName>
    <definedName name="IQ_ISM_SERVICES_POP_UNUSED" hidden="1">"c7123"</definedName>
    <definedName name="IQ_ISM_SERVICES_UNUSED" hidden="1">"c6903"</definedName>
    <definedName name="IQ_ISM_SERVICES_YOY_FC_UNUSED" hidden="1">"c8223"</definedName>
    <definedName name="IQ_ISM_SERVICES_YOY_UNUSED" hidden="1">"c7343"</definedName>
    <definedName name="IQ_ISS_DEBT_NET" hidden="1">"c1391"</definedName>
    <definedName name="IQ_ISS_STOCK_NET" hidden="1">"c1601"</definedName>
    <definedName name="IQ_ISSUE_CURRENCY" hidden="1">"c2156"</definedName>
    <definedName name="IQ_ISSUE_NAME" hidden="1">"c2142"</definedName>
    <definedName name="IQ_ISSUED_GUARANTEED_US_FDIC" hidden="1">"c6404"</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RGE_CAP_LABOR_COST_INDEX" hidden="1">"c6904"</definedName>
    <definedName name="IQ_LARGE_CAP_LABOR_COST_INDEX_APR" hidden="1">"c7564"</definedName>
    <definedName name="IQ_LARGE_CAP_LABOR_COST_INDEX_APR_FC" hidden="1">"c8444"</definedName>
    <definedName name="IQ_LARGE_CAP_LABOR_COST_INDEX_FC" hidden="1">"c7784"</definedName>
    <definedName name="IQ_LARGE_CAP_LABOR_COST_INDEX_POP" hidden="1">"c7124"</definedName>
    <definedName name="IQ_LARGE_CAP_LABOR_COST_INDEX_POP_FC" hidden="1">"c8004"</definedName>
    <definedName name="IQ_LARGE_CAP_LABOR_COST_INDEX_YOY" hidden="1">"c7344"</definedName>
    <definedName name="IQ_LARGE_CAP_LABOR_COST_INDEX_YOY_FC" hidden="1">"c8224"</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_MONTHLY_FACTOR" hidden="1">"c8971"</definedName>
    <definedName name="IQ_LATEST_MONTHLY_FACTOR_DATE" hidden="1">"c8972"</definedName>
    <definedName name="IQ_LATESTK" hidden="1">1000</definedName>
    <definedName name="IQ_LATESTQ" hidden="1">500</definedName>
    <definedName name="IQ_LEAD_UNDERWRITER" hidden="1">"c8957"</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AB_AP" hidden="1">"c8886"</definedName>
    <definedName name="IQ_LIAB_AP_ABS" hidden="1">"c8905"</definedName>
    <definedName name="IQ_LIAB_NAME_AP" hidden="1">"c8924"</definedName>
    <definedName name="IQ_LIAB_NAME_AP_ABS" hidden="1">"c8943"</definedName>
    <definedName name="IQ_LICENSED_POPS" hidden="1">"c2123"</definedName>
    <definedName name="IQ_LIFE_EARNED" hidden="1">"c2739"</definedName>
    <definedName name="IQ_LIFE_INSURANCE_ASSETS_FDIC" hidden="1">"c6372"</definedName>
    <definedName name="IQ_LIFOR" hidden="1">"c655"</definedName>
    <definedName name="IQ_LL" hidden="1">"c656"</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CURRENT_LOANS_FDIC" hidden="1">"c6740"</definedName>
    <definedName name="IQ_LOAN_LOSSES_FDIC" hidden="1">"c6580"</definedName>
    <definedName name="IQ_LOAN_SERVICE_REV" hidden="1">"c658"</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OSITORY_INSTITUTIONS_FDIC" hidden="1">"c6382"</definedName>
    <definedName name="IQ_LOANS_FOR_SALE" hidden="1">"c666"</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PAST_DUE" hidden="1">"c667"</definedName>
    <definedName name="IQ_LOANS_RECEIV_CURRENT" hidden="1">"c668"</definedName>
    <definedName name="IQ_LOANS_RECEIV_LT" hidden="1">"c669"</definedName>
    <definedName name="IQ_LOANS_RECEIV_LT_UTI" hidden="1">"c670"</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LOSS_EXP" hidden="1">"c672"</definedName>
    <definedName name="IQ_LOSS_TO_NET_EARNED" hidden="1">"c2751"</definedName>
    <definedName name="IQ_LOW_TARGET_PRICE" hidden="1">"c1652"</definedName>
    <definedName name="IQ_LOW_TARGET_PRICE_CIQ" hidden="1">"c4660"</definedName>
    <definedName name="IQ_LOW_TARGET_PRICE_REUT" hidden="1">"c5318"</definedName>
    <definedName name="IQ_LOWPRICE" hidden="1">"c673"</definedName>
    <definedName name="IQ_LT_ASSETS_AP" hidden="1">"c8882"</definedName>
    <definedName name="IQ_LT_ASSETS_AP_ABS" hidden="1">"c8901"</definedName>
    <definedName name="IQ_LT_ASSETS_NAME_AP" hidden="1">"c8920"</definedName>
    <definedName name="IQ_LT_ASSETS_NAME_AP_ABS" hidden="1">"c8939"</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LIAB_AP" hidden="1">"c8885"</definedName>
    <definedName name="IQ_LT_LIAB_AP_ABS" hidden="1">"c8904"</definedName>
    <definedName name="IQ_LT_LIAB_NAME_AP" hidden="1">"c8923"</definedName>
    <definedName name="IQ_LT_LIAB_NAME_AP_ABS" hidden="1">"c8942"</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1" hidden="1">"c6906"</definedName>
    <definedName name="IQ_M1_APR" hidden="1">"c7566"</definedName>
    <definedName name="IQ_M1_APR_FC" hidden="1">"c8446"</definedName>
    <definedName name="IQ_M1_FC" hidden="1">"c7786"</definedName>
    <definedName name="IQ_M1_POP" hidden="1">"c7126"</definedName>
    <definedName name="IQ_M1_POP_FC" hidden="1">"c8006"</definedName>
    <definedName name="IQ_M1_YOY" hidden="1">"c7346"</definedName>
    <definedName name="IQ_M1_YOY_FC" hidden="1">"c8226"</definedName>
    <definedName name="IQ_M2" hidden="1">"c6907"</definedName>
    <definedName name="IQ_M2_APR" hidden="1">"c7567"</definedName>
    <definedName name="IQ_M2_APR_FC" hidden="1">"c8447"</definedName>
    <definedName name="IQ_M2_FC" hidden="1">"c7787"</definedName>
    <definedName name="IQ_M2_POP" hidden="1">"c7127"</definedName>
    <definedName name="IQ_M2_POP_FC" hidden="1">"c8007"</definedName>
    <definedName name="IQ_M2_YOY" hidden="1">"c7347"</definedName>
    <definedName name="IQ_M2_YOY_FC" hidden="1">"c8227"</definedName>
    <definedName name="IQ_M3" hidden="1">"c6908"</definedName>
    <definedName name="IQ_M3_APR" hidden="1">"c7568"</definedName>
    <definedName name="IQ_M3_APR_FC" hidden="1">"c8448"</definedName>
    <definedName name="IQ_M3_FC" hidden="1">"c7788"</definedName>
    <definedName name="IQ_M3_POP" hidden="1">"c7128"</definedName>
    <definedName name="IQ_M3_POP_FC" hidden="1">"c8008"</definedName>
    <definedName name="IQ_M3_YOY" hidden="1">"c7348"</definedName>
    <definedName name="IQ_M3_YOY_FC" hidden="1">"c8228"</definedName>
    <definedName name="IQ_MACHINERY" hidden="1">"c711"</definedName>
    <definedName name="IQ_MAINT_CAPEX" hidden="1">"c2947"</definedName>
    <definedName name="IQ_MAINT_CAPEX_ACT_OR_EST" hidden="1">"c4458"</definedName>
    <definedName name="IQ_MAINT_CAPEX_ACT_OR_EST_CIQ" hidden="1">"c4987"</definedName>
    <definedName name="IQ_MAINT_REPAIR" hidden="1">"c2087"</definedName>
    <definedName name="IQ_MAKE_WHOLE_END_DATE" hidden="1">"c2493"</definedName>
    <definedName name="IQ_MAKE_WHOLE_SPREAD" hidden="1">"c2494"</definedName>
    <definedName name="IQ_MAKE_WHOLE_START_DATE" hidden="1">"c2492"</definedName>
    <definedName name="IQ_MAN_INVENTORIES" hidden="1">"c6913"</definedName>
    <definedName name="IQ_MAN_INVENTORIES_APR" hidden="1">"c7573"</definedName>
    <definedName name="IQ_MAN_INVENTORIES_APR_FC" hidden="1">"c8453"</definedName>
    <definedName name="IQ_MAN_INVENTORIES_FC" hidden="1">"c7793"</definedName>
    <definedName name="IQ_MAN_INVENTORIES_POP" hidden="1">"c7133"</definedName>
    <definedName name="IQ_MAN_INVENTORIES_POP_FC" hidden="1">"c8013"</definedName>
    <definedName name="IQ_MAN_INVENTORIES_YOY" hidden="1">"c7353"</definedName>
    <definedName name="IQ_MAN_INVENTORIES_YOY_FC" hidden="1">"c8233"</definedName>
    <definedName name="IQ_MAN_IS_RATIO" hidden="1">"c6912"</definedName>
    <definedName name="IQ_MAN_IS_RATIO_APR" hidden="1">"c7572"</definedName>
    <definedName name="IQ_MAN_IS_RATIO_APR_FC" hidden="1">"c8452"</definedName>
    <definedName name="IQ_MAN_IS_RATIO_FC" hidden="1">"c7792"</definedName>
    <definedName name="IQ_MAN_IS_RATIO_POP" hidden="1">"c7132"</definedName>
    <definedName name="IQ_MAN_IS_RATIO_POP_FC" hidden="1">"c8012"</definedName>
    <definedName name="IQ_MAN_IS_RATIO_YOY" hidden="1">"c7352"</definedName>
    <definedName name="IQ_MAN_IS_RATIO_YOY_FC" hidden="1">"c8232"</definedName>
    <definedName name="IQ_MAN_ORDERS" hidden="1">"c6914"</definedName>
    <definedName name="IQ_MAN_ORDERS_APR" hidden="1">"c7574"</definedName>
    <definedName name="IQ_MAN_ORDERS_APR_FC" hidden="1">"c8454"</definedName>
    <definedName name="IQ_MAN_ORDERS_FC" hidden="1">"c7794"</definedName>
    <definedName name="IQ_MAN_ORDERS_POP" hidden="1">"c7134"</definedName>
    <definedName name="IQ_MAN_ORDERS_POP_FC" hidden="1">"c8014"</definedName>
    <definedName name="IQ_MAN_ORDERS_YOY" hidden="1">"c7354"</definedName>
    <definedName name="IQ_MAN_ORDERS_YOY_FC" hidden="1">"c8234"</definedName>
    <definedName name="IQ_MAN_OUTPUT_HR" hidden="1">"c6915"</definedName>
    <definedName name="IQ_MAN_OUTPUT_HR_APR" hidden="1">"c7575"</definedName>
    <definedName name="IQ_MAN_OUTPUT_HR_APR_FC" hidden="1">"c8455"</definedName>
    <definedName name="IQ_MAN_OUTPUT_HR_FC" hidden="1">"c7795"</definedName>
    <definedName name="IQ_MAN_OUTPUT_HR_POP" hidden="1">"c7135"</definedName>
    <definedName name="IQ_MAN_OUTPUT_HR_POP_FC" hidden="1">"c8015"</definedName>
    <definedName name="IQ_MAN_OUTPUT_HR_YOY" hidden="1">"c7355"</definedName>
    <definedName name="IQ_MAN_OUTPUT_HR_YOY_FC" hidden="1">"c8235"</definedName>
    <definedName name="IQ_MAN_PAYROLLS" hidden="1">"c6916"</definedName>
    <definedName name="IQ_MAN_PAYROLLS_APR" hidden="1">"c7576"</definedName>
    <definedName name="IQ_MAN_PAYROLLS_APR_FC" hidden="1">"c8456"</definedName>
    <definedName name="IQ_MAN_PAYROLLS_FC" hidden="1">"c7796"</definedName>
    <definedName name="IQ_MAN_PAYROLLS_POP" hidden="1">"c7136"</definedName>
    <definedName name="IQ_MAN_PAYROLLS_POP_FC" hidden="1">"c8016"</definedName>
    <definedName name="IQ_MAN_PAYROLLS_YOY" hidden="1">"c7356"</definedName>
    <definedName name="IQ_MAN_PAYROLLS_YOY_FC" hidden="1">"c8236"</definedName>
    <definedName name="IQ_MAN_SHIPMENTS" hidden="1">"c6917"</definedName>
    <definedName name="IQ_MAN_SHIPMENTS_APR" hidden="1">"c7577"</definedName>
    <definedName name="IQ_MAN_SHIPMENTS_APR_FC" hidden="1">"c8457"</definedName>
    <definedName name="IQ_MAN_SHIPMENTS_FC" hidden="1">"c7797"</definedName>
    <definedName name="IQ_MAN_SHIPMENTS_POP" hidden="1">"c7137"</definedName>
    <definedName name="IQ_MAN_SHIPMENTS_POP_FC" hidden="1">"c8017"</definedName>
    <definedName name="IQ_MAN_SHIPMENTS_YOY" hidden="1">"c7357"</definedName>
    <definedName name="IQ_MAN_SHIPMENTS_YOY_FC" hidden="1">"c8237"</definedName>
    <definedName name="IQ_MAN_TOTAL_HR" hidden="1">"c6918"</definedName>
    <definedName name="IQ_MAN_TOTAL_HR_APR" hidden="1">"c7578"</definedName>
    <definedName name="IQ_MAN_TOTAL_HR_APR_FC" hidden="1">"c8458"</definedName>
    <definedName name="IQ_MAN_TOTAL_HR_FC" hidden="1">"c7798"</definedName>
    <definedName name="IQ_MAN_TOTAL_HR_POP" hidden="1">"c7138"</definedName>
    <definedName name="IQ_MAN_TOTAL_HR_POP_FC" hidden="1">"c8018"</definedName>
    <definedName name="IQ_MAN_TOTAL_HR_YOY" hidden="1">"c7358"</definedName>
    <definedName name="IQ_MAN_TOTAL_HR_YOY_FC" hidden="1">"c8238"</definedName>
    <definedName name="IQ_MAN_TRADE_INVENTORIES" hidden="1">"c6910"</definedName>
    <definedName name="IQ_MAN_TRADE_INVENTORIES_APR" hidden="1">"c7570"</definedName>
    <definedName name="IQ_MAN_TRADE_INVENTORIES_APR_FC" hidden="1">"c8450"</definedName>
    <definedName name="IQ_MAN_TRADE_INVENTORIES_FC" hidden="1">"c7790"</definedName>
    <definedName name="IQ_MAN_TRADE_INVENTORIES_POP" hidden="1">"c7130"</definedName>
    <definedName name="IQ_MAN_TRADE_INVENTORIES_POP_FC" hidden="1">"c8010"</definedName>
    <definedName name="IQ_MAN_TRADE_INVENTORIES_YOY" hidden="1">"c7350"</definedName>
    <definedName name="IQ_MAN_TRADE_INVENTORIES_YOY_FC" hidden="1">"c8230"</definedName>
    <definedName name="IQ_MAN_TRADE_IS_RATIO" hidden="1">"c6909"</definedName>
    <definedName name="IQ_MAN_TRADE_IS_RATIO_FC" hidden="1">"c7789"</definedName>
    <definedName name="IQ_MAN_TRADE_IS_RATIO_POP" hidden="1">"c7129"</definedName>
    <definedName name="IQ_MAN_TRADE_IS_RATIO_POP_FC" hidden="1">"c8009"</definedName>
    <definedName name="IQ_MAN_TRADE_IS_RATIO_YOY" hidden="1">"c7349"</definedName>
    <definedName name="IQ_MAN_TRADE_IS_RATIO_YOY_FC" hidden="1">"c8229"</definedName>
    <definedName name="IQ_MAN_TRADE_SALES" hidden="1">"c6911"</definedName>
    <definedName name="IQ_MAN_TRADE_SALES_APR" hidden="1">"c7571"</definedName>
    <definedName name="IQ_MAN_TRADE_SALES_APR_FC" hidden="1">"c8451"</definedName>
    <definedName name="IQ_MAN_TRADE_SALES_FC" hidden="1">"c7791"</definedName>
    <definedName name="IQ_MAN_TRADE_SALES_POP" hidden="1">"c7131"</definedName>
    <definedName name="IQ_MAN_TRADE_SALES_POP_FC" hidden="1">"c8011"</definedName>
    <definedName name="IQ_MAN_TRADE_SALES_YOY" hidden="1">"c7351"</definedName>
    <definedName name="IQ_MAN_TRADE_SALES_YOY_FC" hidden="1">"c8231"</definedName>
    <definedName name="IQ_MAN_WAGES" hidden="1">"c6919"</definedName>
    <definedName name="IQ_MAN_WAGES_APR" hidden="1">"c7579"</definedName>
    <definedName name="IQ_MAN_WAGES_APR_FC" hidden="1">"c8459"</definedName>
    <definedName name="IQ_MAN_WAGES_FC" hidden="1">"c7799"</definedName>
    <definedName name="IQ_MAN_WAGES_POP" hidden="1">"c7139"</definedName>
    <definedName name="IQ_MAN_WAGES_POP_FC" hidden="1">"c8019"</definedName>
    <definedName name="IQ_MAN_WAGES_YOY" hidden="1">"c7359"</definedName>
    <definedName name="IQ_MAN_WAGES_YOY_FC" hidden="1">"c8239"</definedName>
    <definedName name="IQ_MANAGED_PROP" hidden="1">"c8763"</definedName>
    <definedName name="IQ_MANAGED_SQ_FT" hidden="1">"c8779"</definedName>
    <definedName name="IQ_MANAGED_UNITS" hidden="1">"c8771"</definedName>
    <definedName name="IQ_MARGIN_ANNUAL_PREMIUM_EQUIVALENT_NEW_BUSINESS" hidden="1">"c9970"</definedName>
    <definedName name="IQ_MARGIN_PV_PREMIUMS_NEW_BUSINESS" hidden="1">"c9971"</definedName>
    <definedName name="IQ_MARKET_CAP_LFCF" hidden="1">"c2209"</definedName>
    <definedName name="IQ_MARKETCAP" hidden="1">"c712"</definedName>
    <definedName name="IQ_MARKETING" hidden="1">"c2239"</definedName>
    <definedName name="IQ_MATURITY_DATE" hidden="1">"c2146"</definedName>
    <definedName name="IQ_MATURITY_ONE_YEAR_LESS_FDIC" hidden="1">"c6425"</definedName>
    <definedName name="IQ_MC_ASO_COVERED_LIVES" hidden="1">"c9918"</definedName>
    <definedName name="IQ_MC_ASO_MEMBERSHIP" hidden="1">"c9921"</definedName>
    <definedName name="IQ_MC_CLAIMS_RESERVES" hidden="1">"c9941"</definedName>
    <definedName name="IQ_MC_COMBINED_RATIO" hidden="1">"c9933"</definedName>
    <definedName name="IQ_MC_DAYS_CLAIMS_PAYABLE" hidden="1">"c9937"</definedName>
    <definedName name="IQ_MC_DAYS_CLAIMS_PAYABLE_EXCL_CAPITATION" hidden="1">"c9938"</definedName>
    <definedName name="IQ_MC_MEDICAL_COSTS_PMPM" hidden="1">"c9925"</definedName>
    <definedName name="IQ_MC_PARENT_CASH" hidden="1">"c9942"</definedName>
    <definedName name="IQ_MC_PREMIUMS_PMPM" hidden="1">"c9924"</definedName>
    <definedName name="IQ_MC_RATIO" hidden="1">"c2783"</definedName>
    <definedName name="IQ_MC_RECEIPT_CYCLE_TIME_DAYS" hidden="1">"c9939"</definedName>
    <definedName name="IQ_MC_RECEIPT_CYCLE_TIME_MONTHS" hidden="1">"c9940"</definedName>
    <definedName name="IQ_MC_RISK_COVERED_LIVES" hidden="1">"c9917"</definedName>
    <definedName name="IQ_MC_RISK_MEMBERSHIP" hidden="1">"c9920"</definedName>
    <definedName name="IQ_MC_SELLILNG_COSTS_RATIO" hidden="1">"c9928"</definedName>
    <definedName name="IQ_MC_SGA_PMPM" hidden="1">"c9926"</definedName>
    <definedName name="IQ_MC_STATUTORY_SURPLUS" hidden="1">"c2772"</definedName>
    <definedName name="IQ_MC_TOTAL_COVERED_LIVES" hidden="1">"c9919"</definedName>
    <definedName name="IQ_MC_TOTAL_MEMBERSHIP" hidden="1">"c9922"</definedName>
    <definedName name="IQ_MC_TOTAL_MEMBERSHIP_CAPITATION" hidden="1">"c9923"</definedName>
    <definedName name="IQ_MC_UNPROCESSED_CLAIMS_INVENTORY_DAYS" hidden="1">"c9936"</definedName>
    <definedName name="IQ_MC_UNPROCESSED_CLAIMS_INVENTORY_NUMBER" hidden="1">"c9934"</definedName>
    <definedName name="IQ_MC_UNPROCESSED_CLAIMS_INVENTORY_VALUE" hidden="1">"c9935"</definedName>
    <definedName name="IQ_MEASURED_ATTRIB_ORE_RESOURCES_ALUM" hidden="1">"c9237"</definedName>
    <definedName name="IQ_MEASURED_ATTRIB_ORE_RESOURCES_COP" hidden="1">"c9181"</definedName>
    <definedName name="IQ_MEASURED_ATTRIB_ORE_RESOURCES_DIAM" hidden="1">"c9661"</definedName>
    <definedName name="IQ_MEASURED_ATTRIB_ORE_RESOURCES_GOLD" hidden="1">"c9022"</definedName>
    <definedName name="IQ_MEASURED_ATTRIB_ORE_RESOURCES_IRON" hidden="1">"c9396"</definedName>
    <definedName name="IQ_MEASURED_ATTRIB_ORE_RESOURCES_LEAD" hidden="1">"c9449"</definedName>
    <definedName name="IQ_MEASURED_ATTRIB_ORE_RESOURCES_MANG" hidden="1">"c9502"</definedName>
    <definedName name="IQ_MEASURED_ATTRIB_ORE_RESOURCES_MOLYB" hidden="1">"c9714"</definedName>
    <definedName name="IQ_MEASURED_ATTRIB_ORE_RESOURCES_NICK" hidden="1">"c9290"</definedName>
    <definedName name="IQ_MEASURED_ATTRIB_ORE_RESOURCES_PLAT" hidden="1">"c9128"</definedName>
    <definedName name="IQ_MEASURED_ATTRIB_ORE_RESOURCES_SILVER" hidden="1">"c9075"</definedName>
    <definedName name="IQ_MEASURED_ATTRIB_ORE_RESOURCES_TITAN" hidden="1">"c9555"</definedName>
    <definedName name="IQ_MEASURED_ATTRIB_ORE_RESOURCES_URAN" hidden="1">"c9608"</definedName>
    <definedName name="IQ_MEASURED_ATTRIB_ORE_RESOURCES_ZINC" hidden="1">"c9343"</definedName>
    <definedName name="IQ_MEASURED_INDICATED_ATTRIB_ORE_RESOURCES_ALUM" hidden="1">"c9239"</definedName>
    <definedName name="IQ_MEASURED_INDICATED_ATTRIB_ORE_RESOURCES_COP" hidden="1">"c9183"</definedName>
    <definedName name="IQ_MEASURED_INDICATED_ATTRIB_ORE_RESOURCES_DIAM" hidden="1">"c9663"</definedName>
    <definedName name="IQ_MEASURED_INDICATED_ATTRIB_ORE_RESOURCES_GOLD" hidden="1">"c9024"</definedName>
    <definedName name="IQ_MEASURED_INDICATED_ATTRIB_ORE_RESOURCES_IRON" hidden="1">"c9398"</definedName>
    <definedName name="IQ_MEASURED_INDICATED_ATTRIB_ORE_RESOURCES_LEAD" hidden="1">"c9451"</definedName>
    <definedName name="IQ_MEASURED_INDICATED_ATTRIB_ORE_RESOURCES_MANG" hidden="1">"c9504"</definedName>
    <definedName name="IQ_MEASURED_INDICATED_ATTRIB_ORE_RESOURCES_MOLYB" hidden="1">"c9716"</definedName>
    <definedName name="IQ_MEASURED_INDICATED_ATTRIB_ORE_RESOURCES_NICK" hidden="1">"c9292"</definedName>
    <definedName name="IQ_MEASURED_INDICATED_ATTRIB_ORE_RESOURCES_PLAT" hidden="1">"c9130"</definedName>
    <definedName name="IQ_MEASURED_INDICATED_ATTRIB_ORE_RESOURCES_SILVER" hidden="1">"c9077"</definedName>
    <definedName name="IQ_MEASURED_INDICATED_ATTRIB_ORE_RESOURCES_TITAN" hidden="1">"c9557"</definedName>
    <definedName name="IQ_MEASURED_INDICATED_ATTRIB_ORE_RESOURCES_URAN" hidden="1">"c9610"</definedName>
    <definedName name="IQ_MEASURED_INDICATED_ATTRIB_ORE_RESOURCES_ZINC" hidden="1">"c9345"</definedName>
    <definedName name="IQ_MEASURED_INDICATED_ORE_RESOURCES_ALUM" hidden="1">"c9226"</definedName>
    <definedName name="IQ_MEASURED_INDICATED_ORE_RESOURCES_COP" hidden="1">"c9170"</definedName>
    <definedName name="IQ_MEASURED_INDICATED_ORE_RESOURCES_DIAM" hidden="1">"c9650"</definedName>
    <definedName name="IQ_MEASURED_INDICATED_ORE_RESOURCES_GOLD" hidden="1">"c9011"</definedName>
    <definedName name="IQ_MEASURED_INDICATED_ORE_RESOURCES_IRON" hidden="1">"c9385"</definedName>
    <definedName name="IQ_MEASURED_INDICATED_ORE_RESOURCES_LEAD" hidden="1">"c9438"</definedName>
    <definedName name="IQ_MEASURED_INDICATED_ORE_RESOURCES_MANG" hidden="1">"c9491"</definedName>
    <definedName name="IQ_MEASURED_INDICATED_ORE_RESOURCES_MOLYB" hidden="1">"c9703"</definedName>
    <definedName name="IQ_MEASURED_INDICATED_ORE_RESOURCES_NICK" hidden="1">"c9279"</definedName>
    <definedName name="IQ_MEASURED_INDICATED_ORE_RESOURCES_PLAT" hidden="1">"c9117"</definedName>
    <definedName name="IQ_MEASURED_INDICATED_ORE_RESOURCES_SILVER" hidden="1">"c9064"</definedName>
    <definedName name="IQ_MEASURED_INDICATED_ORE_RESOURCES_TITAN" hidden="1">"c9544"</definedName>
    <definedName name="IQ_MEASURED_INDICATED_ORE_RESOURCES_URAN" hidden="1">"c9597"</definedName>
    <definedName name="IQ_MEASURED_INDICATED_ORE_RESOURCES_ZINC" hidden="1">"c9332"</definedName>
    <definedName name="IQ_MEASURED_INDICATED_RECOV_RESOURCES_ALUM" hidden="1">"c9234"</definedName>
    <definedName name="IQ_MEASURED_INDICATED_RECOV_RESOURCES_COAL" hidden="1">"c9813"</definedName>
    <definedName name="IQ_MEASURED_INDICATED_RECOV_RESOURCES_COP" hidden="1">"c9178"</definedName>
    <definedName name="IQ_MEASURED_INDICATED_RECOV_RESOURCES_DIAM" hidden="1">"c9658"</definedName>
    <definedName name="IQ_MEASURED_INDICATED_RECOV_RESOURCES_GOLD" hidden="1">"c9019"</definedName>
    <definedName name="IQ_MEASURED_INDICATED_RECOV_RESOURCES_IRON" hidden="1">"c9393"</definedName>
    <definedName name="IQ_MEASURED_INDICATED_RECOV_RESOURCES_LEAD" hidden="1">"c9446"</definedName>
    <definedName name="IQ_MEASURED_INDICATED_RECOV_RESOURCES_MANG" hidden="1">"c9499"</definedName>
    <definedName name="IQ_MEASURED_INDICATED_RECOV_RESOURCES_MET_COAL" hidden="1">"c9753"</definedName>
    <definedName name="IQ_MEASURED_INDICATED_RECOV_RESOURCES_MOLYB" hidden="1">"c9711"</definedName>
    <definedName name="IQ_MEASURED_INDICATED_RECOV_RESOURCES_NICK" hidden="1">"c9287"</definedName>
    <definedName name="IQ_MEASURED_INDICATED_RECOV_RESOURCES_PLAT" hidden="1">"c9125"</definedName>
    <definedName name="IQ_MEASURED_INDICATED_RECOV_RESOURCES_SILVER" hidden="1">"c9072"</definedName>
    <definedName name="IQ_MEASURED_INDICATED_RECOV_RESOURCES_STEAM" hidden="1">"c9783"</definedName>
    <definedName name="IQ_MEASURED_INDICATED_RECOV_RESOURCES_TITAN" hidden="1">"c9552"</definedName>
    <definedName name="IQ_MEASURED_INDICATED_RECOV_RESOURCES_URAN" hidden="1">"c9605"</definedName>
    <definedName name="IQ_MEASURED_INDICATED_RECOV_RESOURCES_ZINC" hidden="1">"c9340"</definedName>
    <definedName name="IQ_MEASURED_INDICATED_RESOURCES_GRADE_ALUM" hidden="1">"c9227"</definedName>
    <definedName name="IQ_MEASURED_INDICATED_RESOURCES_GRADE_COP" hidden="1">"c9171"</definedName>
    <definedName name="IQ_MEASURED_INDICATED_RESOURCES_GRADE_DIAM" hidden="1">"c9651"</definedName>
    <definedName name="IQ_MEASURED_INDICATED_RESOURCES_GRADE_GOLD" hidden="1">"c9012"</definedName>
    <definedName name="IQ_MEASURED_INDICATED_RESOURCES_GRADE_IRON" hidden="1">"c9386"</definedName>
    <definedName name="IQ_MEASURED_INDICATED_RESOURCES_GRADE_LEAD" hidden="1">"c9439"</definedName>
    <definedName name="IQ_MEASURED_INDICATED_RESOURCES_GRADE_MANG" hidden="1">"c9492"</definedName>
    <definedName name="IQ_MEASURED_INDICATED_RESOURCES_GRADE_MOLYB" hidden="1">"c9704"</definedName>
    <definedName name="IQ_MEASURED_INDICATED_RESOURCES_GRADE_NICK" hidden="1">"c9280"</definedName>
    <definedName name="IQ_MEASURED_INDICATED_RESOURCES_GRADE_PLAT" hidden="1">"c9118"</definedName>
    <definedName name="IQ_MEASURED_INDICATED_RESOURCES_GRADE_SILVER" hidden="1">"c9065"</definedName>
    <definedName name="IQ_MEASURED_INDICATED_RESOURCES_GRADE_TITAN" hidden="1">"c9545"</definedName>
    <definedName name="IQ_MEASURED_INDICATED_RESOURCES_GRADE_URAN" hidden="1">"c9598"</definedName>
    <definedName name="IQ_MEASURED_INDICATED_RESOURCES_GRADE_ZINC" hidden="1">"c9333"</definedName>
    <definedName name="IQ_MEASURED_ORE_RESOURCES_ALUM" hidden="1">"c9222"</definedName>
    <definedName name="IQ_MEASURED_ORE_RESOURCES_COP" hidden="1">"c9166"</definedName>
    <definedName name="IQ_MEASURED_ORE_RESOURCES_DIAM" hidden="1">"c9646"</definedName>
    <definedName name="IQ_MEASURED_ORE_RESOURCES_GOLD" hidden="1">"c9007"</definedName>
    <definedName name="IQ_MEASURED_ORE_RESOURCES_IRON" hidden="1">"c9381"</definedName>
    <definedName name="IQ_MEASURED_ORE_RESOURCES_LEAD" hidden="1">"c9434"</definedName>
    <definedName name="IQ_MEASURED_ORE_RESOURCES_MANG" hidden="1">"c9487"</definedName>
    <definedName name="IQ_MEASURED_ORE_RESOURCES_MOLYB" hidden="1">"c9699"</definedName>
    <definedName name="IQ_MEASURED_ORE_RESOURCES_NICK" hidden="1">"c9275"</definedName>
    <definedName name="IQ_MEASURED_ORE_RESOURCES_PLAT" hidden="1">"c9113"</definedName>
    <definedName name="IQ_MEASURED_ORE_RESOURCES_SILVER" hidden="1">"c9060"</definedName>
    <definedName name="IQ_MEASURED_ORE_RESOURCES_TITAN" hidden="1">"c9540"</definedName>
    <definedName name="IQ_MEASURED_ORE_RESOURCES_URAN" hidden="1">"c9593"</definedName>
    <definedName name="IQ_MEASURED_ORE_RESOURCES_ZINC" hidden="1">"c9328"</definedName>
    <definedName name="IQ_MEASURED_RECOV_ATTRIB_RESOURCES_ALUM" hidden="1">"c9242"</definedName>
    <definedName name="IQ_MEASURED_RECOV_ATTRIB_RESOURCES_COAL" hidden="1">"c9816"</definedName>
    <definedName name="IQ_MEASURED_RECOV_ATTRIB_RESOURCES_COP" hidden="1">"c9186"</definedName>
    <definedName name="IQ_MEASURED_RECOV_ATTRIB_RESOURCES_DIAM" hidden="1">"c9666"</definedName>
    <definedName name="IQ_MEASURED_RECOV_ATTRIB_RESOURCES_GOLD" hidden="1">"c9027"</definedName>
    <definedName name="IQ_MEASURED_RECOV_ATTRIB_RESOURCES_IRON" hidden="1">"c9401"</definedName>
    <definedName name="IQ_MEASURED_RECOV_ATTRIB_RESOURCES_LEAD" hidden="1">"c9454"</definedName>
    <definedName name="IQ_MEASURED_RECOV_ATTRIB_RESOURCES_MANG" hidden="1">"c9507"</definedName>
    <definedName name="IQ_MEASURED_RECOV_ATTRIB_RESOURCES_MET_COAL" hidden="1">"c9756"</definedName>
    <definedName name="IQ_MEASURED_RECOV_ATTRIB_RESOURCES_MOLYB" hidden="1">"c9719"</definedName>
    <definedName name="IQ_MEASURED_RECOV_ATTRIB_RESOURCES_NICK" hidden="1">"c9295"</definedName>
    <definedName name="IQ_MEASURED_RECOV_ATTRIB_RESOURCES_PLAT" hidden="1">"c9133"</definedName>
    <definedName name="IQ_MEASURED_RECOV_ATTRIB_RESOURCES_SILVER" hidden="1">"c9080"</definedName>
    <definedName name="IQ_MEASURED_RECOV_ATTRIB_RESOURCES_STEAM" hidden="1">"c9786"</definedName>
    <definedName name="IQ_MEASURED_RECOV_ATTRIB_RESOURCES_TITAN" hidden="1">"c9560"</definedName>
    <definedName name="IQ_MEASURED_RECOV_ATTRIB_RESOURCES_URAN" hidden="1">"c9613"</definedName>
    <definedName name="IQ_MEASURED_RECOV_ATTRIB_RESOURCES_ZINC" hidden="1">"c9348"</definedName>
    <definedName name="IQ_MEASURED_RECOV_RESOURCES_ALUM" hidden="1">"c9232"</definedName>
    <definedName name="IQ_MEASURED_RECOV_RESOURCES_COAL" hidden="1">"c9811"</definedName>
    <definedName name="IQ_MEASURED_RECOV_RESOURCES_COP" hidden="1">"c9176"</definedName>
    <definedName name="IQ_MEASURED_RECOV_RESOURCES_DIAM" hidden="1">"c9656"</definedName>
    <definedName name="IQ_MEASURED_RECOV_RESOURCES_GOLD" hidden="1">"c9017"</definedName>
    <definedName name="IQ_MEASURED_RECOV_RESOURCES_IRON" hidden="1">"c9391"</definedName>
    <definedName name="IQ_MEASURED_RECOV_RESOURCES_LEAD" hidden="1">"c9444"</definedName>
    <definedName name="IQ_MEASURED_RECOV_RESOURCES_MANG" hidden="1">"c9497"</definedName>
    <definedName name="IQ_MEASURED_RECOV_RESOURCES_MET_COAL" hidden="1">"c9751"</definedName>
    <definedName name="IQ_MEASURED_RECOV_RESOURCES_MOLYB" hidden="1">"c9709"</definedName>
    <definedName name="IQ_MEASURED_RECOV_RESOURCES_NICK" hidden="1">"c9285"</definedName>
    <definedName name="IQ_MEASURED_RECOV_RESOURCES_PLAT" hidden="1">"c9123"</definedName>
    <definedName name="IQ_MEASURED_RECOV_RESOURCES_SILVER" hidden="1">"c9070"</definedName>
    <definedName name="IQ_MEASURED_RECOV_RESOURCES_STEAM" hidden="1">"c9781"</definedName>
    <definedName name="IQ_MEASURED_RECOV_RESOURCES_TITAN" hidden="1">"c9550"</definedName>
    <definedName name="IQ_MEASURED_RECOV_RESOURCES_URAN" hidden="1">"c9603"</definedName>
    <definedName name="IQ_MEASURED_RECOV_RESOURCES_ZINC" hidden="1">"c9338"</definedName>
    <definedName name="IQ_MEASURED_RESOURCES_CALORIFIC_VALUE_COAL" hidden="1">"c9806"</definedName>
    <definedName name="IQ_MEASURED_RESOURCES_CALORIFIC_VALUE_MET_COAL" hidden="1">"c9746"</definedName>
    <definedName name="IQ_MEASURED_RESOURCES_CALORIFIC_VALUE_STEAM" hidden="1">"c9776"</definedName>
    <definedName name="IQ_MEASURED_RESOURCES_GRADE_ALUM" hidden="1">"c9223"</definedName>
    <definedName name="IQ_MEASURED_RESOURCES_GRADE_COP" hidden="1">"c9167"</definedName>
    <definedName name="IQ_MEASURED_RESOURCES_GRADE_DIAM" hidden="1">"c9647"</definedName>
    <definedName name="IQ_MEASURED_RESOURCES_GRADE_GOLD" hidden="1">"c9008"</definedName>
    <definedName name="IQ_MEASURED_RESOURCES_GRADE_IRON" hidden="1">"c9382"</definedName>
    <definedName name="IQ_MEASURED_RESOURCES_GRADE_LEAD" hidden="1">"c9435"</definedName>
    <definedName name="IQ_MEASURED_RESOURCES_GRADE_MANG" hidden="1">"c9488"</definedName>
    <definedName name="IQ_MEASURED_RESOURCES_GRADE_MOLYB" hidden="1">"c9700"</definedName>
    <definedName name="IQ_MEASURED_RESOURCES_GRADE_NICK" hidden="1">"c9276"</definedName>
    <definedName name="IQ_MEASURED_RESOURCES_GRADE_PLAT" hidden="1">"c9114"</definedName>
    <definedName name="IQ_MEASURED_RESOURCES_GRADE_SILVER" hidden="1">"c9061"</definedName>
    <definedName name="IQ_MEASURED_RESOURCES_GRADE_TITAN" hidden="1">"c9541"</definedName>
    <definedName name="IQ_MEASURED_RESOURCES_GRADE_URAN" hidden="1">"c9594"</definedName>
    <definedName name="IQ_MEASURED_RESOURCES_GRADE_ZINC" hidden="1">"c9329"</definedName>
    <definedName name="IQ_MEDIAN_NEW_HOME_SALES_APR_FC_UNUSED" hidden="1">"c8460"</definedName>
    <definedName name="IQ_MEDIAN_NEW_HOME_SALES_APR_UNUSED" hidden="1">"c7580"</definedName>
    <definedName name="IQ_MEDIAN_NEW_HOME_SALES_FC_UNUSED" hidden="1">"c7800"</definedName>
    <definedName name="IQ_MEDIAN_NEW_HOME_SALES_POP_FC_UNUSED" hidden="1">"c8020"</definedName>
    <definedName name="IQ_MEDIAN_NEW_HOME_SALES_POP_UNUSED" hidden="1">"c7140"</definedName>
    <definedName name="IQ_MEDIAN_NEW_HOME_SALES_UNUSED" hidden="1">"c6920"</definedName>
    <definedName name="IQ_MEDIAN_NEW_HOME_SALES_YOY_FC_UNUSED" hidden="1">"c8240"</definedName>
    <definedName name="IQ_MEDIAN_NEW_HOME_SALES_YOY_UNUSED" hidden="1">"c7360"</definedName>
    <definedName name="IQ_MEDIAN_TARGET_PRICE" hidden="1">"c1650"</definedName>
    <definedName name="IQ_MEDIAN_TARGET_PRICE_CIQ" hidden="1">"c4658"</definedName>
    <definedName name="IQ_MEDIAN_TARGET_PRICE_REUT" hidden="1">"c5316"</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UTI" hidden="1">"c726"</definedName>
    <definedName name="IQ_MI_RECOV_ATTRIB_RESOURCES_ALUM" hidden="1">"c9244"</definedName>
    <definedName name="IQ_MI_RECOV_ATTRIB_RESOURCES_COAL" hidden="1">"c9818"</definedName>
    <definedName name="IQ_MI_RECOV_ATTRIB_RESOURCES_COP" hidden="1">"c9188"</definedName>
    <definedName name="IQ_MI_RECOV_ATTRIB_RESOURCES_DIAM" hidden="1">"c9668"</definedName>
    <definedName name="IQ_MI_RECOV_ATTRIB_RESOURCES_GOLD" hidden="1">"c9029"</definedName>
    <definedName name="IQ_MI_RECOV_ATTRIB_RESOURCES_IRON" hidden="1">"c9403"</definedName>
    <definedName name="IQ_MI_RECOV_ATTRIB_RESOURCES_LEAD" hidden="1">"c9456"</definedName>
    <definedName name="IQ_MI_RECOV_ATTRIB_RESOURCES_MANG" hidden="1">"c9509"</definedName>
    <definedName name="IQ_MI_RECOV_ATTRIB_RESOURCES_MET_COAL" hidden="1">"c9758"</definedName>
    <definedName name="IQ_MI_RECOV_ATTRIB_RESOURCES_MOLYB" hidden="1">"c9721"</definedName>
    <definedName name="IQ_MI_RECOV_ATTRIB_RESOURCES_NICK" hidden="1">"c9297"</definedName>
    <definedName name="IQ_MI_RECOV_ATTRIB_RESOURCES_PLAT" hidden="1">"c9135"</definedName>
    <definedName name="IQ_MI_RECOV_ATTRIB_RESOURCES_SILVER" hidden="1">"c9082"</definedName>
    <definedName name="IQ_MI_RECOV_ATTRIB_RESOURCES_STEAM" hidden="1">"c9788"</definedName>
    <definedName name="IQ_MI_RECOV_ATTRIB_RESOURCES_TITAN" hidden="1">"c9562"</definedName>
    <definedName name="IQ_MI_RECOV_ATTRIB_RESOURCES_URAN" hidden="1">"c9615"</definedName>
    <definedName name="IQ_MI_RECOV_ATTRIB_RESOURCES_ZINC" hidden="1">"c9350"</definedName>
    <definedName name="IQ_MI_RESOURCES_CALORIFIC_VALUE_COAL" hidden="1">"c9808"</definedName>
    <definedName name="IQ_MI_RESOURCES_CALORIFIC_VALUE_MET_COAL" hidden="1">"c9748"</definedName>
    <definedName name="IQ_MI_RESOURCES_CALORIFIC_VALUE_STEAM" hidden="1">"c9778"</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CIQ" hidden="1">"c4041"</definedName>
    <definedName name="IQ_MKTCAP_TOTAL_REV_FWD_REUT" hidden="1">"c4048"</definedName>
    <definedName name="IQ_MM_ACCOUNT" hidden="1">"c743"</definedName>
    <definedName name="IQ_MM_ACCRETION_EXPENSE" hidden="1">"c9845"</definedName>
    <definedName name="IQ_MM_ARO_BEG" hidden="1">"c9842"</definedName>
    <definedName name="IQ_MM_ARO_TOTAL" hidden="1">"c9850"</definedName>
    <definedName name="IQ_MM_CURRENT_PORT_ARO" hidden="1">"c9851"</definedName>
    <definedName name="IQ_MM_DEVELOPED_ACREAGE" hidden="1">"c9832"</definedName>
    <definedName name="IQ_MM_DEVELOPED_SQ_KMS" hidden="1">"c9831"</definedName>
    <definedName name="IQ_MM_DEVELOPED_SQ_MILES" hidden="1">"c9833"</definedName>
    <definedName name="IQ_MM_EXPLORATION_EXPENDITURE_TOT" hidden="1">"c9840"</definedName>
    <definedName name="IQ_MM_FX_ADJUSTMENT" hidden="1">"c9847"</definedName>
    <definedName name="IQ_MM_LIABILITIES_INCURRED_ACQUIRED" hidden="1">"c9843"</definedName>
    <definedName name="IQ_MM_LIABILITIES_REL_SPIN_OFFS" hidden="1">"c9848"</definedName>
    <definedName name="IQ_MM_LIABILITIES_SETTLED_DISPOSED" hidden="1">"c9844"</definedName>
    <definedName name="IQ_MM_NON_CURRENT_PORT_ARO" hidden="1">"c9852"</definedName>
    <definedName name="IQ_MM_NUMBER_MINES" hidden="1">"c9839"</definedName>
    <definedName name="IQ_MM_OTHER_ADJUSTMENTS_ARO" hidden="1">"c9849"</definedName>
    <definedName name="IQ_MM_REMAINING_MINE_LIFE" hidden="1">"c9838"</definedName>
    <definedName name="IQ_MM_RESOURCES_INCL_EXCL_RESERVES" hidden="1">"c9841"</definedName>
    <definedName name="IQ_MM_REVISIONS_ESTIMATE" hidden="1">"c9846"</definedName>
    <definedName name="IQ_MM_STRIPPING_RATIO" hidden="1">"c9837"</definedName>
    <definedName name="IQ_MM_UNDEVELOPED_ACREAGE" hidden="1">"c9835"</definedName>
    <definedName name="IQ_MM_UNDEVELOPED_SQ_KMS" hidden="1">"c9834"</definedName>
    <definedName name="IQ_MM_UNDEVELOPED_SQ_MILES" hidden="1">"c9836"</definedName>
    <definedName name="IQ_MONEY_MARKET_DEPOSIT_ACCOUNTS_FDIC" hidden="1">"c6553"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SERV_RIGHTS" hidden="1">"c2242"</definedName>
    <definedName name="IQ_MORTGAGE_SERVICING_FDIC" hidden="1">"c6335"</definedName>
    <definedName name="IQ_MULTIFAMILY_RESIDENTIAL_LOANS_FDIC" hidden="1">"c6311"</definedName>
    <definedName name="IQ_NAPM_BUS_CONDITIONS" hidden="1">"c6921"</definedName>
    <definedName name="IQ_NAPM_BUS_CONDITIONS_APR" hidden="1">"c7581"</definedName>
    <definedName name="IQ_NAPM_BUS_CONDITIONS_APR_FC" hidden="1">"c8461"</definedName>
    <definedName name="IQ_NAPM_BUS_CONDITIONS_FC" hidden="1">"c7801"</definedName>
    <definedName name="IQ_NAPM_BUS_CONDITIONS_POP" hidden="1">"c7141"</definedName>
    <definedName name="IQ_NAPM_BUS_CONDITIONS_POP_FC" hidden="1">"c8021"</definedName>
    <definedName name="IQ_NAPM_BUS_CONDITIONS_YOY" hidden="1">"c7361"</definedName>
    <definedName name="IQ_NAPM_BUS_CONDITIONS_YOY_FC" hidden="1">"c8241"</definedName>
    <definedName name="IQ_NET_CHANGE" hidden="1">"c749"</definedName>
    <definedName name="IQ_NET_CHARGE_OFFS_FDIC" hidden="1">"c6641"</definedName>
    <definedName name="IQ_NET_CHARGE_OFFS_LOANS_FDIC" hidden="1">"c6751"</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AFTER_LL_BNK_SUBTOTAL_AP" hidden="1">"c8979"</definedName>
    <definedName name="IQ_NET_INT_INC_BNK" hidden="1">"c764"</definedName>
    <definedName name="IQ_NET_INT_INC_BNK_AP" hidden="1">"c8874"</definedName>
    <definedName name="IQ_NET_INT_INC_BNK_AP_ABS" hidden="1">"c8893"</definedName>
    <definedName name="IQ_NET_INT_INC_BNK_FDIC" hidden="1">"c6570"</definedName>
    <definedName name="IQ_NET_INT_INC_BNK_NAME_AP" hidden="1">"c8912"</definedName>
    <definedName name="IQ_NET_INT_INC_BNK_NAME_AP_ABS" hidden="1">"c8931"</definedName>
    <definedName name="IQ_NET_INT_INC_BNK_SUBTOTAL_AP" hidden="1">"c8978"</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MARGIN_FDIC" hidden="1">"c6726"</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LEASES_CORE_DEPOSITS_FDIC" hidden="1">"c6743"</definedName>
    <definedName name="IQ_NET_LOANS_LEASES_DEPOSITS_FDIC" hidden="1">"c6742"</definedName>
    <definedName name="IQ_NET_LOANS_TOTAL_DEPOSITS" hidden="1">"c779"</definedName>
    <definedName name="IQ_NET_OPERATING_INCOME_ASSETS_FDIC" hidden="1">"c6729"</definedName>
    <definedName name="IQ_NET_RENTAL_EXP_FN" hidden="1">"c780"</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XT_CALL_DATE" hidden="1">"c2198"</definedName>
    <definedName name="IQ_NEXT_CALL_PRICE" hidden="1">"c2199"</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EXT_YR_PROD_EST_MAX_ALUM" hidden="1">"c9251"</definedName>
    <definedName name="IQ_NEXT_YR_PROD_EST_MAX_CATHODE_COP" hidden="1">"c9198"</definedName>
    <definedName name="IQ_NEXT_YR_PROD_EST_MAX_COP" hidden="1">"c9196"</definedName>
    <definedName name="IQ_NEXT_YR_PROD_EST_MAX_DIAM" hidden="1">"c9675"</definedName>
    <definedName name="IQ_NEXT_YR_PROD_EST_MAX_GOLD" hidden="1">"c9036"</definedName>
    <definedName name="IQ_NEXT_YR_PROD_EST_MAX_IRON" hidden="1">"c9410"</definedName>
    <definedName name="IQ_NEXT_YR_PROD_EST_MAX_LEAD" hidden="1">"c9463"</definedName>
    <definedName name="IQ_NEXT_YR_PROD_EST_MAX_MANG" hidden="1">"c9516"</definedName>
    <definedName name="IQ_NEXT_YR_PROD_EST_MAX_MOLYB" hidden="1">"c9728"</definedName>
    <definedName name="IQ_NEXT_YR_PROD_EST_MAX_NICK" hidden="1">"c9304"</definedName>
    <definedName name="IQ_NEXT_YR_PROD_EST_MAX_PLAT" hidden="1">"c9142"</definedName>
    <definedName name="IQ_NEXT_YR_PROD_EST_MAX_SILVER" hidden="1">"c9089"</definedName>
    <definedName name="IQ_NEXT_YR_PROD_EST_MAX_TITAN" hidden="1">"c9569"</definedName>
    <definedName name="IQ_NEXT_YR_PROD_EST_MAX_URAN" hidden="1">"c9622"</definedName>
    <definedName name="IQ_NEXT_YR_PROD_EST_MAX_ZINC" hidden="1">"c9357"</definedName>
    <definedName name="IQ_NEXT_YR_PROD_EST_MIN_ALUM" hidden="1">"c9250"</definedName>
    <definedName name="IQ_NEXT_YR_PROD_EST_MIN_CATHODE_COP" hidden="1">"c9197"</definedName>
    <definedName name="IQ_NEXT_YR_PROD_EST_MIN_COP" hidden="1">"c9195"</definedName>
    <definedName name="IQ_NEXT_YR_PROD_EST_MIN_DIAM" hidden="1">"c9674"</definedName>
    <definedName name="IQ_NEXT_YR_PROD_EST_MIN_GOLD" hidden="1">"c9035"</definedName>
    <definedName name="IQ_NEXT_YR_PROD_EST_MIN_IRON" hidden="1">"c9409"</definedName>
    <definedName name="IQ_NEXT_YR_PROD_EST_MIN_LEAD" hidden="1">"c9462"</definedName>
    <definedName name="IQ_NEXT_YR_PROD_EST_MIN_MANG" hidden="1">"c9515"</definedName>
    <definedName name="IQ_NEXT_YR_PROD_EST_MIN_MOLYB" hidden="1">"c9727"</definedName>
    <definedName name="IQ_NEXT_YR_PROD_EST_MIN_NICK" hidden="1">"c9303"</definedName>
    <definedName name="IQ_NEXT_YR_PROD_EST_MIN_PLAT" hidden="1">"c9141"</definedName>
    <definedName name="IQ_NEXT_YR_PROD_EST_MIN_SILVER" hidden="1">"c9088"</definedName>
    <definedName name="IQ_NEXT_YR_PROD_EST_MIN_TITAN" hidden="1">"c9568"</definedName>
    <definedName name="IQ_NEXT_YR_PROD_EST_MIN_URAN" hidden="1">"c9621"</definedName>
    <definedName name="IQ_NEXT_YR_PROD_EST_MIN_ZINC" hidden="1">"c9356"</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AVAIL_SUBTOTAL_AP" hidden="1">"c8984"</definedName>
    <definedName name="IQ_NI_BEFORE_CAPITALIZED" hidden="1">"c792"</definedName>
    <definedName name="IQ_NI_CF" hidden="1">"c793"</definedName>
    <definedName name="IQ_NI_CHARGES_AP" hidden="1">"c8879"</definedName>
    <definedName name="IQ_NI_CHARGES_AP_ABS" hidden="1">"c8898"</definedName>
    <definedName name="IQ_NI_CHARGES_NAME_AP" hidden="1">"c8917"</definedName>
    <definedName name="IQ_NI_CHARGES_NAME_AP_ABS" hidden="1">"c8936"</definedName>
    <definedName name="IQ_NI_MARGIN" hidden="1">"c794"</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SBC_ACT_OR_EST" hidden="1">"c4474"</definedName>
    <definedName name="IQ_NI_SBC_ACT_OR_EST_CIQ" hidden="1">"c5012"</definedName>
    <definedName name="IQ_NI_SBC_GW_ACT_OR_EST" hidden="1">"c4478"</definedName>
    <definedName name="IQ_NI_SBC_GW_ACT_OR_EST_CIQ" hidden="1">"c5016"</definedName>
    <definedName name="IQ_NI_SFAS" hidden="1">"c795"</definedName>
    <definedName name="IQ_NI_SUBTOTAL_AP" hidden="1">"c8983"</definedName>
    <definedName name="IQ_NLA_PCT_LEASED_CONSOL" hidden="1">"c8815"</definedName>
    <definedName name="IQ_NLA_PCT_LEASED_MANAGED" hidden="1">"c8817"</definedName>
    <definedName name="IQ_NLA_PCT_LEASED_OTHER" hidden="1">"c8818"</definedName>
    <definedName name="IQ_NLA_PCT_LEASED_TOTAL" hidden="1">"c8819"</definedName>
    <definedName name="IQ_NLA_PCT_LEASED_UNCONSOL" hidden="1">"c8816"</definedName>
    <definedName name="IQ_NLA_SQ_FT_CONSOL" hidden="1">"c8800"</definedName>
    <definedName name="IQ_NLA_SQ_FT_MANAGED" hidden="1">"c8802"</definedName>
    <definedName name="IQ_NLA_SQ_FT_OTHER" hidden="1">"c8803"</definedName>
    <definedName name="IQ_NLA_SQ_FT_TOTAL" hidden="1">"c8804"</definedName>
    <definedName name="IQ_NLA_SQ_FT_UNCONSOL" hidden="1">"c8801"</definedName>
    <definedName name="IQ_NLA_SQ_METER_CONSOL" hidden="1">"c8805"</definedName>
    <definedName name="IQ_NLA_SQ_METER_MANAGED" hidden="1">"c8807"</definedName>
    <definedName name="IQ_NLA_SQ_METER_OTHER" hidden="1">"c8808"</definedName>
    <definedName name="IQ_NLA_SQ_METER_TOTAL" hidden="1">"c8809"</definedName>
    <definedName name="IQ_NLA_SQ_METER_UNCONSOL" hidden="1">"c8806"</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BEARING_DEPOSITS" hidden="1">"c800"</definedName>
    <definedName name="IQ_NON_INT_EXP" hidden="1">"c801"</definedName>
    <definedName name="IQ_NON_INT_EXP_BNK_AP" hidden="1">"c8877"</definedName>
    <definedName name="IQ_NON_INT_EXP_BNK_AP_ABS" hidden="1">"c8896"</definedName>
    <definedName name="IQ_NON_INT_EXP_BNK_NAME_AP" hidden="1">"c8915"</definedName>
    <definedName name="IQ_NON_INT_EXP_BNK_NAME_AP_ABS" hidden="1">"c8934"</definedName>
    <definedName name="IQ_NON_INT_EXP_BNK_SUBTOTAL_AP" hidden="1">"c8981"</definedName>
    <definedName name="IQ_NON_INT_EXP_FDIC" hidden="1">"c6579"</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BNK_AP" hidden="1">"c8876"</definedName>
    <definedName name="IQ_NON_INT_INC_BNK_AP_ABS" hidden="1">"c8895"</definedName>
    <definedName name="IQ_NON_INT_INC_BNK_NAME_AP" hidden="1">"c8914"</definedName>
    <definedName name="IQ_NON_INT_INC_BNK_NAME_AP_ABS" hidden="1">"c8933"</definedName>
    <definedName name="IQ_NON_INT_INC_BNK_SUBTOTAL_AP" hidden="1">"c8980"</definedName>
    <definedName name="IQ_NON_INT_INC_FDIC" hidden="1">"c6575"</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PENSION_EXP" hidden="1">"c3000"</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DEF_CAPITAL_GOODS_ORDERS" hidden="1">"c6932"</definedName>
    <definedName name="IQ_NONDEF_CAPITAL_GOODS_ORDERS_APR" hidden="1">"c7592"</definedName>
    <definedName name="IQ_NONDEF_CAPITAL_GOODS_ORDERS_APR_FC" hidden="1">"c8472"</definedName>
    <definedName name="IQ_NONDEF_CAPITAL_GOODS_ORDERS_FC" hidden="1">"c7812"</definedName>
    <definedName name="IQ_NONDEF_CAPITAL_GOODS_ORDERS_POP" hidden="1">"c7152"</definedName>
    <definedName name="IQ_NONDEF_CAPITAL_GOODS_ORDERS_POP_FC" hidden="1">"c8032"</definedName>
    <definedName name="IQ_NONDEF_CAPITAL_GOODS_ORDERS_YOY" hidden="1">"c7372"</definedName>
    <definedName name="IQ_NONDEF_CAPITAL_GOODS_ORDERS_YOY_FC" hidden="1">"c8252"</definedName>
    <definedName name="IQ_NONDEF_CAPITAL_GOODS_SHIPMENTS" hidden="1">"c6933"</definedName>
    <definedName name="IQ_NONDEF_CAPITAL_GOODS_SHIPMENTS_APR" hidden="1">"c7593"</definedName>
    <definedName name="IQ_NONDEF_CAPITAL_GOODS_SHIPMENTS_APR_FC" hidden="1">"c8473"</definedName>
    <definedName name="IQ_NONDEF_CAPITAL_GOODS_SHIPMENTS_FC" hidden="1">"c7813"</definedName>
    <definedName name="IQ_NONDEF_CAPITAL_GOODS_SHIPMENTS_POP" hidden="1">"c7153"</definedName>
    <definedName name="IQ_NONDEF_CAPITAL_GOODS_SHIPMENTS_POP_FC" hidden="1">"c8033"</definedName>
    <definedName name="IQ_NONDEF_CAPITAL_GOODS_SHIPMENTS_YOY" hidden="1">"c7373"</definedName>
    <definedName name="IQ_NONDEF_CAPITAL_GOODS_SHIPMENTS_YOY_FC" hidden="1">"c8253"</definedName>
    <definedName name="IQ_NONDEF_SPENDING_SAAR" hidden="1">"c6934"</definedName>
    <definedName name="IQ_NONDEF_SPENDING_SAAR_APR" hidden="1">"c7594"</definedName>
    <definedName name="IQ_NONDEF_SPENDING_SAAR_APR_FC" hidden="1">"c8474"</definedName>
    <definedName name="IQ_NONDEF_SPENDING_SAAR_FC" hidden="1">"c7814"</definedName>
    <definedName name="IQ_NONDEF_SPENDING_SAAR_POP" hidden="1">"c7154"</definedName>
    <definedName name="IQ_NONDEF_SPENDING_SAAR_POP_FC" hidden="1">"c8034"</definedName>
    <definedName name="IQ_NONDEF_SPENDING_SAAR_YOY" hidden="1">"c7374"</definedName>
    <definedName name="IQ_NONDEF_SPENDING_SAAR_YOY_FC" hidden="1">"c8254"</definedName>
    <definedName name="IQ_NONFARM_EMP_HRS_PCT_CHANGE" hidden="1">"c6935"</definedName>
    <definedName name="IQ_NONFARM_EMP_HRS_PCT_CHANGE_FC" hidden="1">"c7815"</definedName>
    <definedName name="IQ_NONFARM_EMP_HRS_PCT_CHANGE_POP" hidden="1">"c7155"</definedName>
    <definedName name="IQ_NONFARM_EMP_HRS_PCT_CHANGE_POP_FC" hidden="1">"c8035"</definedName>
    <definedName name="IQ_NONFARM_EMP_HRS_PCT_CHANGE_YOY" hidden="1">"c7375"</definedName>
    <definedName name="IQ_NONFARM_EMP_HRS_PCT_CHANGE_YOY_FC" hidden="1">"c8255"</definedName>
    <definedName name="IQ_NONFARM_OUTPUT_PER_HR" hidden="1">"c6936"</definedName>
    <definedName name="IQ_NONFARM_OUTPUT_PER_HR_APR" hidden="1">"c7596"</definedName>
    <definedName name="IQ_NONFARM_OUTPUT_PER_HR_APR_FC" hidden="1">"c8476"</definedName>
    <definedName name="IQ_NONFARM_OUTPUT_PER_HR_FC" hidden="1">"c7816"</definedName>
    <definedName name="IQ_NONFARM_OUTPUT_PER_HR_POP" hidden="1">"c7156"</definedName>
    <definedName name="IQ_NONFARM_OUTPUT_PER_HR_POP_FC" hidden="1">"c8036"</definedName>
    <definedName name="IQ_NONFARM_OUTPUT_PER_HR_YOY" hidden="1">"c7376"</definedName>
    <definedName name="IQ_NONFARM_OUTPUT_PER_HR_YOY_FC" hidden="1">"c8256"</definedName>
    <definedName name="IQ_NONFARM_PAYROLLS" hidden="1">"c6926"</definedName>
    <definedName name="IQ_NONFARM_PAYROLLS_APR" hidden="1">"c7586"</definedName>
    <definedName name="IQ_NONFARM_PAYROLLS_APR_FC" hidden="1">"c8466"</definedName>
    <definedName name="IQ_NONFARM_PAYROLLS_FC" hidden="1">"c7806"</definedName>
    <definedName name="IQ_NONFARM_PAYROLLS_POP" hidden="1">"c7146"</definedName>
    <definedName name="IQ_NONFARM_PAYROLLS_POP_FC" hidden="1">"c8026"</definedName>
    <definedName name="IQ_NONFARM_PAYROLLS_YOY" hidden="1">"c7366"</definedName>
    <definedName name="IQ_NONFARM_PAYROLLS_YOY_FC" hidden="1">"c8246"</definedName>
    <definedName name="IQ_NONFARM_TOTAL_HR_INDEX" hidden="1">"c6937"</definedName>
    <definedName name="IQ_NONFARM_TOTAL_HR_INDEX_APR" hidden="1">"c7597"</definedName>
    <definedName name="IQ_NONFARM_TOTAL_HR_INDEX_APR_FC" hidden="1">"c8477"</definedName>
    <definedName name="IQ_NONFARM_TOTAL_HR_INDEX_FC" hidden="1">"c7817"</definedName>
    <definedName name="IQ_NONFARM_TOTAL_HR_INDEX_POP" hidden="1">"c7157"</definedName>
    <definedName name="IQ_NONFARM_TOTAL_HR_INDEX_POP_FC" hidden="1">"c8037"</definedName>
    <definedName name="IQ_NONFARM_TOTAL_HR_INDEX_YOY" hidden="1">"c7377"</definedName>
    <definedName name="IQ_NONFARM_TOTAL_HR_INDEX_YOY_FC" hidden="1">"c8257"</definedName>
    <definedName name="IQ_NONFARM_WAGES" hidden="1">"c6938"</definedName>
    <definedName name="IQ_NONFARM_WAGES_APR" hidden="1">"c7598"</definedName>
    <definedName name="IQ_NONFARM_WAGES_APR_FC" hidden="1">"c8478"</definedName>
    <definedName name="IQ_NONFARM_WAGES_FC" hidden="1">"c7818"</definedName>
    <definedName name="IQ_NONFARM_WAGES_INDEX" hidden="1">"c6939"</definedName>
    <definedName name="IQ_NONFARM_WAGES_INDEX_APR" hidden="1">"c7599"</definedName>
    <definedName name="IQ_NONFARM_WAGES_INDEX_APR_FC" hidden="1">"c8479"</definedName>
    <definedName name="IQ_NONFARM_WAGES_INDEX_FC" hidden="1">"c7819"</definedName>
    <definedName name="IQ_NONFARM_WAGES_INDEX_POP" hidden="1">"c7159"</definedName>
    <definedName name="IQ_NONFARM_WAGES_INDEX_POP_FC" hidden="1">"c8039"</definedName>
    <definedName name="IQ_NONFARM_WAGES_INDEX_YOY" hidden="1">"c7379"</definedName>
    <definedName name="IQ_NONFARM_WAGES_INDEX_YOY_FC" hidden="1">"c8259"</definedName>
    <definedName name="IQ_NONFARM_WAGES_POP" hidden="1">"c7158"</definedName>
    <definedName name="IQ_NONFARM_WAGES_POP_FC" hidden="1">"c8038"</definedName>
    <definedName name="IQ_NONFARM_WAGES_YOY" hidden="1">"c7378"</definedName>
    <definedName name="IQ_NONFARM_WAGES_YOY_FC" hidden="1">"c8258"</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RECOURSE_DEBT" hidden="1">"c2550"</definedName>
    <definedName name="IQ_NONRECOURSE_DEBT_PCT" hidden="1">"c2551"</definedName>
    <definedName name="IQ_NONRES_FIXED_INVEST" hidden="1">"c6931"</definedName>
    <definedName name="IQ_NONRES_FIXED_INVEST_APR" hidden="1">"c7591"</definedName>
    <definedName name="IQ_NONRES_FIXED_INVEST_POP" hidden="1">"c7151"</definedName>
    <definedName name="IQ_NONRES_FIXED_INVEST_PRIV_APR_FC_UNUSED" hidden="1">"c8468"</definedName>
    <definedName name="IQ_NONRES_FIXED_INVEST_PRIV_APR_UNUSED" hidden="1">"c7588"</definedName>
    <definedName name="IQ_NONRES_FIXED_INVEST_PRIV_FC_UNUSED" hidden="1">"c7808"</definedName>
    <definedName name="IQ_NONRES_FIXED_INVEST_PRIV_POP_FC_UNUSED" hidden="1">"c8028"</definedName>
    <definedName name="IQ_NONRES_FIXED_INVEST_PRIV_POP_UNUSED" hidden="1">"c7148"</definedName>
    <definedName name="IQ_NONRES_FIXED_INVEST_PRIV_REAL" hidden="1">"c6989"</definedName>
    <definedName name="IQ_NONRES_FIXED_INVEST_PRIV_REAL_APR" hidden="1">"c7649"</definedName>
    <definedName name="IQ_NONRES_FIXED_INVEST_PRIV_REAL_APR_FC" hidden="1">"c8529"</definedName>
    <definedName name="IQ_NONRES_FIXED_INVEST_PRIV_REAL_FC" hidden="1">"c7869"</definedName>
    <definedName name="IQ_NONRES_FIXED_INVEST_PRIV_REAL_POP" hidden="1">"c7209"</definedName>
    <definedName name="IQ_NONRES_FIXED_INVEST_PRIV_REAL_POP_FC" hidden="1">"c8089"</definedName>
    <definedName name="IQ_NONRES_FIXED_INVEST_PRIV_REAL_SAAR" hidden="1">"c6990"</definedName>
    <definedName name="IQ_NONRES_FIXED_INVEST_PRIV_REAL_SAAR_APR" hidden="1">"c7650"</definedName>
    <definedName name="IQ_NONRES_FIXED_INVEST_PRIV_REAL_SAAR_APR_FC" hidden="1">"c8530"</definedName>
    <definedName name="IQ_NONRES_FIXED_INVEST_PRIV_REAL_SAAR_FC" hidden="1">"c7870"</definedName>
    <definedName name="IQ_NONRES_FIXED_INVEST_PRIV_REAL_SAAR_POP" hidden="1">"c7210"</definedName>
    <definedName name="IQ_NONRES_FIXED_INVEST_PRIV_REAL_SAAR_POP_FC" hidden="1">"c8090"</definedName>
    <definedName name="IQ_NONRES_FIXED_INVEST_PRIV_REAL_SAAR_USD_APR_FC" hidden="1">"c11981"</definedName>
    <definedName name="IQ_NONRES_FIXED_INVEST_PRIV_REAL_SAAR_USD_FC" hidden="1">"c11978"</definedName>
    <definedName name="IQ_NONRES_FIXED_INVEST_PRIV_REAL_SAAR_USD_POP_FC" hidden="1">"c11979"</definedName>
    <definedName name="IQ_NONRES_FIXED_INVEST_PRIV_REAL_SAAR_USD_YOY_FC" hidden="1">"c11980"</definedName>
    <definedName name="IQ_NONRES_FIXED_INVEST_PRIV_REAL_SAAR_YOY" hidden="1">"c7430"</definedName>
    <definedName name="IQ_NONRES_FIXED_INVEST_PRIV_REAL_SAAR_YOY_FC" hidden="1">"c8310"</definedName>
    <definedName name="IQ_NONRES_FIXED_INVEST_PRIV_REAL_USD_APR_FC" hidden="1">"c11977"</definedName>
    <definedName name="IQ_NONRES_FIXED_INVEST_PRIV_REAL_USD_FC" hidden="1">"c11974"</definedName>
    <definedName name="IQ_NONRES_FIXED_INVEST_PRIV_REAL_USD_POP_FC" hidden="1">"c11975"</definedName>
    <definedName name="IQ_NONRES_FIXED_INVEST_PRIV_REAL_USD_YOY_FC" hidden="1">"c11976"</definedName>
    <definedName name="IQ_NONRES_FIXED_INVEST_PRIV_REAL_YOY" hidden="1">"c7429"</definedName>
    <definedName name="IQ_NONRES_FIXED_INVEST_PRIV_REAL_YOY_FC" hidden="1">"c8309"</definedName>
    <definedName name="IQ_NONRES_FIXED_INVEST_PRIV_SAAR" hidden="1">"c6929"</definedName>
    <definedName name="IQ_NONRES_FIXED_INVEST_PRIV_SAAR_APR" hidden="1">"c7589"</definedName>
    <definedName name="IQ_NONRES_FIXED_INVEST_PRIV_SAAR_APR_FC" hidden="1">"c8469"</definedName>
    <definedName name="IQ_NONRES_FIXED_INVEST_PRIV_SAAR_FC" hidden="1">"c7809"</definedName>
    <definedName name="IQ_NONRES_FIXED_INVEST_PRIV_SAAR_POP" hidden="1">"c7149"</definedName>
    <definedName name="IQ_NONRES_FIXED_INVEST_PRIV_SAAR_POP_FC" hidden="1">"c8029"</definedName>
    <definedName name="IQ_NONRES_FIXED_INVEST_PRIV_SAAR_USD_APR_FC" hidden="1">"c11877"</definedName>
    <definedName name="IQ_NONRES_FIXED_INVEST_PRIV_SAAR_USD_FC" hidden="1">"c11874"</definedName>
    <definedName name="IQ_NONRES_FIXED_INVEST_PRIV_SAAR_USD_POP_FC" hidden="1">"c11875"</definedName>
    <definedName name="IQ_NONRES_FIXED_INVEST_PRIV_SAAR_USD_YOY_FC" hidden="1">"c11876"</definedName>
    <definedName name="IQ_NONRES_FIXED_INVEST_PRIV_SAAR_YOY" hidden="1">"c7369"</definedName>
    <definedName name="IQ_NONRES_FIXED_INVEST_PRIV_SAAR_YOY_FC" hidden="1">"c8249"</definedName>
    <definedName name="IQ_NONRES_FIXED_INVEST_PRIV_UNUSED" hidden="1">"c6928"</definedName>
    <definedName name="IQ_NONRES_FIXED_INVEST_PRIV_USD_APR_FC" hidden="1">"c11873"</definedName>
    <definedName name="IQ_NONRES_FIXED_INVEST_PRIV_USD_FC" hidden="1">"c11870"</definedName>
    <definedName name="IQ_NONRES_FIXED_INVEST_PRIV_USD_POP_FC" hidden="1">"c11871"</definedName>
    <definedName name="IQ_NONRES_FIXED_INVEST_PRIV_USD_YOY_FC" hidden="1">"c11872"</definedName>
    <definedName name="IQ_NONRES_FIXED_INVEST_PRIV_YOY_FC_UNUSED" hidden="1">"c8248"</definedName>
    <definedName name="IQ_NONRES_FIXED_INVEST_PRIV_YOY_UNUSED" hidden="1">"c7368"</definedName>
    <definedName name="IQ_NONRES_FIXED_INVEST_REAL" hidden="1">"c6993"</definedName>
    <definedName name="IQ_NONRES_FIXED_INVEST_REAL_APR" hidden="1">"c7653"</definedName>
    <definedName name="IQ_NONRES_FIXED_INVEST_REAL_POP" hidden="1">"c7213"</definedName>
    <definedName name="IQ_NONRES_FIXED_INVEST_REAL_SAAR" hidden="1">"c6987"</definedName>
    <definedName name="IQ_NONRES_FIXED_INVEST_REAL_SAAR_APR" hidden="1">"c7647"</definedName>
    <definedName name="IQ_NONRES_FIXED_INVEST_REAL_SAAR_APR_FC" hidden="1">"c8527"</definedName>
    <definedName name="IQ_NONRES_FIXED_INVEST_REAL_SAAR_FC" hidden="1">"c7867"</definedName>
    <definedName name="IQ_NONRES_FIXED_INVEST_REAL_SAAR_POP" hidden="1">"c7207"</definedName>
    <definedName name="IQ_NONRES_FIXED_INVEST_REAL_SAAR_POP_FC" hidden="1">"c8087"</definedName>
    <definedName name="IQ_NONRES_FIXED_INVEST_REAL_SAAR_YOY" hidden="1">"c7427"</definedName>
    <definedName name="IQ_NONRES_FIXED_INVEST_REAL_SAAR_YOY_FC" hidden="1">"c8307"</definedName>
    <definedName name="IQ_NONRES_FIXED_INVEST_REAL_USD_APR_FC" hidden="1">"c11973"</definedName>
    <definedName name="IQ_NONRES_FIXED_INVEST_REAL_USD_FC" hidden="1">"c11970"</definedName>
    <definedName name="IQ_NONRES_FIXED_INVEST_REAL_USD_POP_FC" hidden="1">"c11971"</definedName>
    <definedName name="IQ_NONRES_FIXED_INVEST_REAL_USD_YOY_FC" hidden="1">"c11972"</definedName>
    <definedName name="IQ_NONRES_FIXED_INVEST_REAL_YOY" hidden="1">"c7433"</definedName>
    <definedName name="IQ_NONRES_FIXED_INVEST_STRUCT" hidden="1">"c6930"</definedName>
    <definedName name="IQ_NONRES_FIXED_INVEST_STRUCT_APR" hidden="1">"c7590"</definedName>
    <definedName name="IQ_NONRES_FIXED_INVEST_STRUCT_APR_FC" hidden="1">"c8470"</definedName>
    <definedName name="IQ_NONRES_FIXED_INVEST_STRUCT_FC" hidden="1">"c7810"</definedName>
    <definedName name="IQ_NONRES_FIXED_INVEST_STRUCT_POP" hidden="1">"c7150"</definedName>
    <definedName name="IQ_NONRES_FIXED_INVEST_STRUCT_POP_FC" hidden="1">"c8030"</definedName>
    <definedName name="IQ_NONRES_FIXED_INVEST_STRUCT_REAL" hidden="1">"c6992"</definedName>
    <definedName name="IQ_NONRES_FIXED_INVEST_STRUCT_REAL_APR" hidden="1">"c7652"</definedName>
    <definedName name="IQ_NONRES_FIXED_INVEST_STRUCT_REAL_APR_FC" hidden="1">"c8532"</definedName>
    <definedName name="IQ_NONRES_FIXED_INVEST_STRUCT_REAL_FC" hidden="1">"c7872"</definedName>
    <definedName name="IQ_NONRES_FIXED_INVEST_STRUCT_REAL_POP" hidden="1">"c7212"</definedName>
    <definedName name="IQ_NONRES_FIXED_INVEST_STRUCT_REAL_POP_FC" hidden="1">"c8092"</definedName>
    <definedName name="IQ_NONRES_FIXED_INVEST_STRUCT_REAL_SAAR" hidden="1">"c6991"</definedName>
    <definedName name="IQ_NONRES_FIXED_INVEST_STRUCT_REAL_SAAR_APR" hidden="1">"c7651"</definedName>
    <definedName name="IQ_NONRES_FIXED_INVEST_STRUCT_REAL_SAAR_APR_FC" hidden="1">"c8531"</definedName>
    <definedName name="IQ_NONRES_FIXED_INVEST_STRUCT_REAL_SAAR_FC" hidden="1">"c7871"</definedName>
    <definedName name="IQ_NONRES_FIXED_INVEST_STRUCT_REAL_SAAR_POP" hidden="1">"c7211"</definedName>
    <definedName name="IQ_NONRES_FIXED_INVEST_STRUCT_REAL_SAAR_POP_FC" hidden="1">"c8091"</definedName>
    <definedName name="IQ_NONRES_FIXED_INVEST_STRUCT_REAL_SAAR_YOY" hidden="1">"c7431"</definedName>
    <definedName name="IQ_NONRES_FIXED_INVEST_STRUCT_REAL_SAAR_YOY_FC" hidden="1">"c8311"</definedName>
    <definedName name="IQ_NONRES_FIXED_INVEST_STRUCT_REAL_USD_APR_FC" hidden="1">"c11985"</definedName>
    <definedName name="IQ_NONRES_FIXED_INVEST_STRUCT_REAL_USD_FC" hidden="1">"c11982"</definedName>
    <definedName name="IQ_NONRES_FIXED_INVEST_STRUCT_REAL_USD_POP_FC" hidden="1">"c11983"</definedName>
    <definedName name="IQ_NONRES_FIXED_INVEST_STRUCT_REAL_USD_YOY_FC" hidden="1">"c11984"</definedName>
    <definedName name="IQ_NONRES_FIXED_INVEST_STRUCT_REAL_YOY" hidden="1">"c7432"</definedName>
    <definedName name="IQ_NONRES_FIXED_INVEST_STRUCT_REAL_YOY_FC" hidden="1">"c8312"</definedName>
    <definedName name="IQ_NONRES_FIXED_INVEST_STRUCT_USD_APR_FC" hidden="1">"c11881"</definedName>
    <definedName name="IQ_NONRES_FIXED_INVEST_STRUCT_USD_FC" hidden="1">"c11878"</definedName>
    <definedName name="IQ_NONRES_FIXED_INVEST_STRUCT_USD_POP_FC" hidden="1">"c11879"</definedName>
    <definedName name="IQ_NONRES_FIXED_INVEST_STRUCT_USD_YOY_FC" hidden="1">"c11880"</definedName>
    <definedName name="IQ_NONRES_FIXED_INVEST_STRUCT_YOY" hidden="1">"c7370"</definedName>
    <definedName name="IQ_NONRES_FIXED_INVEST_STRUCT_YOY_FC" hidden="1">"c8250"</definedName>
    <definedName name="IQ_NONRES_FIXED_INVEST_USD_APR_FC" hidden="1">"c11869"</definedName>
    <definedName name="IQ_NONRES_FIXED_INVEST_USD_FC" hidden="1">"c11866"</definedName>
    <definedName name="IQ_NONRES_FIXED_INVEST_USD_POP_FC" hidden="1">"c11867"</definedName>
    <definedName name="IQ_NONRES_FIXED_INVEST_USD_YOY_FC" hidden="1">"c11868"</definedName>
    <definedName name="IQ_NONRES_FIXED_INVEST_YOY" hidden="1">"c7371"</definedName>
    <definedName name="IQ_NONTRANSACTION_ACCOUNTS_FDIC" hidden="1">"c6552"</definedName>
    <definedName name="IQ_NONUTIL_REV" hidden="1">"c2089"</definedName>
    <definedName name="IQ_NORM_EPS_ACT_OR_EST_CIQ" hidden="1">"c5069"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DEPOSITS_LESS_THAN_100K_FDIC" hidden="1">"c6495"</definedName>
    <definedName name="IQ_NUMBER_DEPOSITS_MORE_THAN_100K_FDIC" hidden="1">"c6493"</definedName>
    <definedName name="IQ_NUMBER_MINES_ALUM" hidden="1">"c9248"</definedName>
    <definedName name="IQ_NUMBER_MINES_COAL" hidden="1">"c9822"</definedName>
    <definedName name="IQ_NUMBER_MINES_COP" hidden="1">"c9193"</definedName>
    <definedName name="IQ_NUMBER_MINES_DIAM" hidden="1">"c9672"</definedName>
    <definedName name="IQ_NUMBER_MINES_GOLD" hidden="1">"c9033"</definedName>
    <definedName name="IQ_NUMBER_MINES_IRON" hidden="1">"c9407"</definedName>
    <definedName name="IQ_NUMBER_MINES_LEAD" hidden="1">"c9460"</definedName>
    <definedName name="IQ_NUMBER_MINES_MANG" hidden="1">"c9513"</definedName>
    <definedName name="IQ_NUMBER_MINES_MOLYB" hidden="1">"c9725"</definedName>
    <definedName name="IQ_NUMBER_MINES_NICK" hidden="1">"c9301"</definedName>
    <definedName name="IQ_NUMBER_MINES_PLAT" hidden="1">"c9139"</definedName>
    <definedName name="IQ_NUMBER_MINES_SILVER" hidden="1">"c9086"</definedName>
    <definedName name="IQ_NUMBER_MINES_TITAN" hidden="1">"c9566"</definedName>
    <definedName name="IQ_NUMBER_MINES_URAN" hidden="1">"c9619"</definedName>
    <definedName name="IQ_NUMBER_MINES_ZINC" hidden="1">"c9354"</definedName>
    <definedName name="IQ_NUMBER_SHAREHOLDERS" hidden="1">"c1967"</definedName>
    <definedName name="IQ_NUMBER_SHAREHOLDERS_CLASSA" hidden="1">"c1968"</definedName>
    <definedName name="IQ_NUMBER_SHAREHOLDERS_OTHER" hidden="1">"c1969"</definedName>
    <definedName name="IQ_OBLIGATIONS_OF_STATES_TOTAL_LOANS_FOREIGN_FDIC" hidden="1">"c6447"</definedName>
    <definedName name="IQ_OBLIGATIONS_STATES_FDIC" hidden="1">"c6431"</definedName>
    <definedName name="IQ_OCCUPANCY_CONSOL" hidden="1">"c8840"</definedName>
    <definedName name="IQ_OCCUPANCY_MANAGED" hidden="1">"c8842"</definedName>
    <definedName name="IQ_OCCUPANCY_OTHER" hidden="1">"c8843"</definedName>
    <definedName name="IQ_OCCUPANCY_SAME_PROP" hidden="1">"c8845"</definedName>
    <definedName name="IQ_OCCUPANCY_TOTAL" hidden="1">"c8844"</definedName>
    <definedName name="IQ_OCCUPANCY_UNCONSOL" hidden="1">"c8841"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GAS_EQUIV_PRODUCTION_MMCFE" hidden="1">"c10061"</definedName>
    <definedName name="IQ_OG_AVG_DAILY_OIL_EQUIV_PRODUCTION_KBOE" hidden="1">"c10060"</definedName>
    <definedName name="IQ_OG_AVG_DAILY_PROD_GAS" hidden="1">"c2910"</definedName>
    <definedName name="IQ_OG_AVG_DAILY_PROD_NGL" hidden="1">"c2911"</definedName>
    <definedName name="IQ_OG_AVG_DAILY_PROD_OIL" hidden="1">"c2909"</definedName>
    <definedName name="IQ_OG_AVG_DAILY_PRODUCTION_GAS_MMCM" hidden="1">"c10059"</definedName>
    <definedName name="IQ_OG_AVG_DAILY_SALES_VOL_EQ_INC_GAS" hidden="1">"c5797"</definedName>
    <definedName name="IQ_OG_AVG_DAILY_SALES_VOL_EQ_INC_NGL" hidden="1">"c5798"</definedName>
    <definedName name="IQ_OG_AVG_DAILY_SALES_VOL_EQ_INC_OIL" hidden="1">"c5796"</definedName>
    <definedName name="IQ_OG_AVG_GAS_PRICE_CBM_HEDGED" hidden="1">"c10054"</definedName>
    <definedName name="IQ_OG_AVG_GAS_PRICE_CBM_UNHEDGED" hidden="1">"c10055"</definedName>
    <definedName name="IQ_OG_AVG_PRODUCTION_COST_BBL" hidden="1">"c10062"</definedName>
    <definedName name="IQ_OG_AVG_PRODUCTION_COST_BOE" hidden="1">"c10064"</definedName>
    <definedName name="IQ_OG_AVG_PRODUCTION_COST_MCF" hidden="1">"c10063"</definedName>
    <definedName name="IQ_OG_AVG_PRODUCTION_COST_MCFE" hidden="1">"c10065"</definedName>
    <definedName name="IQ_OG_CLOSE_BALANCE_GAS" hidden="1">"c2049"</definedName>
    <definedName name="IQ_OG_CLOSE_BALANCE_NGL" hidden="1">"c2920"</definedName>
    <definedName name="IQ_OG_CLOSE_BALANCE_OIL" hidden="1">"c2037"</definedName>
    <definedName name="IQ_OG_DAILY_PRDUCTION_GROWTH_GAS" hidden="1">"c12732"</definedName>
    <definedName name="IQ_OG_DAILY_PRDUCTION_GROWTH_GAS_EQUIVALENT" hidden="1">"c12733"</definedName>
    <definedName name="IQ_OG_DAILY_PRDUCTION_GROWTH_NGL" hidden="1">"c12734"</definedName>
    <definedName name="IQ_OG_DAILY_PRDUCTION_GROWTH_OIL" hidden="1">"c12735"</definedName>
    <definedName name="IQ_OG_DAILY_PRDUCTION_GROWTH_OIL_EQUIVALENT" hidden="1">"c12736"</definedName>
    <definedName name="IQ_OG_DAILY_PRODUCTION_GROWTH_GAS" hidden="1">"c10073"</definedName>
    <definedName name="IQ_OG_DAILY_PRODUCTION_GROWTH_GAS_EQUIVALENT" hidden="1">"c10076"</definedName>
    <definedName name="IQ_OG_DAILY_PRODUCTION_GROWTH_NGL" hidden="1">"c10074"</definedName>
    <definedName name="IQ_OG_DAILY_PRODUCTION_GROWTH_OIL" hidden="1">"c10072"</definedName>
    <definedName name="IQ_OG_DAILY_PRODUCTION_GROWTH_OIL_EQUIVALENT" hidden="1">"c10075"</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GAS_BCM" hidden="1">"c10045"</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AFFILIATES_RESERVES_GAS_BCM" hidden="1">"c10047"</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PLORATION_DEVELOPMENT_COST" hidden="1">"c10081"</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GROSS_DEVELOPED_AREA_SQ_KM" hidden="1">"c10079"</definedName>
    <definedName name="IQ_OG_GROSS_DEVELOPMENT_DRY_WELLS_DRILLED" hidden="1">"c10098"</definedName>
    <definedName name="IQ_OG_GROSS_DEVELOPMENT_PRODUCTIVE_WELLS_DRILLED" hidden="1">"c10097"</definedName>
    <definedName name="IQ_OG_GROSS_DEVELOPMENT_TOTAL_WELLS_DRILLED" hidden="1">"c10099"</definedName>
    <definedName name="IQ_OG_GROSS_EXPLORATORY_DRY_WELLS_DRILLED" hidden="1">"c10095"</definedName>
    <definedName name="IQ_OG_GROSS_EXPLORATORY_PRODUCTIVE_WELLS_DRILLED" hidden="1">"c10094"</definedName>
    <definedName name="IQ_OG_GROSS_EXPLORATORY_TOTAL_WELLS_DRILLED" hidden="1">"c10096"</definedName>
    <definedName name="IQ_OG_GROSS_OPERATED_WELLS" hidden="1">"c10092"</definedName>
    <definedName name="IQ_OG_GROSS_PRODUCTIVE_WELLS_GAS" hidden="1">"c10087"</definedName>
    <definedName name="IQ_OG_GROSS_PRODUCTIVE_WELLS_OIL" hidden="1">"c10086"</definedName>
    <definedName name="IQ_OG_GROSS_PRODUCTIVE_WELLS_TOTAL" hidden="1">"c10088"</definedName>
    <definedName name="IQ_OG_GROSS_TOTAL_WELLS_DRILLED" hidden="1">"c10100"</definedName>
    <definedName name="IQ_OG_GROSS_UNDEVELOPED_AREA_SQ_KM" hidden="1">"c10077"</definedName>
    <definedName name="IQ_OG_GROSS_WELLS_DRILLING" hidden="1">"c10108"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DEVELOPED_AREA_SQ_KM" hidden="1">"c10080"</definedName>
    <definedName name="IQ_OG_NET_DEVELOPMENT_DRY_WELLS_DRILLED" hidden="1">"c10105"</definedName>
    <definedName name="IQ_OG_NET_DEVELOPMENT_PRODUCTIVE_WELLS_DRILLED" hidden="1">"c10104"</definedName>
    <definedName name="IQ_OG_NET_DEVELOPMENT_TOTAL_WELLS_DRILLED" hidden="1">"c10106"</definedName>
    <definedName name="IQ_OG_NET_EXPLORATORY_DRY_WELLS_DRILLED" hidden="1">"c10102"</definedName>
    <definedName name="IQ_OG_NET_EXPLORATORY_PRODUCTIVE_WELLS_DRILLED" hidden="1">"c10101"</definedName>
    <definedName name="IQ_OG_NET_EXPLORATORY_TOTAL_WELLS_DRILLED" hidden="1">"c10103"</definedName>
    <definedName name="IQ_OG_NET_FUTURE_CASH_FLOWS" hidden="1">"c1996"</definedName>
    <definedName name="IQ_OG_NET_FUTURE_CASH_FLOWS_GAS" hidden="1">"c2016"</definedName>
    <definedName name="IQ_OG_NET_FUTURE_CASH_FLOWS_OIL" hidden="1">"c2006"</definedName>
    <definedName name="IQ_OG_NET_OPERATED_WELLS" hidden="1">"c10093"</definedName>
    <definedName name="IQ_OG_NET_PRODUCTIVE_WELLS_GAS" hidden="1">"c10090"</definedName>
    <definedName name="IQ_OG_NET_PRODUCTIVE_WELLS_OIL" hidden="1">"c10089"</definedName>
    <definedName name="IQ_OG_NET_PRODUCTIVE_WELLS_TOTAL" hidden="1">"c10091"</definedName>
    <definedName name="IQ_OG_NET_TOTAL_WELLS_DRILLED" hidden="1">"c10107"</definedName>
    <definedName name="IQ_OG_NET_UNDEVELOPED_AREA_SQ_KM" hidden="1">"c10078"</definedName>
    <definedName name="IQ_OG_NET_WELLS_DRILLING" hidden="1">"c10109"</definedName>
    <definedName name="IQ_OG_NUMBER_WELLS_NEW" hidden="1">"c10085"</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DUCTION_GROWTH_GAS" hidden="1">"c12737"</definedName>
    <definedName name="IQ_OG_PRDUCTION_GROWTH_GAS_EQUIVALENT" hidden="1">"c12738"</definedName>
    <definedName name="IQ_OG_PRDUCTION_GROWTH_NGL" hidden="1">"c12739"</definedName>
    <definedName name="IQ_OG_PRDUCTION_GROWTH_OIL" hidden="1">"c12740"</definedName>
    <definedName name="IQ_OG_PRDUCTION_GROWTH_OIL_EQUIVALENT" hidden="1">"c12741"</definedName>
    <definedName name="IQ_OG_PRDUCTION_GROWTH_TOAL" hidden="1">"c12742"</definedName>
    <definedName name="IQ_OG_PRODUCTION_GAS" hidden="1">"c2047"</definedName>
    <definedName name="IQ_OG_PRODUCTION_GROWTH_GAS" hidden="1">"c10067"</definedName>
    <definedName name="IQ_OG_PRODUCTION_GROWTH_GAS_EQUIVALENT" hidden="1">"c10070"</definedName>
    <definedName name="IQ_OG_PRODUCTION_GROWTH_NGL" hidden="1">"c10068"</definedName>
    <definedName name="IQ_OG_PRODUCTION_GROWTH_OIL" hidden="1">"c10066"</definedName>
    <definedName name="IQ_OG_PRODUCTION_GROWTH_OIL_EQUIVALENT" hidden="1">"c10069"</definedName>
    <definedName name="IQ_OG_PRODUCTION_GROWTH_TOTAL" hidden="1">"c10071"</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RIGS_NON_OPERATED" hidden="1">"c10083"</definedName>
    <definedName name="IQ_OG_RIGS_OPERATED" hidden="1">"c10082"</definedName>
    <definedName name="IQ_OG_RIGS_TOTAL" hidden="1">"c10084"</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EQUIV_PRODUCTION_BCFE" hidden="1">"c10058"</definedName>
    <definedName name="IQ_OG_TOTAL_GAS_PRODUCTION" hidden="1">"c2060"</definedName>
    <definedName name="IQ_OG_TOTAL_LIQUID_GAS_PRODUCTION" hidden="1">"c2235"</definedName>
    <definedName name="IQ_OG_TOTAL_OIL_EQUIV_PRODUCTION_MMBOE" hidden="1">"c10057"</definedName>
    <definedName name="IQ_OG_TOTAL_OIL_PRODUCTION" hidden="1">"c2059"</definedName>
    <definedName name="IQ_OG_TOTAL_OIL_PRODUCTON" hidden="1">"c2059"</definedName>
    <definedName name="IQ_OG_TOTAL_POSSIBLE_RESERVES_GAS_BCF" hidden="1">"c10050"</definedName>
    <definedName name="IQ_OG_TOTAL_POSSIBLE_RESERVES_GAS_BCM" hidden="1">"c10051"</definedName>
    <definedName name="IQ_OG_TOTAL_POSSIBLE_RESERVES_OIL_MMBBLS" hidden="1">"c10053"</definedName>
    <definedName name="IQ_OG_TOTAL_PROBABLE_RESERVES_GAS_BCF" hidden="1">"c10048"</definedName>
    <definedName name="IQ_OG_TOTAL_PROBABLE_RESERVES_GAS_BCM" hidden="1">"c10049"</definedName>
    <definedName name="IQ_OG_TOTAL_PROBABLE_RESERVES_OIL_MMBBLS" hidden="1">"c10052"</definedName>
    <definedName name="IQ_OG_TOTAL_PRODUCTION_GAS_BCM" hidden="1">"c10056"</definedName>
    <definedName name="IQ_OG_TOTAL_PROVED_RESERVES_GAS_BCM" hidden="1">"c10046"</definedName>
    <definedName name="IQ_OG_UNDEVELOPED_ACRE_GROSS_EQ_INC" hidden="1">"c5800"</definedName>
    <definedName name="IQ_OG_UNDEVELOPED_ACRE_NET_EQ_INC" hidden="1">"c5801"</definedName>
    <definedName name="IQ_OG_UNDEVELOPED_RESERVES_GAS" hidden="1">"c2051"</definedName>
    <definedName name="IQ_OG_UNDEVELOPED_RESERVES_GAS_BCM" hidden="1">"c10044"</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 hidden="1">"c6240"</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DJUST_GROSS_LOANS" hidden="1">"c859"</definedName>
    <definedName name="IQ_OTHER_ADJUSTMENTS_COVERED" hidden="1">"c9961"</definedName>
    <definedName name="IQ_OTHER_ADJUSTMENTS_GROUP" hidden="1">"c9947"</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DIC" hidden="1">"c6338"</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DS" hidden="1">"c8784"</definedName>
    <definedName name="IQ_OTHER_BENEFITS_OBLIGATION" hidden="1">"c867"</definedName>
    <definedName name="IQ_OTHER_BORROWED_FUNDS_FDIC" hidden="1">"c6345"</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INSURANCE_FEES_FDIC" hidden="1">"c6672"</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OANS" hidden="1">"c945"</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FDIC" hidden="1">"c6578"</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PROP" hidden="1">"c8764"</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"c1410"</definedName>
    <definedName name="IQ_OTHER_ROOMS" hidden="1">"c8788"</definedName>
    <definedName name="IQ_OTHER_SAVINGS_DEPOSITS_FDIC" hidden="1">"c6554"</definedName>
    <definedName name="IQ_OTHER_SQ_FT" hidden="1">"c8780"</definedName>
    <definedName name="IQ_OTHER_STRIKE_PRICE_GRANTED" hidden="1">"c2692"</definedName>
    <definedName name="IQ_OTHER_TRANSACTIONS_FDIC" hidden="1">"c6504"</definedName>
    <definedName name="IQ_OTHER_UNDRAWN" hidden="1">"c2522"</definedName>
    <definedName name="IQ_OTHER_UNITS" hidden="1">"c8772"</definedName>
    <definedName name="IQ_OTHER_UNUSED_COMMITMENTS_FDIC" hidden="1">"c6530"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OWNERSHIP" hidden="1">"c2160"</definedName>
    <definedName name="IQ_PART_TIME" hidden="1">"c1024"</definedName>
    <definedName name="IQ_PARTICIPATION_POOLS_RESIDENTIAL_MORTGAGES_FDIC" hidden="1">"c6403"</definedName>
    <definedName name="IQ_PARTNERSHIP_INC_RE" hidden="1">"c12039"</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CIQ" hidden="1">"c4042"</definedName>
    <definedName name="IQ_PE_EXCL_FWD_REUT" hidden="1">"c4049"</definedName>
    <definedName name="IQ_PE_NORMALIZED" hidden="1">"c2207"</definedName>
    <definedName name="IQ_PE_RATIO" hidden="1">"c1610"</definedName>
    <definedName name="IQ_PEG_FWD" hidden="1">"c1863"</definedName>
    <definedName name="IQ_PEG_FWD_CIQ" hidden="1">"c4045"</definedName>
    <definedName name="IQ_PEG_FWD_REUT" hidden="1">"c4052"</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2MONTHS_CIQ" hidden="1">"c3790"</definedName>
    <definedName name="IQ_PERCENT_CHANGE_EST_5YR_GROWTH_RATE_18MONTHS" hidden="1">"c1853"</definedName>
    <definedName name="IQ_PERCENT_CHANGE_EST_5YR_GROWTH_RATE_18MONTHS_CIQ" hidden="1">"c3791"</definedName>
    <definedName name="IQ_PERCENT_CHANGE_EST_5YR_GROWTH_RATE_3MONTHS" hidden="1">"c1849"</definedName>
    <definedName name="IQ_PERCENT_CHANGE_EST_5YR_GROWTH_RATE_3MONTHS_CIQ" hidden="1">"c3787"</definedName>
    <definedName name="IQ_PERCENT_CHANGE_EST_5YR_GROWTH_RATE_6MONTHS" hidden="1">"c1850"</definedName>
    <definedName name="IQ_PERCENT_CHANGE_EST_5YR_GROWTH_RATE_6MONTHS_CIQ" hidden="1">"c3788"</definedName>
    <definedName name="IQ_PERCENT_CHANGE_EST_5YR_GROWTH_RATE_9MONTHS" hidden="1">"c1851"</definedName>
    <definedName name="IQ_PERCENT_CHANGE_EST_5YR_GROWTH_RATE_9MONTHS_CIQ" hidden="1">"c3789"</definedName>
    <definedName name="IQ_PERCENT_CHANGE_EST_5YR_GROWTH_RATE_DAY" hidden="1">"c1846"</definedName>
    <definedName name="IQ_PERCENT_CHANGE_EST_5YR_GROWTH_RATE_DAY_CIQ" hidden="1">"c3785"</definedName>
    <definedName name="IQ_PERCENT_CHANGE_EST_5YR_GROWTH_RATE_MONTH" hidden="1">"c1848"</definedName>
    <definedName name="IQ_PERCENT_CHANGE_EST_5YR_GROWTH_RATE_MONTH_CIQ" hidden="1">"c3786"</definedName>
    <definedName name="IQ_PERCENT_CHANGE_EST_5YR_GROWTH_RATE_WEEK" hidden="1">"c1847"</definedName>
    <definedName name="IQ_PERCENT_CHANGE_EST_5YR_GROWTH_RATE_WEEK_CIQ" hidden="1">"c3797"</definedName>
    <definedName name="IQ_PERCENT_CHANGE_EST_EBITDA_12MONTHS" hidden="1">"c1804"</definedName>
    <definedName name="IQ_PERCENT_CHANGE_EST_EBITDA_12MONTHS_CIQ" hidden="1">"c3748"</definedName>
    <definedName name="IQ_PERCENT_CHANGE_EST_EBITDA_18MONTHS" hidden="1">"c1805"</definedName>
    <definedName name="IQ_PERCENT_CHANGE_EST_EBITDA_18MONTHS_CIQ" hidden="1">"c3749"</definedName>
    <definedName name="IQ_PERCENT_CHANGE_EST_EBITDA_3MONTHS" hidden="1">"c1801"</definedName>
    <definedName name="IQ_PERCENT_CHANGE_EST_EBITDA_3MONTHS_CIQ" hidden="1">"c3745"</definedName>
    <definedName name="IQ_PERCENT_CHANGE_EST_EBITDA_6MONTHS" hidden="1">"c1802"</definedName>
    <definedName name="IQ_PERCENT_CHANGE_EST_EBITDA_6MONTHS_CIQ" hidden="1">"c3746"</definedName>
    <definedName name="IQ_PERCENT_CHANGE_EST_EBITDA_9MONTHS" hidden="1">"c1803"</definedName>
    <definedName name="IQ_PERCENT_CHANGE_EST_EBITDA_9MONTHS_CIQ" hidden="1">"c3747"</definedName>
    <definedName name="IQ_PERCENT_CHANGE_EST_EBITDA_DAY" hidden="1">"c1798"</definedName>
    <definedName name="IQ_PERCENT_CHANGE_EST_EBITDA_DAY_CIQ" hidden="1">"c3743"</definedName>
    <definedName name="IQ_PERCENT_CHANGE_EST_EBITDA_MONTH" hidden="1">"c1800"</definedName>
    <definedName name="IQ_PERCENT_CHANGE_EST_EBITDA_MONTH_CIQ" hidden="1">"c3744"</definedName>
    <definedName name="IQ_PERCENT_CHANGE_EST_EBITDA_WEEK" hidden="1">"c1799"</definedName>
    <definedName name="IQ_PERCENT_CHANGE_EST_EBITDA_WEEK_CIQ" hidden="1">"c3792"</definedName>
    <definedName name="IQ_PERCENT_CHANGE_EST_EPS_12MONTHS" hidden="1">"c1788"</definedName>
    <definedName name="IQ_PERCENT_CHANGE_EST_EPS_12MONTHS_CIQ" hidden="1">"c3733"</definedName>
    <definedName name="IQ_PERCENT_CHANGE_EST_EPS_18MONTHS" hidden="1">"c1789"</definedName>
    <definedName name="IQ_PERCENT_CHANGE_EST_EPS_18MONTHS_CIQ" hidden="1">"c3734"</definedName>
    <definedName name="IQ_PERCENT_CHANGE_EST_EPS_3MONTHS" hidden="1">"c1785"</definedName>
    <definedName name="IQ_PERCENT_CHANGE_EST_EPS_3MONTHS_CIQ" hidden="1">"c3730"</definedName>
    <definedName name="IQ_PERCENT_CHANGE_EST_EPS_6MONTHS" hidden="1">"c1786"</definedName>
    <definedName name="IQ_PERCENT_CHANGE_EST_EPS_6MONTHS_CIQ" hidden="1">"c3731"</definedName>
    <definedName name="IQ_PERCENT_CHANGE_EST_EPS_9MONTHS" hidden="1">"c1787"</definedName>
    <definedName name="IQ_PERCENT_CHANGE_EST_EPS_9MONTHS_CIQ" hidden="1">"c3732"</definedName>
    <definedName name="IQ_PERCENT_CHANGE_EST_EPS_DAY" hidden="1">"c1782"</definedName>
    <definedName name="IQ_PERCENT_CHANGE_EST_EPS_DAY_CIQ" hidden="1">"c3727"</definedName>
    <definedName name="IQ_PERCENT_CHANGE_EST_EPS_MONTH" hidden="1">"c1784"</definedName>
    <definedName name="IQ_PERCENT_CHANGE_EST_EPS_MONTH_CIQ" hidden="1">"c3729"</definedName>
    <definedName name="IQ_PERCENT_CHANGE_EST_EPS_WEEK" hidden="1">"c1783"</definedName>
    <definedName name="IQ_PERCENT_CHANGE_EST_EPS_WEEK_CIQ" hidden="1">"c3728"</definedName>
    <definedName name="IQ_PERCENT_CHANGE_EST_PRICE_TARGET_12MONTHS" hidden="1">"c1844"</definedName>
    <definedName name="IQ_PERCENT_CHANGE_EST_PRICE_TARGET_12MONTHS_CIQ" hidden="1">"c3783"</definedName>
    <definedName name="IQ_PERCENT_CHANGE_EST_PRICE_TARGET_18MONTHS" hidden="1">"c1845"</definedName>
    <definedName name="IQ_PERCENT_CHANGE_EST_PRICE_TARGET_18MONTHS_CIQ" hidden="1">"c3784"</definedName>
    <definedName name="IQ_PERCENT_CHANGE_EST_PRICE_TARGET_3MONTHS" hidden="1">"c1841"</definedName>
    <definedName name="IQ_PERCENT_CHANGE_EST_PRICE_TARGET_3MONTHS_CIQ" hidden="1">"c3780"</definedName>
    <definedName name="IQ_PERCENT_CHANGE_EST_PRICE_TARGET_6MONTHS" hidden="1">"c1842"</definedName>
    <definedName name="IQ_PERCENT_CHANGE_EST_PRICE_TARGET_6MONTHS_CIQ" hidden="1">"c3781"</definedName>
    <definedName name="IQ_PERCENT_CHANGE_EST_PRICE_TARGET_9MONTHS" hidden="1">"c1843"</definedName>
    <definedName name="IQ_PERCENT_CHANGE_EST_PRICE_TARGET_9MONTHS_CIQ" hidden="1">"c3782"</definedName>
    <definedName name="IQ_PERCENT_CHANGE_EST_PRICE_TARGET_DAY" hidden="1">"c1838"</definedName>
    <definedName name="IQ_PERCENT_CHANGE_EST_PRICE_TARGET_DAY_CIQ" hidden="1">"c3778"</definedName>
    <definedName name="IQ_PERCENT_CHANGE_EST_PRICE_TARGET_MONTH" hidden="1">"c1840"</definedName>
    <definedName name="IQ_PERCENT_CHANGE_EST_PRICE_TARGET_MONTH_CIQ" hidden="1">"c3779"</definedName>
    <definedName name="IQ_PERCENT_CHANGE_EST_PRICE_TARGET_WEEK" hidden="1">"c1839"</definedName>
    <definedName name="IQ_PERCENT_CHANGE_EST_PRICE_TARGET_WEEK_CIQ" hidden="1">"c3798"</definedName>
    <definedName name="IQ_PERCENT_CHANGE_EST_RECO_12MONTHS" hidden="1">"c1836"</definedName>
    <definedName name="IQ_PERCENT_CHANGE_EST_RECO_12MONTHS_CIQ" hidden="1">"c3776"</definedName>
    <definedName name="IQ_PERCENT_CHANGE_EST_RECO_18MONTHS" hidden="1">"c1837"</definedName>
    <definedName name="IQ_PERCENT_CHANGE_EST_RECO_18MONTHS_CIQ" hidden="1">"c3777"</definedName>
    <definedName name="IQ_PERCENT_CHANGE_EST_RECO_3MONTHS" hidden="1">"c1833"</definedName>
    <definedName name="IQ_PERCENT_CHANGE_EST_RECO_3MONTHS_CIQ" hidden="1">"c3773"</definedName>
    <definedName name="IQ_PERCENT_CHANGE_EST_RECO_6MONTHS" hidden="1">"c1834"</definedName>
    <definedName name="IQ_PERCENT_CHANGE_EST_RECO_6MONTHS_CIQ" hidden="1">"c3774"</definedName>
    <definedName name="IQ_PERCENT_CHANGE_EST_RECO_9MONTHS" hidden="1">"c1835"</definedName>
    <definedName name="IQ_PERCENT_CHANGE_EST_RECO_9MONTHS_CIQ" hidden="1">"c3775"</definedName>
    <definedName name="IQ_PERCENT_CHANGE_EST_RECO_DAY" hidden="1">"c1830"</definedName>
    <definedName name="IQ_PERCENT_CHANGE_EST_RECO_DAY_CIQ" hidden="1">"c3771"</definedName>
    <definedName name="IQ_PERCENT_CHANGE_EST_RECO_MONTH" hidden="1">"c1832"</definedName>
    <definedName name="IQ_PERCENT_CHANGE_EST_RECO_MONTH_CIQ" hidden="1">"c3772"</definedName>
    <definedName name="IQ_PERCENT_CHANGE_EST_RECO_WEEK" hidden="1">"c1831"</definedName>
    <definedName name="IQ_PERCENT_CHANGE_EST_RECO_WEEK_CIQ" hidden="1">"c3796"</definedName>
    <definedName name="IQ_PERCENT_CHANGE_EST_REV_12MONTHS" hidden="1">"c1796"</definedName>
    <definedName name="IQ_PERCENT_CHANGE_EST_REV_12MONTHS_CIQ" hidden="1">"c3741"</definedName>
    <definedName name="IQ_PERCENT_CHANGE_EST_REV_18MONTHS" hidden="1">"c1797"</definedName>
    <definedName name="IQ_PERCENT_CHANGE_EST_REV_18MONTHS_CIQ" hidden="1">"c3742"</definedName>
    <definedName name="IQ_PERCENT_CHANGE_EST_REV_3MONTHS" hidden="1">"c1793"</definedName>
    <definedName name="IQ_PERCENT_CHANGE_EST_REV_3MONTHS_CIQ" hidden="1">"c3738"</definedName>
    <definedName name="IQ_PERCENT_CHANGE_EST_REV_6MONTHS" hidden="1">"c1794"</definedName>
    <definedName name="IQ_PERCENT_CHANGE_EST_REV_6MONTHS_CIQ" hidden="1">"c3739"</definedName>
    <definedName name="IQ_PERCENT_CHANGE_EST_REV_9MONTHS" hidden="1">"c1795"</definedName>
    <definedName name="IQ_PERCENT_CHANGE_EST_REV_9MONTHS_CIQ" hidden="1">"c3740"</definedName>
    <definedName name="IQ_PERCENT_CHANGE_EST_REV_DAY" hidden="1">"c1790"</definedName>
    <definedName name="IQ_PERCENT_CHANGE_EST_REV_DAY_CIQ" hidden="1">"c3735"</definedName>
    <definedName name="IQ_PERCENT_CHANGE_EST_REV_MONTH" hidden="1">"c1792"</definedName>
    <definedName name="IQ_PERCENT_CHANGE_EST_REV_MONTH_CIQ" hidden="1">"c3737"</definedName>
    <definedName name="IQ_PERCENT_CHANGE_EST_REV_WEEK" hidden="1">"c1791"</definedName>
    <definedName name="IQ_PERCENT_CHANGE_EST_REV_WEEK_CIQ" hidden="1">"c3736"</definedName>
    <definedName name="IQ_PERCENT_INSURED_FDIC" hidden="1">"c6374"</definedName>
    <definedName name="IQ_PERIODDATE" hidden="1">"c1414"</definedName>
    <definedName name="IQ_PERIODDATE_AP" hidden="1">"c11745"</definedName>
    <definedName name="IQ_PERIODDATE_BS" hidden="1">"c1032"</definedName>
    <definedName name="IQ_PERIODDATE_CF" hidden="1">"c1033"</definedName>
    <definedName name="IQ_PERIODDATE_IS" hidden="1">"c1034"</definedName>
    <definedName name="IQ_PERIODLENGTH_AP" hidden="1">"c11746"</definedName>
    <definedName name="IQ_PERIODLENGTH_CF" hidden="1">"c1502"</definedName>
    <definedName name="IQ_PERIODLENGTH_IS" hidden="1">"c1503"</definedName>
    <definedName name="IQ_PERSONAL_CONSUMER_SPENDING_DURABLE" hidden="1">"c6942"</definedName>
    <definedName name="IQ_PERSONAL_CONSUMER_SPENDING_DURABLE_APR" hidden="1">"c7602"</definedName>
    <definedName name="IQ_PERSONAL_CONSUMER_SPENDING_DURABLE_APR_FC" hidden="1">"c8482"</definedName>
    <definedName name="IQ_PERSONAL_CONSUMER_SPENDING_DURABLE_FC" hidden="1">"c7822"</definedName>
    <definedName name="IQ_PERSONAL_CONSUMER_SPENDING_DURABLE_POP" hidden="1">"c7162"</definedName>
    <definedName name="IQ_PERSONAL_CONSUMER_SPENDING_DURABLE_POP_FC" hidden="1">"c8042"</definedName>
    <definedName name="IQ_PERSONAL_CONSUMER_SPENDING_DURABLE_YOY" hidden="1">"c7382"</definedName>
    <definedName name="IQ_PERSONAL_CONSUMER_SPENDING_DURABLE_YOY_FC" hidden="1">"c8262"</definedName>
    <definedName name="IQ_PERSONAL_CONSUMER_SPENDING_NONDURABLE" hidden="1">"c6940"</definedName>
    <definedName name="IQ_PERSONAL_CONSUMER_SPENDING_NONDURABLE_APR" hidden="1">"c7600"</definedName>
    <definedName name="IQ_PERSONAL_CONSUMER_SPENDING_NONDURABLE_APR_FC" hidden="1">"c8480"</definedName>
    <definedName name="IQ_PERSONAL_CONSUMER_SPENDING_NONDURABLE_FC" hidden="1">"c7820"</definedName>
    <definedName name="IQ_PERSONAL_CONSUMER_SPENDING_NONDURABLE_POP" hidden="1">"c7160"</definedName>
    <definedName name="IQ_PERSONAL_CONSUMER_SPENDING_NONDURABLE_POP_FC" hidden="1">"c8040"</definedName>
    <definedName name="IQ_PERSONAL_CONSUMER_SPENDING_NONDURABLE_YOY" hidden="1">"c7380"</definedName>
    <definedName name="IQ_PERSONAL_CONSUMER_SPENDING_NONDURABLE_YOY_FC" hidden="1">"c8260"</definedName>
    <definedName name="IQ_PERSONAL_CONSUMER_SPENDING_REAL" hidden="1">"c6994"</definedName>
    <definedName name="IQ_PERSONAL_CONSUMER_SPENDING_REAL_APR" hidden="1">"c7654"</definedName>
    <definedName name="IQ_PERSONAL_CONSUMER_SPENDING_REAL_APR_FC" hidden="1">"c8534"</definedName>
    <definedName name="IQ_PERSONAL_CONSUMER_SPENDING_REAL_FC" hidden="1">"c7874"</definedName>
    <definedName name="IQ_PERSONAL_CONSUMER_SPENDING_REAL_POP" hidden="1">"c7214"</definedName>
    <definedName name="IQ_PERSONAL_CONSUMER_SPENDING_REAL_POP_FC" hidden="1">"c8094"</definedName>
    <definedName name="IQ_PERSONAL_CONSUMER_SPENDING_REAL_YOY" hidden="1">"c7434"</definedName>
    <definedName name="IQ_PERSONAL_CONSUMER_SPENDING_REAL_YOY_FC" hidden="1">"c8314"</definedName>
    <definedName name="IQ_PERSONAL_CONSUMER_SPENDING_SERVICES" hidden="1">"c6941"</definedName>
    <definedName name="IQ_PERSONAL_CONSUMER_SPENDING_SERVICES_APR" hidden="1">"c7601"</definedName>
    <definedName name="IQ_PERSONAL_CONSUMER_SPENDING_SERVICES_APR_FC" hidden="1">"c8481"</definedName>
    <definedName name="IQ_PERSONAL_CONSUMER_SPENDING_SERVICES_FC" hidden="1">"c7821"</definedName>
    <definedName name="IQ_PERSONAL_CONSUMER_SPENDING_SERVICES_POP" hidden="1">"c7161"</definedName>
    <definedName name="IQ_PERSONAL_CONSUMER_SPENDING_SERVICES_POP_FC" hidden="1">"c8041"</definedName>
    <definedName name="IQ_PERSONAL_CONSUMER_SPENDING_SERVICES_YOY" hidden="1">"c7381"</definedName>
    <definedName name="IQ_PERSONAL_CONSUMER_SPENDING_SERVICES_YOY_FC" hidden="1">"c8261"</definedName>
    <definedName name="IQ_PERSONAL_INCOME" hidden="1">"c6943"</definedName>
    <definedName name="IQ_PERSONAL_INCOME_APR" hidden="1">"c7603"</definedName>
    <definedName name="IQ_PERSONAL_INCOME_APR_FC" hidden="1">"c8483"</definedName>
    <definedName name="IQ_PERSONAL_INCOME_FC" hidden="1">"c7823"</definedName>
    <definedName name="IQ_PERSONAL_INCOME_POP" hidden="1">"c7163"</definedName>
    <definedName name="IQ_PERSONAL_INCOME_POP_FC" hidden="1">"c8043"</definedName>
    <definedName name="IQ_PERSONAL_INCOME_SAAR" hidden="1">"c6944"</definedName>
    <definedName name="IQ_PERSONAL_INCOME_SAAR_APR" hidden="1">"c7604"</definedName>
    <definedName name="IQ_PERSONAL_INCOME_SAAR_APR_FC" hidden="1">"c8484"</definedName>
    <definedName name="IQ_PERSONAL_INCOME_SAAR_FC" hidden="1">"c7824"</definedName>
    <definedName name="IQ_PERSONAL_INCOME_SAAR_POP" hidden="1">"c7164"</definedName>
    <definedName name="IQ_PERSONAL_INCOME_SAAR_POP_FC" hidden="1">"c8044"</definedName>
    <definedName name="IQ_PERSONAL_INCOME_SAAR_YOY" hidden="1">"c7384"</definedName>
    <definedName name="IQ_PERSONAL_INCOME_SAAR_YOY_FC" hidden="1">"c8264"</definedName>
    <definedName name="IQ_PERSONAL_INCOME_USD_APR_FC" hidden="1">"c11885"</definedName>
    <definedName name="IQ_PERSONAL_INCOME_USD_FC" hidden="1">"c11882"</definedName>
    <definedName name="IQ_PERSONAL_INCOME_USD_POP_FC" hidden="1">"c11883"</definedName>
    <definedName name="IQ_PERSONAL_INCOME_USD_YOY_FC" hidden="1">"c11884"</definedName>
    <definedName name="IQ_PERSONAL_INCOME_YOY" hidden="1">"c7383"</definedName>
    <definedName name="IQ_PERSONAL_INCOME_YOY_FC" hidden="1">"c8263"</definedName>
    <definedName name="IQ_PERTYPE" hidden="1">"c1611"</definedName>
    <definedName name="IQ_PHARMBIO_NUMBER_LICENSED_PATENT_APP" hidden="1">"c10018"</definedName>
    <definedName name="IQ_PHARMBIO_NUMBER_LICENSED_PATENTS" hidden="1">"c10017"</definedName>
    <definedName name="IQ_PHARMBIO_NUMBER_PATENTS" hidden="1">"c10015"</definedName>
    <definedName name="IQ_PHARMBIO_NUMBER_PROD__APPROVED_DURING_PERIOD" hidden="1">"c12750"</definedName>
    <definedName name="IQ_PHARMBIO_NUMBER_PROD__CLINICAL_DEV" hidden="1">"c12745"</definedName>
    <definedName name="IQ_PHARMBIO_NUMBER_PROD__LAUNCHED_DURING_PERIOD" hidden="1">"c12751"</definedName>
    <definedName name="IQ_PHARMBIO_NUMBER_PROD__PHASE_I" hidden="1">"c12746"</definedName>
    <definedName name="IQ_PHARMBIO_NUMBER_PROD__PHASE_II" hidden="1">"c12747"</definedName>
    <definedName name="IQ_PHARMBIO_NUMBER_PROD__PHASE_III" hidden="1">"c12748"</definedName>
    <definedName name="IQ_PHARMBIO_NUMBER_PROD__PRE_CLINICAL_TRIALS" hidden="1">"c12744"</definedName>
    <definedName name="IQ_PHARMBIO_NUMBER_PROD__PRE_REGISTRATION" hidden="1">"c12749"</definedName>
    <definedName name="IQ_PHARMBIO_NUMBER_PROD__RESEARCH_DEV" hidden="1">"c12743"</definedName>
    <definedName name="IQ_PHARMBIO_NUMBER_PROD_APPROVED_DURING_PERIOD" hidden="1">"c10027"</definedName>
    <definedName name="IQ_PHARMBIO_NUMBER_PROD_CLINICAL_DEV" hidden="1">"c10022"</definedName>
    <definedName name="IQ_PHARMBIO_NUMBER_PROD_DISCOVERY_RESEARCH" hidden="1">"c10019"</definedName>
    <definedName name="IQ_PHARMBIO_NUMBER_PROD_LAUNCHED_DURING_PERIOD" hidden="1">"c10028"</definedName>
    <definedName name="IQ_PHARMBIO_NUMBER_PROD_PHASE_I" hidden="1">"c10023"</definedName>
    <definedName name="IQ_PHARMBIO_NUMBER_PROD_PHASE_II" hidden="1">"c10024"</definedName>
    <definedName name="IQ_PHARMBIO_NUMBER_PROD_PHASE_III" hidden="1">"c10025"</definedName>
    <definedName name="IQ_PHARMBIO_NUMBER_PROD_PRE_CLINICAL_TRIALS" hidden="1">"c10021"</definedName>
    <definedName name="IQ_PHARMBIO_NUMBER_PROD_PRE_REGISTRATION" hidden="1">"c10026"</definedName>
    <definedName name="IQ_PHARMBIO_NUMBER_PROD_RESEARCH_DEV" hidden="1">"c10020"</definedName>
    <definedName name="IQ_PHARMBIO_PATENT_APP" hidden="1">"c10016"</definedName>
    <definedName name="IQ_PHILADELPHIA_FED_DIFFUSION_INDEX" hidden="1">"c6945"</definedName>
    <definedName name="IQ_PHILADELPHIA_FED_DIFFUSION_INDEX_APR" hidden="1">"c7605"</definedName>
    <definedName name="IQ_PHILADELPHIA_FED_DIFFUSION_INDEX_APR_FC" hidden="1">"c8485"</definedName>
    <definedName name="IQ_PHILADELPHIA_FED_DIFFUSION_INDEX_FC" hidden="1">"c7825"</definedName>
    <definedName name="IQ_PHILADELPHIA_FED_DIFFUSION_INDEX_POP" hidden="1">"c7165"</definedName>
    <definedName name="IQ_PHILADELPHIA_FED_DIFFUSION_INDEX_POP_FC" hidden="1">"c8045"</definedName>
    <definedName name="IQ_PHILADELPHIA_FED_DIFFUSION_INDEX_YOY" hidden="1">"c7385"</definedName>
    <definedName name="IQ_PHILADELPHIA_FED_DIFFUSION_INDEX_YOY_FC" hidden="1">"c8265"</definedName>
    <definedName name="IQ_PLEDGED_SECURITIES_FDIC" hidden="1">"c6401"</definedName>
    <definedName name="IQ_PLL" hidden="1">"c2114"</definedName>
    <definedName name="IQ_PMAC_DIFFUSION_INDEX" hidden="1">"c6946"</definedName>
    <definedName name="IQ_PMAC_DIFFUSION_INDEX_APR" hidden="1">"c7606"</definedName>
    <definedName name="IQ_PMAC_DIFFUSION_INDEX_APR_FC" hidden="1">"c8486"</definedName>
    <definedName name="IQ_PMAC_DIFFUSION_INDEX_FC" hidden="1">"c7826"</definedName>
    <definedName name="IQ_PMAC_DIFFUSION_INDEX_POP" hidden="1">"c7166"</definedName>
    <definedName name="IQ_PMAC_DIFFUSION_INDEX_POP_FC" hidden="1">"c8046"</definedName>
    <definedName name="IQ_PMAC_DIFFUSION_INDEX_YOY" hidden="1">"c7386"</definedName>
    <definedName name="IQ_PMAC_DIFFUSION_INDEX_YOY_FC" hidden="1">"c8266"</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OL_AMT_ORIGINAL" hidden="1">"c8970"</definedName>
    <definedName name="IQ_POOL_NAME" hidden="1">"c8967"</definedName>
    <definedName name="IQ_POOL_NUMBER" hidden="1">"c8968"</definedName>
    <definedName name="IQ_POOL_TYPE" hidden="1">"c8969"</definedName>
    <definedName name="IQ_POST_RETIRE_EXP" hidden="1">"c1039"</definedName>
    <definedName name="IQ_POSTPAID_CHURN" hidden="1">"c2121"</definedName>
    <definedName name="IQ_POSTPAID_SUBS" hidden="1">"c2118"</definedName>
    <definedName name="IQ_POTENTIAL_UPSIDE" hidden="1">"c1855"</definedName>
    <definedName name="IQ_POTENTIAL_UPSIDE_CIQ" hidden="1">"c3799"</definedName>
    <definedName name="IQ_PP_ATTRIB_ORE_RESERVES_ALUM" hidden="1">"c9218"</definedName>
    <definedName name="IQ_PP_ATTRIB_ORE_RESERVES_COP" hidden="1">"c9162"</definedName>
    <definedName name="IQ_PP_ATTRIB_ORE_RESERVES_DIAM" hidden="1">"c9642"</definedName>
    <definedName name="IQ_PP_ATTRIB_ORE_RESERVES_GOLD" hidden="1">"c9003"</definedName>
    <definedName name="IQ_PP_ATTRIB_ORE_RESERVES_IRON" hidden="1">"c9377"</definedName>
    <definedName name="IQ_PP_ATTRIB_ORE_RESERVES_LEAD" hidden="1">"c9430"</definedName>
    <definedName name="IQ_PP_ATTRIB_ORE_RESERVES_MANG" hidden="1">"c9483"</definedName>
    <definedName name="IQ_PP_ATTRIB_ORE_RESERVES_MOLYB" hidden="1">"c9695"</definedName>
    <definedName name="IQ_PP_ATTRIB_ORE_RESERVES_NICK" hidden="1">"c9271"</definedName>
    <definedName name="IQ_PP_ATTRIB_ORE_RESERVES_PLAT" hidden="1">"c9109"</definedName>
    <definedName name="IQ_PP_ATTRIB_ORE_RESERVES_SILVER" hidden="1">"c9056"</definedName>
    <definedName name="IQ_PP_ATTRIB_ORE_RESERVES_TITAN" hidden="1">"c9536"</definedName>
    <definedName name="IQ_PP_ATTRIB_ORE_RESERVES_URAN" hidden="1">"c9589"</definedName>
    <definedName name="IQ_PP_ATTRIB_ORE_RESERVES_ZINC" hidden="1">"c9324"</definedName>
    <definedName name="IQ_PP_ORE_RESERVES_ALUM" hidden="1">"c9211"</definedName>
    <definedName name="IQ_PP_ORE_RESERVES_COP" hidden="1">"c9155"</definedName>
    <definedName name="IQ_PP_ORE_RESERVES_DIAM" hidden="1">"c9635"</definedName>
    <definedName name="IQ_PP_ORE_RESERVES_GOLD" hidden="1">"c8996"</definedName>
    <definedName name="IQ_PP_ORE_RESERVES_IRON" hidden="1">"c9370"</definedName>
    <definedName name="IQ_PP_ORE_RESERVES_LEAD" hidden="1">"c9423"</definedName>
    <definedName name="IQ_PP_ORE_RESERVES_MANG" hidden="1">"c9476"</definedName>
    <definedName name="IQ_PP_ORE_RESERVES_MOLYB" hidden="1">"c9688"</definedName>
    <definedName name="IQ_PP_ORE_RESERVES_NICK" hidden="1">"c9264"</definedName>
    <definedName name="IQ_PP_ORE_RESERVES_PLAT" hidden="1">"c9102"</definedName>
    <definedName name="IQ_PP_ORE_RESERVES_SILVER" hidden="1">"c9049"</definedName>
    <definedName name="IQ_PP_ORE_RESERVES_TITAN" hidden="1">"c9529"</definedName>
    <definedName name="IQ_PP_ORE_RESERVES_URAN" hidden="1">"c9582"</definedName>
    <definedName name="IQ_PP_ORE_RESERVES_ZINC" hidden="1">"c9317"</definedName>
    <definedName name="IQ_PP_RECOV_ATTRIB_RESERVES_ALUM" hidden="1">"c9221"</definedName>
    <definedName name="IQ_PP_RECOV_ATTRIB_RESERVES_COAL" hidden="1">"c9805"</definedName>
    <definedName name="IQ_PP_RECOV_ATTRIB_RESERVES_COP" hidden="1">"c9165"</definedName>
    <definedName name="IQ_PP_RECOV_ATTRIB_RESERVES_DIAM" hidden="1">"c9645"</definedName>
    <definedName name="IQ_PP_RECOV_ATTRIB_RESERVES_GOLD" hidden="1">"c9006"</definedName>
    <definedName name="IQ_PP_RECOV_ATTRIB_RESERVES_IRON" hidden="1">"c9380"</definedName>
    <definedName name="IQ_PP_RECOV_ATTRIB_RESERVES_LEAD" hidden="1">"c9433"</definedName>
    <definedName name="IQ_PP_RECOV_ATTRIB_RESERVES_MANG" hidden="1">"c9486"</definedName>
    <definedName name="IQ_PP_RECOV_ATTRIB_RESERVES_MET_COAL" hidden="1">"c9745"</definedName>
    <definedName name="IQ_PP_RECOV_ATTRIB_RESERVES_MOLYB" hidden="1">"c9698"</definedName>
    <definedName name="IQ_PP_RECOV_ATTRIB_RESERVES_NICK" hidden="1">"c9274"</definedName>
    <definedName name="IQ_PP_RECOV_ATTRIB_RESERVES_PLAT" hidden="1">"c9112"</definedName>
    <definedName name="IQ_PP_RECOV_ATTRIB_RESERVES_SILVER" hidden="1">"c9059"</definedName>
    <definedName name="IQ_PP_RECOV_ATTRIB_RESERVES_STEAM" hidden="1">"c9775"</definedName>
    <definedName name="IQ_PP_RECOV_ATTRIB_RESERVES_TITAN" hidden="1">"c9539"</definedName>
    <definedName name="IQ_PP_RECOV_ATTRIB_RESERVES_URAN" hidden="1">"c9592"</definedName>
    <definedName name="IQ_PP_RECOV_ATTRIB_RESERVES_ZINC" hidden="1">"c9327"</definedName>
    <definedName name="IQ_PP_RECOV_RESERVES_ALUM" hidden="1">"c9215"</definedName>
    <definedName name="IQ_PP_RECOV_RESERVES_COAL" hidden="1">"c9802"</definedName>
    <definedName name="IQ_PP_RECOV_RESERVES_COP" hidden="1">"c9159"</definedName>
    <definedName name="IQ_PP_RECOV_RESERVES_DIAM" hidden="1">"c9639"</definedName>
    <definedName name="IQ_PP_RECOV_RESERVES_GOLD" hidden="1">"c9000"</definedName>
    <definedName name="IQ_PP_RECOV_RESERVES_IRON" hidden="1">"c9374"</definedName>
    <definedName name="IQ_PP_RECOV_RESERVES_LEAD" hidden="1">"c9427"</definedName>
    <definedName name="IQ_PP_RECOV_RESERVES_MANG" hidden="1">"c9480"</definedName>
    <definedName name="IQ_PP_RECOV_RESERVES_MET_COAL" hidden="1">"c9742"</definedName>
    <definedName name="IQ_PP_RECOV_RESERVES_MOLYB" hidden="1">"c9692"</definedName>
    <definedName name="IQ_PP_RECOV_RESERVES_NICK" hidden="1">"c9268"</definedName>
    <definedName name="IQ_PP_RECOV_RESERVES_PLAT" hidden="1">"c9106"</definedName>
    <definedName name="IQ_PP_RECOV_RESERVES_SILVER" hidden="1">"c9053"</definedName>
    <definedName name="IQ_PP_RECOV_RESERVES_STEAM" hidden="1">"c9772"</definedName>
    <definedName name="IQ_PP_RECOV_RESERVES_TITAN" hidden="1">"c9533"</definedName>
    <definedName name="IQ_PP_RECOV_RESERVES_URAN" hidden="1">"c9586"</definedName>
    <definedName name="IQ_PP_RECOV_RESERVES_ZINC" hidden="1">"c9321"</definedName>
    <definedName name="IQ_PP_RESERVES_CALORIFIC_VALUE_COAL" hidden="1">"c9799"</definedName>
    <definedName name="IQ_PP_RESERVES_CALORIFIC_VALUE_MET_COAL" hidden="1">"c9739"</definedName>
    <definedName name="IQ_PP_RESERVES_CALORIFIC_VALUE_STEAM" hidden="1">"c9769"</definedName>
    <definedName name="IQ_PP_RESERVES_GRADE_ALUM" hidden="1">"c9212"</definedName>
    <definedName name="IQ_PP_RESERVES_GRADE_COP" hidden="1">"c9156"</definedName>
    <definedName name="IQ_PP_RESERVES_GRADE_DIAM" hidden="1">"c9636"</definedName>
    <definedName name="IQ_PP_RESERVES_GRADE_GOLD" hidden="1">"c8997"</definedName>
    <definedName name="IQ_PP_RESERVES_GRADE_IRON" hidden="1">"c9371"</definedName>
    <definedName name="IQ_PP_RESERVES_GRADE_LEAD" hidden="1">"c9424"</definedName>
    <definedName name="IQ_PP_RESERVES_GRADE_MANG" hidden="1">"c9477"</definedName>
    <definedName name="IQ_PP_RESERVES_GRADE_MOLYB" hidden="1">"c9689"</definedName>
    <definedName name="IQ_PP_RESERVES_GRADE_NICK" hidden="1">"c9265"</definedName>
    <definedName name="IQ_PP_RESERVES_GRADE_PLAT" hidden="1">"c9103"</definedName>
    <definedName name="IQ_PP_RESERVES_GRADE_SILVER" hidden="1">"c9050"</definedName>
    <definedName name="IQ_PP_RESERVES_GRADE_TITAN" hidden="1">"c9530"</definedName>
    <definedName name="IQ_PP_RESERVES_GRADE_URAN" hidden="1">"c9583"</definedName>
    <definedName name="IQ_PP_RESERVES_GRADE_ZINC" hidden="1">"c9318"</definedName>
    <definedName name="IQ_PPI" hidden="1">"c6810"</definedName>
    <definedName name="IQ_PPI_APR" hidden="1">"c7470"</definedName>
    <definedName name="IQ_PPI_APR_FC" hidden="1">"c8350"</definedName>
    <definedName name="IQ_PPI_CORE" hidden="1">"c6840"</definedName>
    <definedName name="IQ_PPI_CORE_APR" hidden="1">"c7500"</definedName>
    <definedName name="IQ_PPI_CORE_APR_FC" hidden="1">"c8380"</definedName>
    <definedName name="IQ_PPI_CORE_FC" hidden="1">"c7720"</definedName>
    <definedName name="IQ_PPI_CORE_POP" hidden="1">"c7060"</definedName>
    <definedName name="IQ_PPI_CORE_POP_FC" hidden="1">"c7940"</definedName>
    <definedName name="IQ_PPI_CORE_YOY" hidden="1">"c7280"</definedName>
    <definedName name="IQ_PPI_CORE_YOY_FC" hidden="1">"c8160"</definedName>
    <definedName name="IQ_PPI_FC" hidden="1">"c7690"</definedName>
    <definedName name="IQ_PPI_POP" hidden="1">"c7030"</definedName>
    <definedName name="IQ_PPI_POP_FC" hidden="1">"c7910"</definedName>
    <definedName name="IQ_PPI_YOY" hidden="1">"c7250"</definedName>
    <definedName name="IQ_PPI_YOY_FC" hidden="1">"c8130"</definedName>
    <definedName name="IQ_PRE_OPEN_COST" hidden="1">"c1040"</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"c1416"</definedName>
    <definedName name="IQ_PREF_TOT" hidden="1">"c1415"</definedName>
    <definedName name="IQ_PREFERRED_FDIC" hidden="1">"c6349"</definedName>
    <definedName name="IQ_PREMISES_EQUIPMENT_FDIC" hidden="1">"c6577"</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RETURN_ASSETS_FDIC" hidden="1">"c6731"</definedName>
    <definedName name="IQ_PREV_MONTHLY_FACTOR" hidden="1">"c8973"</definedName>
    <definedName name="IQ_PREV_MONTHLY_FACTOR_DATE" hidden="1">"c8974"</definedName>
    <definedName name="IQ_PRICE_OVER_BVPS" hidden="1">"c1412"</definedName>
    <definedName name="IQ_PRICE_OVER_LTM_EPS" hidden="1">"c1413"</definedName>
    <definedName name="IQ_PRICE_PAID_FARM_INDEX" hidden="1">"c6948"</definedName>
    <definedName name="IQ_PRICE_PAID_FARM_INDEX_APR" hidden="1">"c7608"</definedName>
    <definedName name="IQ_PRICE_PAID_FARM_INDEX_APR_FC" hidden="1">"c8488"</definedName>
    <definedName name="IQ_PRICE_PAID_FARM_INDEX_FC" hidden="1">"c7828"</definedName>
    <definedName name="IQ_PRICE_PAID_FARM_INDEX_POP" hidden="1">"c7168"</definedName>
    <definedName name="IQ_PRICE_PAID_FARM_INDEX_POP_FC" hidden="1">"c8048"</definedName>
    <definedName name="IQ_PRICE_PAID_FARM_INDEX_YOY" hidden="1">"c7388"</definedName>
    <definedName name="IQ_PRICE_PAID_FARM_INDEX_YOY_FC" hidden="1">"c8268"</definedName>
    <definedName name="IQ_PRICE_TARGET" hidden="1">"c82"</definedName>
    <definedName name="IQ_PRICE_TARGET_CIQ" hidden="1">"c3613"</definedName>
    <definedName name="IQ_PRICE_TARGET_REUT" hidden="1">"c3631"</definedName>
    <definedName name="IQ_PRICEDATE" hidden="1">"c1069"</definedName>
    <definedName name="IQ_PRICING_DATE" hidden="1">"c1613"</definedName>
    <definedName name="IQ_PRIMARY_INDUSTRY" hidden="1">"c1070"</definedName>
    <definedName name="IQ_PRINCIPAL_AMT" hidden="1">"c2157"</definedName>
    <definedName name="IQ_PRIVATE_CONST_TOTAL_APR_FC_UNUSED" hidden="1">"c8559"</definedName>
    <definedName name="IQ_PRIVATE_CONST_TOTAL_APR_UNUSED" hidden="1">"c7679"</definedName>
    <definedName name="IQ_PRIVATE_CONST_TOTAL_FC_UNUSED" hidden="1">"c7899"</definedName>
    <definedName name="IQ_PRIVATE_CONST_TOTAL_POP_FC_UNUSED" hidden="1">"c8119"</definedName>
    <definedName name="IQ_PRIVATE_CONST_TOTAL_POP_UNUSED" hidden="1">"c7239"</definedName>
    <definedName name="IQ_PRIVATE_CONST_TOTAL_UNUSED" hidden="1">"c7019"</definedName>
    <definedName name="IQ_PRIVATE_CONST_TOTAL_YOY_FC_UNUSED" hidden="1">"c8339"</definedName>
    <definedName name="IQ_PRIVATE_CONST_TOTAL_YOY_UNUSED" hidden="1">"c7459"</definedName>
    <definedName name="IQ_PRIVATE_FIXED_INVEST_TOTAL" hidden="1">"c12006"</definedName>
    <definedName name="IQ_PRIVATE_FIXED_INVEST_TOTAL_APR" hidden="1">"c12009"</definedName>
    <definedName name="IQ_PRIVATE_FIXED_INVEST_TOTAL_POP" hidden="1">"c12007"</definedName>
    <definedName name="IQ_PRIVATE_FIXED_INVEST_TOTAL_YOY" hidden="1">"c12008"</definedName>
    <definedName name="IQ_PRIVATE_NONRES_CONST_IMPROV" hidden="1">"c6949"</definedName>
    <definedName name="IQ_PRIVATE_NONRES_CONST_IMPROV_APR" hidden="1">"c7609"</definedName>
    <definedName name="IQ_PRIVATE_NONRES_CONST_IMPROV_APR_FC" hidden="1">"c8489"</definedName>
    <definedName name="IQ_PRIVATE_NONRES_CONST_IMPROV_FC" hidden="1">"c7829"</definedName>
    <definedName name="IQ_PRIVATE_NONRES_CONST_IMPROV_POP" hidden="1">"c7169"</definedName>
    <definedName name="IQ_PRIVATE_NONRES_CONST_IMPROV_POP_FC" hidden="1">"c8049"</definedName>
    <definedName name="IQ_PRIVATE_NONRES_CONST_IMPROV_YOY" hidden="1">"c7389"</definedName>
    <definedName name="IQ_PRIVATE_NONRES_CONST_IMPROV_YOY_FC" hidden="1">"c8269"</definedName>
    <definedName name="IQ_PRIVATE_RES_CONST_IMPROV" hidden="1">"c6950"</definedName>
    <definedName name="IQ_PRIVATE_RES_CONST_IMPROV_APR" hidden="1">"c7610"</definedName>
    <definedName name="IQ_PRIVATE_RES_CONST_IMPROV_APR_FC" hidden="1">"c8490"</definedName>
    <definedName name="IQ_PRIVATE_RES_CONST_IMPROV_FC" hidden="1">"c7830"</definedName>
    <definedName name="IQ_PRIVATE_RES_CONST_IMPROV_POP" hidden="1">"c7170"</definedName>
    <definedName name="IQ_PRIVATE_RES_CONST_IMPROV_POP_FC" hidden="1">"c8050"</definedName>
    <definedName name="IQ_PRIVATE_RES_CONST_IMPROV_YOY" hidden="1">"c7390"</definedName>
    <definedName name="IQ_PRIVATE_RES_CONST_IMPROV_YOY_FC" hidden="1">"c8270"</definedName>
    <definedName name="IQ_PRIVATE_RES_CONST_REAL_APR_FC_UNUSED" hidden="1">"c8535"</definedName>
    <definedName name="IQ_PRIVATE_RES_CONST_REAL_APR_UNUSED" hidden="1">"c7655"</definedName>
    <definedName name="IQ_PRIVATE_RES_CONST_REAL_FC_UNUSED" hidden="1">"c7875"</definedName>
    <definedName name="IQ_PRIVATE_RES_CONST_REAL_POP_FC_UNUSED" hidden="1">"c8095"</definedName>
    <definedName name="IQ_PRIVATE_RES_CONST_REAL_POP_UNUSED" hidden="1">"c7215"</definedName>
    <definedName name="IQ_PRIVATE_RES_CONST_REAL_UNUSED" hidden="1">"c6995"</definedName>
    <definedName name="IQ_PRIVATE_RES_CONST_REAL_YOY_FC_UNUSED" hidden="1">"c8315"</definedName>
    <definedName name="IQ_PRIVATE_RES_CONST_REAL_YOY_UNUSED" hidden="1">"c7435"</definedName>
    <definedName name="IQ_PRIVATE_RES_FIXED_INVEST_REAL" hidden="1">"c11986"</definedName>
    <definedName name="IQ_PRIVATE_RES_FIXED_INVEST_REAL_APR" hidden="1">"c11989"</definedName>
    <definedName name="IQ_PRIVATE_RES_FIXED_INVEST_REAL_POP" hidden="1">"c11987"</definedName>
    <definedName name="IQ_PRIVATE_RES_FIXED_INVEST_REAL_YOY" hidden="1">"c11988"</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BABLE_ATTRIB_ORE_RESERVES_ALUM" hidden="1">"c9217"</definedName>
    <definedName name="IQ_PROBABLE_ATTRIB_ORE_RESERVES_COP" hidden="1">"c9161"</definedName>
    <definedName name="IQ_PROBABLE_ATTRIB_ORE_RESERVES_DIAM" hidden="1">"c9641"</definedName>
    <definedName name="IQ_PROBABLE_ATTRIB_ORE_RESERVES_GOLD" hidden="1">"c9002"</definedName>
    <definedName name="IQ_PROBABLE_ATTRIB_ORE_RESERVES_IRON" hidden="1">"c9376"</definedName>
    <definedName name="IQ_PROBABLE_ATTRIB_ORE_RESERVES_LEAD" hidden="1">"c9429"</definedName>
    <definedName name="IQ_PROBABLE_ATTRIB_ORE_RESERVES_MANG" hidden="1">"c9482"</definedName>
    <definedName name="IQ_PROBABLE_ATTRIB_ORE_RESERVES_MOLYB" hidden="1">"c9694"</definedName>
    <definedName name="IQ_PROBABLE_ATTRIB_ORE_RESERVES_NICK" hidden="1">"c9270"</definedName>
    <definedName name="IQ_PROBABLE_ATTRIB_ORE_RESERVES_PLAT" hidden="1">"c9108"</definedName>
    <definedName name="IQ_PROBABLE_ATTRIB_ORE_RESERVES_SILVER" hidden="1">"c9055"</definedName>
    <definedName name="IQ_PROBABLE_ATTRIB_ORE_RESERVES_TITAN" hidden="1">"c9535"</definedName>
    <definedName name="IQ_PROBABLE_ATTRIB_ORE_RESERVES_URAN" hidden="1">"c9588"</definedName>
    <definedName name="IQ_PROBABLE_ATTRIB_ORE_RESERVES_ZINC" hidden="1">"c9323"</definedName>
    <definedName name="IQ_PROBABLE_ORE_RESERVES_ALUM" hidden="1">"c9209"</definedName>
    <definedName name="IQ_PROBABLE_ORE_RESERVES_COP" hidden="1">"c9153"</definedName>
    <definedName name="IQ_PROBABLE_ORE_RESERVES_DIAM" hidden="1">"c9633"</definedName>
    <definedName name="IQ_PROBABLE_ORE_RESERVES_GOLD" hidden="1">"c8994"</definedName>
    <definedName name="IQ_PROBABLE_ORE_RESERVES_IRON" hidden="1">"c9368"</definedName>
    <definedName name="IQ_PROBABLE_ORE_RESERVES_LEAD" hidden="1">"c9421"</definedName>
    <definedName name="IQ_PROBABLE_ORE_RESERVES_MANG" hidden="1">"c9474"</definedName>
    <definedName name="IQ_PROBABLE_ORE_RESERVES_MOLYB" hidden="1">"c9686"</definedName>
    <definedName name="IQ_PROBABLE_ORE_RESERVES_NICK" hidden="1">"c9262"</definedName>
    <definedName name="IQ_PROBABLE_ORE_RESERVES_PLAT" hidden="1">"c9100"</definedName>
    <definedName name="IQ_PROBABLE_ORE_RESERVES_SILVER" hidden="1">"c9047"</definedName>
    <definedName name="IQ_PROBABLE_ORE_RESERVES_TITAN" hidden="1">"c9527"</definedName>
    <definedName name="IQ_PROBABLE_ORE_RESERVES_URAN" hidden="1">"c9580"</definedName>
    <definedName name="IQ_PROBABLE_ORE_RESERVES_ZINC" hidden="1">"c9315"</definedName>
    <definedName name="IQ_PROBABLE_RECOV_ATTRIB_RESERVES_ALUM" hidden="1">"c9220"</definedName>
    <definedName name="IQ_PROBABLE_RECOV_ATTRIB_RESERVES_COAL" hidden="1">"c9804"</definedName>
    <definedName name="IQ_PROBABLE_RECOV_ATTRIB_RESERVES_COP" hidden="1">"c9164"</definedName>
    <definedName name="IQ_PROBABLE_RECOV_ATTRIB_RESERVES_DIAM" hidden="1">"c9644"</definedName>
    <definedName name="IQ_PROBABLE_RECOV_ATTRIB_RESERVES_GOLD" hidden="1">"c9005"</definedName>
    <definedName name="IQ_PROBABLE_RECOV_ATTRIB_RESERVES_IRON" hidden="1">"c9379"</definedName>
    <definedName name="IQ_PROBABLE_RECOV_ATTRIB_RESERVES_LEAD" hidden="1">"c9432"</definedName>
    <definedName name="IQ_PROBABLE_RECOV_ATTRIB_RESERVES_MANG" hidden="1">"c9485"</definedName>
    <definedName name="IQ_PROBABLE_RECOV_ATTRIB_RESERVES_MET_COAL" hidden="1">"c9744"</definedName>
    <definedName name="IQ_PROBABLE_RECOV_ATTRIB_RESERVES_MOLYB" hidden="1">"c9697"</definedName>
    <definedName name="IQ_PROBABLE_RECOV_ATTRIB_RESERVES_NICK" hidden="1">"c9273"</definedName>
    <definedName name="IQ_PROBABLE_RECOV_ATTRIB_RESERVES_PLAT" hidden="1">"c9111"</definedName>
    <definedName name="IQ_PROBABLE_RECOV_ATTRIB_RESERVES_SILVER" hidden="1">"c9058"</definedName>
    <definedName name="IQ_PROBABLE_RECOV_ATTRIB_RESERVES_STEAM" hidden="1">"c9774"</definedName>
    <definedName name="IQ_PROBABLE_RECOV_ATTRIB_RESERVES_TITAN" hidden="1">"c9538"</definedName>
    <definedName name="IQ_PROBABLE_RECOV_ATTRIB_RESERVES_URAN" hidden="1">"c9591"</definedName>
    <definedName name="IQ_PROBABLE_RECOV_ATTRIB_RESERVES_ZINC" hidden="1">"c9326"</definedName>
    <definedName name="IQ_PROBABLE_RECOV_RESERVES_ALUM" hidden="1">"c9214"</definedName>
    <definedName name="IQ_PROBABLE_RECOV_RESERVES_COAL" hidden="1">"c9801"</definedName>
    <definedName name="IQ_PROBABLE_RECOV_RESERVES_COP" hidden="1">"c9158"</definedName>
    <definedName name="IQ_PROBABLE_RECOV_RESERVES_DIAM" hidden="1">"c9638"</definedName>
    <definedName name="IQ_PROBABLE_RECOV_RESERVES_GOLD" hidden="1">"c8999"</definedName>
    <definedName name="IQ_PROBABLE_RECOV_RESERVES_IRON" hidden="1">"c9373"</definedName>
    <definedName name="IQ_PROBABLE_RECOV_RESERVES_LEAD" hidden="1">"c9426"</definedName>
    <definedName name="IQ_PROBABLE_RECOV_RESERVES_MANG" hidden="1">"c9479"</definedName>
    <definedName name="IQ_PROBABLE_RECOV_RESERVES_MET_COAL" hidden="1">"c9741"</definedName>
    <definedName name="IQ_PROBABLE_RECOV_RESERVES_MOLYB" hidden="1">"c9691"</definedName>
    <definedName name="IQ_PROBABLE_RECOV_RESERVES_NICK" hidden="1">"c9267"</definedName>
    <definedName name="IQ_PROBABLE_RECOV_RESERVES_PLAT" hidden="1">"c9105"</definedName>
    <definedName name="IQ_PROBABLE_RECOV_RESERVES_SILVER" hidden="1">"c9052"</definedName>
    <definedName name="IQ_PROBABLE_RECOV_RESERVES_STEAM" hidden="1">"c9771"</definedName>
    <definedName name="IQ_PROBABLE_RECOV_RESERVES_TITAN" hidden="1">"c9532"</definedName>
    <definedName name="IQ_PROBABLE_RECOV_RESERVES_URAN" hidden="1">"c9585"</definedName>
    <definedName name="IQ_PROBABLE_RECOV_RESERVES_ZINC" hidden="1">"c9320"</definedName>
    <definedName name="IQ_PROBABLE_RESERVES_CALORIFIC_VALUE_COAL" hidden="1">"c9798"</definedName>
    <definedName name="IQ_PROBABLE_RESERVES_CALORIFIC_VALUE_MET_COAL" hidden="1">"c9738"</definedName>
    <definedName name="IQ_PROBABLE_RESERVES_CALORIFIC_VALUE_STEAM" hidden="1">"c9768"</definedName>
    <definedName name="IQ_PROBABLE_RESERVES_GRADE_ALUM" hidden="1">"c9210"</definedName>
    <definedName name="IQ_PROBABLE_RESERVES_GRADE_COP" hidden="1">"c9154"</definedName>
    <definedName name="IQ_PROBABLE_RESERVES_GRADE_DIAM" hidden="1">"c9634"</definedName>
    <definedName name="IQ_PROBABLE_RESERVES_GRADE_GOLD" hidden="1">"c8995"</definedName>
    <definedName name="IQ_PROBABLE_RESERVES_GRADE_IRON" hidden="1">"c9369"</definedName>
    <definedName name="IQ_PROBABLE_RESERVES_GRADE_LEAD" hidden="1">"c9422"</definedName>
    <definedName name="IQ_PROBABLE_RESERVES_GRADE_MANG" hidden="1">"c9475"</definedName>
    <definedName name="IQ_PROBABLE_RESERVES_GRADE_MOLYB" hidden="1">"c9687"</definedName>
    <definedName name="IQ_PROBABLE_RESERVES_GRADE_NICK" hidden="1">"c9263"</definedName>
    <definedName name="IQ_PROBABLE_RESERVES_GRADE_PLAT" hidden="1">"c9101"</definedName>
    <definedName name="IQ_PROBABLE_RESERVES_GRADE_SILVER" hidden="1">"c9048"</definedName>
    <definedName name="IQ_PROBABLE_RESERVES_GRADE_TITAN" hidden="1">"c9528"</definedName>
    <definedName name="IQ_PROBABLE_RESERVES_GRADE_URAN" hidden="1">"c9581"</definedName>
    <definedName name="IQ_PROBABLE_RESERVES_GRADE_ZINC" hidden="1">"c9316"</definedName>
    <definedName name="IQ_PRODUCTION_COST_ALUM" hidden="1">"c9253"</definedName>
    <definedName name="IQ_PRODUCTION_COST_COAL" hidden="1">"c9826"</definedName>
    <definedName name="IQ_PRODUCTION_COST_COP" hidden="1">"c9200"</definedName>
    <definedName name="IQ_PRODUCTION_COST_DIAM" hidden="1">"c9677"</definedName>
    <definedName name="IQ_PRODUCTION_COST_GOLD" hidden="1">"c9038"</definedName>
    <definedName name="IQ_PRODUCTION_COST_IRON" hidden="1">"c9412"</definedName>
    <definedName name="IQ_PRODUCTION_COST_LEAD" hidden="1">"c9465"</definedName>
    <definedName name="IQ_PRODUCTION_COST_MANG" hidden="1">"c9518"</definedName>
    <definedName name="IQ_PRODUCTION_COST_MET_COAL" hidden="1">"c9763"</definedName>
    <definedName name="IQ_PRODUCTION_COST_MOLYB" hidden="1">"c9730"</definedName>
    <definedName name="IQ_PRODUCTION_COST_NICK" hidden="1">"c9306"</definedName>
    <definedName name="IQ_PRODUCTION_COST_PLAT" hidden="1">"c9144"</definedName>
    <definedName name="IQ_PRODUCTION_COST_SILVER" hidden="1">"c9091"</definedName>
    <definedName name="IQ_PRODUCTION_COST_STEAM" hidden="1">"c9793"</definedName>
    <definedName name="IQ_PRODUCTION_COST_TITAN" hidden="1">"c9571"</definedName>
    <definedName name="IQ_PRODUCTION_COST_URAN" hidden="1">"c9624"</definedName>
    <definedName name="IQ_PRODUCTION_COST_ZINC" hidden="1">"c9359"</definedName>
    <definedName name="IQ_PROFESSIONAL" hidden="1">"c1071"</definedName>
    <definedName name="IQ_PROFESSIONAL_TITLE" hidden="1">"c1072"</definedName>
    <definedName name="IQ_PROFIT_AFTER_COST_CAPITAL_NEW_BUSINESS" hidden="1">"c9969"</definedName>
    <definedName name="IQ_PROFIT_BEFORE_COST_CAPITAL_NEW_BUSINESS" hidden="1">"c9967"</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ED_ATTRIB_ORE_RESERVES_ALUM" hidden="1">"c9216"</definedName>
    <definedName name="IQ_PROVED_ATTRIB_ORE_RESERVES_COP" hidden="1">"c9160"</definedName>
    <definedName name="IQ_PROVED_ATTRIB_ORE_RESERVES_DIAM" hidden="1">"c9640"</definedName>
    <definedName name="IQ_PROVED_ATTRIB_ORE_RESERVES_GOLD" hidden="1">"c9001"</definedName>
    <definedName name="IQ_PROVED_ATTRIB_ORE_RESERVES_IRON" hidden="1">"c9375"</definedName>
    <definedName name="IQ_PROVED_ATTRIB_ORE_RESERVES_LEAD" hidden="1">"c9428"</definedName>
    <definedName name="IQ_PROVED_ATTRIB_ORE_RESERVES_MANG" hidden="1">"c9481"</definedName>
    <definedName name="IQ_PROVED_ATTRIB_ORE_RESERVES_MOLYB" hidden="1">"c9693"</definedName>
    <definedName name="IQ_PROVED_ATTRIB_ORE_RESERVES_NICK" hidden="1">"c9269"</definedName>
    <definedName name="IQ_PROVED_ATTRIB_ORE_RESERVES_PLAT" hidden="1">"c9107"</definedName>
    <definedName name="IQ_PROVED_ATTRIB_ORE_RESERVES_SILVER" hidden="1">"c9054"</definedName>
    <definedName name="IQ_PROVED_ATTRIB_ORE_RESERVES_TITAN" hidden="1">"c9534"</definedName>
    <definedName name="IQ_PROVED_ATTRIB_ORE_RESERVES_URAN" hidden="1">"c9587"</definedName>
    <definedName name="IQ_PROVED_ATTRIB_ORE_RESERVES_ZINC" hidden="1">"c9322"</definedName>
    <definedName name="IQ_PROVED_ORE_RESERVES_ALUM" hidden="1">"c9207"</definedName>
    <definedName name="IQ_PROVED_ORE_RESERVES_COP" hidden="1">"c9151"</definedName>
    <definedName name="IQ_PROVED_ORE_RESERVES_DIAM" hidden="1">"c9631"</definedName>
    <definedName name="IQ_PROVED_ORE_RESERVES_GOLD" hidden="1">"c8992"</definedName>
    <definedName name="IQ_PROVED_ORE_RESERVES_IRON" hidden="1">"c9366"</definedName>
    <definedName name="IQ_PROVED_ORE_RESERVES_LEAD" hidden="1">"c9419"</definedName>
    <definedName name="IQ_PROVED_ORE_RESERVES_MANG" hidden="1">"c9472"</definedName>
    <definedName name="IQ_PROVED_ORE_RESERVES_MOLYB" hidden="1">"c9684"</definedName>
    <definedName name="IQ_PROVED_ORE_RESERVES_NICK" hidden="1">"c9260"</definedName>
    <definedName name="IQ_PROVED_ORE_RESERVES_PLAT" hidden="1">"c9098"</definedName>
    <definedName name="IQ_PROVED_ORE_RESERVES_SILVER" hidden="1">"c9045"</definedName>
    <definedName name="IQ_PROVED_ORE_RESERVES_TITAN" hidden="1">"c9525"</definedName>
    <definedName name="IQ_PROVED_ORE_RESERVES_URAN" hidden="1">"c9578"</definedName>
    <definedName name="IQ_PROVED_ORE_RESERVES_ZINC" hidden="1">"c9313"</definedName>
    <definedName name="IQ_PROVED_RECOV_ATTRIB_RESERVES_ALUM" hidden="1">"c9219"</definedName>
    <definedName name="IQ_PROVED_RECOV_ATTRIB_RESERVES_COAL" hidden="1">"c9803"</definedName>
    <definedName name="IQ_PROVED_RECOV_ATTRIB_RESERVES_COP" hidden="1">"c9163"</definedName>
    <definedName name="IQ_PROVED_RECOV_ATTRIB_RESERVES_DIAM" hidden="1">"c9643"</definedName>
    <definedName name="IQ_PROVED_RECOV_ATTRIB_RESERVES_GOLD" hidden="1">"c9004"</definedName>
    <definedName name="IQ_PROVED_RECOV_ATTRIB_RESERVES_IRON" hidden="1">"c9378"</definedName>
    <definedName name="IQ_PROVED_RECOV_ATTRIB_RESERVES_LEAD" hidden="1">"c9431"</definedName>
    <definedName name="IQ_PROVED_RECOV_ATTRIB_RESERVES_MANG" hidden="1">"c9484"</definedName>
    <definedName name="IQ_PROVED_RECOV_ATTRIB_RESERVES_MET_COAL" hidden="1">"c9743"</definedName>
    <definedName name="IQ_PROVED_RECOV_ATTRIB_RESERVES_MOLYB" hidden="1">"c9696"</definedName>
    <definedName name="IQ_PROVED_RECOV_ATTRIB_RESERVES_NICK" hidden="1">"c9272"</definedName>
    <definedName name="IQ_PROVED_RECOV_ATTRIB_RESERVES_PLAT" hidden="1">"c9110"</definedName>
    <definedName name="IQ_PROVED_RECOV_ATTRIB_RESERVES_SILVER" hidden="1">"c9057"</definedName>
    <definedName name="IQ_PROVED_RECOV_ATTRIB_RESERVES_STEAM" hidden="1">"c9773"</definedName>
    <definedName name="IQ_PROVED_RECOV_ATTRIB_RESERVES_TITAN" hidden="1">"c9537"</definedName>
    <definedName name="IQ_PROVED_RECOV_ATTRIB_RESERVES_URAN" hidden="1">"c9590"</definedName>
    <definedName name="IQ_PROVED_RECOV_ATTRIB_RESERVES_ZINC" hidden="1">"c9325"</definedName>
    <definedName name="IQ_PROVED_RECOV_RESERVES_ALUM" hidden="1">"c9213"</definedName>
    <definedName name="IQ_PROVED_RECOV_RESERVES_COAL" hidden="1">"c9800"</definedName>
    <definedName name="IQ_PROVED_RECOV_RESERVES_COP" hidden="1">"c9157"</definedName>
    <definedName name="IQ_PROVED_RECOV_RESERVES_DIAM" hidden="1">"c9637"</definedName>
    <definedName name="IQ_PROVED_RECOV_RESERVES_GOLD" hidden="1">"c8998"</definedName>
    <definedName name="IQ_PROVED_RECOV_RESERVES_IRON" hidden="1">"c9372"</definedName>
    <definedName name="IQ_PROVED_RECOV_RESERVES_LEAD" hidden="1">"c9425"</definedName>
    <definedName name="IQ_PROVED_RECOV_RESERVES_MANG" hidden="1">"c9478"</definedName>
    <definedName name="IQ_PROVED_RECOV_RESERVES_MET_COAL" hidden="1">"c9740"</definedName>
    <definedName name="IQ_PROVED_RECOV_RESERVES_MOLYB" hidden="1">"c9690"</definedName>
    <definedName name="IQ_PROVED_RECOV_RESERVES_NICK" hidden="1">"c9266"</definedName>
    <definedName name="IQ_PROVED_RECOV_RESERVES_PLAT" hidden="1">"c9104"</definedName>
    <definedName name="IQ_PROVED_RECOV_RESERVES_SILVER" hidden="1">"c9051"</definedName>
    <definedName name="IQ_PROVED_RECOV_RESERVES_STEAM" hidden="1">"c9770"</definedName>
    <definedName name="IQ_PROVED_RECOV_RESERVES_TITAN" hidden="1">"c9531"</definedName>
    <definedName name="IQ_PROVED_RECOV_RESERVES_URAN" hidden="1">"c9584"</definedName>
    <definedName name="IQ_PROVED_RECOV_RESERVES_ZINC" hidden="1">"c9319"</definedName>
    <definedName name="IQ_PROVED_RESERVES_CALORIFIC_VALUE_COAL" hidden="1">"c9797"</definedName>
    <definedName name="IQ_PROVED_RESERVES_CALORIFIC_VALUE_MET_COAL" hidden="1">"c9737"</definedName>
    <definedName name="IQ_PROVED_RESERVES_CALORIFIC_VALUE_STEAM" hidden="1">"c9767"</definedName>
    <definedName name="IQ_PROVED_RESERVES_GRADE_ALUM" hidden="1">"c9208"</definedName>
    <definedName name="IQ_PROVED_RESERVES_GRADE_COP" hidden="1">"c9152"</definedName>
    <definedName name="IQ_PROVED_RESERVES_GRADE_DIAM" hidden="1">"c9632"</definedName>
    <definedName name="IQ_PROVED_RESERVES_GRADE_GOLD" hidden="1">"c8993"</definedName>
    <definedName name="IQ_PROVED_RESERVES_GRADE_IRON" hidden="1">"c9367"</definedName>
    <definedName name="IQ_PROVED_RESERVES_GRADE_LEAD" hidden="1">"c9420"</definedName>
    <definedName name="IQ_PROVED_RESERVES_GRADE_MANG" hidden="1">"c9473"</definedName>
    <definedName name="IQ_PROVED_RESERVES_GRADE_MOLYB" hidden="1">"c9685"</definedName>
    <definedName name="IQ_PROVED_RESERVES_GRADE_NICK" hidden="1">"c9261"</definedName>
    <definedName name="IQ_PROVED_RESERVES_GRADE_PLAT" hidden="1">"c9099"</definedName>
    <definedName name="IQ_PROVED_RESERVES_GRADE_SILVER" hidden="1">"c9046"</definedName>
    <definedName name="IQ_PROVED_RESERVES_GRADE_TITAN" hidden="1">"c9526"</definedName>
    <definedName name="IQ_PROVED_RESERVES_GRADE_URAN" hidden="1">"c9579"</definedName>
    <definedName name="IQ_PROVED_RESERVES_GRADE_ZINC" hidden="1">"c9314"</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CHARGE_OFFS" hidden="1">"c1083"</definedName>
    <definedName name="IQ_PTBV" hidden="1">"c1084"</definedName>
    <definedName name="IQ_PTBV_AVG" hidden="1">"c1085"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 hidden="1">"c8491"</definedName>
    <definedName name="IQ_PURCHASES_EQUIP_NONRES_SAAR_APR_UNUSED" hidden="1">"c7611"</definedName>
    <definedName name="IQ_PURCHASES_EQUIP_NONRES_SAAR_FC_UNUSED" hidden="1">"c7831"</definedName>
    <definedName name="IQ_PURCHASES_EQUIP_NONRES_SAAR_POP_FC_UNUSED" hidden="1">"c8051"</definedName>
    <definedName name="IQ_PURCHASES_EQUIP_NONRES_SAAR_POP_UNUSED" hidden="1">"c7171"</definedName>
    <definedName name="IQ_PURCHASES_EQUIP_NONRES_SAAR_UNUSED" hidden="1">"c6951"</definedName>
    <definedName name="IQ_PURCHASES_EQUIP_NONRES_SAAR_YOY_FC_UNUSED" hidden="1">"c8271"</definedName>
    <definedName name="IQ_PURCHASES_EQUIP_NONRES_SAAR_YOY_UNUSED" hidden="1">"c7391"</definedName>
    <definedName name="IQ_PUT_DATE_SCHEDULE" hidden="1">"c2483"</definedName>
    <definedName name="IQ_PUT_NOTIFICATION" hidden="1">"c2485"</definedName>
    <definedName name="IQ_PUT_PRICE_SCHEDULE" hidden="1">"c2484"</definedName>
    <definedName name="IQ_PV_PREMIUMS_NEW_BUSINESS" hidden="1">"c9973"</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_DEPR_AMORT" hidden="1">"c8750"</definedName>
    <definedName name="IQ_RE_FCCR" hidden="1">"c8858"</definedName>
    <definedName name="IQ_RE_FCCR_CONT_OPS" hidden="1">"c8859"</definedName>
    <definedName name="IQ_RE_FCCR_INCL_DISC_OPS" hidden="1">"c8860"</definedName>
    <definedName name="IQ_RE_FCCR_INCL_PREF_DIV" hidden="1">"c8861"</definedName>
    <definedName name="IQ_RE_FCCR_INCL_PREF_DIV_CONT_OPS" hidden="1">"c8862"</definedName>
    <definedName name="IQ_RE_FCCR_INCL_PREF_DIV_INCL_DISC_OPS" hidden="1">"c8863"</definedName>
    <definedName name="IQ_RE_FIXED_CHARGES" hidden="1">"c8856"</definedName>
    <definedName name="IQ_RE_FIXED_CHARGES_INCL_PREF_DIV" hidden="1">"c8857"</definedName>
    <definedName name="IQ_RE_FORECLOSURE_FDIC" hidden="1">"c6332"</definedName>
    <definedName name="IQ_RE_GAIN_LOSS_SALE_ASSETS" hidden="1">"c8751"</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_MAINT_CAPEX" hidden="1">"c8755"</definedName>
    <definedName name="IQ_RE_MINORITY_INTEREST" hidden="1">"c8752"</definedName>
    <definedName name="IQ_RE_NET_INCOME" hidden="1">"c8749"</definedName>
    <definedName name="IQ_RE_NOI" hidden="1">"c8864"</definedName>
    <definedName name="IQ_RE_NOI_GROWTH_SAME_PROP" hidden="1">"c8866"</definedName>
    <definedName name="IQ_RE_NOI_SAME_PROP" hidden="1">"c8865"</definedName>
    <definedName name="IQ_RE_OTHER_ITEMS" hidden="1">"c8753"</definedName>
    <definedName name="IQ_REAL_ESTATE" hidden="1">"c1093"</definedName>
    <definedName name="IQ_REAL_ESTATE_ASSETS" hidden="1">"c1094"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CURRING_PROFIT_ACT_OR_EST" hidden="1">"c4507"</definedName>
    <definedName name="IQ_RECURRING_PROFIT_ACT_OR_EST_CIQ" hidden="1">"c5045"</definedName>
    <definedName name="IQ_RECURRING_PROFIT_SHARE_ACT_OR_EST" hidden="1">"c4508"</definedName>
    <definedName name="IQ_RECURRING_PROFIT_SHARE_ACT_OR_EST_CIQ" hidden="1">"c5046"</definedName>
    <definedName name="IQ_REDEEM_PREF_STOCK" hidden="1">"c1417"</definedName>
    <definedName name="IQ_REF_ENTITY" hidden="1">"c6033"</definedName>
    <definedName name="IQ_REF_ENTITY_CIQID" hidden="1">"c6024"</definedName>
    <definedName name="IQ_REF_ENTITY_TICKER" hidden="1">"c6023"</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LATED_PLANS_FDIC" hidden="1">"c6320"</definedName>
    <definedName name="IQ_RENT_PER_SQ_FT_AVG_CONSOL" hidden="1">"c8846"</definedName>
    <definedName name="IQ_RENT_PER_SQ_FT_AVG_MANAGED" hidden="1">"c8848"</definedName>
    <definedName name="IQ_RENT_PER_SQ_FT_AVG_OTHER" hidden="1">"c8849"</definedName>
    <definedName name="IQ_RENT_PER_SQ_FT_AVG_TOTAL" hidden="1">"c8850"</definedName>
    <definedName name="IQ_RENT_PER_SQ_FT_AVG_UNCONSOL" hidden="1">"c8847"</definedName>
    <definedName name="IQ_RENT_PER_SQ_METER_AVG_CONSOL" hidden="1">"c8851"</definedName>
    <definedName name="IQ_RENT_PER_SQ_METER_AVG_MANAGED" hidden="1">"c8853"</definedName>
    <definedName name="IQ_RENT_PER_SQ_METER_AVG_OTHER" hidden="1">"c8854"</definedName>
    <definedName name="IQ_RENT_PER_SQ_METER_AVG_TOTAL" hidden="1">"c8855"</definedName>
    <definedName name="IQ_RENT_PER_SQ_METER_AVG_UNCONSOL" hidden="1">"c8852"</definedName>
    <definedName name="IQ_RENTAL_REV" hidden="1">"c1101"</definedName>
    <definedName name="IQ_RES_CONST_REAL_APR_FC_UNUSED" hidden="1">"c8536"</definedName>
    <definedName name="IQ_RES_CONST_REAL_APR_UNUSED" hidden="1">"c7656"</definedName>
    <definedName name="IQ_RES_CONST_REAL_FC_UNUSED" hidden="1">"c7876"</definedName>
    <definedName name="IQ_RES_CONST_REAL_POP_FC_UNUSED" hidden="1">"c8096"</definedName>
    <definedName name="IQ_RES_CONST_REAL_POP_UNUSED" hidden="1">"c7216"</definedName>
    <definedName name="IQ_RES_CONST_REAL_SAAR_APR_FC_UNUSED" hidden="1">"c8537"</definedName>
    <definedName name="IQ_RES_CONST_REAL_SAAR_APR_UNUSED" hidden="1">"c7657"</definedName>
    <definedName name="IQ_RES_CONST_REAL_SAAR_FC_UNUSED" hidden="1">"c7877"</definedName>
    <definedName name="IQ_RES_CONST_REAL_SAAR_POP_FC_UNUSED" hidden="1">"c8097"</definedName>
    <definedName name="IQ_RES_CONST_REAL_SAAR_POP_UNUSED" hidden="1">"c7217"</definedName>
    <definedName name="IQ_RES_CONST_REAL_SAAR_UNUSED" hidden="1">"c6997"</definedName>
    <definedName name="IQ_RES_CONST_REAL_SAAR_YOY_FC_UNUSED" hidden="1">"c8317"</definedName>
    <definedName name="IQ_RES_CONST_REAL_SAAR_YOY_UNUSED" hidden="1">"c7437"</definedName>
    <definedName name="IQ_RES_CONST_REAL_UNUSED" hidden="1">"c6996"</definedName>
    <definedName name="IQ_RES_CONST_REAL_YOY_FC_UNUSED" hidden="1">"c8316"</definedName>
    <definedName name="IQ_RES_CONST_REAL_YOY_UNUSED" hidden="1">"c7436"</definedName>
    <definedName name="IQ_RES_CONST_SAAR_APR_FC_UNUSED" hidden="1">"c8540"</definedName>
    <definedName name="IQ_RES_CONST_SAAR_APR_UNUSED" hidden="1">"c7660"</definedName>
    <definedName name="IQ_RES_CONST_SAAR_FC_UNUSED" hidden="1">"c7880"</definedName>
    <definedName name="IQ_RES_CONST_SAAR_POP_FC_UNUSED" hidden="1">"c8100"</definedName>
    <definedName name="IQ_RES_CONST_SAAR_POP_UNUSED" hidden="1">"c7220"</definedName>
    <definedName name="IQ_RES_CONST_SAAR_UNUSED" hidden="1">"c7000"</definedName>
    <definedName name="IQ_RES_CONST_SAAR_YOY_FC_UNUSED" hidden="1">"c8320"</definedName>
    <definedName name="IQ_RES_CONST_SAAR_YOY_UNUSED" hidden="1">"c7440"</definedName>
    <definedName name="IQ_RES_FIXED_INVEST" hidden="1">"c7001"</definedName>
    <definedName name="IQ_RES_FIXED_INVEST_APR" hidden="1">"c7661"</definedName>
    <definedName name="IQ_RES_FIXED_INVEST_APR_FC" hidden="1">"c8541"</definedName>
    <definedName name="IQ_RES_FIXED_INVEST_FC" hidden="1">"c7881"</definedName>
    <definedName name="IQ_RES_FIXED_INVEST_POP" hidden="1">"c7221"</definedName>
    <definedName name="IQ_RES_FIXED_INVEST_POP_FC" hidden="1">"c8101"</definedName>
    <definedName name="IQ_RES_FIXED_INVEST_REAL" hidden="1">"c6998"</definedName>
    <definedName name="IQ_RES_FIXED_INVEST_REAL_APR" hidden="1">"c7658"</definedName>
    <definedName name="IQ_RES_FIXED_INVEST_REAL_APR_FC" hidden="1">"c8538"</definedName>
    <definedName name="IQ_RES_FIXED_INVEST_REAL_FC" hidden="1">"c7878"</definedName>
    <definedName name="IQ_RES_FIXED_INVEST_REAL_POP" hidden="1">"c7218"</definedName>
    <definedName name="IQ_RES_FIXED_INVEST_REAL_POP_FC" hidden="1">"c8098"</definedName>
    <definedName name="IQ_RES_FIXED_INVEST_REAL_YOY" hidden="1">"c7438"</definedName>
    <definedName name="IQ_RES_FIXED_INVEST_REAL_YOY_FC" hidden="1">"c8318"</definedName>
    <definedName name="IQ_RES_FIXED_INVEST_SAAR" hidden="1">"c11994"</definedName>
    <definedName name="IQ_RES_FIXED_INVEST_SAAR_APR" hidden="1">"c11997"</definedName>
    <definedName name="IQ_RES_FIXED_INVEST_SAAR_POP" hidden="1">"c11995"</definedName>
    <definedName name="IQ_RES_FIXED_INVEST_SAAR_REAL" hidden="1">"c11990"</definedName>
    <definedName name="IQ_RES_FIXED_INVEST_SAAR_REAL_APR" hidden="1">"c11993"</definedName>
    <definedName name="IQ_RES_FIXED_INVEST_SAAR_REAL_POP" hidden="1">"c11991"</definedName>
    <definedName name="IQ_RES_FIXED_INVEST_SAAR_REAL_YOY" hidden="1">"c11992"</definedName>
    <definedName name="IQ_RES_FIXED_INVEST_SAAR_YOY" hidden="1">"c11996"</definedName>
    <definedName name="IQ_RES_FIXED_INVEST_YOY" hidden="1">"c7441"</definedName>
    <definedName name="IQ_RES_FIXED_INVEST_YOY_FC" hidden="1">"c8321"</definedName>
    <definedName name="IQ_RESEARCH_DEV" hidden="1">"c1419"</definedName>
    <definedName name="IQ_RESIDENTIAL_LOANS" hidden="1">"c1102"</definedName>
    <definedName name="IQ_REST_ACQUIRED_AFFILIATED_OTHER_RESTAURANTS" hidden="1">"c9873"</definedName>
    <definedName name="IQ_REST_ACQUIRED_FRANCHISE_RESTAURANTS" hidden="1">"c9867"</definedName>
    <definedName name="IQ_REST_ACQUIRED_OWNED_RESTAURANTS" hidden="1">"c9861"</definedName>
    <definedName name="IQ_REST_ACQUIRED_RESTAURANTS" hidden="1">"c9855"</definedName>
    <definedName name="IQ_REST_AFFILIATED_OTHER_RESTAURANTS_BEG" hidden="1">"c9871"</definedName>
    <definedName name="IQ_REST_AVG_VALUE_TRANSACTION" hidden="1">"c9887"</definedName>
    <definedName name="IQ_REST_AVG_VALUE_TRANSACTION_GROWTH" hidden="1">"c9888"</definedName>
    <definedName name="IQ_REST_AVG_WEEKLY_SALES" hidden="1">"c9879"</definedName>
    <definedName name="IQ_REST_AVG_WEEKLY_SALES_FRANCHISE" hidden="1">"c9877"</definedName>
    <definedName name="IQ_REST_AVG_WEEKLY_SALES_OWNED" hidden="1">"c9878"</definedName>
    <definedName name="IQ_REST_CLOSED_AFFILIATED_OTHER_RESTAURANTS" hidden="1">"c9874"</definedName>
    <definedName name="IQ_REST_CLOSED_FRANCHISE_RESTAURANTS" hidden="1">"c9868"</definedName>
    <definedName name="IQ_REST_CLOSED_OWNED_RESTAURANTS" hidden="1">"c9862"</definedName>
    <definedName name="IQ_REST_CLOSED_RESTAURANTS" hidden="1">"c9856"</definedName>
    <definedName name="IQ_REST_FRANCHISE_RESTAURANTS_BEG" hidden="1">"c9865"</definedName>
    <definedName name="IQ_REST_GUEST_COUNT_GROWTH" hidden="1">"c9889"</definedName>
    <definedName name="IQ_REST_OPENED_AFFILIATED_OTHER_RESTAURANTS" hidden="1">"c9872"</definedName>
    <definedName name="IQ_REST_OPENED_FRANCHISE_RESTAURANTS" hidden="1">"c9866"</definedName>
    <definedName name="IQ_REST_OPENED_OWNED_RESTAURANTS" hidden="1">"c9860"</definedName>
    <definedName name="IQ_REST_OPENED_RESTAURANTS" hidden="1">"c9854"</definedName>
    <definedName name="IQ_REST_OPERATING_MARGIN" hidden="1">"c9886"</definedName>
    <definedName name="IQ_REST_OWNED_RESTAURANTS_BEG" hidden="1">"c9859"</definedName>
    <definedName name="IQ_REST_RESTAURANTS_BEG" hidden="1">"c9853"</definedName>
    <definedName name="IQ_REST_SAME_RESTAURANT_SALES" hidden="1">"c9885"</definedName>
    <definedName name="IQ_REST_SAME_RESTAURANT_SALES_FRANCHISE" hidden="1">"c9883"</definedName>
    <definedName name="IQ_REST_SAME_RESTAURANT_SALES_GROWTH" hidden="1">"c9882"</definedName>
    <definedName name="IQ_REST_SAME_RESTAURANT_SALES_GROWTH_FRANCHISE" hidden="1">"c9880"</definedName>
    <definedName name="IQ_REST_SAME_RESTAURANT_SALES_GROWTH_OWNED" hidden="1">"c9881"</definedName>
    <definedName name="IQ_REST_SAME_RESTAURANT_SALES_OWNED" hidden="1">"c9884"</definedName>
    <definedName name="IQ_REST_SOLD_AFFILIATED_OTHER_RESTAURANTS" hidden="1">"c9875"</definedName>
    <definedName name="IQ_REST_SOLD_FRANCHISE_RESTAURANTS" hidden="1">"c9869"</definedName>
    <definedName name="IQ_REST_SOLD_OWNED_RESTAURANTS" hidden="1">"c9863"</definedName>
    <definedName name="IQ_REST_SOLD_RESTAURANTS" hidden="1">"c9857"</definedName>
    <definedName name="IQ_REST_TOTAL_AFFILIATED_OTHER_RESTAURANTS" hidden="1">"c9876"</definedName>
    <definedName name="IQ_REST_TOTAL_FRANCHISE_RESTAURANTS" hidden="1">"c9870"</definedName>
    <definedName name="IQ_REST_TOTAL_OWNED_RESTAURANTS" hidden="1">"c9864"</definedName>
    <definedName name="IQ_REST_TOTAL_RESTAURANTS" hidden="1">"c9858"</definedName>
    <definedName name="IQ_RESTATEMENT_BS" hidden="1">"c1643"</definedName>
    <definedName name="IQ_RESTATEMENT_CF" hidden="1">"c1644"</definedName>
    <definedName name="IQ_RESTATEMENT_IS" hidden="1">"c1642"</definedName>
    <definedName name="IQ_RESTATEMENTS_NET_FDIC" hidden="1">"c6500"</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AFFILIATED_OTHER_STORES" hidden="1">"c9892"</definedName>
    <definedName name="IQ_RETAIL_ACQUIRED_FRANCHISE_STORES" hidden="1">"c2895"</definedName>
    <definedName name="IQ_RETAIL_ACQUIRED_OWNED_STORES" hidden="1">"c2903"</definedName>
    <definedName name="IQ_RETAIL_ACQUIRED_STORES" hidden="1">"c2887"</definedName>
    <definedName name="IQ_RETAIL_AFFILIATED_OTHER_STORES_BEG" hidden="1">"c9890"</definedName>
    <definedName name="IQ_RETAIL_AVG_SQ_METERS_GROSS" hidden="1">"c9908"</definedName>
    <definedName name="IQ_RETAIL_AVG_SQ_METERS_NET" hidden="1">"c9907"</definedName>
    <definedName name="IQ_RETAIL_AVG_STORE_SIZE_GROSS" hidden="1">"c2066"</definedName>
    <definedName name="IQ_RETAIL_AVG_STORE_SIZE_NET" hidden="1">"c2067"</definedName>
    <definedName name="IQ_RETAIL_AVG_VALUE_TRANSACTION" hidden="1">"c9915"</definedName>
    <definedName name="IQ_RETAIL_AVG_VALUE_TRANSACTION_GROWTH" hidden="1">"c9916"</definedName>
    <definedName name="IQ_RETAIL_AVG_WK_SALES" hidden="1">"c2891"</definedName>
    <definedName name="IQ_RETAIL_AVG_WK_SALES_FRANCHISE" hidden="1">"c2899"</definedName>
    <definedName name="IQ_RETAIL_AVG_WK_SALES_OWNED" hidden="1">"c2907"</definedName>
    <definedName name="IQ_RETAIL_CLOSED_AFFILIATED_OTHER_STORES" hidden="1">"c9893"</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GROSS_MARGIN" hidden="1">"c9899"</definedName>
    <definedName name="IQ_RETAIL_IS_RATIO" hidden="1">"c7002"</definedName>
    <definedName name="IQ_RETAIL_IS_RATIO_FC" hidden="1">"c7882"</definedName>
    <definedName name="IQ_RETAIL_IS_RATIO_POP" hidden="1">"c7222"</definedName>
    <definedName name="IQ_RETAIL_IS_RATIO_POP_FC" hidden="1">"c8102"</definedName>
    <definedName name="IQ_RETAIL_IS_RATIO_YOY" hidden="1">"c7442"</definedName>
    <definedName name="IQ_RETAIL_IS_RATIO_YOY_FC" hidden="1">"c8322"</definedName>
    <definedName name="IQ_RETAIL_MERCHANDISE_MARGIN" hidden="1">"c9901"</definedName>
    <definedName name="IQ_RETAIL_OPENED_AFFILIATED_OTHER_STORES" hidden="1">"c9891"</definedName>
    <definedName name="IQ_RETAIL_OPENED_FRANCHISE_STORES" hidden="1">"c2894"</definedName>
    <definedName name="IQ_RETAIL_OPENED_OWNED_STORES" hidden="1">"c2902"</definedName>
    <definedName name="IQ_RETAIL_OPENED_STORES" hidden="1">"c2062"</definedName>
    <definedName name="IQ_RETAIL_OPERATING_MARGIN" hidden="1">"c9900"</definedName>
    <definedName name="IQ_RETAIL_OWNED_STORES_BEG" hidden="1">"c2901"</definedName>
    <definedName name="IQ_RETAIL_SALES" hidden="1">"c7003"</definedName>
    <definedName name="IQ_RETAIL_SALES_APR" hidden="1">"c7663"</definedName>
    <definedName name="IQ_RETAIL_SALES_APR_FC" hidden="1">"c8543"</definedName>
    <definedName name="IQ_RETAIL_SALES_CATALOG" hidden="1">"c9903"</definedName>
    <definedName name="IQ_RETAIL_SALES_FC" hidden="1">"c7883"</definedName>
    <definedName name="IQ_RETAIL_SALES_FOOD" hidden="1">"c7004"</definedName>
    <definedName name="IQ_RETAIL_SALES_FOOD_APR" hidden="1">"c7664"</definedName>
    <definedName name="IQ_RETAIL_SALES_FOOD_APR_FC" hidden="1">"c8544"</definedName>
    <definedName name="IQ_RETAIL_SALES_FOOD_EXCL_VEHICLE" hidden="1">"c7005"</definedName>
    <definedName name="IQ_RETAIL_SALES_FOOD_EXCL_VEHICLE_APR" hidden="1">"c7665"</definedName>
    <definedName name="IQ_RETAIL_SALES_FOOD_EXCL_VEHICLE_APR_FC" hidden="1">"c8545"</definedName>
    <definedName name="IQ_RETAIL_SALES_FOOD_EXCL_VEHICLE_FC" hidden="1">"c7885"</definedName>
    <definedName name="IQ_RETAIL_SALES_FOOD_EXCL_VEHICLE_POP" hidden="1">"c7225"</definedName>
    <definedName name="IQ_RETAIL_SALES_FOOD_EXCL_VEHICLE_POP_FC" hidden="1">"c8105"</definedName>
    <definedName name="IQ_RETAIL_SALES_FOOD_EXCL_VEHICLE_YOY" hidden="1">"c7445"</definedName>
    <definedName name="IQ_RETAIL_SALES_FOOD_EXCL_VEHICLE_YOY_FC" hidden="1">"c8325"</definedName>
    <definedName name="IQ_RETAIL_SALES_FOOD_FC" hidden="1">"c7884"</definedName>
    <definedName name="IQ_RETAIL_SALES_FOOD_POP" hidden="1">"c7224"</definedName>
    <definedName name="IQ_RETAIL_SALES_FOOD_POP_FC" hidden="1">"c8104"</definedName>
    <definedName name="IQ_RETAIL_SALES_FOOD_YOY" hidden="1">"c7444"</definedName>
    <definedName name="IQ_RETAIL_SALES_FOOD_YOY_FC" hidden="1">"c8324"</definedName>
    <definedName name="IQ_RETAIL_SALES_ONLINE" hidden="1">"c9904"</definedName>
    <definedName name="IQ_RETAIL_SALES_POP" hidden="1">"c7223"</definedName>
    <definedName name="IQ_RETAIL_SALES_POP_FC" hidden="1">"c8103"</definedName>
    <definedName name="IQ_RETAIL_SALES_RETAIL" hidden="1">"c9902"</definedName>
    <definedName name="IQ_RETAIL_SALES_SAAR" hidden="1">"c7009"</definedName>
    <definedName name="IQ_RETAIL_SALES_SAAR_APR" hidden="1">"c7669"</definedName>
    <definedName name="IQ_RETAIL_SALES_SAAR_APR_FC" hidden="1">"c8549"</definedName>
    <definedName name="IQ_RETAIL_SALES_SAAR_FC" hidden="1">"c7889"</definedName>
    <definedName name="IQ_RETAIL_SALES_SAAR_POP" hidden="1">"c7229"</definedName>
    <definedName name="IQ_RETAIL_SALES_SAAR_POP_FC" hidden="1">"c8109"</definedName>
    <definedName name="IQ_RETAIL_SALES_SAAR_YOY" hidden="1">"c7449"</definedName>
    <definedName name="IQ_RETAIL_SALES_SAAR_YOY_FC" hidden="1">"c8329"</definedName>
    <definedName name="IQ_RETAIL_SALES_SQ_METER_COMPARABLE_GROSS" hidden="1">"c9914"</definedName>
    <definedName name="IQ_RETAIL_SALES_SQ_METER_COMPARABLE_NET" hidden="1">"c9913"</definedName>
    <definedName name="IQ_RETAIL_SALES_SQ_METER_GROSS" hidden="1">"c9910"</definedName>
    <definedName name="IQ_RETAIL_SALES_SQ_METER_NET" hidden="1">"c9909"</definedName>
    <definedName name="IQ_RETAIL_SALES_SQ_METER_OWNED_GROSS" hidden="1">"c9912"</definedName>
    <definedName name="IQ_RETAIL_SALES_SQ_METER_OWNED_NET" hidden="1">"c9911"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ALES_VALUE_INDEX" hidden="1">"c7006"</definedName>
    <definedName name="IQ_RETAIL_SALES_VALUE_INDEX_APR" hidden="1">"c7666"</definedName>
    <definedName name="IQ_RETAIL_SALES_VALUE_INDEX_APR_FC" hidden="1">"c8546"</definedName>
    <definedName name="IQ_RETAIL_SALES_VALUE_INDEX_FC" hidden="1">"c7886"</definedName>
    <definedName name="IQ_RETAIL_SALES_VALUE_INDEX_POP" hidden="1">"c7226"</definedName>
    <definedName name="IQ_RETAIL_SALES_VALUE_INDEX_POP_FC" hidden="1">"c8106"</definedName>
    <definedName name="IQ_RETAIL_SALES_VALUE_INDEX_YOY" hidden="1">"c7446"</definedName>
    <definedName name="IQ_RETAIL_SALES_VALUE_INDEX_YOY_FC" hidden="1">"c8326"</definedName>
    <definedName name="IQ_RETAIL_SALES_VOL_INDEX" hidden="1">"c7007"</definedName>
    <definedName name="IQ_RETAIL_SALES_VOL_INDEX_APR" hidden="1">"c7667"</definedName>
    <definedName name="IQ_RETAIL_SALES_VOL_INDEX_APR_FC" hidden="1">"c8547"</definedName>
    <definedName name="IQ_RETAIL_SALES_VOL_INDEX_EXCL_MOTOR" hidden="1">"c7008"</definedName>
    <definedName name="IQ_RETAIL_SALES_VOL_INDEX_EXCL_MOTOR_APR" hidden="1">"c7668"</definedName>
    <definedName name="IQ_RETAIL_SALES_VOL_INDEX_EXCL_MOTOR_APR_FC" hidden="1">"c8548"</definedName>
    <definedName name="IQ_RETAIL_SALES_VOL_INDEX_EXCL_MOTOR_FC" hidden="1">"c7888"</definedName>
    <definedName name="IQ_RETAIL_SALES_VOL_INDEX_EXCL_MOTOR_POP" hidden="1">"c7228"</definedName>
    <definedName name="IQ_RETAIL_SALES_VOL_INDEX_EXCL_MOTOR_POP_FC" hidden="1">"c8108"</definedName>
    <definedName name="IQ_RETAIL_SALES_VOL_INDEX_EXCL_MOTOR_YOY" hidden="1">"c7448"</definedName>
    <definedName name="IQ_RETAIL_SALES_VOL_INDEX_EXCL_MOTOR_YOY_FC" hidden="1">"c8328"</definedName>
    <definedName name="IQ_RETAIL_SALES_VOL_INDEX_FC" hidden="1">"c7887"</definedName>
    <definedName name="IQ_RETAIL_SALES_VOL_INDEX_POP" hidden="1">"c7227"</definedName>
    <definedName name="IQ_RETAIL_SALES_VOL_INDEX_POP_FC" hidden="1">"c8107"</definedName>
    <definedName name="IQ_RETAIL_SALES_VOL_INDEX_YOY" hidden="1">"c7447"</definedName>
    <definedName name="IQ_RETAIL_SALES_VOL_INDEX_YOY_FC" hidden="1">"c8327"</definedName>
    <definedName name="IQ_RETAIL_SALES_YOY" hidden="1">"c7443"</definedName>
    <definedName name="IQ_RETAIL_SALES_YOY_FC" hidden="1">"c8323"</definedName>
    <definedName name="IQ_RETAIL_SAME_STORE_SALES" hidden="1">"c9898"</definedName>
    <definedName name="IQ_RETAIL_SAME_STORE_SALES_FRANCHISE" hidden="1">"c9896"</definedName>
    <definedName name="IQ_RETAIL_SAME_STORE_SALES_OWNED" hidden="1">"c9897"</definedName>
    <definedName name="IQ_RETAIL_SOLD_AFFILIATED_OTHER_STORES" hidden="1">"c9894"</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AFFILIATED_OTHER_STORES" hidden="1">"c9895"</definedName>
    <definedName name="IQ_RETAIL_TOTAL_FRANCHISE_STORES" hidden="1">"c2898"</definedName>
    <definedName name="IQ_RETAIL_TOTAL_OWNED_STORES" hidden="1">"c2906"</definedName>
    <definedName name="IQ_RETAIL_TOTAL_SQ_METERS_GROSS" hidden="1">"c9906"</definedName>
    <definedName name="IQ_RETAIL_TOTAL_SQ_METERS_NET" hidden="1">"c9905"</definedName>
    <definedName name="IQ_RETAIL_TOTAL_STORES" hidden="1">"c2061"</definedName>
    <definedName name="IQ_RETAINED_EARN" hidden="1">"c1420"</definedName>
    <definedName name="IQ_RETAINED_EARNINGS_AVERAGE_EQUITY_FDIC" hidden="1">"c6733"</definedName>
    <definedName name="IQ_RETURN_ASSETS" hidden="1">"c1113"</definedName>
    <definedName name="IQ_RETURN_ASSETS_BANK" hidden="1">"c1114"</definedName>
    <definedName name="IQ_RETURN_ASSETS_BROK" hidden="1">"c1115"</definedName>
    <definedName name="IQ_RETURN_ASSETS_FDIC" hidden="1">"c6730"</definedName>
    <definedName name="IQ_RETURN_ASSETS_FS" hidden="1">"c1116"</definedName>
    <definedName name="IQ_RETURN_CAPITAL" hidden="1">"c1117"</definedName>
    <definedName name="IQ_RETURN_EMBEDDED_VALUE" hidden="1">"c9974"</definedName>
    <definedName name="IQ_RETURN_EQUITY" hidden="1">"c1118"</definedName>
    <definedName name="IQ_RETURN_EQUITY_BANK" hidden="1">"c1119"</definedName>
    <definedName name="IQ_RETURN_EQUITY_BROK" hidden="1">"c1120"</definedName>
    <definedName name="IQ_RETURN_EQUITY_FDIC" hidden="1">"c6732"</definedName>
    <definedName name="IQ_RETURN_EQUITY_FS" hidden="1">"c1121"</definedName>
    <definedName name="IQ_RETURN_INVESTMENT" hidden="1">"c1421"</definedName>
    <definedName name="IQ_REV" hidden="1">"c1122"</definedName>
    <definedName name="IQ_REV_AP" hidden="1">"c8873"</definedName>
    <definedName name="IQ_REV_AP_ABS" hidden="1">"c8892"</definedName>
    <definedName name="IQ_REV_BEFORE_LL" hidden="1">"c1123"</definedName>
    <definedName name="IQ_REV_NAME_AP" hidden="1">"c8911"</definedName>
    <definedName name="IQ_REV_NAME_AP_ABS" hidden="1">"c8930"</definedName>
    <definedName name="IQ_REV_STDDEV_EST" hidden="1">"c1124"</definedName>
    <definedName name="IQ_REV_STDDEV_EST_CIQ" hidden="1">"c3621"</definedName>
    <definedName name="IQ_REV_STDDEV_EST_REUT" hidden="1">"c3639"</definedName>
    <definedName name="IQ_REV_UTI" hidden="1">"c1125"</definedName>
    <definedName name="IQ_REVALUATION_GAINS_FDIC" hidden="1">"c6428"</definedName>
    <definedName name="IQ_REVALUATION_LOSSES_FDIC" hidden="1">"c6429"</definedName>
    <definedName name="IQ_REVENUE" hidden="1">"c1422"</definedName>
    <definedName name="IQ_REVENUE_ACT_OR_EST" hidden="1">"c2214"</definedName>
    <definedName name="IQ_REVENUE_ACT_OR_EST_CIQ" hidden="1">"c5059"</definedName>
    <definedName name="IQ_REVENUE_EST" hidden="1">"c1126"</definedName>
    <definedName name="IQ_REVENUE_EST_CIQ" hidden="1">"c3616"</definedName>
    <definedName name="IQ_REVENUE_EST_REUT" hidden="1">"c3634"</definedName>
    <definedName name="IQ_REVENUE_HIGH_EST" hidden="1">"c1127"</definedName>
    <definedName name="IQ_REVENUE_HIGH_EST_CIQ" hidden="1">"c3618"</definedName>
    <definedName name="IQ_REVENUE_HIGH_EST_REUT" hidden="1">"c3636"</definedName>
    <definedName name="IQ_REVENUE_LOW_EST" hidden="1">"c1128"</definedName>
    <definedName name="IQ_REVENUE_LOW_EST_CIQ" hidden="1">"c3619"</definedName>
    <definedName name="IQ_REVENUE_LOW_EST_REUT" hidden="1">"c3637"</definedName>
    <definedName name="IQ_REVENUE_MEDIAN_EST" hidden="1">"c1662"</definedName>
    <definedName name="IQ_REVENUE_MEDIAN_EST_CIQ" hidden="1">"c3617"</definedName>
    <definedName name="IQ_REVENUE_MEDIAN_EST_REUT" hidden="1">"c3635"</definedName>
    <definedName name="IQ_REVENUE_NUM_EST" hidden="1">"c1129"</definedName>
    <definedName name="IQ_REVENUE_NUM_EST_CIQ" hidden="1">"c3620"</definedName>
    <definedName name="IQ_REVENUE_NUM_EST_REUT" hidden="1">"c3638"</definedName>
    <definedName name="IQ_REVISION_DATE_" hidden="1">39622.4120833333</definedName>
    <definedName name="IQ_RISK_ADJ_BANK_ASSETS" hidden="1">"c2670"</definedName>
    <definedName name="IQ_RISK_WEIGHTED_ASSETS_FDIC" hidden="1">"c6370"</definedName>
    <definedName name="IQ_RSI" hidden="1">"c12704"</definedName>
    <definedName name="IQ_RSI_ADJ" hidden="1">"c12705"</definedName>
    <definedName name="IQ_SALARIED_WORKFORCE" hidden="1">"c7010"</definedName>
    <definedName name="IQ_SALARIED_WORKFORCE_APR" hidden="1">"c7670"</definedName>
    <definedName name="IQ_SALARIED_WORKFORCE_APR_FC" hidden="1">"c8550"</definedName>
    <definedName name="IQ_SALARIED_WORKFORCE_FC" hidden="1">"c7890"</definedName>
    <definedName name="IQ_SALARIED_WORKFORCE_POP" hidden="1">"c7230"</definedName>
    <definedName name="IQ_SALARIED_WORKFORCE_POP_FC" hidden="1">"c8110"</definedName>
    <definedName name="IQ_SALARIED_WORKFORCE_YOY" hidden="1">"c7450"</definedName>
    <definedName name="IQ_SALARIED_WORKFORCE_YOY_FC" hidden="1">"c8330"</definedName>
    <definedName name="IQ_SALARY" hidden="1">"c1130"</definedName>
    <definedName name="IQ_SALARY_FDIC" hidden="1">"c6576"</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AVINGS_RATE_DISP_INC_PCT" hidden="1">"c7011"</definedName>
    <definedName name="IQ_SAVINGS_RATE_DISP_INC_PCT_FC" hidden="1">"c7891"</definedName>
    <definedName name="IQ_SAVINGS_RATE_DISP_INC_PCT_POP" hidden="1">"c7231"</definedName>
    <definedName name="IQ_SAVINGS_RATE_DISP_INC_PCT_POP_FC" hidden="1">"c8111"</definedName>
    <definedName name="IQ_SAVINGS_RATE_DISP_INC_PCT_YOY" hidden="1">"c7451"</definedName>
    <definedName name="IQ_SAVINGS_RATE_DISP_INC_PCT_YOY_FC" hidden="1">"c8331"</definedName>
    <definedName name="IQ_SAVINGS_RATE_GDP_PCT" hidden="1">"c7012"</definedName>
    <definedName name="IQ_SAVINGS_RATE_GDP_PCT_FC" hidden="1">"c7892"</definedName>
    <definedName name="IQ_SAVINGS_RATE_GDP_PCT_POP" hidden="1">"c7232"</definedName>
    <definedName name="IQ_SAVINGS_RATE_GDP_PCT_POP_FC" hidden="1">"c8112"</definedName>
    <definedName name="IQ_SAVINGS_RATE_GDP_PCT_YOY" hidden="1">"c7452"</definedName>
    <definedName name="IQ_SAVINGS_RATE_GDP_PCT_YOY_FC" hidden="1">"c8332"</definedName>
    <definedName name="IQ_SAVINGS_RATE_PERSONAL_INC_PCT" hidden="1">"c7013"</definedName>
    <definedName name="IQ_SAVINGS_RATE_PERSONAL_INC_PCT_FC" hidden="1">"c7893"</definedName>
    <definedName name="IQ_SAVINGS_RATE_PERSONAL_INC_PCT_POP" hidden="1">"c7233"</definedName>
    <definedName name="IQ_SAVINGS_RATE_PERSONAL_INC_PCT_POP_FC" hidden="1">"c8113"</definedName>
    <definedName name="IQ_SAVINGS_RATE_PERSONAL_INC_PCT_YOY" hidden="1">"c7453"</definedName>
    <definedName name="IQ_SAVINGS_RATE_PERSONAL_INC_PCT_YOY_FC" hidden="1">"c8333"</definedName>
    <definedName name="IQ_SEC_PURCHASED_RESELL" hidden="1">"c5513"</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CURITY_BORROW" hidden="1">"c1152"</definedName>
    <definedName name="IQ_SECURITY_LEVEL" hidden="1">"c2159"</definedName>
    <definedName name="IQ_SECURITY_NOTES" hidden="1">"c2202"</definedName>
    <definedName name="IQ_SECURITY_OWN" hidden="1">"c1153"</definedName>
    <definedName name="IQ_SECURITY_RESELL" hidden="1">"c1154"</definedName>
    <definedName name="IQ_SECURITY_TYPE" hidden="1">"c2158"</definedName>
    <definedName name="IQ_SEMI_BACKLOG" hidden="1">"c10005"</definedName>
    <definedName name="IQ_SEMI_BACKLOG_AVG_PRICE" hidden="1">"c10006"</definedName>
    <definedName name="IQ_SEMI_BACKLOG_VALUE" hidden="1">"c10007"</definedName>
    <definedName name="IQ_SEMI_BOOK_TO_BILL_RATIO" hidden="1">"c10008"</definedName>
    <definedName name="IQ_SEMI_ORDER_AVG_PRICE" hidden="1">"c10002"</definedName>
    <definedName name="IQ_SEMI_ORDER_VALUE" hidden="1">"c10003"</definedName>
    <definedName name="IQ_SEMI_ORDER_VALUE_CHANGE" hidden="1">"c10004"</definedName>
    <definedName name="IQ_SEMI_ORDERS" hidden="1">"c10001"</definedName>
    <definedName name="IQ_SEMI_WARRANTY_RES_ACQ" hidden="1">"c10011"</definedName>
    <definedName name="IQ_SEMI_WARRANTY_RES_BEG" hidden="1">"c10009"</definedName>
    <definedName name="IQ_SEMI_WARRANTY_RES_END" hidden="1">"c10014"</definedName>
    <definedName name="IQ_SEMI_WARRANTY_RES_ISS" hidden="1">"c10010"</definedName>
    <definedName name="IQ_SEMI_WARRANTY_RES_OTHER" hidden="1">"c10013"</definedName>
    <definedName name="IQ_SEMI_WARRANTY_RES_PAY" hidden="1">"c10012"</definedName>
    <definedName name="IQ_SEPARATE_ACCT_ASSETS" hidden="1">"c1155"</definedName>
    <definedName name="IQ_SEPARATE_ACCT_LIAB" hidden="1">"c1156"</definedName>
    <definedName name="IQ_SERV_CHARGE_DEPOSITS" hidden="1">"c1157"</definedName>
    <definedName name="IQ_SERVICE_CHARGES_FDIC" hidden="1">"c6572"</definedName>
    <definedName name="IQ_SERVICE_FEE" hidden="1">"c8951"</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OUTSTANDING" hidden="1">"c1347"</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C_SEC_RECEIPTS_SAAR_USD_APR_FC" hidden="1">"c12005"</definedName>
    <definedName name="IQ_SOC_SEC_RECEIPTS_SAAR_USD_FC" hidden="1">"c12002"</definedName>
    <definedName name="IQ_SOC_SEC_RECEIPTS_SAAR_USD_POP_FC" hidden="1">"c12003"</definedName>
    <definedName name="IQ_SOC_SEC_RECEIPTS_SAAR_USD_YOY_FC" hidden="1">"c12004"</definedName>
    <definedName name="IQ_SOC_SEC_RECEIPTS_USD_APR_FC" hidden="1">"c12001"</definedName>
    <definedName name="IQ_SOC_SEC_RECEIPTS_USD_FC" hidden="1">"c11998"</definedName>
    <definedName name="IQ_SOC_SEC_RECEIPTS_USD_POP_FC" hidden="1">"c11999"</definedName>
    <definedName name="IQ_SOC_SEC_RECEIPTS_USD_YOY_FC" hidden="1">"c12000"</definedName>
    <definedName name="IQ_SOCIAL_SEC_RECEIPTS" hidden="1">"c7015"</definedName>
    <definedName name="IQ_SOCIAL_SEC_RECEIPTS_APR" hidden="1">"c7675"</definedName>
    <definedName name="IQ_SOCIAL_SEC_RECEIPTS_APR_FC" hidden="1">"c8555"</definedName>
    <definedName name="IQ_SOCIAL_SEC_RECEIPTS_FC" hidden="1">"c7895"</definedName>
    <definedName name="IQ_SOCIAL_SEC_RECEIPTS_POP" hidden="1">"c7235"</definedName>
    <definedName name="IQ_SOCIAL_SEC_RECEIPTS_POP_FC" hidden="1">"c8115"</definedName>
    <definedName name="IQ_SOCIAL_SEC_RECEIPTS_SAAR" hidden="1">"c7016"</definedName>
    <definedName name="IQ_SOCIAL_SEC_RECEIPTS_SAAR_APR" hidden="1">"c7676"</definedName>
    <definedName name="IQ_SOCIAL_SEC_RECEIPTS_SAAR_APR_FC" hidden="1">"c8556"</definedName>
    <definedName name="IQ_SOCIAL_SEC_RECEIPTS_SAAR_FC" hidden="1">"c7896"</definedName>
    <definedName name="IQ_SOCIAL_SEC_RECEIPTS_SAAR_POP" hidden="1">"c7236"</definedName>
    <definedName name="IQ_SOCIAL_SEC_RECEIPTS_SAAR_POP_FC" hidden="1">"c8116"</definedName>
    <definedName name="IQ_SOCIAL_SEC_RECEIPTS_SAAR_YOY" hidden="1">"c7456"</definedName>
    <definedName name="IQ_SOCIAL_SEC_RECEIPTS_SAAR_YOY_FC" hidden="1">"c8336"</definedName>
    <definedName name="IQ_SOCIAL_SEC_RECEIPTS_YOY" hidden="1">"c7455"</definedName>
    <definedName name="IQ_SOCIAL_SEC_RECEIPTS_YOY_FC" hidden="1">"c8335"</definedName>
    <definedName name="IQ_SOFTWARE" hidden="1">"c1167"</definedName>
    <definedName name="IQ_SOURCE" hidden="1">"c1168"</definedName>
    <definedName name="IQ_SP" hidden="1">"c2171"</definedName>
    <definedName name="IQ_SP_BANK" hidden="1">"c2637"</definedName>
    <definedName name="IQ_SP_BANK_ACTION" hidden="1">"c2636"</definedName>
    <definedName name="IQ_SP_BANK_DATE" hidden="1">"c2635"</definedName>
    <definedName name="IQ_SP_DATE" hidden="1">"c2172"</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OUTLOOK_WATCH" hidden="1">"c2639"</definedName>
    <definedName name="IQ_SP_OUTLOOK_WATCH_DATE" hidden="1">"c2638"</definedName>
    <definedName name="IQ_SP_REASON" hidden="1">"c2174"</definedName>
    <definedName name="IQ_SP_STATUS" hidden="1">"c2173"</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Q_FT_LEASED_GROSS_CONSOL" hidden="1">"c8820"</definedName>
    <definedName name="IQ_SQ_FT_LEASED_GROSS_MANAGED" hidden="1">"c8822"</definedName>
    <definedName name="IQ_SQ_FT_LEASED_GROSS_OTHER" hidden="1">"c8823"</definedName>
    <definedName name="IQ_SQ_FT_LEASED_GROSS_TOTAL" hidden="1">"c8824"</definedName>
    <definedName name="IQ_SQ_FT_LEASED_GROSS_UNCONSOL" hidden="1">"c8821"</definedName>
    <definedName name="IQ_SQ_FT_LEASED_NET_CONSOL" hidden="1">"c8825"</definedName>
    <definedName name="IQ_SQ_FT_LEASED_NET_MANAGED" hidden="1">"c8827"</definedName>
    <definedName name="IQ_SQ_FT_LEASED_NET_OTHER" hidden="1">"c8828"</definedName>
    <definedName name="IQ_SQ_FT_LEASED_NET_TOTAL" hidden="1">"c8829"</definedName>
    <definedName name="IQ_SQ_FT_LEASED_NET_UNCONSOL" hidden="1">"c8826"</definedName>
    <definedName name="IQ_SQ_METER_LEASED_GROSS_CONSOL" hidden="1">"c8830"</definedName>
    <definedName name="IQ_SQ_METER_LEASED_GROSS_MANAGED" hidden="1">"c8832"</definedName>
    <definedName name="IQ_SQ_METER_LEASED_GROSS_OTHER" hidden="1">"c8833"</definedName>
    <definedName name="IQ_SQ_METER_LEASED_GROSS_TOTAL" hidden="1">"c8834"</definedName>
    <definedName name="IQ_SQ_METER_LEASED_GROSS_UNCONSOL" hidden="1">"c8831"</definedName>
    <definedName name="IQ_SQ_METER_LEASED_NET_CONSOL" hidden="1">"c8835"</definedName>
    <definedName name="IQ_SQ_METER_LEASED_NET_MANAGED" hidden="1">"c8837"</definedName>
    <definedName name="IQ_SQ_METER_LEASED_NET_OTHER" hidden="1">"c8838"</definedName>
    <definedName name="IQ_SQ_METER_LEASED_NET_TOTAL" hidden="1">"c8839"</definedName>
    <definedName name="IQ_SQ_METER_LEASED_NET_UNCONSOL" hidden="1">"c8836"</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UTI" hidden="1">"c1198"</definedName>
    <definedName name="IQ_ST_NOTE_RECEIV" hidden="1">"c1199"</definedName>
    <definedName name="IQ_STATE" hidden="1">"c1200"</definedName>
    <definedName name="IQ_STATE_LOCAL_SPENDING_SAAR" hidden="1">"c7017"</definedName>
    <definedName name="IQ_STATE_LOCAL_SPENDING_SAAR_APR" hidden="1">"c7677"</definedName>
    <definedName name="IQ_STATE_LOCAL_SPENDING_SAAR_APR_FC" hidden="1">"c8557"</definedName>
    <definedName name="IQ_STATE_LOCAL_SPENDING_SAAR_FC" hidden="1">"c7897"</definedName>
    <definedName name="IQ_STATE_LOCAL_SPENDING_SAAR_POP" hidden="1">"c7237"</definedName>
    <definedName name="IQ_STATE_LOCAL_SPENDING_SAAR_POP_FC" hidden="1">"c8117"</definedName>
    <definedName name="IQ_STATE_LOCAL_SPENDING_SAAR_YOY" hidden="1">"c7457"</definedName>
    <definedName name="IQ_STATE_LOCAL_SPENDING_SAAR_YOY_FC" hidden="1">"c8337"</definedName>
    <definedName name="IQ_STATES_NONTRANSACTION_ACCOUNTS_FDIC" hidden="1">"c6547"</definedName>
    <definedName name="IQ_STATES_TOTAL_DEPOSITS_FDIC" hidden="1">"c6473"</definedName>
    <definedName name="IQ_STATES_TRANSACTION_ACCOUNTS_FDIC" hidden="1">"c6539"</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ATEGY_NOTE" hidden="1">"c6791"</definedName>
    <definedName name="IQ_STRIKE_PRICE_ISSUED" hidden="1">"c1645"</definedName>
    <definedName name="IQ_STRIKE_PRICE_OS" hidden="1">"c1646"</definedName>
    <definedName name="IQ_STRUCT_FIN_CLASS" hidden="1">"c8950"</definedName>
    <definedName name="IQ_STRUCT_FIN_SERIES" hidden="1">"c8956"</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RPLUS_FDIC" hidden="1">"c6351"</definedName>
    <definedName name="IQ_SVA" hidden="1">"c1214"</definedName>
    <definedName name="IQ_TARGET_PRICE_NUM" hidden="1">"c1653"</definedName>
    <definedName name="IQ_TARGET_PRICE_NUM_CIQ" hidden="1">"c4661"</definedName>
    <definedName name="IQ_TARGET_PRICE_NUM_REUT" hidden="1">"c5319"</definedName>
    <definedName name="IQ_TARGET_PRICE_STDDEV" hidden="1">"c1654"</definedName>
    <definedName name="IQ_TARGET_PRICE_STDDEV_CIQ" hidden="1">"c4662"</definedName>
    <definedName name="IQ_TARGET_PRICE_STDDEV_REUT" hidden="1">"c5320"</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AX_OTHER_EXP_AP" hidden="1">"c8878"</definedName>
    <definedName name="IQ_TAX_OTHER_EXP_AP_ABS" hidden="1">"c8897"</definedName>
    <definedName name="IQ_TAX_OTHER_EXP_NAME_AP" hidden="1">"c8916"</definedName>
    <definedName name="IQ_TAX_OTHER_EXP_NAME_AP_ABS" hidden="1">"c8935"</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BITDA_FWD_CIQ" hidden="1">"c4043"</definedName>
    <definedName name="IQ_TEV_EBITDA_FWD_REUT" hidden="1">"c4050"</definedName>
    <definedName name="IQ_TEV_EMPLOYEE_AVG" hidden="1">"c1225"</definedName>
    <definedName name="IQ_TEV_TOTAL_REV" hidden="1">"c1226"</definedName>
    <definedName name="IQ_TEV_TOTAL_REV_AVG" hidden="1">"c1227"</definedName>
    <definedName name="IQ_TEV_TOTAL_REV_FWD" hidden="1">"c1228"</definedName>
    <definedName name="IQ_TEV_TOTAL_REV_FWD_CIQ" hidden="1">"c4044"</definedName>
    <definedName name="IQ_TEV_TOTAL_REV_FWD_REUT" hidden="1">"c4051"</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CAPITAL" hidden="1">"c2667"</definedName>
    <definedName name="IQ_TIER_ONE_FDIC" hidden="1">"c6369"</definedName>
    <definedName name="IQ_TIER_ONE_RATIO" hidden="1">"c1229"</definedName>
    <definedName name="IQ_TIER_TWO_CAPITAL" hidden="1">"c2669"</definedName>
    <definedName name="IQ_TIME_DEP" hidden="1">"c1230"</definedName>
    <definedName name="IQ_TIME_DEPOSITS_LESS_THAN_100K_FDIC" hidden="1">"c6465"</definedName>
    <definedName name="IQ_TIME_DEPOSITS_MORE_THAN_100K_FDIC" hidden="1">"c6470"</definedName>
    <definedName name="IQ_TODAY" hidden="1">0</definedName>
    <definedName name="IQ_TOT_ADJ_INC" hidden="1">"c1616"</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FDIC" hidden="1">"c6339"</definedName>
    <definedName name="IQ_TOTAL_ASSETS_SUBTOTAL_AP" hidden="1">"c8985"</definedName>
    <definedName name="IQ_TOTAL_ATTRIB_ORE_RESOURCES_ALUM" hidden="1">"c9241"</definedName>
    <definedName name="IQ_TOTAL_ATTRIB_ORE_RESOURCES_COP" hidden="1">"c9185"</definedName>
    <definedName name="IQ_TOTAL_ATTRIB_ORE_RESOURCES_DIAM" hidden="1">"c9665"</definedName>
    <definedName name="IQ_TOTAL_ATTRIB_ORE_RESOURCES_GOLD" hidden="1">"c9026"</definedName>
    <definedName name="IQ_TOTAL_ATTRIB_ORE_RESOURCES_IRON" hidden="1">"c9400"</definedName>
    <definedName name="IQ_TOTAL_ATTRIB_ORE_RESOURCES_LEAD" hidden="1">"c9453"</definedName>
    <definedName name="IQ_TOTAL_ATTRIB_ORE_RESOURCES_MANG" hidden="1">"c9506"</definedName>
    <definedName name="IQ_TOTAL_ATTRIB_ORE_RESOURCES_MOLYB" hidden="1">"c9718"</definedName>
    <definedName name="IQ_TOTAL_ATTRIB_ORE_RESOURCES_NICK" hidden="1">"c9294"</definedName>
    <definedName name="IQ_TOTAL_ATTRIB_ORE_RESOURCES_PLAT" hidden="1">"c9132"</definedName>
    <definedName name="IQ_TOTAL_ATTRIB_ORE_RESOURCES_SILVER" hidden="1">"c9079"</definedName>
    <definedName name="IQ_TOTAL_ATTRIB_ORE_RESOURCES_TITAN" hidden="1">"c9559"</definedName>
    <definedName name="IQ_TOTAL_ATTRIB_ORE_RESOURCES_URAN" hidden="1">"c9612"</definedName>
    <definedName name="IQ_TOTAL_ATTRIB_ORE_RESOURCES_ZINC" hidden="1">"c9347"</definedName>
    <definedName name="IQ_TOTAL_AVG_CE_TOTAL_AVG_ASSETS" hidden="1">"c1241"</definedName>
    <definedName name="IQ_TOTAL_AVG_EQUITY_TOTAL_AVG_ASSETS" hidden="1">"c1242"</definedName>
    <definedName name="IQ_TOTAL_BANK_CAPITAL" hidden="1">"c2668"</definedName>
    <definedName name="IQ_TOTAL_BEDS" hidden="1">"c8785"</definedName>
    <definedName name="IQ_TOTAL_CA" hidden="1">"c1243"</definedName>
    <definedName name="IQ_TOTAL_CA_SUBTOTAL_AP" hidden="1">"c8986"</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L_SUBTOTAL_AP" hidden="1">"c8987"</definedName>
    <definedName name="IQ_TOTAL_COAL_PRODUCTION_COAL" hidden="1">"c9824"</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CURRENT" hidden="1">"c6190"</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NON_CURRENT" hidden="1">"c6191"</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BT_SECURITIES_FDIC" hidden="1">"c6410"</definedName>
    <definedName name="IQ_TOTAL_DEPOSITS" hidden="1">"c1265"</definedName>
    <definedName name="IQ_TOTAL_DEPOSITS_FDIC" hidden="1">"c6342"</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EQUITY_SUBTOTAL_AP" hidden="1">"c8989"</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EQUITY_SUBTOTAL_AP" hidden="1">"c8988"</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"c1435"</definedName>
    <definedName name="IQ_TOTAL_LIAB_TOTAL_ASSETS" hidden="1">"c1283"</definedName>
    <definedName name="IQ_TOTAL_LIABILITIES_FDIC" hidden="1">"c6348"</definedName>
    <definedName name="IQ_TOTAL_LOANS" hidden="1">"c5653"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RE_RESOURCES_ALUM" hidden="1">"c9230"</definedName>
    <definedName name="IQ_TOTAL_ORE_RESOURCES_COP" hidden="1">"c9174"</definedName>
    <definedName name="IQ_TOTAL_ORE_RESOURCES_DIAM" hidden="1">"c9654"</definedName>
    <definedName name="IQ_TOTAL_ORE_RESOURCES_GOLD" hidden="1">"c9015"</definedName>
    <definedName name="IQ_TOTAL_ORE_RESOURCES_IRON" hidden="1">"c9389"</definedName>
    <definedName name="IQ_TOTAL_ORE_RESOURCES_LEAD" hidden="1">"c9442"</definedName>
    <definedName name="IQ_TOTAL_ORE_RESOURCES_MANG" hidden="1">"c9495"</definedName>
    <definedName name="IQ_TOTAL_ORE_RESOURCES_MOLYB" hidden="1">"c9707"</definedName>
    <definedName name="IQ_TOTAL_ORE_RESOURCES_NICK" hidden="1">"c9283"</definedName>
    <definedName name="IQ_TOTAL_ORE_RESOURCES_PLAT" hidden="1">"c9121"</definedName>
    <definedName name="IQ_TOTAL_ORE_RESOURCES_SILVER" hidden="1">"c9068"</definedName>
    <definedName name="IQ_TOTAL_ORE_RESOURCES_TITAN" hidden="1">"c9548"</definedName>
    <definedName name="IQ_TOTAL_ORE_RESOURCES_URAN" hidden="1">"c9601"</definedName>
    <definedName name="IQ_TOTAL_ORE_RESOURCES_ZINC" hidden="1">"c9336"</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P" hidden="1">"c8765"</definedName>
    <definedName name="IQ_TOTAL_PROVED_RESERVES_NGL" hidden="1">"c2924"</definedName>
    <definedName name="IQ_TOTAL_PROVED_RESERVES_OIL" hidden="1">"c2040"</definedName>
    <definedName name="IQ_TOTAL_RECEIV" hidden="1">"c1293"</definedName>
    <definedName name="IQ_TOTAL_RECOV_ATTRIB_RESOURCES_ALUM" hidden="1">"c9246"</definedName>
    <definedName name="IQ_TOTAL_RECOV_ATTRIB_RESOURCES_COAL" hidden="1">"c9820"</definedName>
    <definedName name="IQ_TOTAL_RECOV_ATTRIB_RESOURCES_COP" hidden="1">"c9190"</definedName>
    <definedName name="IQ_TOTAL_RECOV_ATTRIB_RESOURCES_DIAM" hidden="1">"c9670"</definedName>
    <definedName name="IQ_TOTAL_RECOV_ATTRIB_RESOURCES_GOLD" hidden="1">"c9031"</definedName>
    <definedName name="IQ_TOTAL_RECOV_ATTRIB_RESOURCES_IRON" hidden="1">"c9405"</definedName>
    <definedName name="IQ_TOTAL_RECOV_ATTRIB_RESOURCES_LEAD" hidden="1">"c9458"</definedName>
    <definedName name="IQ_TOTAL_RECOV_ATTRIB_RESOURCES_MANG" hidden="1">"c9511"</definedName>
    <definedName name="IQ_TOTAL_RECOV_ATTRIB_RESOURCES_MET_COAL" hidden="1">"c9760"</definedName>
    <definedName name="IQ_TOTAL_RECOV_ATTRIB_RESOURCES_MOLYB" hidden="1">"c9723"</definedName>
    <definedName name="IQ_TOTAL_RECOV_ATTRIB_RESOURCES_NICK" hidden="1">"c9299"</definedName>
    <definedName name="IQ_TOTAL_RECOV_ATTRIB_RESOURCES_PLAT" hidden="1">"c9137"</definedName>
    <definedName name="IQ_TOTAL_RECOV_ATTRIB_RESOURCES_SILVER" hidden="1">"c9084"</definedName>
    <definedName name="IQ_TOTAL_RECOV_ATTRIB_RESOURCES_STEAM" hidden="1">"c9790"</definedName>
    <definedName name="IQ_TOTAL_RECOV_ATTRIB_RESOURCES_TITAN" hidden="1">"c9564"</definedName>
    <definedName name="IQ_TOTAL_RECOV_ATTRIB_RESOURCES_URAN" hidden="1">"c9617"</definedName>
    <definedName name="IQ_TOTAL_RECOV_ATTRIB_RESOURCES_ZINC" hidden="1">"c9352"</definedName>
    <definedName name="IQ_TOTAL_RECOV_RESOURCES_ALUM" hidden="1">"c9236"</definedName>
    <definedName name="IQ_TOTAL_RECOV_RESOURCES_COAL" hidden="1">"c9815"</definedName>
    <definedName name="IQ_TOTAL_RECOV_RESOURCES_COP" hidden="1">"c9180"</definedName>
    <definedName name="IQ_TOTAL_RECOV_RESOURCES_DIAM" hidden="1">"c9660"</definedName>
    <definedName name="IQ_TOTAL_RECOV_RESOURCES_GOLD" hidden="1">"c9021"</definedName>
    <definedName name="IQ_TOTAL_RECOV_RESOURCES_IRON" hidden="1">"c9395"</definedName>
    <definedName name="IQ_TOTAL_RECOV_RESOURCES_LEAD" hidden="1">"c9448"</definedName>
    <definedName name="IQ_TOTAL_RECOV_RESOURCES_MANG" hidden="1">"c9501"</definedName>
    <definedName name="IQ_TOTAL_RECOV_RESOURCES_MET_COAL" hidden="1">"c9755"</definedName>
    <definedName name="IQ_TOTAL_RECOV_RESOURCES_MOLYB" hidden="1">"c9713"</definedName>
    <definedName name="IQ_TOTAL_RECOV_RESOURCES_NICK" hidden="1">"c9289"</definedName>
    <definedName name="IQ_TOTAL_RECOV_RESOURCES_PLAT" hidden="1">"c9127"</definedName>
    <definedName name="IQ_TOTAL_RECOV_RESOURCES_SILVER" hidden="1">"c9074"</definedName>
    <definedName name="IQ_TOTAL_RECOV_RESOURCES_STEAM" hidden="1">"c9785"</definedName>
    <definedName name="IQ_TOTAL_RECOV_RESOURCES_TITAN" hidden="1">"c9554"</definedName>
    <definedName name="IQ_TOTAL_RECOV_RESOURCES_URAN" hidden="1">"c9607"</definedName>
    <definedName name="IQ_TOTAL_RECOV_RESOURCES_ZINC" hidden="1">"c9342"</definedName>
    <definedName name="IQ_TOTAL_RECOVERIES_FDIC" hidden="1">"c6622"</definedName>
    <definedName name="IQ_TOTAL_RESOURCES_CALORIFIC_VALUE_COAL" hidden="1">"c9810"</definedName>
    <definedName name="IQ_TOTAL_RESOURCES_CALORIFIC_VALUE_MET_COAL" hidden="1">"c9750"</definedName>
    <definedName name="IQ_TOTAL_RESOURCES_CALORIFIC_VALUE_STEAM" hidden="1">"c9780"</definedName>
    <definedName name="IQ_TOTAL_RESOURCES_GRADE_ALUM" hidden="1">"c9231"</definedName>
    <definedName name="IQ_TOTAL_RESOURCES_GRADE_COP" hidden="1">"c9175"</definedName>
    <definedName name="IQ_TOTAL_RESOURCES_GRADE_DIAM" hidden="1">"c9655"</definedName>
    <definedName name="IQ_TOTAL_RESOURCES_GRADE_GOLD" hidden="1">"c9016"</definedName>
    <definedName name="IQ_TOTAL_RESOURCES_GRADE_IRON" hidden="1">"c9390"</definedName>
    <definedName name="IQ_TOTAL_RESOURCES_GRADE_LEAD" hidden="1">"c9443"</definedName>
    <definedName name="IQ_TOTAL_RESOURCES_GRADE_MANG" hidden="1">"c9496"</definedName>
    <definedName name="IQ_TOTAL_RESOURCES_GRADE_MOLYB" hidden="1">"c9708"</definedName>
    <definedName name="IQ_TOTAL_RESOURCES_GRADE_NICK" hidden="1">"c9284"</definedName>
    <definedName name="IQ_TOTAL_RESOURCES_GRADE_PLAT" hidden="1">"c9122"</definedName>
    <definedName name="IQ_TOTAL_RESOURCES_GRADE_SILVER" hidden="1">"c9069"</definedName>
    <definedName name="IQ_TOTAL_RESOURCES_GRADE_TITAN" hidden="1">"c9549"</definedName>
    <definedName name="IQ_TOTAL_RESOURCES_GRADE_URAN" hidden="1">"c9602"</definedName>
    <definedName name="IQ_TOTAL_RESOURCES_GRADE_ZINC" hidden="1">"c9337"</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SUBTOTAL_AP" hidden="1">"c8975"</definedName>
    <definedName name="IQ_TOTAL_REV_UTI" hidden="1">"c1308"</definedName>
    <definedName name="IQ_TOTAL_REVENUE" hidden="1">"c1436"</definedName>
    <definedName name="IQ_TOTAL_RISK_BASED_CAPITAL_RATIO_FDIC" hidden="1">"c6747"</definedName>
    <definedName name="IQ_TOTAL_ROOMS" hidden="1">"c8789"</definedName>
    <definedName name="IQ_TOTAL_SECURITIES_FDIC" hidden="1">"c6306"</definedName>
    <definedName name="IQ_TOTAL_SPECIAL" hidden="1">"c1618"</definedName>
    <definedName name="IQ_TOTAL_SQ_FT" hidden="1">"c8781"</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SAVINGS_DEPOSITS_FDIC" hidden="1">"c6498"</definedName>
    <definedName name="IQ_TOTAL_UNITS" hidden="1">"c8773"</definedName>
    <definedName name="IQ_TOTAL_UNUSED_COMMITMENTS_FDIC" hidden="1">"c6536"</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PPROACH" hidden="1">"c12706"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DIC" hidden="1">"c6328"</definedName>
    <definedName name="IQ_TRADING_CURRENCY" hidden="1">"c2212"</definedName>
    <definedName name="IQ_TRADING_ITEM_CIQID" hidden="1">"c8949"</definedName>
    <definedName name="IQ_TRADING_LIABILITIES_FDIC" hidden="1">"c6344"</definedName>
    <definedName name="IQ_TRANSACTION_ACCOUNTS_FDIC" hidden="1">"c6544"</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UCK_ASSEMBLIES" hidden="1">"c7021"</definedName>
    <definedName name="IQ_TRUCK_ASSEMBLIES_APR" hidden="1">"c7681"</definedName>
    <definedName name="IQ_TRUCK_ASSEMBLIES_APR_FC" hidden="1">"c8561"</definedName>
    <definedName name="IQ_TRUCK_ASSEMBLIES_FC" hidden="1">"c7901"</definedName>
    <definedName name="IQ_TRUCK_ASSEMBLIES_POP" hidden="1">"c7241"</definedName>
    <definedName name="IQ_TRUCK_ASSEMBLIES_POP_FC" hidden="1">"c8121"</definedName>
    <definedName name="IQ_TRUCK_ASSEMBLIES_YOY" hidden="1">"c7461"</definedName>
    <definedName name="IQ_TRUCK_ASSEMBLIES_YOY_FC" hidden="1">"c8341"</definedName>
    <definedName name="IQ_TRUST_INC" hidden="1">"c1319"</definedName>
    <definedName name="IQ_TRUST_PREF" hidden="1">"c1320"</definedName>
    <definedName name="IQ_TRUST_PREFERRED" hidden="1">"c3029"</definedName>
    <definedName name="IQ_TRUST_PREFERRED_PCT" hidden="1">"c3030"</definedName>
    <definedName name="IQ_TRUSTEE" hidden="1">"c8959"</definedName>
    <definedName name="IQ_TWELVE_MONTHS_FIXED_AND_FLOATING_FDIC" hidden="1">"c6420"</definedName>
    <definedName name="IQ_TWELVE_MONTHS_MORTGAGE_PASS_THROUGHS_FDIC" hidden="1">"c6412"</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CONSOL_BEDS" hidden="1">"c8783"</definedName>
    <definedName name="IQ_UNCONSOL_PROP" hidden="1">"c8762"</definedName>
    <definedName name="IQ_UNCONSOL_ROOMS" hidden="1">"c8787"</definedName>
    <definedName name="IQ_UNCONSOL_SQ_FT" hidden="1">"c8778"</definedName>
    <definedName name="IQ_UNCONSOL_UNITS" hidden="1">"c8770"</definedName>
    <definedName name="IQ_UNDERWRITER" hidden="1">"c8958"</definedName>
    <definedName name="IQ_UNDERWRITING_PROFIT" hidden="1">"c9975"</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EMPLOYMENT_RATE" hidden="1">"c7023"</definedName>
    <definedName name="IQ_UNEMPLOYMENT_RATE_FC" hidden="1">"c7903"</definedName>
    <definedName name="IQ_UNEMPLOYMENT_RATE_POP" hidden="1">"c7243"</definedName>
    <definedName name="IQ_UNEMPLOYMENT_RATE_POP_FC" hidden="1">"c8123"</definedName>
    <definedName name="IQ_UNEMPLOYMENT_RATE_YOY" hidden="1">"c7463"</definedName>
    <definedName name="IQ_UNEMPLOYMENT_RATE_YOY_FC" hidden="1">"c8343"</definedName>
    <definedName name="IQ_UNIT_LABOR_COST_INDEX" hidden="1">"c7025"</definedName>
    <definedName name="IQ_UNIT_LABOR_COST_INDEX_APR" hidden="1">"c7685"</definedName>
    <definedName name="IQ_UNIT_LABOR_COST_INDEX_APR_FC" hidden="1">"c8565"</definedName>
    <definedName name="IQ_UNIT_LABOR_COST_INDEX_FC" hidden="1">"c7905"</definedName>
    <definedName name="IQ_UNIT_LABOR_COST_INDEX_PCT_CHANGE" hidden="1">"c7024"</definedName>
    <definedName name="IQ_UNIT_LABOR_COST_INDEX_PCT_CHANGE_FC" hidden="1">"c7904"</definedName>
    <definedName name="IQ_UNIT_LABOR_COST_INDEX_PCT_CHANGE_POP" hidden="1">"c7244"</definedName>
    <definedName name="IQ_UNIT_LABOR_COST_INDEX_PCT_CHANGE_POP_FC" hidden="1">"c8124"</definedName>
    <definedName name="IQ_UNIT_LABOR_COST_INDEX_PCT_CHANGE_YOY" hidden="1">"c7464"</definedName>
    <definedName name="IQ_UNIT_LABOR_COST_INDEX_PCT_CHANGE_YOY_FC" hidden="1">"c8344"</definedName>
    <definedName name="IQ_UNIT_LABOR_COST_INDEX_POP" hidden="1">"c7245"</definedName>
    <definedName name="IQ_UNIT_LABOR_COST_INDEX_POP_FC" hidden="1">"c8125"</definedName>
    <definedName name="IQ_UNIT_LABOR_COST_INDEX_YOY" hidden="1">"c7465"</definedName>
    <definedName name="IQ_UNIT_LABOR_COST_INDEX_YOY_FC" hidden="1">"c8345"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SECURED_DEBT" hidden="1">"c2548"</definedName>
    <definedName name="IQ_UNSECURED_DEBT_PCT" hidden="1">"c2549"</definedName>
    <definedName name="IQ_UNUSED_LOAN_COMMITMENTS_FDIC" hidden="1">"c6368"</definedName>
    <definedName name="IQ_UNUSUAL_EXP" hidden="1">"c1456"</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UTIL_PPE_NET" hidden="1">"c1620"</definedName>
    <definedName name="IQ_UTIL_REV" hidden="1">"c2091"</definedName>
    <definedName name="IQ_UV_PENSION_LIAB" hidden="1">"c1332"</definedName>
    <definedName name="IQ_VALUATION_ALLOWANCES_FDIC" hidden="1">"c6400"</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C_REVENUE_FDIC" hidden="1">"c6667"</definedName>
    <definedName name="IQ_VEHICLE_ASSEMBLIES_LIGHT" hidden="1">"c6905"</definedName>
    <definedName name="IQ_VEHICLE_ASSEMBLIES_LIGHT_APR" hidden="1">"c7565"</definedName>
    <definedName name="IQ_VEHICLE_ASSEMBLIES_LIGHT_APR_FC" hidden="1">"c8445"</definedName>
    <definedName name="IQ_VEHICLE_ASSEMBLIES_LIGHT_FC" hidden="1">"c7785"</definedName>
    <definedName name="IQ_VEHICLE_ASSEMBLIES_LIGHT_NEW" hidden="1">"c6925"</definedName>
    <definedName name="IQ_VEHICLE_ASSEMBLIES_LIGHT_NEW_APR" hidden="1">"c7585"</definedName>
    <definedName name="IQ_VEHICLE_ASSEMBLIES_LIGHT_NEW_APR_FC" hidden="1">"c8465"</definedName>
    <definedName name="IQ_VEHICLE_ASSEMBLIES_LIGHT_NEW_FC" hidden="1">"c7805"</definedName>
    <definedName name="IQ_VEHICLE_ASSEMBLIES_LIGHT_NEW_POP" hidden="1">"c7145"</definedName>
    <definedName name="IQ_VEHICLE_ASSEMBLIES_LIGHT_NEW_POP_FC" hidden="1">"c8025"</definedName>
    <definedName name="IQ_VEHICLE_ASSEMBLIES_LIGHT_NEW_YOY" hidden="1">"c7365"</definedName>
    <definedName name="IQ_VEHICLE_ASSEMBLIES_LIGHT_NEW_YOY_FC" hidden="1">"c8245"</definedName>
    <definedName name="IQ_VEHICLE_ASSEMBLIES_LIGHT_POP" hidden="1">"c7125"</definedName>
    <definedName name="IQ_VEHICLE_ASSEMBLIES_LIGHT_POP_FC" hidden="1">"c8005"</definedName>
    <definedName name="IQ_VEHICLE_ASSEMBLIES_LIGHT_YOY" hidden="1">"c7345"</definedName>
    <definedName name="IQ_VEHICLE_ASSEMBLIES_LIGHT_YOY_FC" hidden="1">"c8225"</definedName>
    <definedName name="IQ_VEHICLE_ASSEMBLIES_TOTAL" hidden="1">"c7020"</definedName>
    <definedName name="IQ_VEHICLE_ASSEMBLIES_TOTAL_APR" hidden="1">"c7680"</definedName>
    <definedName name="IQ_VEHICLE_ASSEMBLIES_TOTAL_APR_FC" hidden="1">"c8560"</definedName>
    <definedName name="IQ_VEHICLE_ASSEMBLIES_TOTAL_FC" hidden="1">"c7900"</definedName>
    <definedName name="IQ_VEHICLE_ASSEMBLIES_TOTAL_POP" hidden="1">"c7240"</definedName>
    <definedName name="IQ_VEHICLE_ASSEMBLIES_TOTAL_POP_FC" hidden="1">"c8120"</definedName>
    <definedName name="IQ_VEHICLE_ASSEMBLIES_TOTAL_YOY" hidden="1">"c7460"</definedName>
    <definedName name="IQ_VEHICLE_ASSEMBLIES_TOTAL_YOY_FC" hidden="1">"c8340"</definedName>
    <definedName name="IQ_VIF_AFTER_COST_CAPITAL_COVERED" hidden="1">"c9966"</definedName>
    <definedName name="IQ_VIF_AFTER_COST_CAPITAL_GROUP" hidden="1">"c9952"</definedName>
    <definedName name="IQ_VIF_BEFORE_COST_CAPITAL_COVERED" hidden="1">"c9964"</definedName>
    <definedName name="IQ_VIF_BEFORE_COST_CAPITAL_GROUP" hidden="1">"c9950"</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WAC_CURRENT" hidden="1">"c8961"</definedName>
    <definedName name="IQ_WAC_ORIGINAL" hidden="1">"c8953"</definedName>
    <definedName name="IQ_WAM_CURRENT" hidden="1">"c8962"</definedName>
    <definedName name="IQ_WAM_ORIGINAL" hidden="1">"c8952"</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HOLESALE_INVENTORIES" hidden="1">"c7027"</definedName>
    <definedName name="IQ_WHOLESALE_INVENTORIES_APR" hidden="1">"c7687"</definedName>
    <definedName name="IQ_WHOLESALE_INVENTORIES_APR_FC" hidden="1">"c8567"</definedName>
    <definedName name="IQ_WHOLESALE_INVENTORIES_FC" hidden="1">"c7907"</definedName>
    <definedName name="IQ_WHOLESALE_INVENTORIES_POP" hidden="1">"c7247"</definedName>
    <definedName name="IQ_WHOLESALE_INVENTORIES_POP_FC" hidden="1">"c8127"</definedName>
    <definedName name="IQ_WHOLESALE_INVENTORIES_YOY" hidden="1">"c7467"</definedName>
    <definedName name="IQ_WHOLESALE_INVENTORIES_YOY_FC" hidden="1">"c8347"</definedName>
    <definedName name="IQ_WHOLESALE_IS_RATIO" hidden="1">"c7026"</definedName>
    <definedName name="IQ_WHOLESALE_IS_RATIO_FC" hidden="1">"c7906"</definedName>
    <definedName name="IQ_WHOLESALE_IS_RATIO_POP" hidden="1">"c7246"</definedName>
    <definedName name="IQ_WHOLESALE_IS_RATIO_POP_FC" hidden="1">"c8126"</definedName>
    <definedName name="IQ_WHOLESALE_IS_RATIO_YOY" hidden="1">"c7466"</definedName>
    <definedName name="IQ_WHOLESALE_IS_RATIO_YOY_FC" hidden="1">"c8346"</definedName>
    <definedName name="IQ_WHOLESALE_SALES" hidden="1">"c7028"</definedName>
    <definedName name="IQ_WHOLESALE_SALES_APR" hidden="1">"c7688"</definedName>
    <definedName name="IQ_WHOLESALE_SALES_APR_FC" hidden="1">"c8568"</definedName>
    <definedName name="IQ_WHOLESALE_SALES_FC" hidden="1">"c7908"</definedName>
    <definedName name="IQ_WHOLESALE_SALES_INDEX" hidden="1">"c7029"</definedName>
    <definedName name="IQ_WHOLESALE_SALES_INDEX_APR" hidden="1">"c7689"</definedName>
    <definedName name="IQ_WHOLESALE_SALES_INDEX_APR_FC" hidden="1">"c8569"</definedName>
    <definedName name="IQ_WHOLESALE_SALES_INDEX_FC" hidden="1">"c7909"</definedName>
    <definedName name="IQ_WHOLESALE_SALES_INDEX_POP" hidden="1">"c7249"</definedName>
    <definedName name="IQ_WHOLESALE_SALES_INDEX_POP_FC" hidden="1">"c8129"</definedName>
    <definedName name="IQ_WHOLESALE_SALES_INDEX_YOY" hidden="1">"c7469"</definedName>
    <definedName name="IQ_WHOLESALE_SALES_INDEX_YOY_FC" hidden="1">"c8349"</definedName>
    <definedName name="IQ_WHOLESALE_SALES_POP" hidden="1">"c7248"</definedName>
    <definedName name="IQ_WHOLESALE_SALES_POP_FC" hidden="1">"c8128"</definedName>
    <definedName name="IQ_WHOLESALE_SALES_YOY" hidden="1">"c7468"</definedName>
    <definedName name="IQ_WHOLESALE_SALES_YOY_FC" hidden="1">"c8348"</definedName>
    <definedName name="IQ_WIP_INV" hidden="1">"c1335"</definedName>
    <definedName name="IQ_WORKING_CAP" hidden="1">"c3494"</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XDIV_DATE" hidden="1">"c2104"</definedName>
    <definedName name="IQ_YEAR_FOUNDED" hidden="1">"c6793"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W" hidden="1">"c2163"</definedName>
    <definedName name="IQ_YTW_DATE" hidden="1">"c2164"</definedName>
    <definedName name="IQ_YTW_DATE_TYPE" hidden="1">"c2165"</definedName>
    <definedName name="IQ_Z_SCORE" hidden="1">"c1339"</definedName>
    <definedName name="LBO1Firm" localSheetId="19">#REF!</definedName>
    <definedName name="LBO1Firm" localSheetId="15">#REF!</definedName>
    <definedName name="LBO1Firm" localSheetId="11">#REF!</definedName>
    <definedName name="LBO1Firm" localSheetId="18">#REF!</definedName>
    <definedName name="LBO1Firm" localSheetId="14">#REF!</definedName>
    <definedName name="LBO1Firm" localSheetId="6">#REF!</definedName>
    <definedName name="LBO1Firm" localSheetId="21">#REF!</definedName>
    <definedName name="LBO1Firm" localSheetId="17">#REF!</definedName>
    <definedName name="LBO1Firm" localSheetId="13">#REF!</definedName>
    <definedName name="LBO1Firm" localSheetId="5">#REF!</definedName>
    <definedName name="LBO1Firm" localSheetId="20">#REF!</definedName>
    <definedName name="LBO1Firm" localSheetId="16">#REF!</definedName>
    <definedName name="LBO1Firm" localSheetId="12">#REF!</definedName>
    <definedName name="LBO1Firm" localSheetId="8">#REF!</definedName>
    <definedName name="LBO1Firm">#REF!</definedName>
    <definedName name="LocalCal" localSheetId="24">[8]Static!$B$4</definedName>
    <definedName name="LocalCal">[8]Static!$B$4</definedName>
    <definedName name="LTM">[2]Sheet1!$B$5:$B$79</definedName>
    <definedName name="LTMEBITDA">[2]Sheet1!$B$61:$AH$61</definedName>
    <definedName name="LTMEBITDAR">[2]Sheet1!$B$62:$AH$62</definedName>
    <definedName name="MktCap2">'[1]M&amp;A Local'!$E$18</definedName>
    <definedName name="MODEL" localSheetId="19">#REF!</definedName>
    <definedName name="MODEL" localSheetId="15">#REF!</definedName>
    <definedName name="MODEL" localSheetId="11">#REF!</definedName>
    <definedName name="MODEL" localSheetId="18">#REF!</definedName>
    <definedName name="MODEL" localSheetId="14">#REF!</definedName>
    <definedName name="MODEL" localSheetId="6">#REF!</definedName>
    <definedName name="MODEL" localSheetId="21">#REF!</definedName>
    <definedName name="MODEL" localSheetId="17">#REF!</definedName>
    <definedName name="MODEL" localSheetId="13">#REF!</definedName>
    <definedName name="MODEL" localSheetId="5">#REF!</definedName>
    <definedName name="MODEL" localSheetId="20">#REF!</definedName>
    <definedName name="MODEL" localSheetId="16">#REF!</definedName>
    <definedName name="MODEL" localSheetId="12">#REF!</definedName>
    <definedName name="MODEL" localSheetId="8">#REF!</definedName>
    <definedName name="MODEL">#REF!</definedName>
    <definedName name="Model_Name" localSheetId="19">#REF!</definedName>
    <definedName name="Model_Name" localSheetId="15">#REF!</definedName>
    <definedName name="Model_Name" localSheetId="11">#REF!</definedName>
    <definedName name="Model_Name" localSheetId="18">#REF!</definedName>
    <definedName name="Model_Name" localSheetId="14">#REF!</definedName>
    <definedName name="Model_Name" localSheetId="6">#REF!</definedName>
    <definedName name="Model_Name" localSheetId="21">#REF!</definedName>
    <definedName name="Model_Name" localSheetId="17">#REF!</definedName>
    <definedName name="Model_Name" localSheetId="13">#REF!</definedName>
    <definedName name="Model_Name" localSheetId="5">#REF!</definedName>
    <definedName name="Model_Name" localSheetId="20">#REF!</definedName>
    <definedName name="Model_Name" localSheetId="16">#REF!</definedName>
    <definedName name="Model_Name" localSheetId="12">#REF!</definedName>
    <definedName name="Model_Name" localSheetId="8">#REF!</definedName>
    <definedName name="Model_Name">#REF!</definedName>
    <definedName name="NetDebtIss">[2]Sheet1!$B$26:$AH$26</definedName>
    <definedName name="NetStockIss">[2]Sheet1!$B$27:$AH$27</definedName>
    <definedName name="NI">[2]Sheet1!$B$16:$AH$16</definedName>
    <definedName name="OpCF">[2]Sheet1!$B$21:$AH$21</definedName>
    <definedName name="Other" localSheetId="15">#REF!</definedName>
    <definedName name="Other" localSheetId="11">#REF!</definedName>
    <definedName name="Other" localSheetId="6">#REF!</definedName>
    <definedName name="Other" localSheetId="17">#REF!</definedName>
    <definedName name="Other" localSheetId="13">#REF!</definedName>
    <definedName name="Other" localSheetId="5">#REF!</definedName>
    <definedName name="Other" localSheetId="16">#REF!</definedName>
    <definedName name="Other" localSheetId="12">#REF!</definedName>
    <definedName name="Other" localSheetId="8">#REF!</definedName>
    <definedName name="Other">#REF!</definedName>
    <definedName name="Premium">'[1]M&amp;A Local'!$C$28:$C$50</definedName>
    <definedName name="_xlnm.Print_Area" localSheetId="0">Cover!$A$1:$H$37</definedName>
    <definedName name="Q1_02">[3]Safeway!$AE$5:$AE$76</definedName>
    <definedName name="Q1_03">[2]Sheet1!$W$5:$W$79</definedName>
    <definedName name="Q1_04">[2]Sheet1!$V$5:$V$79</definedName>
    <definedName name="Q1_05">[2]Sheet1!$U$5:$U$79</definedName>
    <definedName name="Q1_06">[2]Sheet1!$T$5:$T$79</definedName>
    <definedName name="Q1_07">[2]Sheet1!$S$5:$S$79</definedName>
    <definedName name="Q1_08">'[9]HY Model FINAL'!$V$1:$V$65536</definedName>
    <definedName name="Q2_02">[3]Safeway!$AD$5:$AD$76</definedName>
    <definedName name="Q2_03">[2]Sheet1!$R$5:$R$79</definedName>
    <definedName name="Q2_04">[2]Sheet1!$Q$5:$Q$79</definedName>
    <definedName name="Q2_05">[2]Sheet1!$P$5:$P$79</definedName>
    <definedName name="Q2_06">[2]Sheet1!$O$5:$O$79</definedName>
    <definedName name="Q2_07">'[9]HY Model FINAL'!$R$1:$R$65536</definedName>
    <definedName name="Q3_02">[2]Sheet1!$Y$5:$Y$79</definedName>
    <definedName name="Q3_03">[2]Sheet1!$M$5:$M$79</definedName>
    <definedName name="Q3_03_check">[3]Safeway!$Y$5:$Y$76</definedName>
    <definedName name="Q3_04">[2]Sheet1!$L$5:$L$79</definedName>
    <definedName name="Q3_04_check">[3]Safeway!$W$5:$W$76</definedName>
    <definedName name="Q3_05">[2]Sheet1!$K$5:$K$79</definedName>
    <definedName name="Q3_06">[2]Sheet1!$J$5:$J$79</definedName>
    <definedName name="q3_07">'[9]HY Model FINAL'!$S$1:$S$65536</definedName>
    <definedName name="Q4_01">[3]Safeway!$AF$5:$AF$76</definedName>
    <definedName name="Q4_02">[2]Sheet1!$X$5:$X$79</definedName>
    <definedName name="Q4_03">[2]Sheet1!$H$5:$H$79</definedName>
    <definedName name="Q4_03_check">[3]Safeway!$X$5:$X$76</definedName>
    <definedName name="Q4_04">[2]Sheet1!$G$5:$G$79</definedName>
    <definedName name="Q4_04_check">[3]Safeway!$V$5:$V$76</definedName>
    <definedName name="Q4_05">[2]Sheet1!$F$5:$F$79</definedName>
    <definedName name="Q4_06">[2]Sheet1!$E$5:$E$79</definedName>
    <definedName name="Q4_07">'[9]HY Model FINAL'!$T$1:$T$65536</definedName>
    <definedName name="quarters" localSheetId="19">#REF!</definedName>
    <definedName name="quarters" localSheetId="15">#REF!</definedName>
    <definedName name="quarters" localSheetId="11">#REF!</definedName>
    <definedName name="quarters" localSheetId="18">#REF!</definedName>
    <definedName name="quarters" localSheetId="14">#REF!</definedName>
    <definedName name="quarters" localSheetId="6">#REF!</definedName>
    <definedName name="quarters" localSheetId="21">#REF!</definedName>
    <definedName name="quarters" localSheetId="17">#REF!</definedName>
    <definedName name="quarters" localSheetId="13">#REF!</definedName>
    <definedName name="quarters" localSheetId="5">#REF!</definedName>
    <definedName name="quarters" localSheetId="20">#REF!</definedName>
    <definedName name="quarters" localSheetId="16">#REF!</definedName>
    <definedName name="quarters" localSheetId="12">#REF!</definedName>
    <definedName name="quarters" localSheetId="8">#REF!</definedName>
    <definedName name="quarters">#REF!</definedName>
    <definedName name="Rent">[2]Sheet1!$B$11:$AH$11</definedName>
    <definedName name="Rent1">'[1]M&amp;A Local'!$E$14</definedName>
    <definedName name="Rent2">'[1]M&amp;A Local'!$E$22</definedName>
    <definedName name="Sales">[2]Sheet1!$B$6:$AH$6</definedName>
    <definedName name="SGA">[2]Sheet1!$B$9:$AH$9</definedName>
    <definedName name="ShareEq">[2]Sheet1!$B$42:$AH$42</definedName>
    <definedName name="Summary_Date" localSheetId="19">#REF!</definedName>
    <definedName name="Summary_Date" localSheetId="15">#REF!</definedName>
    <definedName name="Summary_Date" localSheetId="11">#REF!</definedName>
    <definedName name="Summary_Date" localSheetId="18">#REF!</definedName>
    <definedName name="Summary_Date" localSheetId="14">#REF!</definedName>
    <definedName name="Summary_Date" localSheetId="6">#REF!</definedName>
    <definedName name="Summary_Date" localSheetId="21">#REF!</definedName>
    <definedName name="Summary_Date" localSheetId="17">#REF!</definedName>
    <definedName name="Summary_Date" localSheetId="13">#REF!</definedName>
    <definedName name="Summary_Date" localSheetId="5">#REF!</definedName>
    <definedName name="Summary_Date" localSheetId="20">#REF!</definedName>
    <definedName name="Summary_Date" localSheetId="16">#REF!</definedName>
    <definedName name="Summary_Date" localSheetId="12">#REF!</definedName>
    <definedName name="Summary_Date" localSheetId="8">#REF!</definedName>
    <definedName name="Summary_Date">#REF!</definedName>
    <definedName name="w__ABS_drugstores">[4]Sheet1!$N$5:$N$65</definedName>
    <definedName name="xxx" hidden="1">"c3460"</definedName>
    <definedName name="xxx1" hidden="1">"c2895"</definedName>
    <definedName name="xxx2" hidden="1">"c2903"</definedName>
    <definedName name="xxxx3" hidden="1">39345.3574537037</definedName>
  </definedNames>
  <calcPr calcId="162913"/>
</workbook>
</file>

<file path=xl/calcChain.xml><?xml version="1.0" encoding="utf-8"?>
<calcChain xmlns="http://schemas.openxmlformats.org/spreadsheetml/2006/main">
  <c r="P22" i="36" l="1"/>
  <c r="P22" i="37"/>
  <c r="O51" i="31" l="1"/>
  <c r="O22" i="31"/>
  <c r="T52" i="31" l="1"/>
  <c r="F52" i="37" l="1"/>
  <c r="F52" i="36"/>
  <c r="E52" i="31" l="1"/>
  <c r="R51" i="31" l="1"/>
  <c r="V51" i="31"/>
  <c r="F51" i="31"/>
  <c r="B51" i="31" l="1"/>
  <c r="T53" i="31" l="1"/>
  <c r="V53" i="31"/>
  <c r="B53" i="31"/>
  <c r="F53" i="31"/>
  <c r="R24" i="31"/>
  <c r="C19" i="37"/>
  <c r="D19" i="37"/>
  <c r="E19" i="37"/>
  <c r="F19" i="37"/>
  <c r="G19" i="37"/>
  <c r="H19" i="37"/>
  <c r="I19" i="37"/>
  <c r="J19" i="37"/>
  <c r="K19" i="37"/>
  <c r="L19" i="37"/>
  <c r="N19" i="37"/>
  <c r="O19" i="37"/>
  <c r="P19" i="37"/>
  <c r="Q19" i="37"/>
  <c r="R19" i="37"/>
  <c r="S19" i="37"/>
  <c r="T19" i="37"/>
  <c r="W19" i="37"/>
  <c r="E20" i="37"/>
  <c r="F20" i="37"/>
  <c r="T20" i="37"/>
  <c r="C21" i="37"/>
  <c r="D21" i="37"/>
  <c r="F21" i="37"/>
  <c r="G21" i="37"/>
  <c r="H21" i="37"/>
  <c r="I21" i="37"/>
  <c r="J21" i="37"/>
  <c r="K21" i="37"/>
  <c r="L21" i="37"/>
  <c r="O21" i="37"/>
  <c r="P21" i="37"/>
  <c r="Q21" i="37"/>
  <c r="R21" i="37"/>
  <c r="S21" i="37"/>
  <c r="T21" i="37"/>
  <c r="W21" i="37"/>
  <c r="C22" i="37"/>
  <c r="D22" i="37"/>
  <c r="E22" i="37"/>
  <c r="F22" i="37"/>
  <c r="G22" i="37"/>
  <c r="H22" i="37"/>
  <c r="I22" i="37"/>
  <c r="J22" i="37"/>
  <c r="K22" i="37"/>
  <c r="L22" i="37"/>
  <c r="O22" i="37"/>
  <c r="Q22" i="37"/>
  <c r="R22" i="37"/>
  <c r="S22" i="37"/>
  <c r="T22" i="37"/>
  <c r="V22" i="37"/>
  <c r="W22" i="37"/>
  <c r="C23" i="37"/>
  <c r="D23" i="37"/>
  <c r="E23" i="37"/>
  <c r="F23" i="37"/>
  <c r="G23" i="37"/>
  <c r="H23" i="37"/>
  <c r="I23" i="37"/>
  <c r="J23" i="37"/>
  <c r="K23" i="37"/>
  <c r="L23" i="37"/>
  <c r="M23" i="37"/>
  <c r="N23" i="37"/>
  <c r="O23" i="37"/>
  <c r="P23" i="37"/>
  <c r="Q23" i="37"/>
  <c r="R23" i="37"/>
  <c r="S23" i="37"/>
  <c r="T23" i="37"/>
  <c r="U23" i="37"/>
  <c r="V23" i="37"/>
  <c r="W23" i="37"/>
  <c r="C24" i="37"/>
  <c r="D24" i="37"/>
  <c r="E24" i="37"/>
  <c r="F24" i="37"/>
  <c r="G24" i="37"/>
  <c r="H24" i="37"/>
  <c r="I24" i="37"/>
  <c r="J24" i="37"/>
  <c r="K24" i="37"/>
  <c r="L24" i="37"/>
  <c r="N24" i="37"/>
  <c r="O24" i="37"/>
  <c r="P24" i="37"/>
  <c r="Q24" i="37"/>
  <c r="R24" i="37"/>
  <c r="S24" i="37"/>
  <c r="T24" i="37"/>
  <c r="V24" i="37"/>
  <c r="W24" i="37"/>
  <c r="B19" i="37"/>
  <c r="B21" i="37"/>
  <c r="B22" i="37"/>
  <c r="B23" i="37"/>
  <c r="B24" i="37"/>
  <c r="C45" i="31"/>
  <c r="D45" i="31"/>
  <c r="E45" i="31"/>
  <c r="H45" i="31"/>
  <c r="O45" i="31"/>
  <c r="Q45" i="31"/>
  <c r="T45" i="31"/>
  <c r="V45" i="31"/>
  <c r="R52" i="31"/>
  <c r="S52" i="37"/>
  <c r="C11" i="37"/>
  <c r="G259" i="11" l="1"/>
  <c r="K259" i="11" s="1"/>
  <c r="D177" i="11"/>
  <c r="J259" i="11" l="1"/>
  <c r="T19" i="31" l="1"/>
  <c r="V52" i="31"/>
  <c r="V46" i="31"/>
  <c r="V47" i="31"/>
  <c r="T47" i="31"/>
  <c r="T46" i="31"/>
  <c r="S69" i="31"/>
  <c r="Q52" i="31"/>
  <c r="D64" i="31" l="1"/>
  <c r="Q52" i="37" l="1"/>
  <c r="P52" i="31"/>
  <c r="U52" i="31"/>
  <c r="M52" i="31"/>
  <c r="M19" i="31" l="1"/>
  <c r="O46" i="31"/>
  <c r="O47" i="31"/>
  <c r="O52" i="31"/>
  <c r="P52" i="37"/>
  <c r="O12" i="31"/>
  <c r="O14" i="31"/>
  <c r="L52" i="31" l="1"/>
  <c r="J52" i="31" l="1"/>
  <c r="I14" i="31" l="1"/>
  <c r="I10" i="31"/>
  <c r="I52" i="31"/>
  <c r="H52" i="31"/>
  <c r="H10" i="31"/>
  <c r="F52" i="31" l="1"/>
  <c r="F14" i="31"/>
  <c r="F12" i="31"/>
  <c r="F10" i="31"/>
  <c r="F51" i="33" l="1"/>
  <c r="C52" i="31"/>
  <c r="C47" i="31"/>
  <c r="B12" i="31"/>
  <c r="B46" i="31"/>
  <c r="B24" i="31"/>
  <c r="B21" i="31"/>
  <c r="B19" i="31"/>
  <c r="B16" i="31"/>
  <c r="K12" i="5" l="1"/>
  <c r="B2" i="4"/>
  <c r="B4" i="4"/>
  <c r="B15" i="14"/>
  <c r="B3" i="4" s="1"/>
  <c r="D2" i="31"/>
  <c r="U213" i="37" l="1"/>
  <c r="F211" i="37"/>
  <c r="U210" i="37"/>
  <c r="T210" i="37"/>
  <c r="U209" i="37"/>
  <c r="U208" i="37"/>
  <c r="H206" i="37"/>
  <c r="E206" i="37"/>
  <c r="D206" i="37"/>
  <c r="U205" i="37"/>
  <c r="T205" i="37"/>
  <c r="E205" i="37"/>
  <c r="H205" i="37" s="1"/>
  <c r="I206" i="37" s="1"/>
  <c r="U204" i="37"/>
  <c r="U203" i="37"/>
  <c r="P111" i="37"/>
  <c r="D109" i="37"/>
  <c r="D111" i="37" s="1"/>
  <c r="W107" i="37"/>
  <c r="W109" i="37" s="1"/>
  <c r="W111" i="37" s="1"/>
  <c r="V107" i="37"/>
  <c r="V109" i="37" s="1"/>
  <c r="V111" i="37" s="1"/>
  <c r="U107" i="37"/>
  <c r="U109" i="37" s="1"/>
  <c r="U111" i="37" s="1"/>
  <c r="T107" i="37"/>
  <c r="T109" i="37" s="1"/>
  <c r="T111" i="37" s="1"/>
  <c r="S107" i="37"/>
  <c r="S109" i="37" s="1"/>
  <c r="S111" i="37" s="1"/>
  <c r="R107" i="37"/>
  <c r="R109" i="37" s="1"/>
  <c r="R111" i="37" s="1"/>
  <c r="Q107" i="37"/>
  <c r="Q109" i="37" s="1"/>
  <c r="Q111" i="37" s="1"/>
  <c r="P107" i="37"/>
  <c r="P109" i="37" s="1"/>
  <c r="O107" i="37"/>
  <c r="O109" i="37" s="1"/>
  <c r="O111" i="37" s="1"/>
  <c r="N107" i="37"/>
  <c r="N109" i="37" s="1"/>
  <c r="N111" i="37" s="1"/>
  <c r="M107" i="37"/>
  <c r="M109" i="37" s="1"/>
  <c r="M111" i="37" s="1"/>
  <c r="L107" i="37"/>
  <c r="L109" i="37" s="1"/>
  <c r="L111" i="37" s="1"/>
  <c r="K107" i="37"/>
  <c r="K109" i="37" s="1"/>
  <c r="K111" i="37" s="1"/>
  <c r="J107" i="37"/>
  <c r="J109" i="37" s="1"/>
  <c r="J111" i="37" s="1"/>
  <c r="I107" i="37"/>
  <c r="I109" i="37" s="1"/>
  <c r="I111" i="37" s="1"/>
  <c r="H107" i="37"/>
  <c r="H109" i="37" s="1"/>
  <c r="H111" i="37" s="1"/>
  <c r="G107" i="37"/>
  <c r="G109" i="37" s="1"/>
  <c r="G111" i="37" s="1"/>
  <c r="F107" i="37"/>
  <c r="F109" i="37" s="1"/>
  <c r="F111" i="37" s="1"/>
  <c r="E107" i="37"/>
  <c r="E109" i="37" s="1"/>
  <c r="E111" i="37" s="1"/>
  <c r="D107" i="37"/>
  <c r="C107" i="37"/>
  <c r="C109" i="37" s="1"/>
  <c r="C111" i="37" s="1"/>
  <c r="B107" i="37"/>
  <c r="B109" i="37" s="1"/>
  <c r="B111" i="37" s="1"/>
  <c r="S102" i="37"/>
  <c r="S95" i="37"/>
  <c r="S89" i="37"/>
  <c r="T88" i="37"/>
  <c r="R82" i="37"/>
  <c r="E79" i="37"/>
  <c r="T77" i="37"/>
  <c r="R75" i="37"/>
  <c r="T70" i="37"/>
  <c r="T69" i="37"/>
  <c r="R68" i="37"/>
  <c r="E64" i="37"/>
  <c r="E61" i="37"/>
  <c r="W52" i="37"/>
  <c r="V52" i="37"/>
  <c r="U52" i="37"/>
  <c r="R52" i="37"/>
  <c r="M52" i="37"/>
  <c r="K52" i="37"/>
  <c r="J52" i="37"/>
  <c r="I52" i="37"/>
  <c r="D52" i="37"/>
  <c r="B52" i="37"/>
  <c r="V48" i="37"/>
  <c r="T48" i="37"/>
  <c r="S48" i="37"/>
  <c r="Q48" i="37"/>
  <c r="O48" i="37"/>
  <c r="N48" i="37"/>
  <c r="M48" i="37"/>
  <c r="L48" i="37"/>
  <c r="K48" i="37"/>
  <c r="J48" i="37"/>
  <c r="H48" i="37"/>
  <c r="G48" i="37"/>
  <c r="F48" i="37"/>
  <c r="C48" i="37"/>
  <c r="B48" i="37"/>
  <c r="U47" i="37"/>
  <c r="R47" i="37"/>
  <c r="D47" i="37"/>
  <c r="U46" i="37"/>
  <c r="R46" i="37"/>
  <c r="C46" i="37"/>
  <c r="U45" i="37"/>
  <c r="U48" i="37" s="1"/>
  <c r="U42" i="37" s="1"/>
  <c r="R45" i="37"/>
  <c r="I45" i="37"/>
  <c r="I48" i="37" s="1"/>
  <c r="F45" i="37"/>
  <c r="E45" i="37"/>
  <c r="E48" i="37" s="1"/>
  <c r="D45" i="37"/>
  <c r="D48" i="37" s="1"/>
  <c r="V43" i="37"/>
  <c r="U43" i="37"/>
  <c r="T43" i="37"/>
  <c r="S43" i="37"/>
  <c r="Q43" i="37"/>
  <c r="O43" i="37"/>
  <c r="N43" i="37"/>
  <c r="M43" i="37"/>
  <c r="L43" i="37"/>
  <c r="K43" i="37"/>
  <c r="J43" i="37"/>
  <c r="H43" i="37"/>
  <c r="G43" i="37"/>
  <c r="F43" i="37"/>
  <c r="C43" i="37"/>
  <c r="T42" i="37"/>
  <c r="S42" i="37"/>
  <c r="Q42" i="37"/>
  <c r="M42" i="37"/>
  <c r="L42" i="37"/>
  <c r="H42" i="37"/>
  <c r="G42" i="37"/>
  <c r="C42" i="37"/>
  <c r="V41" i="37"/>
  <c r="U41" i="37"/>
  <c r="T41" i="37"/>
  <c r="S41" i="37"/>
  <c r="Q41" i="37"/>
  <c r="O41" i="37"/>
  <c r="N41" i="37"/>
  <c r="M41" i="37"/>
  <c r="L41" i="37"/>
  <c r="K41" i="37"/>
  <c r="J41" i="37"/>
  <c r="H41" i="37"/>
  <c r="G41" i="37"/>
  <c r="F41" i="37"/>
  <c r="C41" i="37"/>
  <c r="M37" i="37"/>
  <c r="V27" i="37"/>
  <c r="V33" i="37" s="1"/>
  <c r="U27" i="37"/>
  <c r="U28" i="37" s="1"/>
  <c r="M27" i="37"/>
  <c r="C27" i="37"/>
  <c r="C16" i="37"/>
  <c r="T14" i="37"/>
  <c r="S14" i="37"/>
  <c r="R14" i="37"/>
  <c r="P14" i="37"/>
  <c r="G14" i="37"/>
  <c r="T12" i="37"/>
  <c r="S12" i="37"/>
  <c r="R12" i="37"/>
  <c r="P12" i="37"/>
  <c r="C12" i="37"/>
  <c r="T10" i="37"/>
  <c r="S10" i="37"/>
  <c r="R10" i="37"/>
  <c r="I10" i="37"/>
  <c r="G10" i="37"/>
  <c r="U15" i="37"/>
  <c r="P13" i="37"/>
  <c r="D2" i="37"/>
  <c r="J14" i="37" s="1"/>
  <c r="V11" i="37"/>
  <c r="D1" i="37"/>
  <c r="A1" i="37"/>
  <c r="I11" i="37" l="1"/>
  <c r="D11" i="37"/>
  <c r="R13" i="37"/>
  <c r="N13" i="37"/>
  <c r="H11" i="37"/>
  <c r="S13" i="37"/>
  <c r="V13" i="37"/>
  <c r="S11" i="37"/>
  <c r="C13" i="37"/>
  <c r="T13" i="37"/>
  <c r="G15" i="37"/>
  <c r="J15" i="37"/>
  <c r="G11" i="37"/>
  <c r="H13" i="37"/>
  <c r="L11" i="37"/>
  <c r="P11" i="37"/>
  <c r="T11" i="37"/>
  <c r="S15" i="37"/>
  <c r="H15" i="37"/>
  <c r="P15" i="37"/>
  <c r="K11" i="37"/>
  <c r="O11" i="37"/>
  <c r="W11" i="37"/>
  <c r="B13" i="37"/>
  <c r="M13" i="37"/>
  <c r="Q13" i="37"/>
  <c r="U13" i="37"/>
  <c r="R15" i="37"/>
  <c r="C15" i="37"/>
  <c r="M15" i="37"/>
  <c r="N27" i="37"/>
  <c r="N37" i="37"/>
  <c r="M49" i="37"/>
  <c r="W15" i="37"/>
  <c r="O15" i="37"/>
  <c r="K15" i="37"/>
  <c r="V15" i="37"/>
  <c r="N15" i="37"/>
  <c r="D15" i="37"/>
  <c r="B49" i="37"/>
  <c r="B42" i="37"/>
  <c r="B41" i="37"/>
  <c r="B43" i="37"/>
  <c r="E62" i="37"/>
  <c r="M11" i="37"/>
  <c r="Q11" i="37"/>
  <c r="U11" i="37"/>
  <c r="D13" i="37"/>
  <c r="I13" i="37"/>
  <c r="O13" i="37"/>
  <c r="W13" i="37"/>
  <c r="I15" i="37"/>
  <c r="Q15" i="37"/>
  <c r="C33" i="37"/>
  <c r="M33" i="37"/>
  <c r="M28" i="37"/>
  <c r="Q62" i="37"/>
  <c r="Q66" i="37" s="1"/>
  <c r="W46" i="37"/>
  <c r="P45" i="37"/>
  <c r="Q64" i="37"/>
  <c r="Q68" i="37" s="1"/>
  <c r="Q63" i="37"/>
  <c r="Q67" i="37" s="1"/>
  <c r="H49" i="37"/>
  <c r="U65" i="37"/>
  <c r="U69" i="37" s="1"/>
  <c r="U70" i="37" s="1"/>
  <c r="T49" i="37"/>
  <c r="L49" i="37"/>
  <c r="W47" i="37"/>
  <c r="I65" i="37"/>
  <c r="I69" i="37" s="1"/>
  <c r="I70" i="37" s="1"/>
  <c r="Q49" i="37"/>
  <c r="W45" i="37"/>
  <c r="I64" i="37"/>
  <c r="I68" i="37" s="1"/>
  <c r="U49" i="37"/>
  <c r="P47" i="37"/>
  <c r="P46" i="37"/>
  <c r="J10" i="37"/>
  <c r="J11" i="37" s="1"/>
  <c r="B11" i="37"/>
  <c r="N11" i="37"/>
  <c r="R11" i="37"/>
  <c r="G12" i="37"/>
  <c r="G13" i="37" s="1"/>
  <c r="L13" i="37"/>
  <c r="B15" i="37"/>
  <c r="L15" i="37"/>
  <c r="T15" i="37"/>
  <c r="M51" i="37"/>
  <c r="M53" i="37" s="1"/>
  <c r="D41" i="37"/>
  <c r="D42" i="37"/>
  <c r="D49" i="37"/>
  <c r="R48" i="37"/>
  <c r="R49" i="37" s="1"/>
  <c r="R41" i="37"/>
  <c r="K49" i="37"/>
  <c r="K42" i="37"/>
  <c r="O49" i="37"/>
  <c r="O42" i="37"/>
  <c r="E43" i="37"/>
  <c r="E42" i="37"/>
  <c r="E41" i="37"/>
  <c r="G49" i="37"/>
  <c r="E49" i="37"/>
  <c r="I42" i="37"/>
  <c r="I49" i="37"/>
  <c r="I43" i="37"/>
  <c r="I41" i="37"/>
  <c r="U64" i="37"/>
  <c r="U68" i="37" s="1"/>
  <c r="U63" i="37"/>
  <c r="U67" i="37" s="1"/>
  <c r="I63" i="37"/>
  <c r="I67" i="37" s="1"/>
  <c r="D43" i="37"/>
  <c r="F49" i="37"/>
  <c r="F42" i="37"/>
  <c r="J49" i="37"/>
  <c r="J42" i="37"/>
  <c r="N49" i="37"/>
  <c r="N42" i="37"/>
  <c r="S49" i="37"/>
  <c r="R42" i="37"/>
  <c r="C49" i="37"/>
  <c r="V49" i="37"/>
  <c r="V42" i="37"/>
  <c r="G256" i="11"/>
  <c r="D230" i="11"/>
  <c r="D231" i="11"/>
  <c r="D232" i="11"/>
  <c r="D233" i="11"/>
  <c r="D234" i="11"/>
  <c r="D151" i="11"/>
  <c r="D152" i="11"/>
  <c r="D153" i="11"/>
  <c r="D154" i="11"/>
  <c r="D155" i="11"/>
  <c r="F118" i="37" l="1"/>
  <c r="E118" i="37"/>
  <c r="E16" i="37"/>
  <c r="K118" i="37"/>
  <c r="I71" i="37"/>
  <c r="I16" i="37" s="1"/>
  <c r="S118" i="37"/>
  <c r="S16" i="37"/>
  <c r="J118" i="37"/>
  <c r="J16" i="37"/>
  <c r="R118" i="37"/>
  <c r="R16" i="37"/>
  <c r="P43" i="37"/>
  <c r="Q118" i="37"/>
  <c r="T118" i="37"/>
  <c r="T27" i="37"/>
  <c r="T28" i="37" s="1"/>
  <c r="T29" i="37" s="1"/>
  <c r="T16" i="37"/>
  <c r="Q69" i="37"/>
  <c r="Q70" i="37" s="1"/>
  <c r="Q16" i="37" s="1"/>
  <c r="M34" i="37"/>
  <c r="M29" i="37"/>
  <c r="N51" i="37"/>
  <c r="N53" i="37" s="1"/>
  <c r="N118" i="37"/>
  <c r="I118" i="37"/>
  <c r="I27" i="37"/>
  <c r="I28" i="37" s="1"/>
  <c r="D118" i="37"/>
  <c r="U71" i="37"/>
  <c r="U16" i="37" s="1"/>
  <c r="P48" i="37"/>
  <c r="P49" i="37" s="1"/>
  <c r="P41" i="37"/>
  <c r="E52" i="37"/>
  <c r="F16" i="37"/>
  <c r="E14" i="37"/>
  <c r="E15" i="37" s="1"/>
  <c r="E10" i="37"/>
  <c r="E11" i="37" s="1"/>
  <c r="F12" i="37"/>
  <c r="F13" i="37" s="1"/>
  <c r="F14" i="37"/>
  <c r="F15" i="37" s="1"/>
  <c r="F10" i="37"/>
  <c r="F11" i="37" s="1"/>
  <c r="N28" i="37"/>
  <c r="N33" i="37"/>
  <c r="V118" i="37"/>
  <c r="G118" i="37"/>
  <c r="G16" i="37"/>
  <c r="R43" i="37"/>
  <c r="D16" i="37"/>
  <c r="W65" i="37"/>
  <c r="W69" i="37" s="1"/>
  <c r="W43" i="37"/>
  <c r="H118" i="37"/>
  <c r="H27" i="37"/>
  <c r="H28" i="37" s="1"/>
  <c r="H29" i="37" s="1"/>
  <c r="H16" i="37"/>
  <c r="W64" i="37"/>
  <c r="W68" i="37" s="1"/>
  <c r="W42" i="37"/>
  <c r="E55" i="37"/>
  <c r="B118" i="37"/>
  <c r="B27" i="37"/>
  <c r="B28" i="37" s="1"/>
  <c r="B29" i="37" s="1"/>
  <c r="B16" i="37"/>
  <c r="M118" i="37"/>
  <c r="U118" i="37"/>
  <c r="U29" i="37"/>
  <c r="C118" i="37"/>
  <c r="O118" i="37"/>
  <c r="O16" i="37"/>
  <c r="O27" i="37"/>
  <c r="P42" i="37"/>
  <c r="W63" i="37"/>
  <c r="W67" i="37" s="1"/>
  <c r="W48" i="37"/>
  <c r="W49" i="37" s="1"/>
  <c r="L118" i="37"/>
  <c r="M109" i="33"/>
  <c r="M108" i="33"/>
  <c r="M107" i="33"/>
  <c r="M103" i="33"/>
  <c r="M101" i="33"/>
  <c r="M99" i="33"/>
  <c r="M98" i="33"/>
  <c r="M100" i="33" s="1"/>
  <c r="M102" i="33" s="1"/>
  <c r="M115" i="35"/>
  <c r="M114" i="35"/>
  <c r="M113" i="35"/>
  <c r="M109" i="35"/>
  <c r="M107" i="35"/>
  <c r="M105" i="35"/>
  <c r="M104" i="35"/>
  <c r="M106" i="35" s="1"/>
  <c r="M108" i="35" s="1"/>
  <c r="M118" i="36"/>
  <c r="M117" i="36"/>
  <c r="M109" i="36"/>
  <c r="M111" i="36" s="1"/>
  <c r="M107" i="36"/>
  <c r="L107" i="31"/>
  <c r="L109" i="31" s="1"/>
  <c r="L111" i="31" s="1"/>
  <c r="L23" i="14"/>
  <c r="L20" i="14"/>
  <c r="L12" i="14"/>
  <c r="L11" i="14"/>
  <c r="L5" i="14" s="1"/>
  <c r="M52" i="35"/>
  <c r="M51" i="33"/>
  <c r="M52" i="36"/>
  <c r="M46" i="36"/>
  <c r="M47" i="36"/>
  <c r="M45" i="36"/>
  <c r="M10" i="33"/>
  <c r="M12" i="33"/>
  <c r="M14" i="33"/>
  <c r="M42" i="33"/>
  <c r="M41" i="33"/>
  <c r="M40" i="33"/>
  <c r="M36" i="33"/>
  <c r="M26" i="33"/>
  <c r="M32" i="33" s="1"/>
  <c r="M18" i="33"/>
  <c r="L47" i="4"/>
  <c r="L46" i="4"/>
  <c r="L45" i="4"/>
  <c r="L23" i="4"/>
  <c r="L21" i="4"/>
  <c r="L20" i="4"/>
  <c r="L19" i="4"/>
  <c r="L18" i="4"/>
  <c r="M45" i="33"/>
  <c r="M46" i="33"/>
  <c r="M44" i="33"/>
  <c r="M21" i="33"/>
  <c r="M47" i="35"/>
  <c r="M46" i="35"/>
  <c r="M45" i="35"/>
  <c r="M22" i="35"/>
  <c r="M37" i="35" s="1"/>
  <c r="M19" i="35"/>
  <c r="M22" i="36"/>
  <c r="M19" i="36"/>
  <c r="M37" i="36" s="1"/>
  <c r="L52" i="4"/>
  <c r="M27" i="35"/>
  <c r="M33" i="35" s="1"/>
  <c r="M27" i="36"/>
  <c r="M33" i="36" s="1"/>
  <c r="L48" i="31"/>
  <c r="L49" i="31" s="1"/>
  <c r="L37" i="31"/>
  <c r="L27" i="31"/>
  <c r="L28" i="31" s="1"/>
  <c r="L118" i="31" l="1"/>
  <c r="L23" i="31"/>
  <c r="G14" i="5"/>
  <c r="G19" i="5"/>
  <c r="L27" i="4"/>
  <c r="L28" i="4" s="1"/>
  <c r="L22" i="4"/>
  <c r="H117" i="37"/>
  <c r="H30" i="37"/>
  <c r="H36" i="37" s="1"/>
  <c r="F37" i="37"/>
  <c r="F51" i="37" s="1"/>
  <c r="F53" i="37" s="1"/>
  <c r="R37" i="37"/>
  <c r="R51" i="37" s="1"/>
  <c r="R53" i="37" s="1"/>
  <c r="K37" i="37"/>
  <c r="K51" i="37" s="1"/>
  <c r="K53" i="37" s="1"/>
  <c r="K27" i="37"/>
  <c r="L37" i="37"/>
  <c r="L51" i="37" s="1"/>
  <c r="L53" i="37" s="1"/>
  <c r="L27" i="37"/>
  <c r="W41" i="37"/>
  <c r="O28" i="37"/>
  <c r="O29" i="37" s="1"/>
  <c r="C28" i="37"/>
  <c r="C37" i="37"/>
  <c r="C51" i="37" s="1"/>
  <c r="C53" i="37" s="1"/>
  <c r="W70" i="37"/>
  <c r="W71" i="37" s="1"/>
  <c r="G37" i="37"/>
  <c r="G51" i="37" s="1"/>
  <c r="G53" i="37" s="1"/>
  <c r="V37" i="37"/>
  <c r="V51" i="37" s="1"/>
  <c r="V53" i="37" s="1"/>
  <c r="V28" i="37"/>
  <c r="F27" i="37"/>
  <c r="F28" i="37" s="1"/>
  <c r="F29" i="37" s="1"/>
  <c r="F35" i="37" s="1"/>
  <c r="P118" i="37"/>
  <c r="P27" i="37"/>
  <c r="P28" i="37" s="1"/>
  <c r="P16" i="37"/>
  <c r="D27" i="37"/>
  <c r="D28" i="37" s="1"/>
  <c r="D29" i="37" s="1"/>
  <c r="Q37" i="37"/>
  <c r="Q51" i="37" s="1"/>
  <c r="Q53" i="37" s="1"/>
  <c r="R27" i="37"/>
  <c r="R28" i="37" s="1"/>
  <c r="R29" i="37" s="1"/>
  <c r="R35" i="37" s="1"/>
  <c r="S27" i="37"/>
  <c r="S28" i="37" s="1"/>
  <c r="S29" i="37" s="1"/>
  <c r="S35" i="37" s="1"/>
  <c r="E27" i="37"/>
  <c r="E37" i="37"/>
  <c r="B117" i="37"/>
  <c r="B30" i="37"/>
  <c r="B36" i="37" s="1"/>
  <c r="N34" i="37"/>
  <c r="N29" i="37"/>
  <c r="T117" i="37"/>
  <c r="T30" i="37"/>
  <c r="T36" i="37" s="1"/>
  <c r="J37" i="37"/>
  <c r="J51" i="37" s="1"/>
  <c r="J53" i="37" s="1"/>
  <c r="W118" i="37"/>
  <c r="W27" i="37"/>
  <c r="W28" i="37" s="1"/>
  <c r="W29" i="37" s="1"/>
  <c r="W16" i="37"/>
  <c r="O37" i="37"/>
  <c r="O51" i="37" s="1"/>
  <c r="O53" i="37" s="1"/>
  <c r="O35" i="37"/>
  <c r="O33" i="37"/>
  <c r="H37" i="37"/>
  <c r="H51" i="37" s="1"/>
  <c r="H53" i="37" s="1"/>
  <c r="H35" i="37"/>
  <c r="H33" i="37"/>
  <c r="H34" i="37"/>
  <c r="D37" i="37"/>
  <c r="D51" i="37" s="1"/>
  <c r="D53" i="37" s="1"/>
  <c r="D35" i="37"/>
  <c r="G27" i="37"/>
  <c r="G28" i="37" s="1"/>
  <c r="G29" i="37" s="1"/>
  <c r="G35" i="37" s="1"/>
  <c r="U34" i="37"/>
  <c r="U33" i="37"/>
  <c r="U37" i="37"/>
  <c r="U51" i="37" s="1"/>
  <c r="U53" i="37" s="1"/>
  <c r="U35" i="37"/>
  <c r="I29" i="37"/>
  <c r="I35" i="37" s="1"/>
  <c r="J27" i="37"/>
  <c r="J28" i="37" s="1"/>
  <c r="J29" i="37" s="1"/>
  <c r="I34" i="37"/>
  <c r="I33" i="37"/>
  <c r="I37" i="37"/>
  <c r="I51" i="37" s="1"/>
  <c r="I53" i="37" s="1"/>
  <c r="U117" i="37"/>
  <c r="U30" i="37"/>
  <c r="U36" i="37" s="1"/>
  <c r="B37" i="37"/>
  <c r="B51" i="37" s="1"/>
  <c r="B53" i="37" s="1"/>
  <c r="B34" i="37"/>
  <c r="B33" i="37"/>
  <c r="B35" i="37"/>
  <c r="M117" i="37"/>
  <c r="M30" i="37"/>
  <c r="M36" i="37" s="1"/>
  <c r="M35" i="37"/>
  <c r="T37" i="37"/>
  <c r="T51" i="37" s="1"/>
  <c r="T53" i="37" s="1"/>
  <c r="T35" i="37"/>
  <c r="T34" i="37"/>
  <c r="T33" i="37"/>
  <c r="Q27" i="37"/>
  <c r="Q28" i="37" s="1"/>
  <c r="Q29" i="37" s="1"/>
  <c r="S37" i="37"/>
  <c r="S51" i="37" s="1"/>
  <c r="S53" i="37" s="1"/>
  <c r="S33" i="37"/>
  <c r="M48" i="36"/>
  <c r="M43" i="36" s="1"/>
  <c r="M27" i="33"/>
  <c r="L48" i="4"/>
  <c r="L42" i="4" s="1"/>
  <c r="M47" i="33"/>
  <c r="M48" i="33" s="1"/>
  <c r="M48" i="35"/>
  <c r="M43" i="35" s="1"/>
  <c r="L51" i="31"/>
  <c r="L53" i="31" s="1"/>
  <c r="L42" i="31"/>
  <c r="L43" i="31"/>
  <c r="L41" i="31"/>
  <c r="M50" i="33"/>
  <c r="M52" i="33" s="1"/>
  <c r="M28" i="35"/>
  <c r="M28" i="36"/>
  <c r="M41" i="36"/>
  <c r="M49" i="36"/>
  <c r="M51" i="36" s="1"/>
  <c r="M53" i="36" s="1"/>
  <c r="L34" i="31"/>
  <c r="L33" i="31"/>
  <c r="D33" i="37" l="1"/>
  <c r="O34" i="37"/>
  <c r="D34" i="37"/>
  <c r="R33" i="37"/>
  <c r="S34" i="37"/>
  <c r="L29" i="4"/>
  <c r="L30" i="4" s="1"/>
  <c r="E28" i="37"/>
  <c r="E34" i="37" s="1"/>
  <c r="G15" i="5"/>
  <c r="E51" i="37"/>
  <c r="E53" i="37" s="1"/>
  <c r="E33" i="37"/>
  <c r="L29" i="31"/>
  <c r="L117" i="31" s="1"/>
  <c r="L4" i="14"/>
  <c r="Q117" i="37"/>
  <c r="Q30" i="37"/>
  <c r="Q36" i="37" s="1"/>
  <c r="T38" i="37"/>
  <c r="S38" i="37"/>
  <c r="I38" i="37"/>
  <c r="W37" i="37"/>
  <c r="W51" i="37" s="1"/>
  <c r="W53" i="37" s="1"/>
  <c r="W35" i="37"/>
  <c r="W33" i="37"/>
  <c r="W34" i="37"/>
  <c r="W117" i="37"/>
  <c r="W30" i="37"/>
  <c r="W36" i="37" s="1"/>
  <c r="Q33" i="37"/>
  <c r="P37" i="37"/>
  <c r="P51" i="37" s="1"/>
  <c r="P53" i="37" s="1"/>
  <c r="P34" i="37"/>
  <c r="P33" i="37"/>
  <c r="G38" i="37"/>
  <c r="L28" i="37"/>
  <c r="L33" i="37"/>
  <c r="R38" i="37"/>
  <c r="M38" i="37"/>
  <c r="B38" i="37"/>
  <c r="U38" i="37"/>
  <c r="D38" i="37"/>
  <c r="S117" i="37"/>
  <c r="S30" i="37"/>
  <c r="S36" i="37" s="1"/>
  <c r="Q35" i="37"/>
  <c r="D117" i="37"/>
  <c r="D30" i="37"/>
  <c r="D36" i="37" s="1"/>
  <c r="F117" i="37"/>
  <c r="F30" i="37"/>
  <c r="F36" i="37" s="1"/>
  <c r="G34" i="37"/>
  <c r="O30" i="37"/>
  <c r="O36" i="37" s="1"/>
  <c r="O117" i="37"/>
  <c r="K33" i="37"/>
  <c r="K28" i="37"/>
  <c r="F33" i="37"/>
  <c r="H38" i="37"/>
  <c r="J33" i="37"/>
  <c r="N117" i="37"/>
  <c r="N35" i="37"/>
  <c r="N30" i="37"/>
  <c r="N36" i="37" s="1"/>
  <c r="R117" i="37"/>
  <c r="R30" i="37"/>
  <c r="R36" i="37" s="1"/>
  <c r="Q34" i="37"/>
  <c r="V34" i="37"/>
  <c r="V29" i="37"/>
  <c r="G33" i="37"/>
  <c r="R34" i="37"/>
  <c r="F34" i="37"/>
  <c r="J117" i="37"/>
  <c r="J30" i="37"/>
  <c r="J36" i="37" s="1"/>
  <c r="J34" i="37"/>
  <c r="I117" i="37"/>
  <c r="I30" i="37"/>
  <c r="I36" i="37" s="1"/>
  <c r="G117" i="37"/>
  <c r="G30" i="37"/>
  <c r="G36" i="37" s="1"/>
  <c r="O38" i="37"/>
  <c r="J35" i="37"/>
  <c r="P29" i="37"/>
  <c r="P35" i="37" s="1"/>
  <c r="C29" i="37"/>
  <c r="C34" i="37"/>
  <c r="F38" i="37"/>
  <c r="M42" i="36"/>
  <c r="M33" i="33"/>
  <c r="M28" i="33"/>
  <c r="L43" i="4"/>
  <c r="L49" i="4"/>
  <c r="L41" i="4"/>
  <c r="M49" i="35"/>
  <c r="M51" i="35" s="1"/>
  <c r="M53" i="35" s="1"/>
  <c r="M41" i="35"/>
  <c r="M42" i="35"/>
  <c r="M29" i="35"/>
  <c r="M34" i="35"/>
  <c r="M29" i="36"/>
  <c r="M34" i="36"/>
  <c r="Q47" i="31"/>
  <c r="Q46" i="31"/>
  <c r="Q68" i="31"/>
  <c r="Q10" i="31" s="1"/>
  <c r="Q75" i="31"/>
  <c r="Q12" i="31" s="1"/>
  <c r="Q82" i="31"/>
  <c r="Q14" i="31" s="1"/>
  <c r="I14" i="5"/>
  <c r="I15" i="5"/>
  <c r="I16" i="5"/>
  <c r="I19" i="5"/>
  <c r="I20" i="5"/>
  <c r="G20" i="5" l="1"/>
  <c r="L35" i="31"/>
  <c r="M4" i="11"/>
  <c r="M3" i="11"/>
  <c r="E29" i="37"/>
  <c r="G16" i="5"/>
  <c r="L30" i="31"/>
  <c r="L36" i="31" s="1"/>
  <c r="M2" i="11" s="1"/>
  <c r="L38" i="31"/>
  <c r="P38" i="37"/>
  <c r="L34" i="37"/>
  <c r="L29" i="37"/>
  <c r="V117" i="37"/>
  <c r="V35" i="37"/>
  <c r="V30" i="37"/>
  <c r="V36" i="37" s="1"/>
  <c r="W38" i="37"/>
  <c r="K29" i="37"/>
  <c r="K34" i="37"/>
  <c r="C117" i="37"/>
  <c r="C30" i="37"/>
  <c r="C36" i="37" s="1"/>
  <c r="C35" i="37"/>
  <c r="J38" i="37"/>
  <c r="N38" i="37"/>
  <c r="Q38" i="37"/>
  <c r="P117" i="37"/>
  <c r="P30" i="37"/>
  <c r="P36" i="37" s="1"/>
  <c r="M29" i="33"/>
  <c r="M35" i="33" s="1"/>
  <c r="M34" i="33"/>
  <c r="M37" i="33" s="1"/>
  <c r="M35" i="35"/>
  <c r="M38" i="35" s="1"/>
  <c r="M30" i="35"/>
  <c r="I17" i="5"/>
  <c r="M35" i="36"/>
  <c r="M38" i="36" s="1"/>
  <c r="M30" i="36"/>
  <c r="M36" i="36" s="1"/>
  <c r="E35" i="37" l="1"/>
  <c r="E38" i="37" s="1"/>
  <c r="G17" i="5"/>
  <c r="E117" i="37"/>
  <c r="E30" i="37"/>
  <c r="L117" i="37"/>
  <c r="L35" i="37"/>
  <c r="L30" i="37"/>
  <c r="L36" i="37" s="1"/>
  <c r="K35" i="37"/>
  <c r="K117" i="37"/>
  <c r="K30" i="37"/>
  <c r="K36" i="37" s="1"/>
  <c r="C38" i="37"/>
  <c r="V38" i="37"/>
  <c r="M36" i="35"/>
  <c r="I18" i="5"/>
  <c r="L11" i="31"/>
  <c r="L10" i="4" s="1"/>
  <c r="O112" i="37" l="1"/>
  <c r="B112" i="37"/>
  <c r="U112" i="37"/>
  <c r="S112" i="37"/>
  <c r="C112" i="37"/>
  <c r="Q112" i="37"/>
  <c r="P112" i="37"/>
  <c r="I112" i="37"/>
  <c r="D112" i="37"/>
  <c r="V112" i="37"/>
  <c r="M112" i="37"/>
  <c r="E112" i="37"/>
  <c r="E36" i="37"/>
  <c r="C108" i="37" s="1"/>
  <c r="G18" i="5"/>
  <c r="T112" i="37"/>
  <c r="R112" i="37"/>
  <c r="G112" i="37"/>
  <c r="J112" i="37"/>
  <c r="L112" i="37"/>
  <c r="L38" i="37"/>
  <c r="K108" i="37"/>
  <c r="F112" i="37"/>
  <c r="H112" i="37"/>
  <c r="K112" i="37"/>
  <c r="K38" i="37"/>
  <c r="D110" i="37" s="1"/>
  <c r="N112" i="37"/>
  <c r="W112" i="37"/>
  <c r="G11" i="31"/>
  <c r="K11" i="31"/>
  <c r="P11" i="31"/>
  <c r="T11" i="31"/>
  <c r="M11" i="31"/>
  <c r="U11" i="31"/>
  <c r="N11" i="31"/>
  <c r="V11" i="31"/>
  <c r="H11" i="31"/>
  <c r="Q11" i="31"/>
  <c r="J11" i="31"/>
  <c r="O11" i="31"/>
  <c r="D1" i="31"/>
  <c r="U213" i="36"/>
  <c r="F211" i="36"/>
  <c r="U210" i="36"/>
  <c r="T210" i="36"/>
  <c r="U209" i="36"/>
  <c r="U208" i="36"/>
  <c r="H206" i="36"/>
  <c r="E206" i="36"/>
  <c r="D206" i="36"/>
  <c r="U205" i="36"/>
  <c r="T205" i="36"/>
  <c r="E205" i="36"/>
  <c r="H205" i="36" s="1"/>
  <c r="U204" i="36"/>
  <c r="U203" i="36"/>
  <c r="V111" i="36"/>
  <c r="N111" i="36"/>
  <c r="I111" i="36"/>
  <c r="E111" i="36"/>
  <c r="V109" i="36"/>
  <c r="T109" i="36"/>
  <c r="T111" i="36" s="1"/>
  <c r="P109" i="36"/>
  <c r="P111" i="36" s="1"/>
  <c r="N109" i="36"/>
  <c r="K109" i="36"/>
  <c r="K111" i="36" s="1"/>
  <c r="G109" i="36"/>
  <c r="G111" i="36" s="1"/>
  <c r="E109" i="36"/>
  <c r="C109" i="36"/>
  <c r="C111" i="36" s="1"/>
  <c r="W107" i="36"/>
  <c r="W109" i="36" s="1"/>
  <c r="W111" i="36" s="1"/>
  <c r="V107" i="36"/>
  <c r="U107" i="36"/>
  <c r="U109" i="36" s="1"/>
  <c r="U111" i="36" s="1"/>
  <c r="T107" i="36"/>
  <c r="S107" i="36"/>
  <c r="S109" i="36" s="1"/>
  <c r="S111" i="36" s="1"/>
  <c r="R107" i="36"/>
  <c r="R109" i="36" s="1"/>
  <c r="R111" i="36" s="1"/>
  <c r="Q107" i="36"/>
  <c r="Q109" i="36" s="1"/>
  <c r="Q111" i="36" s="1"/>
  <c r="P107" i="36"/>
  <c r="O107" i="36"/>
  <c r="O109" i="36" s="1"/>
  <c r="O111" i="36" s="1"/>
  <c r="N107" i="36"/>
  <c r="L107" i="36"/>
  <c r="L109" i="36" s="1"/>
  <c r="L111" i="36" s="1"/>
  <c r="K107" i="36"/>
  <c r="J107" i="36"/>
  <c r="J109" i="36" s="1"/>
  <c r="J111" i="36" s="1"/>
  <c r="I107" i="36"/>
  <c r="I109" i="36" s="1"/>
  <c r="H107" i="36"/>
  <c r="H109" i="36" s="1"/>
  <c r="H111" i="36" s="1"/>
  <c r="G107" i="36"/>
  <c r="F107" i="36"/>
  <c r="F109" i="36" s="1"/>
  <c r="F111" i="36" s="1"/>
  <c r="E107" i="36"/>
  <c r="D107" i="36"/>
  <c r="D109" i="36" s="1"/>
  <c r="D111" i="36" s="1"/>
  <c r="C107" i="36"/>
  <c r="B107" i="36"/>
  <c r="B109" i="36" s="1"/>
  <c r="B111" i="36" s="1"/>
  <c r="S102" i="36"/>
  <c r="S95" i="36"/>
  <c r="S89" i="36"/>
  <c r="T88" i="36"/>
  <c r="E79" i="36"/>
  <c r="T77" i="36"/>
  <c r="T69" i="36"/>
  <c r="T70" i="36" s="1"/>
  <c r="U64" i="36"/>
  <c r="U68" i="36" s="1"/>
  <c r="E64" i="36"/>
  <c r="Q63" i="36"/>
  <c r="Q67" i="36" s="1"/>
  <c r="E61" i="36"/>
  <c r="V52" i="36"/>
  <c r="U52" i="36"/>
  <c r="T52" i="36"/>
  <c r="S52" i="36"/>
  <c r="P52" i="36"/>
  <c r="N52" i="36"/>
  <c r="K52" i="36"/>
  <c r="J52" i="36"/>
  <c r="I52" i="36"/>
  <c r="D52" i="36"/>
  <c r="B52" i="36"/>
  <c r="T49" i="36"/>
  <c r="T20" i="36" s="1"/>
  <c r="K49" i="36"/>
  <c r="K118" i="36" s="1"/>
  <c r="V48" i="36"/>
  <c r="T48" i="36"/>
  <c r="S48" i="36"/>
  <c r="Q48" i="36"/>
  <c r="O48" i="36"/>
  <c r="N48" i="36"/>
  <c r="L48" i="36"/>
  <c r="K48" i="36"/>
  <c r="J48" i="36"/>
  <c r="H48" i="36"/>
  <c r="G48" i="36"/>
  <c r="F48" i="36"/>
  <c r="B48" i="36"/>
  <c r="U47" i="36"/>
  <c r="R47" i="36"/>
  <c r="D47" i="36"/>
  <c r="U46" i="36"/>
  <c r="R46" i="36"/>
  <c r="C46" i="36"/>
  <c r="U45" i="36"/>
  <c r="R45" i="36"/>
  <c r="R48" i="36" s="1"/>
  <c r="I45" i="36"/>
  <c r="I63" i="36" s="1"/>
  <c r="F45" i="36"/>
  <c r="E45" i="36"/>
  <c r="E48" i="36" s="1"/>
  <c r="D45" i="36"/>
  <c r="V43" i="36"/>
  <c r="T43" i="36"/>
  <c r="R43" i="36"/>
  <c r="N43" i="36"/>
  <c r="K43" i="36"/>
  <c r="G43" i="36"/>
  <c r="V42" i="36"/>
  <c r="T42" i="36"/>
  <c r="S42" i="36"/>
  <c r="O42" i="36"/>
  <c r="N42" i="36"/>
  <c r="L42" i="36"/>
  <c r="K42" i="36"/>
  <c r="J42" i="36"/>
  <c r="G42" i="36"/>
  <c r="V41" i="36"/>
  <c r="T41" i="36"/>
  <c r="R41" i="36"/>
  <c r="N41" i="36"/>
  <c r="K41" i="36"/>
  <c r="G41" i="36"/>
  <c r="B41" i="36"/>
  <c r="V27" i="36"/>
  <c r="V33" i="36" s="1"/>
  <c r="U27" i="36"/>
  <c r="U28" i="36" s="1"/>
  <c r="C24" i="36"/>
  <c r="K23" i="36"/>
  <c r="T21" i="36"/>
  <c r="C21" i="36"/>
  <c r="T19" i="36"/>
  <c r="T27" i="36" s="1"/>
  <c r="N19" i="36"/>
  <c r="N37" i="36" s="1"/>
  <c r="K19" i="36"/>
  <c r="G19" i="36"/>
  <c r="C19" i="36"/>
  <c r="T16" i="36"/>
  <c r="C16" i="36"/>
  <c r="T14" i="36"/>
  <c r="S14" i="36"/>
  <c r="R14" i="36"/>
  <c r="P14" i="36"/>
  <c r="J14" i="36"/>
  <c r="T12" i="36"/>
  <c r="S12" i="36"/>
  <c r="R12" i="36"/>
  <c r="P12" i="36"/>
  <c r="G12" i="36"/>
  <c r="C12" i="36"/>
  <c r="T10" i="36"/>
  <c r="S10" i="36"/>
  <c r="R10" i="36"/>
  <c r="I10" i="36"/>
  <c r="D2" i="36"/>
  <c r="G49" i="36" s="1"/>
  <c r="D1" i="36"/>
  <c r="A1" i="36"/>
  <c r="H13" i="29"/>
  <c r="H14" i="29" s="1"/>
  <c r="H9" i="29"/>
  <c r="H10" i="29" s="1"/>
  <c r="D2" i="29"/>
  <c r="D1" i="29"/>
  <c r="D2" i="32"/>
  <c r="J13" i="32" s="1"/>
  <c r="J14" i="32" s="1"/>
  <c r="D1" i="32"/>
  <c r="D227" i="11"/>
  <c r="D220" i="11"/>
  <c r="D221" i="11"/>
  <c r="D222" i="11"/>
  <c r="D224" i="11"/>
  <c r="D225" i="11"/>
  <c r="D226" i="11"/>
  <c r="D228" i="11"/>
  <c r="D229" i="11"/>
  <c r="D236" i="11"/>
  <c r="D237" i="11"/>
  <c r="D238" i="11"/>
  <c r="R110" i="37" l="1"/>
  <c r="C110" i="37"/>
  <c r="L110" i="37"/>
  <c r="I110" i="37"/>
  <c r="G110" i="37"/>
  <c r="D108" i="37"/>
  <c r="F108" i="37"/>
  <c r="I108" i="37"/>
  <c r="V108" i="37"/>
  <c r="J108" i="37"/>
  <c r="H108" i="37"/>
  <c r="R108" i="37"/>
  <c r="B108" i="37"/>
  <c r="O108" i="37"/>
  <c r="S108" i="37"/>
  <c r="L108" i="37"/>
  <c r="M108" i="37"/>
  <c r="W108" i="37"/>
  <c r="Q108" i="37"/>
  <c r="T108" i="37"/>
  <c r="U108" i="37"/>
  <c r="G108" i="37"/>
  <c r="N108" i="37"/>
  <c r="P108" i="37"/>
  <c r="E108" i="37"/>
  <c r="E110" i="37"/>
  <c r="F110" i="37"/>
  <c r="H110" i="37"/>
  <c r="P110" i="37"/>
  <c r="S110" i="37"/>
  <c r="O110" i="37"/>
  <c r="T110" i="37"/>
  <c r="K110" i="37"/>
  <c r="N110" i="37"/>
  <c r="Q110" i="37"/>
  <c r="J110" i="37"/>
  <c r="W110" i="37"/>
  <c r="B110" i="37"/>
  <c r="U110" i="37"/>
  <c r="M110" i="37"/>
  <c r="V110" i="37"/>
  <c r="S13" i="36"/>
  <c r="M13" i="36"/>
  <c r="U15" i="36"/>
  <c r="M15" i="36"/>
  <c r="V11" i="36"/>
  <c r="M11" i="36"/>
  <c r="F11" i="31"/>
  <c r="K15" i="36"/>
  <c r="N15" i="36"/>
  <c r="S15" i="36"/>
  <c r="V15" i="36"/>
  <c r="J15" i="36"/>
  <c r="R11" i="36"/>
  <c r="N11" i="36"/>
  <c r="L13" i="36"/>
  <c r="C15" i="36"/>
  <c r="P15" i="36"/>
  <c r="T11" i="36"/>
  <c r="C13" i="36"/>
  <c r="U13" i="36"/>
  <c r="I11" i="36"/>
  <c r="G13" i="36"/>
  <c r="T13" i="36"/>
  <c r="R13" i="36"/>
  <c r="Q13" i="36"/>
  <c r="R15" i="36"/>
  <c r="I15" i="36"/>
  <c r="T15" i="36"/>
  <c r="E42" i="36"/>
  <c r="E49" i="36"/>
  <c r="E43" i="36"/>
  <c r="E41" i="36"/>
  <c r="F49" i="36"/>
  <c r="F43" i="36"/>
  <c r="F42" i="36"/>
  <c r="Q41" i="36"/>
  <c r="Q49" i="36"/>
  <c r="Q43" i="36"/>
  <c r="Q42" i="36"/>
  <c r="W11" i="36"/>
  <c r="O11" i="36"/>
  <c r="B11" i="36"/>
  <c r="U11" i="36"/>
  <c r="Q11" i="36"/>
  <c r="L11" i="36"/>
  <c r="H11" i="36"/>
  <c r="D11" i="36"/>
  <c r="E55" i="36"/>
  <c r="E62" i="36"/>
  <c r="S11" i="36"/>
  <c r="P11" i="36"/>
  <c r="H13" i="36"/>
  <c r="G24" i="36"/>
  <c r="G22" i="36"/>
  <c r="G16" i="36"/>
  <c r="G118" i="36"/>
  <c r="G23" i="36"/>
  <c r="G21" i="36"/>
  <c r="G27" i="36" s="1"/>
  <c r="G28" i="36" s="1"/>
  <c r="G29" i="36" s="1"/>
  <c r="C27" i="36"/>
  <c r="T33" i="36"/>
  <c r="T24" i="36"/>
  <c r="T23" i="36"/>
  <c r="T22" i="36"/>
  <c r="T28" i="36" s="1"/>
  <c r="T118" i="36"/>
  <c r="V13" i="36"/>
  <c r="N13" i="36"/>
  <c r="B13" i="36"/>
  <c r="I13" i="36"/>
  <c r="D13" i="36"/>
  <c r="C11" i="36"/>
  <c r="K11" i="36"/>
  <c r="P13" i="36"/>
  <c r="O13" i="36"/>
  <c r="W13" i="36"/>
  <c r="G10" i="36"/>
  <c r="G11" i="36" s="1"/>
  <c r="B15" i="36"/>
  <c r="O15" i="36"/>
  <c r="W15" i="36"/>
  <c r="K21" i="36"/>
  <c r="K27" i="36" s="1"/>
  <c r="N27" i="36"/>
  <c r="C48" i="36"/>
  <c r="C42" i="36"/>
  <c r="I67" i="36"/>
  <c r="H41" i="36"/>
  <c r="H49" i="36"/>
  <c r="H43" i="36"/>
  <c r="H42" i="36"/>
  <c r="W45" i="36"/>
  <c r="Q64" i="36"/>
  <c r="Q68" i="36" s="1"/>
  <c r="W47" i="36"/>
  <c r="P46" i="36"/>
  <c r="I64" i="36"/>
  <c r="I68" i="36" s="1"/>
  <c r="Q62" i="36"/>
  <c r="Q66" i="36" s="1"/>
  <c r="V49" i="36"/>
  <c r="N49" i="36"/>
  <c r="N51" i="36" s="1"/>
  <c r="N53" i="36" s="1"/>
  <c r="P47" i="36"/>
  <c r="P45" i="36"/>
  <c r="I65" i="36"/>
  <c r="I69" i="36" s="1"/>
  <c r="W46" i="36"/>
  <c r="J10" i="36"/>
  <c r="J11" i="36" s="1"/>
  <c r="G14" i="36"/>
  <c r="G15" i="36" s="1"/>
  <c r="D15" i="36"/>
  <c r="H15" i="36"/>
  <c r="L15" i="36"/>
  <c r="Q15" i="36"/>
  <c r="K22" i="36"/>
  <c r="K24" i="36"/>
  <c r="R49" i="36"/>
  <c r="B49" i="36"/>
  <c r="B43" i="36"/>
  <c r="B42" i="36"/>
  <c r="F41" i="36"/>
  <c r="U63" i="36"/>
  <c r="U67" i="36" s="1"/>
  <c r="U65" i="36"/>
  <c r="U69" i="36" s="1"/>
  <c r="U70" i="36" s="1"/>
  <c r="L41" i="36"/>
  <c r="L49" i="36"/>
  <c r="L43" i="36"/>
  <c r="S49" i="36"/>
  <c r="S43" i="36"/>
  <c r="S41" i="36"/>
  <c r="D41" i="36"/>
  <c r="R42" i="36"/>
  <c r="D48" i="36"/>
  <c r="J49" i="36"/>
  <c r="J43" i="36"/>
  <c r="J41" i="36"/>
  <c r="O49" i="36"/>
  <c r="O43" i="36"/>
  <c r="O41" i="36"/>
  <c r="U48" i="36"/>
  <c r="I206" i="36"/>
  <c r="I48" i="36"/>
  <c r="J9" i="32"/>
  <c r="J10" i="32" s="1"/>
  <c r="G117" i="36" l="1"/>
  <c r="G30" i="36"/>
  <c r="G36" i="36" s="1"/>
  <c r="K33" i="36"/>
  <c r="K28" i="36"/>
  <c r="T29" i="36"/>
  <c r="T34" i="36"/>
  <c r="U49" i="36"/>
  <c r="U42" i="36"/>
  <c r="P48" i="36"/>
  <c r="P49" i="36" s="1"/>
  <c r="P41" i="36"/>
  <c r="Q69" i="36"/>
  <c r="Q70" i="36" s="1"/>
  <c r="Q16" i="36" s="1"/>
  <c r="S118" i="36"/>
  <c r="S21" i="36"/>
  <c r="S19" i="36"/>
  <c r="S27" i="36" s="1"/>
  <c r="S16" i="36"/>
  <c r="S24" i="36"/>
  <c r="S23" i="36"/>
  <c r="S22" i="36"/>
  <c r="U43" i="36"/>
  <c r="P43" i="36"/>
  <c r="W63" i="36"/>
  <c r="W67" i="36" s="1"/>
  <c r="W48" i="36"/>
  <c r="W49" i="36" s="1"/>
  <c r="C41" i="36"/>
  <c r="C43" i="36"/>
  <c r="C49" i="36"/>
  <c r="U41" i="36"/>
  <c r="I42" i="36"/>
  <c r="I49" i="36"/>
  <c r="I43" i="36"/>
  <c r="I41" i="36"/>
  <c r="J118" i="36"/>
  <c r="J19" i="36"/>
  <c r="J24" i="36"/>
  <c r="J22" i="36"/>
  <c r="J23" i="36"/>
  <c r="J16" i="36"/>
  <c r="J21" i="36"/>
  <c r="U71" i="36"/>
  <c r="U16" i="36" s="1"/>
  <c r="B118" i="36"/>
  <c r="B19" i="36"/>
  <c r="B24" i="36"/>
  <c r="B22" i="36"/>
  <c r="B23" i="36"/>
  <c r="B21" i="36"/>
  <c r="B16" i="36"/>
  <c r="W64" i="36"/>
  <c r="W68" i="36" s="1"/>
  <c r="W42" i="36"/>
  <c r="N118" i="36"/>
  <c r="N24" i="36"/>
  <c r="N23" i="36"/>
  <c r="P42" i="36"/>
  <c r="H118" i="36"/>
  <c r="H23" i="36"/>
  <c r="H21" i="36"/>
  <c r="H19" i="36"/>
  <c r="H27" i="36" s="1"/>
  <c r="H28" i="36" s="1"/>
  <c r="H29" i="36" s="1"/>
  <c r="H16" i="36"/>
  <c r="H24" i="36"/>
  <c r="H22" i="36"/>
  <c r="C33" i="36"/>
  <c r="G34" i="36"/>
  <c r="G35" i="36"/>
  <c r="G33" i="36"/>
  <c r="G37" i="36"/>
  <c r="G51" i="36" s="1"/>
  <c r="G53" i="36" s="1"/>
  <c r="K37" i="36"/>
  <c r="K51" i="36" s="1"/>
  <c r="K53" i="36" s="1"/>
  <c r="E118" i="36"/>
  <c r="E20" i="36"/>
  <c r="E24" i="36"/>
  <c r="E22" i="36"/>
  <c r="E16" i="36"/>
  <c r="E19" i="36"/>
  <c r="E23" i="36"/>
  <c r="O118" i="36"/>
  <c r="O21" i="36"/>
  <c r="O19" i="36"/>
  <c r="O27" i="36" s="1"/>
  <c r="O16" i="36"/>
  <c r="O24" i="36"/>
  <c r="O23" i="36"/>
  <c r="O22" i="36"/>
  <c r="D49" i="36"/>
  <c r="D43" i="36"/>
  <c r="D42" i="36"/>
  <c r="L118" i="36"/>
  <c r="L23" i="36"/>
  <c r="L21" i="36"/>
  <c r="L19" i="36"/>
  <c r="L24" i="36"/>
  <c r="L22" i="36"/>
  <c r="R118" i="36"/>
  <c r="R21" i="36"/>
  <c r="R19" i="36"/>
  <c r="R27" i="36" s="1"/>
  <c r="R28" i="36" s="1"/>
  <c r="R24" i="36"/>
  <c r="R16" i="36"/>
  <c r="R22" i="36"/>
  <c r="R23" i="36"/>
  <c r="I70" i="36"/>
  <c r="I71" i="36" s="1"/>
  <c r="I16" i="36" s="1"/>
  <c r="V118" i="36"/>
  <c r="V22" i="36"/>
  <c r="V24" i="36"/>
  <c r="V23" i="36"/>
  <c r="W43" i="36"/>
  <c r="W65" i="36"/>
  <c r="W69" i="36" s="1"/>
  <c r="N28" i="36"/>
  <c r="N33" i="36"/>
  <c r="E52" i="36"/>
  <c r="F20" i="36"/>
  <c r="F19" i="36"/>
  <c r="E10" i="36"/>
  <c r="E11" i="36" s="1"/>
  <c r="E14" i="36"/>
  <c r="E15" i="36" s="1"/>
  <c r="F12" i="36"/>
  <c r="F13" i="36" s="1"/>
  <c r="F21" i="36"/>
  <c r="F16" i="36"/>
  <c r="F10" i="36"/>
  <c r="F11" i="36" s="1"/>
  <c r="F14" i="36"/>
  <c r="F15" i="36" s="1"/>
  <c r="Q118" i="36"/>
  <c r="Q23" i="36"/>
  <c r="Q22" i="36"/>
  <c r="Q21" i="36"/>
  <c r="Q19" i="36"/>
  <c r="Q24" i="36"/>
  <c r="F118" i="36"/>
  <c r="F24" i="36"/>
  <c r="F22" i="36"/>
  <c r="F23" i="36"/>
  <c r="T37" i="36"/>
  <c r="T51" i="36" s="1"/>
  <c r="T53" i="36" s="1"/>
  <c r="E27" i="36" l="1"/>
  <c r="H14" i="5"/>
  <c r="H19" i="5"/>
  <c r="G38" i="36"/>
  <c r="H30" i="36"/>
  <c r="H117" i="36"/>
  <c r="K34" i="36"/>
  <c r="K29" i="36"/>
  <c r="Q27" i="36"/>
  <c r="Q28" i="36" s="1"/>
  <c r="Q29" i="36" s="1"/>
  <c r="F27" i="36"/>
  <c r="F28" i="36" s="1"/>
  <c r="F29" i="36" s="1"/>
  <c r="F35" i="36" s="1"/>
  <c r="D118" i="36"/>
  <c r="D23" i="36"/>
  <c r="D21" i="36"/>
  <c r="D19" i="36"/>
  <c r="D24" i="36"/>
  <c r="D22" i="36"/>
  <c r="D16" i="36"/>
  <c r="O37" i="36"/>
  <c r="O51" i="36" s="1"/>
  <c r="O53" i="36" s="1"/>
  <c r="O33" i="36"/>
  <c r="U37" i="36"/>
  <c r="U51" i="36" s="1"/>
  <c r="U53" i="36" s="1"/>
  <c r="U33" i="36"/>
  <c r="U35" i="36"/>
  <c r="U34" i="36"/>
  <c r="W118" i="36"/>
  <c r="W24" i="36"/>
  <c r="W23" i="36"/>
  <c r="W21" i="36"/>
  <c r="W19" i="36"/>
  <c r="W22" i="36"/>
  <c r="W16" i="36"/>
  <c r="S37" i="36"/>
  <c r="S51" i="36" s="1"/>
  <c r="S53" i="36" s="1"/>
  <c r="S33" i="36"/>
  <c r="Q37" i="36"/>
  <c r="Q51" i="36" s="1"/>
  <c r="Q53" i="36" s="1"/>
  <c r="Q33" i="36"/>
  <c r="U118" i="36"/>
  <c r="U23" i="36"/>
  <c r="U29" i="36" s="1"/>
  <c r="F37" i="36"/>
  <c r="F51" i="36" s="1"/>
  <c r="F53" i="36" s="1"/>
  <c r="R34" i="36"/>
  <c r="R33" i="36"/>
  <c r="R37" i="36"/>
  <c r="R51" i="36" s="1"/>
  <c r="R53" i="36" s="1"/>
  <c r="R35" i="36"/>
  <c r="N34" i="36"/>
  <c r="N29" i="36"/>
  <c r="R29" i="36"/>
  <c r="O28" i="36"/>
  <c r="O29" i="36" s="1"/>
  <c r="B37" i="36"/>
  <c r="B51" i="36" s="1"/>
  <c r="B53" i="36" s="1"/>
  <c r="C22" i="36"/>
  <c r="C23" i="36"/>
  <c r="C118" i="36"/>
  <c r="S28" i="36"/>
  <c r="S29" i="36" s="1"/>
  <c r="W70" i="36"/>
  <c r="W71" i="36" s="1"/>
  <c r="V37" i="36"/>
  <c r="V51" i="36" s="1"/>
  <c r="V53" i="36" s="1"/>
  <c r="V28" i="36"/>
  <c r="L37" i="36"/>
  <c r="L51" i="36" s="1"/>
  <c r="L53" i="36" s="1"/>
  <c r="L27" i="36"/>
  <c r="E37" i="36"/>
  <c r="E33" i="36"/>
  <c r="H37" i="36"/>
  <c r="H51" i="36" s="1"/>
  <c r="H53" i="36" s="1"/>
  <c r="H33" i="36"/>
  <c r="H35" i="36"/>
  <c r="H36" i="36"/>
  <c r="H34" i="36"/>
  <c r="B27" i="36"/>
  <c r="B28" i="36" s="1"/>
  <c r="B29" i="36" s="1"/>
  <c r="B35" i="36" s="1"/>
  <c r="J35" i="36"/>
  <c r="J37" i="36"/>
  <c r="J51" i="36" s="1"/>
  <c r="J53" i="36" s="1"/>
  <c r="J34" i="36"/>
  <c r="J27" i="36"/>
  <c r="J28" i="36" s="1"/>
  <c r="J29" i="36" s="1"/>
  <c r="I118" i="36"/>
  <c r="I21" i="36"/>
  <c r="I19" i="36"/>
  <c r="I27" i="36" s="1"/>
  <c r="I28" i="36" s="1"/>
  <c r="I29" i="36" s="1"/>
  <c r="I24" i="36"/>
  <c r="I22" i="36"/>
  <c r="I23" i="36"/>
  <c r="W41" i="36"/>
  <c r="P24" i="36"/>
  <c r="P23" i="36"/>
  <c r="P19" i="36"/>
  <c r="P27" i="36" s="1"/>
  <c r="P28" i="36" s="1"/>
  <c r="P29" i="36" s="1"/>
  <c r="P16" i="36"/>
  <c r="P118" i="36"/>
  <c r="P21" i="36"/>
  <c r="T117" i="36"/>
  <c r="T30" i="36"/>
  <c r="T36" i="36" s="1"/>
  <c r="T35" i="36"/>
  <c r="G267" i="11"/>
  <c r="G246" i="11"/>
  <c r="H15" i="5" l="1"/>
  <c r="E51" i="36"/>
  <c r="E53" i="36" s="1"/>
  <c r="E28" i="36"/>
  <c r="E34" i="36" s="1"/>
  <c r="F34" i="36"/>
  <c r="F33" i="36"/>
  <c r="B38" i="36"/>
  <c r="I117" i="36"/>
  <c r="I30" i="36"/>
  <c r="I36" i="36" s="1"/>
  <c r="J38" i="36"/>
  <c r="C37" i="36"/>
  <c r="C51" i="36" s="1"/>
  <c r="C53" i="36" s="1"/>
  <c r="C28" i="36"/>
  <c r="O117" i="36"/>
  <c r="O30" i="36"/>
  <c r="O36" i="36" s="1"/>
  <c r="R38" i="36"/>
  <c r="U38" i="36"/>
  <c r="O34" i="36"/>
  <c r="O35" i="36"/>
  <c r="I34" i="36"/>
  <c r="Q117" i="36"/>
  <c r="Q30" i="36"/>
  <c r="Q36" i="36" s="1"/>
  <c r="J33" i="36"/>
  <c r="H38" i="36"/>
  <c r="V34" i="36"/>
  <c r="V29" i="36"/>
  <c r="S117" i="36"/>
  <c r="S30" i="36"/>
  <c r="S36" i="36" s="1"/>
  <c r="B33" i="36"/>
  <c r="R117" i="36"/>
  <c r="R30" i="36"/>
  <c r="R36" i="36" s="1"/>
  <c r="U30" i="36"/>
  <c r="U36" i="36" s="1"/>
  <c r="U117" i="36"/>
  <c r="Q35" i="36"/>
  <c r="S34" i="36"/>
  <c r="S35" i="36"/>
  <c r="W27" i="36"/>
  <c r="W28" i="36" s="1"/>
  <c r="W29" i="36" s="1"/>
  <c r="D27" i="36"/>
  <c r="D28" i="36" s="1"/>
  <c r="D29" i="36" s="1"/>
  <c r="I35" i="36"/>
  <c r="K117" i="36"/>
  <c r="K35" i="36"/>
  <c r="K30" i="36"/>
  <c r="K36" i="36" s="1"/>
  <c r="P117" i="36"/>
  <c r="P30" i="36"/>
  <c r="P36" i="36" s="1"/>
  <c r="B117" i="36"/>
  <c r="B30" i="36"/>
  <c r="B36" i="36" s="1"/>
  <c r="D37" i="36"/>
  <c r="D51" i="36" s="1"/>
  <c r="D53" i="36" s="1"/>
  <c r="D33" i="36"/>
  <c r="D35" i="36"/>
  <c r="D34" i="36"/>
  <c r="I37" i="36"/>
  <c r="I51" i="36" s="1"/>
  <c r="I53" i="36" s="1"/>
  <c r="T38" i="36"/>
  <c r="B34" i="36"/>
  <c r="N117" i="36"/>
  <c r="N30" i="36"/>
  <c r="N36" i="36" s="1"/>
  <c r="N35" i="36"/>
  <c r="P34" i="36"/>
  <c r="P35" i="36"/>
  <c r="P33" i="36"/>
  <c r="P37" i="36"/>
  <c r="P51" i="36" s="1"/>
  <c r="P53" i="36" s="1"/>
  <c r="J117" i="36"/>
  <c r="J30" i="36"/>
  <c r="J36" i="36" s="1"/>
  <c r="L33" i="36"/>
  <c r="L28" i="36"/>
  <c r="F38" i="36"/>
  <c r="Q34" i="36"/>
  <c r="W35" i="36"/>
  <c r="W37" i="36"/>
  <c r="W51" i="36" s="1"/>
  <c r="W53" i="36" s="1"/>
  <c r="W33" i="36"/>
  <c r="W34" i="36"/>
  <c r="I33" i="36"/>
  <c r="F117" i="36"/>
  <c r="F30" i="36"/>
  <c r="F36" i="36" s="1"/>
  <c r="D61" i="31"/>
  <c r="R89" i="31"/>
  <c r="H20" i="5" l="1"/>
  <c r="E29" i="36"/>
  <c r="H16" i="5"/>
  <c r="P38" i="36"/>
  <c r="D30" i="36"/>
  <c r="D36" i="36" s="1"/>
  <c r="D117" i="36"/>
  <c r="Q38" i="36"/>
  <c r="V117" i="36"/>
  <c r="V30" i="36"/>
  <c r="V36" i="36" s="1"/>
  <c r="V35" i="36"/>
  <c r="I38" i="36"/>
  <c r="N38" i="36"/>
  <c r="K38" i="36"/>
  <c r="W117" i="36"/>
  <c r="W30" i="36"/>
  <c r="W36" i="36" s="1"/>
  <c r="W38" i="36"/>
  <c r="L34" i="36"/>
  <c r="L29" i="36"/>
  <c r="D38" i="36"/>
  <c r="S38" i="36"/>
  <c r="O38" i="36"/>
  <c r="C29" i="36"/>
  <c r="C34" i="36"/>
  <c r="I11" i="31"/>
  <c r="U210" i="35"/>
  <c r="F208" i="35"/>
  <c r="U207" i="35"/>
  <c r="T207" i="35"/>
  <c r="U206" i="35"/>
  <c r="U205" i="35"/>
  <c r="E203" i="35"/>
  <c r="H203" i="35" s="1"/>
  <c r="D203" i="35"/>
  <c r="U202" i="35"/>
  <c r="T202" i="35"/>
  <c r="E202" i="35"/>
  <c r="H202" i="35" s="1"/>
  <c r="U201" i="35"/>
  <c r="U200" i="35"/>
  <c r="N113" i="35"/>
  <c r="K106" i="35"/>
  <c r="K108" i="35" s="1"/>
  <c r="G106" i="35"/>
  <c r="G108" i="35" s="1"/>
  <c r="W104" i="35"/>
  <c r="W106" i="35" s="1"/>
  <c r="W108" i="35" s="1"/>
  <c r="V104" i="35"/>
  <c r="V106" i="35" s="1"/>
  <c r="V108" i="35" s="1"/>
  <c r="U104" i="35"/>
  <c r="U106" i="35" s="1"/>
  <c r="U108" i="35" s="1"/>
  <c r="T104" i="35"/>
  <c r="T106" i="35" s="1"/>
  <c r="T108" i="35" s="1"/>
  <c r="S104" i="35"/>
  <c r="S106" i="35" s="1"/>
  <c r="S108" i="35" s="1"/>
  <c r="R104" i="35"/>
  <c r="R106" i="35" s="1"/>
  <c r="R108" i="35" s="1"/>
  <c r="Q104" i="35"/>
  <c r="Q106" i="35" s="1"/>
  <c r="Q108" i="35" s="1"/>
  <c r="P104" i="35"/>
  <c r="P106" i="35" s="1"/>
  <c r="P108" i="35" s="1"/>
  <c r="O104" i="35"/>
  <c r="O106" i="35" s="1"/>
  <c r="O108" i="35" s="1"/>
  <c r="N104" i="35"/>
  <c r="N106" i="35" s="1"/>
  <c r="N108" i="35" s="1"/>
  <c r="L104" i="35"/>
  <c r="L106" i="35" s="1"/>
  <c r="L108" i="35" s="1"/>
  <c r="K104" i="35"/>
  <c r="J104" i="35"/>
  <c r="J106" i="35" s="1"/>
  <c r="J108" i="35" s="1"/>
  <c r="I104" i="35"/>
  <c r="I106" i="35" s="1"/>
  <c r="I108" i="35" s="1"/>
  <c r="H104" i="35"/>
  <c r="H106" i="35" s="1"/>
  <c r="H108" i="35" s="1"/>
  <c r="G104" i="35"/>
  <c r="F104" i="35"/>
  <c r="F106" i="35" s="1"/>
  <c r="F108" i="35" s="1"/>
  <c r="E104" i="35"/>
  <c r="E106" i="35" s="1"/>
  <c r="E108" i="35" s="1"/>
  <c r="D104" i="35"/>
  <c r="D106" i="35" s="1"/>
  <c r="D108" i="35" s="1"/>
  <c r="C104" i="35"/>
  <c r="C106" i="35" s="1"/>
  <c r="C108" i="35" s="1"/>
  <c r="B104" i="35"/>
  <c r="B106" i="35" s="1"/>
  <c r="B108" i="35" s="1"/>
  <c r="S99" i="35"/>
  <c r="S14" i="35" s="1"/>
  <c r="S92" i="35"/>
  <c r="S86" i="35"/>
  <c r="T85" i="35"/>
  <c r="T74" i="35"/>
  <c r="T12" i="35" s="1"/>
  <c r="T66" i="35"/>
  <c r="T67" i="35" s="1"/>
  <c r="T10" i="35" s="1"/>
  <c r="E61" i="35"/>
  <c r="E45" i="35" s="1"/>
  <c r="Q59" i="35"/>
  <c r="Q63" i="35" s="1"/>
  <c r="E59" i="35"/>
  <c r="U52" i="35"/>
  <c r="S52" i="35"/>
  <c r="P52" i="35"/>
  <c r="O52" i="35"/>
  <c r="N52" i="35"/>
  <c r="L52" i="35"/>
  <c r="K52" i="35"/>
  <c r="J52" i="35"/>
  <c r="F52" i="35"/>
  <c r="E52" i="35"/>
  <c r="D52" i="35"/>
  <c r="B52" i="35"/>
  <c r="G49" i="35"/>
  <c r="V48" i="35"/>
  <c r="T48" i="35"/>
  <c r="T49" i="35" s="1"/>
  <c r="S48" i="35"/>
  <c r="S49" i="35" s="1"/>
  <c r="Q48" i="35"/>
  <c r="Q41" i="35" s="1"/>
  <c r="O48" i="35"/>
  <c r="N48" i="35"/>
  <c r="L48" i="35"/>
  <c r="L41" i="35" s="1"/>
  <c r="K48" i="35"/>
  <c r="K41" i="35" s="1"/>
  <c r="J48" i="35"/>
  <c r="H48" i="35"/>
  <c r="H41" i="35" s="1"/>
  <c r="G48" i="35"/>
  <c r="G43" i="35" s="1"/>
  <c r="B48" i="35"/>
  <c r="B49" i="35" s="1"/>
  <c r="U47" i="35"/>
  <c r="R47" i="35"/>
  <c r="D47" i="35"/>
  <c r="W46" i="35"/>
  <c r="W61" i="35" s="1"/>
  <c r="W65" i="35" s="1"/>
  <c r="U46" i="35"/>
  <c r="U61" i="35" s="1"/>
  <c r="U65" i="35" s="1"/>
  <c r="R46" i="35"/>
  <c r="D46" i="35"/>
  <c r="D48" i="35" s="1"/>
  <c r="C46" i="35"/>
  <c r="C48" i="35" s="1"/>
  <c r="U45" i="35"/>
  <c r="R45" i="35"/>
  <c r="R10" i="35" s="1"/>
  <c r="I45" i="35"/>
  <c r="I60" i="35" s="1"/>
  <c r="F45" i="35"/>
  <c r="F48" i="35" s="1"/>
  <c r="D45" i="35"/>
  <c r="V43" i="35"/>
  <c r="T43" i="35"/>
  <c r="O43" i="35"/>
  <c r="N43" i="35"/>
  <c r="J43" i="35"/>
  <c r="H43" i="35"/>
  <c r="V42" i="35"/>
  <c r="T42" i="35"/>
  <c r="O42" i="35"/>
  <c r="N42" i="35"/>
  <c r="K42" i="35"/>
  <c r="J42" i="35"/>
  <c r="V41" i="35"/>
  <c r="T41" i="35"/>
  <c r="O41" i="35"/>
  <c r="N41" i="35"/>
  <c r="V27" i="35"/>
  <c r="U27" i="35"/>
  <c r="U28" i="35" s="1"/>
  <c r="F21" i="35"/>
  <c r="C21" i="35"/>
  <c r="F20" i="35"/>
  <c r="N19" i="35"/>
  <c r="N37" i="35" s="1"/>
  <c r="F19" i="35"/>
  <c r="F27" i="35" s="1"/>
  <c r="C19" i="35"/>
  <c r="C27" i="35" s="1"/>
  <c r="F16" i="35"/>
  <c r="C16" i="35"/>
  <c r="T14" i="35"/>
  <c r="R14" i="35"/>
  <c r="P14" i="35"/>
  <c r="F14" i="35"/>
  <c r="E14" i="35"/>
  <c r="S12" i="35"/>
  <c r="R12" i="35"/>
  <c r="P12" i="35"/>
  <c r="G12" i="35"/>
  <c r="F12" i="35"/>
  <c r="C12" i="35"/>
  <c r="S10" i="35"/>
  <c r="I10" i="35"/>
  <c r="G10" i="35"/>
  <c r="F10" i="35"/>
  <c r="D2" i="35"/>
  <c r="D1" i="35"/>
  <c r="A1" i="35"/>
  <c r="D79" i="31"/>
  <c r="W15" i="35" l="1"/>
  <c r="M15" i="35"/>
  <c r="W13" i="35"/>
  <c r="M13" i="35"/>
  <c r="P11" i="35"/>
  <c r="M11" i="35"/>
  <c r="E35" i="36"/>
  <c r="H17" i="5"/>
  <c r="E117" i="36"/>
  <c r="E30" i="36"/>
  <c r="V38" i="36"/>
  <c r="C117" i="36"/>
  <c r="C30" i="36"/>
  <c r="C36" i="36" s="1"/>
  <c r="C35" i="36"/>
  <c r="L35" i="36"/>
  <c r="L117" i="36"/>
  <c r="L30" i="36"/>
  <c r="L36" i="36" s="1"/>
  <c r="T22" i="35"/>
  <c r="T23" i="35"/>
  <c r="T20" i="35"/>
  <c r="T16" i="35"/>
  <c r="T21" i="35"/>
  <c r="T19" i="35"/>
  <c r="T27" i="35" s="1"/>
  <c r="B42" i="35"/>
  <c r="K49" i="35"/>
  <c r="K21" i="35" s="1"/>
  <c r="E76" i="35"/>
  <c r="E10" i="35" s="1"/>
  <c r="E11" i="35" s="1"/>
  <c r="G16" i="35"/>
  <c r="G19" i="35"/>
  <c r="G41" i="35"/>
  <c r="S41" i="35"/>
  <c r="G42" i="35"/>
  <c r="B43" i="35"/>
  <c r="K43" i="35"/>
  <c r="Q43" i="35"/>
  <c r="N49" i="35"/>
  <c r="I203" i="35"/>
  <c r="B41" i="35"/>
  <c r="I64" i="35"/>
  <c r="I62" i="35"/>
  <c r="I66" i="35" s="1"/>
  <c r="J14" i="35"/>
  <c r="J15" i="35" s="1"/>
  <c r="J10" i="35"/>
  <c r="J11" i="35" s="1"/>
  <c r="S42" i="35"/>
  <c r="L43" i="35"/>
  <c r="S43" i="35"/>
  <c r="U60" i="35"/>
  <c r="U64" i="35" s="1"/>
  <c r="U62" i="35"/>
  <c r="U66" i="35" s="1"/>
  <c r="U67" i="35" s="1"/>
  <c r="J49" i="35"/>
  <c r="J16" i="35" s="1"/>
  <c r="O49" i="35"/>
  <c r="V49" i="35"/>
  <c r="V22" i="35" s="1"/>
  <c r="J41" i="35"/>
  <c r="G11" i="35"/>
  <c r="N11" i="35"/>
  <c r="G13" i="35"/>
  <c r="T13" i="35"/>
  <c r="U13" i="35"/>
  <c r="R15" i="35"/>
  <c r="F11" i="35"/>
  <c r="I11" i="35"/>
  <c r="S13" i="35"/>
  <c r="Q13" i="35"/>
  <c r="P15" i="35"/>
  <c r="T11" i="35"/>
  <c r="S11" i="35"/>
  <c r="C13" i="35"/>
  <c r="R13" i="35"/>
  <c r="L13" i="35"/>
  <c r="F15" i="35"/>
  <c r="T15" i="35"/>
  <c r="R11" i="35"/>
  <c r="V11" i="35"/>
  <c r="P13" i="35"/>
  <c r="F13" i="35"/>
  <c r="E15" i="35"/>
  <c r="S15" i="35"/>
  <c r="V116" i="37" s="1"/>
  <c r="N23" i="35"/>
  <c r="N24" i="35"/>
  <c r="D41" i="35"/>
  <c r="D43" i="35"/>
  <c r="D49" i="35"/>
  <c r="S24" i="35"/>
  <c r="S21" i="35"/>
  <c r="S19" i="35"/>
  <c r="S16" i="35"/>
  <c r="S23" i="35"/>
  <c r="S22" i="35"/>
  <c r="F43" i="35"/>
  <c r="F49" i="35"/>
  <c r="F41" i="35"/>
  <c r="F42" i="35"/>
  <c r="C42" i="35"/>
  <c r="C43" i="35"/>
  <c r="C49" i="35"/>
  <c r="C41" i="35"/>
  <c r="B24" i="35"/>
  <c r="B22" i="35"/>
  <c r="B19" i="35"/>
  <c r="B16" i="35"/>
  <c r="B23" i="35"/>
  <c r="B21" i="35"/>
  <c r="J24" i="35"/>
  <c r="J22" i="35"/>
  <c r="J19" i="35"/>
  <c r="J23" i="35"/>
  <c r="J21" i="35"/>
  <c r="O24" i="35"/>
  <c r="O21" i="35"/>
  <c r="O19" i="35"/>
  <c r="O16" i="35"/>
  <c r="O23" i="35"/>
  <c r="O22" i="35"/>
  <c r="V23" i="35"/>
  <c r="N51" i="35"/>
  <c r="N53" i="35" s="1"/>
  <c r="H15" i="35"/>
  <c r="B11" i="35"/>
  <c r="O11" i="35"/>
  <c r="W11" i="35"/>
  <c r="B13" i="35"/>
  <c r="N13" i="35"/>
  <c r="V13" i="35"/>
  <c r="G14" i="35"/>
  <c r="G15" i="35" s="1"/>
  <c r="I15" i="35"/>
  <c r="K116" i="37" s="1"/>
  <c r="N15" i="35"/>
  <c r="V15" i="35"/>
  <c r="D16" i="35"/>
  <c r="G21" i="35"/>
  <c r="G27" i="35" s="1"/>
  <c r="N27" i="35"/>
  <c r="V33" i="35"/>
  <c r="P46" i="35"/>
  <c r="W47" i="35"/>
  <c r="E48" i="35"/>
  <c r="E41" i="35" s="1"/>
  <c r="I48" i="35"/>
  <c r="R48" i="35"/>
  <c r="H49" i="35"/>
  <c r="L49" i="35"/>
  <c r="Q49" i="35"/>
  <c r="D15" i="35"/>
  <c r="Q15" i="35"/>
  <c r="U48" i="35"/>
  <c r="D11" i="35"/>
  <c r="H11" i="35"/>
  <c r="L11" i="35"/>
  <c r="Q11" i="35"/>
  <c r="U11" i="35"/>
  <c r="D13" i="35"/>
  <c r="I13" i="35"/>
  <c r="C15" i="35"/>
  <c r="K15" i="35"/>
  <c r="G22" i="35"/>
  <c r="G24" i="35"/>
  <c r="K24" i="35"/>
  <c r="T24" i="35"/>
  <c r="C33" i="35"/>
  <c r="T33" i="35"/>
  <c r="G37" i="35"/>
  <c r="G51" i="35" s="1"/>
  <c r="G53" i="35" s="1"/>
  <c r="D42" i="35"/>
  <c r="H42" i="35"/>
  <c r="L42" i="35"/>
  <c r="Q42" i="35"/>
  <c r="P45" i="35"/>
  <c r="Q61" i="35"/>
  <c r="Q65" i="35" s="1"/>
  <c r="L15" i="35"/>
  <c r="U15" i="35"/>
  <c r="C11" i="35"/>
  <c r="K11" i="35"/>
  <c r="H13" i="35"/>
  <c r="O13" i="35"/>
  <c r="B15" i="35"/>
  <c r="K116" i="31"/>
  <c r="O15" i="35"/>
  <c r="T28" i="35"/>
  <c r="G23" i="35"/>
  <c r="F33" i="35"/>
  <c r="W45" i="35"/>
  <c r="P47" i="35"/>
  <c r="Q60" i="35"/>
  <c r="Q64" i="35" s="1"/>
  <c r="I61" i="35"/>
  <c r="I65" i="35" s="1"/>
  <c r="E116" i="36" l="1"/>
  <c r="E116" i="37"/>
  <c r="I116" i="36"/>
  <c r="I116" i="37"/>
  <c r="W116" i="36"/>
  <c r="W116" i="37"/>
  <c r="U116" i="36"/>
  <c r="U116" i="37"/>
  <c r="L116" i="36"/>
  <c r="L116" i="37"/>
  <c r="B116" i="36"/>
  <c r="B116" i="37"/>
  <c r="N116" i="37"/>
  <c r="M116" i="37"/>
  <c r="M116" i="36"/>
  <c r="L116" i="31"/>
  <c r="H116" i="37"/>
  <c r="G116" i="37"/>
  <c r="E38" i="36"/>
  <c r="M110" i="36" s="1"/>
  <c r="M112" i="36"/>
  <c r="C116" i="37"/>
  <c r="D116" i="37"/>
  <c r="Q116" i="37"/>
  <c r="P116" i="37"/>
  <c r="R116" i="36"/>
  <c r="R116" i="37"/>
  <c r="O116" i="36"/>
  <c r="O116" i="37"/>
  <c r="T116" i="36"/>
  <c r="T116" i="37"/>
  <c r="J116" i="36"/>
  <c r="J116" i="37"/>
  <c r="F116" i="36"/>
  <c r="F116" i="37"/>
  <c r="S116" i="36"/>
  <c r="S116" i="37"/>
  <c r="E36" i="36"/>
  <c r="C108" i="36" s="1"/>
  <c r="H18" i="5"/>
  <c r="J116" i="31"/>
  <c r="K116" i="36"/>
  <c r="M116" i="31"/>
  <c r="N116" i="36"/>
  <c r="G116" i="36"/>
  <c r="H116" i="36"/>
  <c r="B116" i="31"/>
  <c r="C116" i="36"/>
  <c r="D116" i="36"/>
  <c r="Q116" i="36"/>
  <c r="P116" i="36"/>
  <c r="U116" i="31"/>
  <c r="V116" i="36"/>
  <c r="L112" i="36"/>
  <c r="L38" i="36"/>
  <c r="C112" i="36"/>
  <c r="C38" i="36"/>
  <c r="B112" i="36"/>
  <c r="T112" i="36"/>
  <c r="E112" i="36"/>
  <c r="J112" i="36"/>
  <c r="R112" i="36"/>
  <c r="G112" i="36"/>
  <c r="U112" i="36"/>
  <c r="H112" i="36"/>
  <c r="F112" i="36"/>
  <c r="K112" i="36"/>
  <c r="Q112" i="36"/>
  <c r="W112" i="36"/>
  <c r="N112" i="36"/>
  <c r="S112" i="36"/>
  <c r="P112" i="36"/>
  <c r="I112" i="36"/>
  <c r="D112" i="36"/>
  <c r="O112" i="36"/>
  <c r="V112" i="36"/>
  <c r="N108" i="36"/>
  <c r="J108" i="36"/>
  <c r="V37" i="35"/>
  <c r="V51" i="35" s="1"/>
  <c r="V53" i="35" s="1"/>
  <c r="V28" i="35"/>
  <c r="V29" i="35" s="1"/>
  <c r="I67" i="35"/>
  <c r="Q66" i="35"/>
  <c r="Q67" i="35" s="1"/>
  <c r="Q16" i="35" s="1"/>
  <c r="K22" i="35"/>
  <c r="V24" i="35"/>
  <c r="K19" i="35"/>
  <c r="K37" i="35" s="1"/>
  <c r="K51" i="35" s="1"/>
  <c r="K53" i="35" s="1"/>
  <c r="K23" i="35"/>
  <c r="G28" i="35"/>
  <c r="G33" i="35"/>
  <c r="T29" i="35"/>
  <c r="T34" i="35"/>
  <c r="H21" i="35"/>
  <c r="H23" i="35"/>
  <c r="H24" i="35"/>
  <c r="H22" i="35"/>
  <c r="H19" i="35"/>
  <c r="H27" i="35" s="1"/>
  <c r="H28" i="35" s="1"/>
  <c r="H16" i="35"/>
  <c r="W62" i="35"/>
  <c r="W66" i="35" s="1"/>
  <c r="N28" i="35"/>
  <c r="N33" i="35"/>
  <c r="F24" i="35"/>
  <c r="F22" i="35"/>
  <c r="F23" i="35"/>
  <c r="T37" i="35"/>
  <c r="T51" i="35" s="1"/>
  <c r="T53" i="35" s="1"/>
  <c r="O27" i="35"/>
  <c r="O28" i="35" s="1"/>
  <c r="O29" i="35" s="1"/>
  <c r="S27" i="35"/>
  <c r="S28" i="35" s="1"/>
  <c r="S29" i="35" s="1"/>
  <c r="Q113" i="35"/>
  <c r="R49" i="35"/>
  <c r="R42" i="35"/>
  <c r="R43" i="35"/>
  <c r="L21" i="35"/>
  <c r="L22" i="35"/>
  <c r="L23" i="35"/>
  <c r="L19" i="35"/>
  <c r="L24" i="35"/>
  <c r="E49" i="35"/>
  <c r="E42" i="35"/>
  <c r="E43" i="35"/>
  <c r="O37" i="35"/>
  <c r="O51" i="35" s="1"/>
  <c r="O53" i="35" s="1"/>
  <c r="O113" i="35"/>
  <c r="C23" i="35"/>
  <c r="C24" i="35"/>
  <c r="C22" i="35"/>
  <c r="S37" i="35"/>
  <c r="S51" i="35" s="1"/>
  <c r="S53" i="35" s="1"/>
  <c r="S33" i="35"/>
  <c r="S34" i="35"/>
  <c r="S35" i="35"/>
  <c r="D24" i="35"/>
  <c r="D23" i="35"/>
  <c r="D21" i="35"/>
  <c r="D19" i="35"/>
  <c r="D27" i="35" s="1"/>
  <c r="D28" i="35" s="1"/>
  <c r="D34" i="35" s="1"/>
  <c r="D22" i="35"/>
  <c r="R41" i="35"/>
  <c r="K27" i="35"/>
  <c r="B27" i="35"/>
  <c r="B28" i="35" s="1"/>
  <c r="B29" i="35" s="1"/>
  <c r="W48" i="35"/>
  <c r="W41" i="35" s="1"/>
  <c r="W60" i="35"/>
  <c r="W64" i="35" s="1"/>
  <c r="P48" i="35"/>
  <c r="P49" i="35" s="1"/>
  <c r="U41" i="35"/>
  <c r="U42" i="35"/>
  <c r="U49" i="35"/>
  <c r="U43" i="35"/>
  <c r="Q24" i="35"/>
  <c r="Q23" i="35"/>
  <c r="Q22" i="35"/>
  <c r="Q21" i="35"/>
  <c r="Q19" i="35"/>
  <c r="Q27" i="35" s="1"/>
  <c r="I49" i="35"/>
  <c r="I68" i="35" s="1"/>
  <c r="I16" i="35" s="1"/>
  <c r="I41" i="35"/>
  <c r="I43" i="35"/>
  <c r="I42" i="35"/>
  <c r="V34" i="35"/>
  <c r="J37" i="35"/>
  <c r="J27" i="35"/>
  <c r="B37" i="35"/>
  <c r="B51" i="35" s="1"/>
  <c r="B53" i="35" s="1"/>
  <c r="B33" i="35"/>
  <c r="B34" i="35"/>
  <c r="B35" i="35"/>
  <c r="G266" i="11"/>
  <c r="G265" i="11"/>
  <c r="G264" i="11"/>
  <c r="G261" i="11"/>
  <c r="G260" i="11"/>
  <c r="G258" i="11"/>
  <c r="G257" i="11"/>
  <c r="G255" i="11"/>
  <c r="G254" i="11"/>
  <c r="G253" i="11"/>
  <c r="G252" i="11"/>
  <c r="G251" i="11"/>
  <c r="G249" i="11"/>
  <c r="G248" i="11"/>
  <c r="G247" i="11"/>
  <c r="E108" i="36" l="1"/>
  <c r="F108" i="36"/>
  <c r="D108" i="36"/>
  <c r="V110" i="36"/>
  <c r="Q108" i="36"/>
  <c r="R108" i="36"/>
  <c r="P108" i="36"/>
  <c r="H108" i="36"/>
  <c r="W108" i="36"/>
  <c r="I108" i="36"/>
  <c r="S108" i="36"/>
  <c r="O108" i="36"/>
  <c r="T108" i="36"/>
  <c r="V108" i="36"/>
  <c r="U108" i="36"/>
  <c r="B108" i="36"/>
  <c r="G108" i="36"/>
  <c r="K108" i="36"/>
  <c r="L110" i="36"/>
  <c r="L108" i="36"/>
  <c r="M108" i="36"/>
  <c r="C110" i="36"/>
  <c r="G110" i="36"/>
  <c r="H110" i="36"/>
  <c r="R110" i="36"/>
  <c r="T110" i="36"/>
  <c r="J110" i="36"/>
  <c r="U110" i="36"/>
  <c r="F110" i="36"/>
  <c r="E110" i="36"/>
  <c r="B110" i="36"/>
  <c r="S110" i="36"/>
  <c r="K110" i="36"/>
  <c r="Q110" i="36"/>
  <c r="I110" i="36"/>
  <c r="N110" i="36"/>
  <c r="O110" i="36"/>
  <c r="W110" i="36"/>
  <c r="P110" i="36"/>
  <c r="D110" i="36"/>
  <c r="P43" i="35"/>
  <c r="P41" i="35"/>
  <c r="J51" i="35"/>
  <c r="J53" i="35" s="1"/>
  <c r="I33" i="35"/>
  <c r="V35" i="35"/>
  <c r="V30" i="35"/>
  <c r="V36" i="35" s="1"/>
  <c r="S38" i="35"/>
  <c r="E20" i="35"/>
  <c r="E19" i="35"/>
  <c r="E16" i="35"/>
  <c r="E23" i="35"/>
  <c r="E24" i="35"/>
  <c r="E22" i="35"/>
  <c r="E55" i="35"/>
  <c r="S30" i="35"/>
  <c r="S36" i="35" s="1"/>
  <c r="G29" i="35"/>
  <c r="G34" i="35"/>
  <c r="O34" i="35"/>
  <c r="D33" i="35"/>
  <c r="Q37" i="35"/>
  <c r="Q51" i="35" s="1"/>
  <c r="Q53" i="35" s="1"/>
  <c r="P42" i="35"/>
  <c r="W43" i="35"/>
  <c r="R21" i="35"/>
  <c r="R19" i="35"/>
  <c r="R16" i="35"/>
  <c r="R22" i="35"/>
  <c r="R24" i="35"/>
  <c r="R23" i="35"/>
  <c r="J33" i="35"/>
  <c r="J28" i="35"/>
  <c r="K33" i="35"/>
  <c r="K28" i="35"/>
  <c r="F37" i="35"/>
  <c r="F51" i="35" s="1"/>
  <c r="F53" i="35" s="1"/>
  <c r="F28" i="35"/>
  <c r="Q28" i="35"/>
  <c r="D29" i="35"/>
  <c r="W67" i="35"/>
  <c r="W49" i="35"/>
  <c r="W42" i="35"/>
  <c r="O30" i="35"/>
  <c r="O36" i="35" s="1"/>
  <c r="H33" i="35"/>
  <c r="H34" i="35"/>
  <c r="H37" i="35"/>
  <c r="H51" i="35" s="1"/>
  <c r="H53" i="35" s="1"/>
  <c r="B38" i="35"/>
  <c r="I19" i="35"/>
  <c r="I27" i="35" s="1"/>
  <c r="I21" i="35"/>
  <c r="I23" i="35"/>
  <c r="I24" i="35"/>
  <c r="I22" i="35"/>
  <c r="U23" i="35"/>
  <c r="U29" i="35" s="1"/>
  <c r="P23" i="35"/>
  <c r="P22" i="35"/>
  <c r="P19" i="35"/>
  <c r="P27" i="35" s="1"/>
  <c r="P28" i="35" s="1"/>
  <c r="P29" i="35" s="1"/>
  <c r="P16" i="35"/>
  <c r="P24" i="35"/>
  <c r="P21" i="35"/>
  <c r="B30" i="35"/>
  <c r="B36" i="35" s="1"/>
  <c r="C37" i="35"/>
  <c r="C51" i="35" s="1"/>
  <c r="C53" i="35" s="1"/>
  <c r="C28" i="35"/>
  <c r="L37" i="35"/>
  <c r="L51" i="35" s="1"/>
  <c r="L53" i="35" s="1"/>
  <c r="L27" i="35"/>
  <c r="N34" i="35"/>
  <c r="N29" i="35"/>
  <c r="T30" i="35"/>
  <c r="T36" i="35" s="1"/>
  <c r="T35" i="35"/>
  <c r="O35" i="35"/>
  <c r="O33" i="35"/>
  <c r="D37" i="35"/>
  <c r="D51" i="35" s="1"/>
  <c r="D53" i="35" s="1"/>
  <c r="Q33" i="35"/>
  <c r="U68" i="35"/>
  <c r="U16" i="35" s="1"/>
  <c r="H29" i="35"/>
  <c r="F13" i="33"/>
  <c r="H63" i="31"/>
  <c r="H64" i="31"/>
  <c r="H68" i="31" s="1"/>
  <c r="H65" i="31"/>
  <c r="H69" i="31" s="1"/>
  <c r="R27" i="35" l="1"/>
  <c r="R28" i="35" s="1"/>
  <c r="R29" i="35" s="1"/>
  <c r="W68" i="35"/>
  <c r="H67" i="31"/>
  <c r="H70" i="31" s="1"/>
  <c r="H30" i="35"/>
  <c r="H36" i="35" s="1"/>
  <c r="P30" i="35"/>
  <c r="U30" i="35"/>
  <c r="V38" i="35"/>
  <c r="L28" i="35"/>
  <c r="L33" i="35"/>
  <c r="P36" i="35"/>
  <c r="P113" i="35"/>
  <c r="P37" i="35"/>
  <c r="P51" i="35" s="1"/>
  <c r="P53" i="35" s="1"/>
  <c r="P33" i="35"/>
  <c r="P34" i="35"/>
  <c r="P35" i="35"/>
  <c r="W16" i="35"/>
  <c r="W24" i="35"/>
  <c r="W23" i="35"/>
  <c r="W21" i="35"/>
  <c r="W19" i="35"/>
  <c r="W22" i="35"/>
  <c r="F29" i="35"/>
  <c r="F34" i="35"/>
  <c r="J34" i="35"/>
  <c r="J29" i="35"/>
  <c r="I28" i="35"/>
  <c r="H35" i="35"/>
  <c r="E27" i="35"/>
  <c r="I37" i="35"/>
  <c r="I51" i="35" s="1"/>
  <c r="I53" i="35" s="1"/>
  <c r="R30" i="35"/>
  <c r="G30" i="35"/>
  <c r="G36" i="35" s="1"/>
  <c r="G35" i="35"/>
  <c r="T38" i="35"/>
  <c r="Q29" i="35"/>
  <c r="Q34" i="35"/>
  <c r="E37" i="35"/>
  <c r="E51" i="35" s="1"/>
  <c r="E53" i="35" s="1"/>
  <c r="U35" i="35"/>
  <c r="U37" i="35"/>
  <c r="U51" i="35" s="1"/>
  <c r="U53" i="35" s="1"/>
  <c r="U36" i="35"/>
  <c r="U34" i="35"/>
  <c r="U33" i="35"/>
  <c r="O38" i="35"/>
  <c r="N35" i="35"/>
  <c r="N30" i="35"/>
  <c r="N36" i="35" s="1"/>
  <c r="C29" i="35"/>
  <c r="C34" i="35"/>
  <c r="D30" i="35"/>
  <c r="D36" i="35" s="1"/>
  <c r="D35" i="35"/>
  <c r="K29" i="35"/>
  <c r="K34" i="35"/>
  <c r="R34" i="35"/>
  <c r="R35" i="35"/>
  <c r="R37" i="35"/>
  <c r="R51" i="35" s="1"/>
  <c r="R53" i="35" s="1"/>
  <c r="R33" i="35"/>
  <c r="R36" i="35"/>
  <c r="E28" i="35" l="1"/>
  <c r="W27" i="35"/>
  <c r="W28" i="35" s="1"/>
  <c r="E33" i="35"/>
  <c r="D38" i="35"/>
  <c r="R38" i="35"/>
  <c r="K30" i="35"/>
  <c r="K36" i="35" s="1"/>
  <c r="K35" i="35"/>
  <c r="U38" i="35"/>
  <c r="Q30" i="35"/>
  <c r="Q36" i="35" s="1"/>
  <c r="Q35" i="35"/>
  <c r="H38" i="35"/>
  <c r="W37" i="35"/>
  <c r="W51" i="35" s="1"/>
  <c r="W53" i="35" s="1"/>
  <c r="W33" i="35"/>
  <c r="W34" i="35"/>
  <c r="L29" i="35"/>
  <c r="L34" i="35"/>
  <c r="C30" i="35"/>
  <c r="C36" i="35" s="1"/>
  <c r="C35" i="35"/>
  <c r="I29" i="35"/>
  <c r="I34" i="35"/>
  <c r="F30" i="35"/>
  <c r="F36" i="35" s="1"/>
  <c r="F35" i="35"/>
  <c r="P38" i="35"/>
  <c r="N38" i="35"/>
  <c r="G38" i="35"/>
  <c r="W29" i="35"/>
  <c r="J35" i="35"/>
  <c r="J30" i="35"/>
  <c r="E29" i="35" l="1"/>
  <c r="E34" i="35"/>
  <c r="J36" i="35"/>
  <c r="W30" i="35"/>
  <c r="W36" i="35" s="1"/>
  <c r="C38" i="35"/>
  <c r="F38" i="35"/>
  <c r="I30" i="35"/>
  <c r="I36" i="35" s="1"/>
  <c r="I35" i="35"/>
  <c r="Q38" i="35"/>
  <c r="J38" i="35"/>
  <c r="L35" i="35"/>
  <c r="L30" i="35"/>
  <c r="L36" i="35" s="1"/>
  <c r="K38" i="35"/>
  <c r="W35" i="35"/>
  <c r="E35" i="35" l="1"/>
  <c r="E30" i="35"/>
  <c r="L109" i="35"/>
  <c r="L38" i="35"/>
  <c r="I38" i="35"/>
  <c r="I109" i="35"/>
  <c r="W109" i="35"/>
  <c r="W38" i="35"/>
  <c r="E109" i="35"/>
  <c r="O109" i="35"/>
  <c r="C109" i="35"/>
  <c r="R109" i="35"/>
  <c r="J109" i="35"/>
  <c r="G109" i="35"/>
  <c r="V109" i="35"/>
  <c r="P109" i="35"/>
  <c r="D109" i="35"/>
  <c r="U109" i="35"/>
  <c r="Q109" i="35"/>
  <c r="T109" i="35"/>
  <c r="B109" i="35"/>
  <c r="S109" i="35"/>
  <c r="E38" i="35" l="1"/>
  <c r="F109" i="35"/>
  <c r="N109" i="35"/>
  <c r="K109" i="35"/>
  <c r="H109" i="35"/>
  <c r="E36" i="35"/>
  <c r="D107" i="35"/>
  <c r="R107" i="35"/>
  <c r="P107" i="35"/>
  <c r="O107" i="35"/>
  <c r="B107" i="35"/>
  <c r="Q107" i="35" l="1"/>
  <c r="S107" i="35"/>
  <c r="T107" i="35"/>
  <c r="C107" i="35"/>
  <c r="U107" i="35"/>
  <c r="N107" i="35"/>
  <c r="I107" i="35"/>
  <c r="H107" i="35"/>
  <c r="V107" i="35"/>
  <c r="K107" i="35"/>
  <c r="E107" i="35"/>
  <c r="L107" i="35"/>
  <c r="J107" i="35"/>
  <c r="F107" i="35"/>
  <c r="W107" i="35"/>
  <c r="G107" i="35"/>
  <c r="F105" i="35"/>
  <c r="O105" i="35"/>
  <c r="R105" i="35"/>
  <c r="E105" i="35"/>
  <c r="B105" i="35"/>
  <c r="P105" i="35"/>
  <c r="L105" i="35"/>
  <c r="K105" i="35"/>
  <c r="J105" i="35"/>
  <c r="D105" i="35"/>
  <c r="Q105" i="35"/>
  <c r="T105" i="35"/>
  <c r="W105" i="35"/>
  <c r="S105" i="35"/>
  <c r="G105" i="35"/>
  <c r="U105" i="35"/>
  <c r="C105" i="35"/>
  <c r="H105" i="35"/>
  <c r="I105" i="35"/>
  <c r="N105" i="35"/>
  <c r="V105" i="35"/>
  <c r="S77" i="31" l="1"/>
  <c r="P64" i="31"/>
  <c r="P68" i="31" s="1"/>
  <c r="P63" i="31"/>
  <c r="P67" i="31" s="1"/>
  <c r="P62" i="31"/>
  <c r="P66" i="31" s="1"/>
  <c r="K251" i="11" l="1"/>
  <c r="K256" i="11"/>
  <c r="J257" i="11"/>
  <c r="D179" i="11"/>
  <c r="K253" i="11"/>
  <c r="J253" i="11"/>
  <c r="K254" i="11"/>
  <c r="J254" i="11"/>
  <c r="K249" i="11"/>
  <c r="J249" i="11"/>
  <c r="K257" i="11"/>
  <c r="K248" i="11"/>
  <c r="J248" i="11"/>
  <c r="J251" i="11"/>
  <c r="J266" i="11"/>
  <c r="K265" i="11"/>
  <c r="J265" i="11"/>
  <c r="K264" i="11"/>
  <c r="J264" i="11"/>
  <c r="K261" i="11"/>
  <c r="J261" i="11"/>
  <c r="K260" i="11"/>
  <c r="J260" i="11"/>
  <c r="D127" i="11"/>
  <c r="J258" i="11"/>
  <c r="K255" i="11"/>
  <c r="J255" i="11"/>
  <c r="K252" i="11"/>
  <c r="J252" i="11"/>
  <c r="D91" i="11"/>
  <c r="K247" i="11"/>
  <c r="K266" i="11"/>
  <c r="P69" i="31"/>
  <c r="K258" i="11" l="1"/>
  <c r="D180" i="11"/>
  <c r="D104" i="11"/>
  <c r="D126" i="11"/>
  <c r="D204" i="11"/>
  <c r="J256" i="11"/>
  <c r="D100" i="11"/>
  <c r="D207" i="11"/>
  <c r="D129" i="11"/>
  <c r="D178" i="11"/>
  <c r="D102" i="11"/>
  <c r="D181" i="11"/>
  <c r="D105" i="11"/>
  <c r="D101" i="11"/>
  <c r="J247" i="11"/>
  <c r="D208" i="11"/>
  <c r="D130" i="11"/>
  <c r="U48" i="31"/>
  <c r="R48" i="31"/>
  <c r="P48" i="31"/>
  <c r="N48" i="31"/>
  <c r="K48" i="31"/>
  <c r="J48" i="31"/>
  <c r="I48" i="31"/>
  <c r="G48" i="31"/>
  <c r="F48" i="31"/>
  <c r="M48" i="31"/>
  <c r="T48" i="31"/>
  <c r="S48" i="31"/>
  <c r="Q48" i="31"/>
  <c r="H48" i="31"/>
  <c r="E48" i="31"/>
  <c r="C48" i="31"/>
  <c r="U27" i="31"/>
  <c r="U33" i="31" s="1"/>
  <c r="T27" i="31"/>
  <c r="T28" i="31" s="1"/>
  <c r="M37" i="31"/>
  <c r="S42" i="31" l="1"/>
  <c r="S41" i="31"/>
  <c r="S43" i="31"/>
  <c r="Q43" i="31"/>
  <c r="Q41" i="31"/>
  <c r="Q42" i="31"/>
  <c r="P41" i="31"/>
  <c r="P43" i="31"/>
  <c r="P42" i="31"/>
  <c r="N43" i="31"/>
  <c r="N42" i="31"/>
  <c r="N41" i="31"/>
  <c r="M41" i="31"/>
  <c r="M43" i="31"/>
  <c r="M42" i="31"/>
  <c r="K43" i="31"/>
  <c r="K41" i="31"/>
  <c r="K42" i="31"/>
  <c r="J43" i="31"/>
  <c r="J42" i="31"/>
  <c r="J41" i="31"/>
  <c r="F43" i="31"/>
  <c r="F42" i="31"/>
  <c r="F41" i="31"/>
  <c r="G41" i="31"/>
  <c r="G42" i="31"/>
  <c r="G43" i="31"/>
  <c r="I41" i="31"/>
  <c r="I42" i="31"/>
  <c r="I43" i="31"/>
  <c r="H43" i="31"/>
  <c r="H42" i="31"/>
  <c r="H41" i="31"/>
  <c r="E43" i="31"/>
  <c r="E42" i="31"/>
  <c r="E41" i="31"/>
  <c r="R42" i="31"/>
  <c r="R43" i="31"/>
  <c r="R41" i="31"/>
  <c r="T42" i="31"/>
  <c r="T41" i="31"/>
  <c r="T43" i="31"/>
  <c r="U41" i="31"/>
  <c r="U43" i="31"/>
  <c r="U42" i="31"/>
  <c r="C42" i="31"/>
  <c r="C43" i="31"/>
  <c r="C41" i="31"/>
  <c r="E49" i="31"/>
  <c r="E118" i="31" s="1"/>
  <c r="M27" i="31"/>
  <c r="M33" i="31" s="1"/>
  <c r="B48" i="31"/>
  <c r="B27" i="31"/>
  <c r="B33" i="31" s="1"/>
  <c r="B43" i="31" l="1"/>
  <c r="B41" i="31"/>
  <c r="B42" i="31"/>
  <c r="F49" i="31"/>
  <c r="Q49" i="31"/>
  <c r="M49" i="31"/>
  <c r="M24" i="31" s="1"/>
  <c r="J49" i="31"/>
  <c r="B49" i="31"/>
  <c r="K49" i="31"/>
  <c r="G49" i="31"/>
  <c r="I49" i="31"/>
  <c r="I16" i="31" s="1"/>
  <c r="R49" i="31"/>
  <c r="T49" i="31"/>
  <c r="T23" i="31" s="1"/>
  <c r="U49" i="31"/>
  <c r="N49" i="31"/>
  <c r="P49" i="31"/>
  <c r="C49" i="31"/>
  <c r="H49" i="31"/>
  <c r="H71" i="31" s="1"/>
  <c r="S49" i="31"/>
  <c r="M28" i="31"/>
  <c r="M34" i="31" s="1"/>
  <c r="K24" i="31" l="1"/>
  <c r="K22" i="31"/>
  <c r="K21" i="31"/>
  <c r="K23" i="31"/>
  <c r="K19" i="31"/>
  <c r="P22" i="31"/>
  <c r="P24" i="31"/>
  <c r="P21" i="31"/>
  <c r="P23" i="31"/>
  <c r="P19" i="31"/>
  <c r="F16" i="31"/>
  <c r="F116" i="31" s="1"/>
  <c r="F24" i="31"/>
  <c r="F19" i="31"/>
  <c r="F23" i="31"/>
  <c r="F22" i="31"/>
  <c r="F21" i="31"/>
  <c r="S22" i="31"/>
  <c r="S20" i="31"/>
  <c r="S19" i="31"/>
  <c r="S21" i="31"/>
  <c r="S24" i="31"/>
  <c r="S16" i="31"/>
  <c r="S23" i="31"/>
  <c r="N22" i="31"/>
  <c r="N21" i="31"/>
  <c r="N24" i="31"/>
  <c r="N19" i="31"/>
  <c r="N23" i="31"/>
  <c r="N16" i="31"/>
  <c r="J24" i="31"/>
  <c r="J23" i="31"/>
  <c r="J22" i="31"/>
  <c r="J21" i="31"/>
  <c r="J19" i="31"/>
  <c r="R23" i="31"/>
  <c r="R19" i="31"/>
  <c r="R22" i="31"/>
  <c r="R16" i="31"/>
  <c r="R116" i="31" s="1"/>
  <c r="R21" i="31"/>
  <c r="Q19" i="31"/>
  <c r="Q24" i="31"/>
  <c r="Q16" i="31"/>
  <c r="Q116" i="31" s="1"/>
  <c r="Q21" i="31"/>
  <c r="Q22" i="31"/>
  <c r="U24" i="31"/>
  <c r="U22" i="31"/>
  <c r="I22" i="31"/>
  <c r="I21" i="31"/>
  <c r="I24" i="31"/>
  <c r="I19" i="31"/>
  <c r="I23" i="31"/>
  <c r="H24" i="31"/>
  <c r="H19" i="31"/>
  <c r="H23" i="31"/>
  <c r="H22" i="31"/>
  <c r="H21" i="31"/>
  <c r="G22" i="31"/>
  <c r="G19" i="31"/>
  <c r="G23" i="31"/>
  <c r="G24" i="31"/>
  <c r="G21" i="31"/>
  <c r="G16" i="31"/>
  <c r="G116" i="31" s="1"/>
  <c r="C23" i="31"/>
  <c r="C22" i="31"/>
  <c r="C16" i="31"/>
  <c r="C116" i="31" s="1"/>
  <c r="C21" i="31"/>
  <c r="C24" i="31"/>
  <c r="C19" i="31"/>
  <c r="B23" i="31"/>
  <c r="B22" i="31"/>
  <c r="Q23" i="31"/>
  <c r="M23" i="31"/>
  <c r="M29" i="31" s="1"/>
  <c r="P118" i="31"/>
  <c r="F118" i="31"/>
  <c r="H118" i="31"/>
  <c r="U118" i="31"/>
  <c r="G118" i="31"/>
  <c r="M118" i="31"/>
  <c r="N118" i="31"/>
  <c r="J118" i="31"/>
  <c r="T118" i="31"/>
  <c r="K118" i="31"/>
  <c r="S116" i="31"/>
  <c r="S118" i="31"/>
  <c r="Q118" i="31"/>
  <c r="I118" i="31"/>
  <c r="I116" i="31"/>
  <c r="R118" i="31"/>
  <c r="C118" i="31"/>
  <c r="B118" i="31"/>
  <c r="T29" i="31"/>
  <c r="P70" i="31"/>
  <c r="P16" i="31" s="1"/>
  <c r="P116" i="31" s="1"/>
  <c r="H16" i="31"/>
  <c r="H116" i="31" s="1"/>
  <c r="U23" i="31"/>
  <c r="M51" i="31"/>
  <c r="M53" i="31" s="1"/>
  <c r="O48" i="31"/>
  <c r="V48" i="31"/>
  <c r="B37" i="31" l="1"/>
  <c r="B28" i="31"/>
  <c r="N116" i="31"/>
  <c r="Q27" i="31"/>
  <c r="Q28" i="31" s="1"/>
  <c r="Q34" i="31" s="1"/>
  <c r="M35" i="31"/>
  <c r="M117" i="31"/>
  <c r="T30" i="31"/>
  <c r="T117" i="31"/>
  <c r="V49" i="31"/>
  <c r="V41" i="31"/>
  <c r="V43" i="31"/>
  <c r="V42" i="31"/>
  <c r="O49" i="31"/>
  <c r="O42" i="31"/>
  <c r="O41" i="31"/>
  <c r="O43" i="31"/>
  <c r="F27" i="31"/>
  <c r="F28" i="31" s="1"/>
  <c r="G27" i="31"/>
  <c r="G28" i="31" s="1"/>
  <c r="G29" i="31" s="1"/>
  <c r="S27" i="31"/>
  <c r="S28" i="31" s="1"/>
  <c r="S29" i="31" s="1"/>
  <c r="P27" i="31"/>
  <c r="P28" i="31" s="1"/>
  <c r="P29" i="31" s="1"/>
  <c r="K37" i="31"/>
  <c r="K51" i="31" s="1"/>
  <c r="K53" i="31" s="1"/>
  <c r="I27" i="31"/>
  <c r="I37" i="31"/>
  <c r="Q37" i="31"/>
  <c r="Q51" i="31" s="1"/>
  <c r="Q53" i="31" s="1"/>
  <c r="J27" i="31"/>
  <c r="J37" i="31"/>
  <c r="J51" i="31" s="1"/>
  <c r="J53" i="31" s="1"/>
  <c r="U28" i="31"/>
  <c r="U37" i="31"/>
  <c r="U51" i="31" s="1"/>
  <c r="U53" i="31" s="1"/>
  <c r="H37" i="31"/>
  <c r="H51" i="31" s="1"/>
  <c r="H53" i="31" s="1"/>
  <c r="H27" i="31"/>
  <c r="H28" i="31" s="1"/>
  <c r="H29" i="31" s="1"/>
  <c r="N27" i="31"/>
  <c r="N37" i="31"/>
  <c r="N51" i="31" s="1"/>
  <c r="N53" i="31" s="1"/>
  <c r="C27" i="31"/>
  <c r="R27" i="31"/>
  <c r="R28" i="31" s="1"/>
  <c r="R29" i="31" s="1"/>
  <c r="P37" i="31"/>
  <c r="P51" i="31" s="1"/>
  <c r="P53" i="31" s="1"/>
  <c r="S37" i="31"/>
  <c r="S51" i="31" s="1"/>
  <c r="S53" i="31" s="1"/>
  <c r="K27" i="31"/>
  <c r="M30" i="31"/>
  <c r="M36" i="31" s="1"/>
  <c r="N2" i="11" s="1"/>
  <c r="C33" i="31" l="1"/>
  <c r="B34" i="31"/>
  <c r="B29" i="31"/>
  <c r="V22" i="31"/>
  <c r="V21" i="31"/>
  <c r="V23" i="31"/>
  <c r="V19" i="31"/>
  <c r="V24" i="31"/>
  <c r="V16" i="31"/>
  <c r="V116" i="31" s="1"/>
  <c r="O16" i="31"/>
  <c r="O21" i="31"/>
  <c r="B8" i="5" s="1"/>
  <c r="O23" i="31"/>
  <c r="O24" i="31"/>
  <c r="O19" i="31"/>
  <c r="N4" i="11"/>
  <c r="N3" i="11"/>
  <c r="C151" i="11"/>
  <c r="C126" i="11"/>
  <c r="C101" i="11"/>
  <c r="N28" i="31"/>
  <c r="N29" i="31" s="1"/>
  <c r="N30" i="31" s="1"/>
  <c r="N36" i="31" s="1"/>
  <c r="F29" i="31"/>
  <c r="F30" i="31" s="1"/>
  <c r="V118" i="31"/>
  <c r="I51" i="31"/>
  <c r="I53" i="31" s="1"/>
  <c r="S35" i="31"/>
  <c r="S117" i="31"/>
  <c r="Q33" i="31"/>
  <c r="Q29" i="31"/>
  <c r="Q117" i="31" s="1"/>
  <c r="P30" i="31"/>
  <c r="P36" i="31" s="1"/>
  <c r="Q2" i="11" s="1"/>
  <c r="P117" i="31"/>
  <c r="O118" i="31"/>
  <c r="G30" i="31"/>
  <c r="G36" i="31" s="1"/>
  <c r="H2" i="11" s="1"/>
  <c r="G117" i="31"/>
  <c r="H35" i="31"/>
  <c r="H117" i="31"/>
  <c r="R35" i="31"/>
  <c r="R117" i="31"/>
  <c r="N33" i="31"/>
  <c r="H33" i="31"/>
  <c r="S34" i="31"/>
  <c r="G35" i="31"/>
  <c r="J28" i="31"/>
  <c r="J33" i="31"/>
  <c r="F34" i="31"/>
  <c r="R33" i="31"/>
  <c r="P34" i="31"/>
  <c r="G33" i="31"/>
  <c r="K28" i="31"/>
  <c r="K33" i="31"/>
  <c r="C28" i="31"/>
  <c r="I28" i="31"/>
  <c r="I33" i="31"/>
  <c r="H34" i="31"/>
  <c r="S33" i="31"/>
  <c r="P35" i="31"/>
  <c r="U29" i="31"/>
  <c r="U117" i="31" s="1"/>
  <c r="U34" i="31"/>
  <c r="B30" i="31"/>
  <c r="B35" i="31"/>
  <c r="F33" i="31"/>
  <c r="R34" i="31"/>
  <c r="P33" i="31"/>
  <c r="G34" i="31"/>
  <c r="R30" i="31"/>
  <c r="R36" i="31" s="1"/>
  <c r="S2" i="11" s="1"/>
  <c r="S30" i="31"/>
  <c r="S36" i="31" s="1"/>
  <c r="T2" i="11" s="1"/>
  <c r="H30" i="31"/>
  <c r="H36" i="31" s="1"/>
  <c r="I2" i="11" s="1"/>
  <c r="B36" i="31" l="1"/>
  <c r="C2" i="11" s="1"/>
  <c r="B117" i="31"/>
  <c r="I4" i="11"/>
  <c r="I3" i="11"/>
  <c r="C4" i="11"/>
  <c r="C3" i="11"/>
  <c r="Q4" i="11"/>
  <c r="Q3" i="11"/>
  <c r="H4" i="11"/>
  <c r="H3" i="11"/>
  <c r="T4" i="11"/>
  <c r="T3" i="11"/>
  <c r="S4" i="11"/>
  <c r="S3" i="11"/>
  <c r="O2" i="11"/>
  <c r="C204" i="11"/>
  <c r="C230" i="11"/>
  <c r="C177" i="11"/>
  <c r="N34" i="31"/>
  <c r="F35" i="31"/>
  <c r="F117" i="31"/>
  <c r="B38" i="31"/>
  <c r="Q30" i="31"/>
  <c r="Q36" i="31" s="1"/>
  <c r="O27" i="31"/>
  <c r="O116" i="31"/>
  <c r="N117" i="31"/>
  <c r="N35" i="31"/>
  <c r="F36" i="31"/>
  <c r="G2" i="11" s="1"/>
  <c r="Q35" i="31"/>
  <c r="V27" i="31"/>
  <c r="U30" i="31"/>
  <c r="U36" i="31" s="1"/>
  <c r="V2" i="11" s="1"/>
  <c r="U35" i="31"/>
  <c r="I34" i="31"/>
  <c r="I29" i="31"/>
  <c r="I117" i="31" s="1"/>
  <c r="K29" i="31"/>
  <c r="K117" i="31" s="1"/>
  <c r="K34" i="31"/>
  <c r="C29" i="31"/>
  <c r="C34" i="31"/>
  <c r="J29" i="31"/>
  <c r="J117" i="31" s="1"/>
  <c r="J34" i="31"/>
  <c r="C127" i="11" l="1"/>
  <c r="C102" i="11"/>
  <c r="C152" i="11"/>
  <c r="R4" i="11"/>
  <c r="C208" i="11" s="1"/>
  <c r="R3" i="11"/>
  <c r="V4" i="11"/>
  <c r="V3" i="11"/>
  <c r="O4" i="11"/>
  <c r="O3" i="11"/>
  <c r="R2" i="11"/>
  <c r="G4" i="11"/>
  <c r="G3" i="11"/>
  <c r="O33" i="31"/>
  <c r="O28" i="31"/>
  <c r="C117" i="31"/>
  <c r="V33" i="31"/>
  <c r="V28" i="31"/>
  <c r="J35" i="31"/>
  <c r="J30" i="31"/>
  <c r="J36" i="31" s="1"/>
  <c r="K2" i="11" s="1"/>
  <c r="C30" i="31"/>
  <c r="C35" i="31"/>
  <c r="I35" i="31"/>
  <c r="I30" i="31"/>
  <c r="I36" i="31" s="1"/>
  <c r="J2" i="11" s="1"/>
  <c r="K30" i="31"/>
  <c r="K36" i="31" s="1"/>
  <c r="L2" i="11" s="1"/>
  <c r="K35" i="31"/>
  <c r="U73" i="33"/>
  <c r="U66" i="33"/>
  <c r="C234" i="11" l="1"/>
  <c r="C181" i="11"/>
  <c r="C178" i="11"/>
  <c r="C231" i="11"/>
  <c r="J4" i="11"/>
  <c r="J3" i="11"/>
  <c r="K4" i="11"/>
  <c r="K3" i="11"/>
  <c r="C130" i="11"/>
  <c r="C105" i="11"/>
  <c r="C155" i="11"/>
  <c r="L4" i="11"/>
  <c r="L3" i="11"/>
  <c r="D4" i="11"/>
  <c r="D3" i="11"/>
  <c r="D256" i="11"/>
  <c r="O34" i="31"/>
  <c r="O29" i="31"/>
  <c r="O35" i="31" s="1"/>
  <c r="V29" i="31"/>
  <c r="V34" i="31"/>
  <c r="C36" i="31"/>
  <c r="D2" i="11" s="1"/>
  <c r="C91" i="11" s="1"/>
  <c r="P4" i="11" l="1"/>
  <c r="P3" i="11"/>
  <c r="O30" i="31"/>
  <c r="O36" i="31" s="1"/>
  <c r="O117" i="31"/>
  <c r="V30" i="31"/>
  <c r="V36" i="31" s="1"/>
  <c r="W2" i="11" s="1"/>
  <c r="V117" i="31"/>
  <c r="V35" i="31"/>
  <c r="P2" i="11" l="1"/>
  <c r="C153" i="11" s="1"/>
  <c r="C26" i="5"/>
  <c r="W4" i="11"/>
  <c r="W3" i="11"/>
  <c r="C232" i="11"/>
  <c r="C179" i="11"/>
  <c r="C180" i="11"/>
  <c r="C233" i="11"/>
  <c r="C207" i="11"/>
  <c r="C104" i="11"/>
  <c r="C129" i="11"/>
  <c r="C154" i="11"/>
  <c r="L13" i="31"/>
  <c r="L12" i="4" s="1"/>
  <c r="I15" i="31" l="1"/>
  <c r="L15" i="31"/>
  <c r="L14" i="4" s="1"/>
  <c r="U13" i="31"/>
  <c r="Q13" i="31"/>
  <c r="M13" i="31"/>
  <c r="F13" i="31"/>
  <c r="C13" i="31"/>
  <c r="O13" i="31"/>
  <c r="T13" i="31"/>
  <c r="P13" i="31"/>
  <c r="K13" i="31"/>
  <c r="H13" i="31"/>
  <c r="V13" i="31"/>
  <c r="N13" i="31"/>
  <c r="G13" i="31"/>
  <c r="B13" i="31"/>
  <c r="D62" i="31"/>
  <c r="D52" i="31" s="1"/>
  <c r="M15" i="31"/>
  <c r="H15" i="31"/>
  <c r="K15" i="31"/>
  <c r="T15" i="31"/>
  <c r="N15" i="31"/>
  <c r="B15" i="31"/>
  <c r="U15" i="31"/>
  <c r="P15" i="31"/>
  <c r="J15" i="31"/>
  <c r="C15" i="31"/>
  <c r="V15" i="31"/>
  <c r="G15" i="31"/>
  <c r="Q15" i="31"/>
  <c r="O15" i="31"/>
  <c r="F15" i="31"/>
  <c r="C11" i="31"/>
  <c r="B11" i="31"/>
  <c r="D14" i="31" l="1"/>
  <c r="E14" i="31"/>
  <c r="E15" i="31" s="1"/>
  <c r="E16" i="31"/>
  <c r="E12" i="31"/>
  <c r="E22" i="31"/>
  <c r="E10" i="31"/>
  <c r="E11" i="31" s="1"/>
  <c r="E24" i="31"/>
  <c r="E20" i="31"/>
  <c r="E23" i="31"/>
  <c r="E19" i="31"/>
  <c r="E13" i="31"/>
  <c r="D15" i="31"/>
  <c r="E21" i="31"/>
  <c r="C38" i="31"/>
  <c r="U38" i="31"/>
  <c r="N38" i="31"/>
  <c r="Q38" i="31"/>
  <c r="J38" i="31"/>
  <c r="K38" i="31"/>
  <c r="M38" i="31"/>
  <c r="V38" i="31"/>
  <c r="H38" i="31"/>
  <c r="O38" i="31"/>
  <c r="G38" i="31"/>
  <c r="P38" i="31"/>
  <c r="I38" i="31"/>
  <c r="E116" i="31" l="1"/>
  <c r="E37" i="31"/>
  <c r="E51" i="31" s="1"/>
  <c r="E53" i="31" s="1"/>
  <c r="E27" i="31"/>
  <c r="E33" i="31" l="1"/>
  <c r="E28" i="31"/>
  <c r="E34" i="31" l="1"/>
  <c r="E29" i="31"/>
  <c r="E117" i="31" l="1"/>
  <c r="E30" i="31"/>
  <c r="E36" i="31" s="1"/>
  <c r="F2" i="11" s="1"/>
  <c r="E35" i="31"/>
  <c r="D176" i="11"/>
  <c r="F4" i="11" l="1"/>
  <c r="F3" i="11"/>
  <c r="E38" i="31"/>
  <c r="V204" i="33"/>
  <c r="F202" i="33"/>
  <c r="V201" i="33"/>
  <c r="U201" i="33"/>
  <c r="V200" i="33"/>
  <c r="V199" i="33"/>
  <c r="E197" i="33"/>
  <c r="D197" i="33"/>
  <c r="V196" i="33"/>
  <c r="U196" i="33"/>
  <c r="E196" i="33"/>
  <c r="H196" i="33" s="1"/>
  <c r="V195" i="33"/>
  <c r="V194" i="33"/>
  <c r="N107" i="33"/>
  <c r="X98" i="33"/>
  <c r="X100" i="33" s="1"/>
  <c r="X102" i="33" s="1"/>
  <c r="W98" i="33"/>
  <c r="W100" i="33" s="1"/>
  <c r="W102" i="33" s="1"/>
  <c r="V98" i="33"/>
  <c r="V100" i="33" s="1"/>
  <c r="V102" i="33" s="1"/>
  <c r="U98" i="33"/>
  <c r="U100" i="33" s="1"/>
  <c r="U102" i="33" s="1"/>
  <c r="T98" i="33"/>
  <c r="T100" i="33" s="1"/>
  <c r="T102" i="33" s="1"/>
  <c r="S98" i="33"/>
  <c r="S100" i="33" s="1"/>
  <c r="S102" i="33" s="1"/>
  <c r="R98" i="33"/>
  <c r="R100" i="33" s="1"/>
  <c r="R102" i="33" s="1"/>
  <c r="Q98" i="33"/>
  <c r="Q100" i="33" s="1"/>
  <c r="Q102" i="33" s="1"/>
  <c r="P98" i="33"/>
  <c r="P100" i="33" s="1"/>
  <c r="P102" i="33" s="1"/>
  <c r="O98" i="33"/>
  <c r="O100" i="33" s="1"/>
  <c r="O102" i="33" s="1"/>
  <c r="N98" i="33"/>
  <c r="N100" i="33" s="1"/>
  <c r="N102" i="33" s="1"/>
  <c r="L98" i="33"/>
  <c r="L100" i="33" s="1"/>
  <c r="L102" i="33" s="1"/>
  <c r="K98" i="33"/>
  <c r="K100" i="33" s="1"/>
  <c r="K102" i="33" s="1"/>
  <c r="J98" i="33"/>
  <c r="J100" i="33" s="1"/>
  <c r="J102" i="33" s="1"/>
  <c r="I98" i="33"/>
  <c r="I100" i="33" s="1"/>
  <c r="I102" i="33" s="1"/>
  <c r="H98" i="33"/>
  <c r="H100" i="33" s="1"/>
  <c r="H102" i="33" s="1"/>
  <c r="G98" i="33"/>
  <c r="G100" i="33" s="1"/>
  <c r="G102" i="33" s="1"/>
  <c r="F98" i="33"/>
  <c r="F100" i="33" s="1"/>
  <c r="F102" i="33" s="1"/>
  <c r="E98" i="33"/>
  <c r="E100" i="33" s="1"/>
  <c r="E102" i="33" s="1"/>
  <c r="D98" i="33"/>
  <c r="D100" i="33" s="1"/>
  <c r="D102" i="33" s="1"/>
  <c r="C98" i="33"/>
  <c r="C100" i="33" s="1"/>
  <c r="C102" i="33" s="1"/>
  <c r="B98" i="33"/>
  <c r="B100" i="33" s="1"/>
  <c r="B102" i="33" s="1"/>
  <c r="S94" i="33"/>
  <c r="S13" i="33" s="1"/>
  <c r="S14" i="33" s="1"/>
  <c r="S88" i="33"/>
  <c r="U84" i="33"/>
  <c r="S83" i="33"/>
  <c r="U9" i="33"/>
  <c r="U10" i="33" s="1"/>
  <c r="E60" i="33"/>
  <c r="E75" i="33" s="1"/>
  <c r="E9" i="33" s="1"/>
  <c r="E10" i="33" s="1"/>
  <c r="U51" i="33"/>
  <c r="S51" i="33"/>
  <c r="Q51" i="33"/>
  <c r="P51" i="33"/>
  <c r="O51" i="33"/>
  <c r="N51" i="33"/>
  <c r="L51" i="33"/>
  <c r="K51" i="33"/>
  <c r="G51" i="33"/>
  <c r="E51" i="33"/>
  <c r="D51" i="33"/>
  <c r="C51" i="33"/>
  <c r="B51" i="33"/>
  <c r="W47" i="33"/>
  <c r="S47" i="33"/>
  <c r="Q47" i="33"/>
  <c r="O47" i="33"/>
  <c r="L47" i="33"/>
  <c r="K47" i="33"/>
  <c r="J47" i="33"/>
  <c r="J42" i="33" s="1"/>
  <c r="H47" i="33"/>
  <c r="G47" i="33"/>
  <c r="B47" i="33"/>
  <c r="V46" i="33"/>
  <c r="U46" i="33"/>
  <c r="R46" i="33"/>
  <c r="D46" i="33"/>
  <c r="C46" i="33"/>
  <c r="V45" i="33"/>
  <c r="U45" i="33"/>
  <c r="R45" i="33"/>
  <c r="N45" i="33"/>
  <c r="N47" i="33" s="1"/>
  <c r="D45" i="33"/>
  <c r="C45" i="33"/>
  <c r="V44" i="33"/>
  <c r="U44" i="33"/>
  <c r="U47" i="33" s="1"/>
  <c r="R44" i="33"/>
  <c r="I44" i="33"/>
  <c r="I47" i="33" s="1"/>
  <c r="F44" i="33"/>
  <c r="F47" i="33" s="1"/>
  <c r="E44" i="33"/>
  <c r="E47" i="33" s="1"/>
  <c r="D44" i="33"/>
  <c r="D47" i="33" s="1"/>
  <c r="C44" i="33"/>
  <c r="W42" i="33"/>
  <c r="S42" i="33"/>
  <c r="O42" i="33"/>
  <c r="K42" i="33"/>
  <c r="G42" i="33"/>
  <c r="B42" i="33"/>
  <c r="W41" i="33"/>
  <c r="S41" i="33"/>
  <c r="Q41" i="33"/>
  <c r="O41" i="33"/>
  <c r="K41" i="33"/>
  <c r="J41" i="33"/>
  <c r="H41" i="33"/>
  <c r="G41" i="33"/>
  <c r="B41" i="33"/>
  <c r="W40" i="33"/>
  <c r="S40" i="33"/>
  <c r="O40" i="33"/>
  <c r="K40" i="33"/>
  <c r="J40" i="33"/>
  <c r="G40" i="33"/>
  <c r="B40" i="33"/>
  <c r="W26" i="33"/>
  <c r="V26" i="33"/>
  <c r="V27" i="33" s="1"/>
  <c r="F20" i="33"/>
  <c r="C20" i="33"/>
  <c r="F19" i="33"/>
  <c r="N18" i="33"/>
  <c r="N36" i="33" s="1"/>
  <c r="F18" i="33"/>
  <c r="C18" i="33"/>
  <c r="C26" i="33" s="1"/>
  <c r="F15" i="33"/>
  <c r="C15" i="33"/>
  <c r="X14" i="33"/>
  <c r="W14" i="33"/>
  <c r="V14" i="33"/>
  <c r="T14" i="33"/>
  <c r="Q14" i="33"/>
  <c r="O14" i="33"/>
  <c r="N14" i="33"/>
  <c r="L14" i="33"/>
  <c r="K14" i="33"/>
  <c r="I14" i="33"/>
  <c r="H14" i="33"/>
  <c r="F14" i="33"/>
  <c r="D14" i="33"/>
  <c r="C14" i="33"/>
  <c r="B14" i="33"/>
  <c r="U13" i="33"/>
  <c r="U14" i="33" s="1"/>
  <c r="R13" i="33"/>
  <c r="R14" i="33" s="1"/>
  <c r="P13" i="33"/>
  <c r="P14" i="33" s="1"/>
  <c r="E13" i="33"/>
  <c r="E14" i="33" s="1"/>
  <c r="X12" i="33"/>
  <c r="W12" i="33"/>
  <c r="V12" i="33"/>
  <c r="T12" i="33"/>
  <c r="Q12" i="33"/>
  <c r="O12" i="33"/>
  <c r="N12" i="33"/>
  <c r="L12" i="33"/>
  <c r="K12" i="33"/>
  <c r="I12" i="33"/>
  <c r="H12" i="33"/>
  <c r="E12" i="33"/>
  <c r="D12" i="33"/>
  <c r="B12" i="33"/>
  <c r="U11" i="33"/>
  <c r="U12" i="33" s="1"/>
  <c r="S11" i="33"/>
  <c r="S12" i="33" s="1"/>
  <c r="R11" i="33"/>
  <c r="R12" i="33" s="1"/>
  <c r="P11" i="33"/>
  <c r="P12" i="33" s="1"/>
  <c r="F11" i="33"/>
  <c r="F12" i="33" s="1"/>
  <c r="C11" i="33"/>
  <c r="C12" i="33" s="1"/>
  <c r="X10" i="33"/>
  <c r="W10" i="33"/>
  <c r="V10" i="33"/>
  <c r="T10" i="33"/>
  <c r="Q10" i="33"/>
  <c r="P10" i="33"/>
  <c r="O10" i="33"/>
  <c r="N10" i="33"/>
  <c r="L10" i="33"/>
  <c r="K10" i="33"/>
  <c r="H10" i="33"/>
  <c r="D10" i="33"/>
  <c r="C10" i="33"/>
  <c r="B10" i="33"/>
  <c r="S9" i="33"/>
  <c r="S10" i="33" s="1"/>
  <c r="R9" i="33"/>
  <c r="R10" i="33" s="1"/>
  <c r="I9" i="33"/>
  <c r="I10" i="33" s="1"/>
  <c r="F9" i="33"/>
  <c r="F10" i="33" s="1"/>
  <c r="D2" i="33"/>
  <c r="P45" i="33" s="1"/>
  <c r="D1" i="33"/>
  <c r="A1" i="33"/>
  <c r="D185" i="11"/>
  <c r="D184" i="11"/>
  <c r="D183" i="11"/>
  <c r="D175" i="11"/>
  <c r="D174" i="11"/>
  <c r="D173" i="11"/>
  <c r="D172" i="11"/>
  <c r="D171" i="11"/>
  <c r="D169" i="11"/>
  <c r="D168" i="11"/>
  <c r="D167" i="11"/>
  <c r="D159" i="11"/>
  <c r="D158" i="11"/>
  <c r="D157" i="11"/>
  <c r="D150" i="11"/>
  <c r="D149" i="11"/>
  <c r="D148" i="11"/>
  <c r="D147" i="11"/>
  <c r="D146" i="11"/>
  <c r="D145" i="11"/>
  <c r="D143" i="11"/>
  <c r="D142" i="11"/>
  <c r="D141" i="11"/>
  <c r="D134" i="11"/>
  <c r="D133" i="11"/>
  <c r="D132" i="11"/>
  <c r="D125" i="11"/>
  <c r="D124" i="11"/>
  <c r="D123" i="11"/>
  <c r="D122" i="11"/>
  <c r="D121" i="11"/>
  <c r="D120" i="11"/>
  <c r="D118" i="11"/>
  <c r="D117" i="11"/>
  <c r="D116" i="11"/>
  <c r="D109" i="11"/>
  <c r="D108" i="11"/>
  <c r="D107" i="11"/>
  <c r="D99" i="11"/>
  <c r="D98" i="11"/>
  <c r="D97" i="11"/>
  <c r="D96" i="11"/>
  <c r="D95" i="11"/>
  <c r="D93" i="11"/>
  <c r="D92" i="11"/>
  <c r="B48" i="33" l="1"/>
  <c r="S48" i="33"/>
  <c r="S21" i="33" s="1"/>
  <c r="W48" i="33"/>
  <c r="R47" i="33"/>
  <c r="O48" i="33"/>
  <c r="U48" i="33"/>
  <c r="U41" i="33"/>
  <c r="N48" i="33"/>
  <c r="N41" i="33"/>
  <c r="B115" i="35"/>
  <c r="B18" i="33"/>
  <c r="V115" i="35"/>
  <c r="S18" i="33"/>
  <c r="I48" i="33"/>
  <c r="K115" i="35" s="1"/>
  <c r="I41" i="33"/>
  <c r="D48" i="33"/>
  <c r="E115" i="35" s="1"/>
  <c r="D41" i="33"/>
  <c r="R115" i="35"/>
  <c r="O18" i="33"/>
  <c r="O20" i="33"/>
  <c r="O21" i="33"/>
  <c r="G113" i="35"/>
  <c r="H113" i="35"/>
  <c r="P46" i="33"/>
  <c r="H197" i="33"/>
  <c r="N50" i="33"/>
  <c r="V59" i="33"/>
  <c r="V63" i="33" s="1"/>
  <c r="V47" i="33"/>
  <c r="R42" i="33"/>
  <c r="G13" i="33"/>
  <c r="G14" i="33" s="1"/>
  <c r="C47" i="33"/>
  <c r="C42" i="33" s="1"/>
  <c r="I59" i="33"/>
  <c r="X44" i="33"/>
  <c r="Q48" i="33"/>
  <c r="I63" i="33"/>
  <c r="J9" i="33"/>
  <c r="J10" i="33" s="1"/>
  <c r="J13" i="33"/>
  <c r="J14" i="33" s="1"/>
  <c r="I60" i="33"/>
  <c r="I61" i="33"/>
  <c r="C113" i="35"/>
  <c r="D113" i="35"/>
  <c r="H48" i="33"/>
  <c r="H21" i="33" s="1"/>
  <c r="L48" i="33"/>
  <c r="O115" i="35" s="1"/>
  <c r="J48" i="33"/>
  <c r="L41" i="33"/>
  <c r="D23" i="33"/>
  <c r="D20" i="33"/>
  <c r="D15" i="33"/>
  <c r="E113" i="35" s="1"/>
  <c r="D18" i="33"/>
  <c r="D22" i="33"/>
  <c r="D21" i="33"/>
  <c r="C48" i="33"/>
  <c r="C40" i="33"/>
  <c r="I197" i="33"/>
  <c r="V48" i="33"/>
  <c r="V40" i="33"/>
  <c r="E41" i="33"/>
  <c r="E48" i="33"/>
  <c r="F115" i="35" s="1"/>
  <c r="E42" i="33"/>
  <c r="I20" i="33"/>
  <c r="I23" i="33"/>
  <c r="I18" i="33"/>
  <c r="I26" i="33" s="1"/>
  <c r="I22" i="33"/>
  <c r="I21" i="33"/>
  <c r="N23" i="33"/>
  <c r="N22" i="33"/>
  <c r="U15" i="33"/>
  <c r="U19" i="33"/>
  <c r="U20" i="33"/>
  <c r="O26" i="33"/>
  <c r="O27" i="33" s="1"/>
  <c r="F41" i="33"/>
  <c r="F48" i="33"/>
  <c r="F42" i="33"/>
  <c r="F40" i="33"/>
  <c r="R41" i="33"/>
  <c r="R48" i="33"/>
  <c r="U115" i="35" s="1"/>
  <c r="H18" i="33"/>
  <c r="H22" i="33"/>
  <c r="L23" i="33"/>
  <c r="L18" i="33"/>
  <c r="L22" i="33"/>
  <c r="L21" i="33"/>
  <c r="L20" i="33"/>
  <c r="C41" i="33"/>
  <c r="V42" i="33"/>
  <c r="N52" i="33"/>
  <c r="F26" i="33"/>
  <c r="W32" i="33"/>
  <c r="X59" i="33"/>
  <c r="X63" i="33" s="1"/>
  <c r="V60" i="33"/>
  <c r="V64" i="33" s="1"/>
  <c r="V61" i="33"/>
  <c r="V65" i="33" s="1"/>
  <c r="V66" i="33" s="1"/>
  <c r="V67" i="33" s="1"/>
  <c r="V15" i="33" s="1"/>
  <c r="G11" i="33"/>
  <c r="G12" i="33" s="1"/>
  <c r="B15" i="33"/>
  <c r="O15" i="33"/>
  <c r="R113" i="35" s="1"/>
  <c r="S15" i="33"/>
  <c r="V113" i="35" s="1"/>
  <c r="B20" i="33"/>
  <c r="B26" i="33" s="1"/>
  <c r="W21" i="33"/>
  <c r="W36" i="33" s="1"/>
  <c r="W50" i="33" s="1"/>
  <c r="W52" i="33" s="1"/>
  <c r="B23" i="33"/>
  <c r="J23" i="33"/>
  <c r="O23" i="33"/>
  <c r="S23" i="33"/>
  <c r="N26" i="33"/>
  <c r="E40" i="33"/>
  <c r="I40" i="33"/>
  <c r="N40" i="33"/>
  <c r="R40" i="33"/>
  <c r="I42" i="33"/>
  <c r="N42" i="33"/>
  <c r="P44" i="33"/>
  <c r="Q60" i="33"/>
  <c r="Q64" i="33" s="1"/>
  <c r="Q61" i="33"/>
  <c r="Q65" i="33" s="1"/>
  <c r="G9" i="33"/>
  <c r="G10" i="33" s="1"/>
  <c r="W23" i="33"/>
  <c r="D40" i="33"/>
  <c r="H40" i="33"/>
  <c r="L40" i="33"/>
  <c r="Q40" i="33"/>
  <c r="U40" i="33"/>
  <c r="D42" i="33"/>
  <c r="H42" i="33"/>
  <c r="L42" i="33"/>
  <c r="Q42" i="33"/>
  <c r="U42" i="33"/>
  <c r="T45" i="33"/>
  <c r="T46" i="33"/>
  <c r="Q59" i="33"/>
  <c r="Q63" i="33" s="1"/>
  <c r="I64" i="33"/>
  <c r="I65" i="33"/>
  <c r="S20" i="33"/>
  <c r="S26" i="33" s="1"/>
  <c r="B21" i="33"/>
  <c r="J21" i="33"/>
  <c r="B22" i="33"/>
  <c r="J22" i="33"/>
  <c r="O22" i="33"/>
  <c r="S22" i="33"/>
  <c r="W22" i="33"/>
  <c r="C32" i="33"/>
  <c r="V41" i="33"/>
  <c r="T44" i="33"/>
  <c r="X45" i="33"/>
  <c r="X46" i="33"/>
  <c r="G48" i="33"/>
  <c r="I115" i="35" s="1"/>
  <c r="K48" i="33"/>
  <c r="H20" i="33" l="1"/>
  <c r="H23" i="33"/>
  <c r="D26" i="33"/>
  <c r="D27" i="33" s="1"/>
  <c r="D28" i="33" s="1"/>
  <c r="E114" i="35" s="1"/>
  <c r="S27" i="33"/>
  <c r="B27" i="33"/>
  <c r="O28" i="33"/>
  <c r="R114" i="35" s="1"/>
  <c r="J15" i="33"/>
  <c r="L115" i="35"/>
  <c r="J20" i="33"/>
  <c r="J18" i="33"/>
  <c r="S28" i="33"/>
  <c r="V114" i="35" s="1"/>
  <c r="Q115" i="35"/>
  <c r="P115" i="35"/>
  <c r="N115" i="35"/>
  <c r="K18" i="33"/>
  <c r="X47" i="33"/>
  <c r="X48" i="33" s="1"/>
  <c r="G115" i="35"/>
  <c r="H115" i="35"/>
  <c r="J115" i="35"/>
  <c r="H15" i="33"/>
  <c r="J113" i="35" s="1"/>
  <c r="T115" i="35"/>
  <c r="Q21" i="33"/>
  <c r="Q22" i="33"/>
  <c r="Q20" i="33"/>
  <c r="Q23" i="33"/>
  <c r="Q18" i="33"/>
  <c r="B113" i="35"/>
  <c r="D115" i="35"/>
  <c r="C115" i="35"/>
  <c r="U21" i="33"/>
  <c r="U18" i="33"/>
  <c r="U22" i="33"/>
  <c r="U23" i="33"/>
  <c r="S29" i="33"/>
  <c r="S35" i="33" s="1"/>
  <c r="V33" i="33"/>
  <c r="V36" i="33"/>
  <c r="V50" i="33" s="1"/>
  <c r="V52" i="33" s="1"/>
  <c r="V32" i="33"/>
  <c r="O29" i="33"/>
  <c r="E23" i="33"/>
  <c r="E15" i="33"/>
  <c r="F113" i="35" s="1"/>
  <c r="E18" i="33"/>
  <c r="E54" i="33"/>
  <c r="E22" i="33"/>
  <c r="E21" i="33"/>
  <c r="E19" i="33"/>
  <c r="C22" i="33"/>
  <c r="C21" i="33"/>
  <c r="C23" i="33"/>
  <c r="D29" i="33"/>
  <c r="G18" i="33"/>
  <c r="G22" i="33"/>
  <c r="G21" i="33"/>
  <c r="G20" i="33"/>
  <c r="G23" i="33"/>
  <c r="G15" i="33"/>
  <c r="I113" i="35" s="1"/>
  <c r="P47" i="33"/>
  <c r="P40" i="33" s="1"/>
  <c r="S33" i="33"/>
  <c r="S36" i="33"/>
  <c r="S50" i="33" s="1"/>
  <c r="S52" i="33" s="1"/>
  <c r="S34" i="33"/>
  <c r="S32" i="33"/>
  <c r="L36" i="33"/>
  <c r="L50" i="33" s="1"/>
  <c r="L52" i="33" s="1"/>
  <c r="L26" i="33"/>
  <c r="H36" i="33"/>
  <c r="H50" i="33" s="1"/>
  <c r="H52" i="33" s="1"/>
  <c r="V22" i="33"/>
  <c r="V28" i="33" s="1"/>
  <c r="V34" i="33" s="1"/>
  <c r="J26" i="33"/>
  <c r="I27" i="33"/>
  <c r="I28" i="33" s="1"/>
  <c r="K114" i="35" s="1"/>
  <c r="W27" i="33"/>
  <c r="N27" i="33"/>
  <c r="N32" i="33"/>
  <c r="O107" i="33"/>
  <c r="O35" i="33"/>
  <c r="O33" i="33"/>
  <c r="O36" i="33"/>
  <c r="O50" i="33" s="1"/>
  <c r="O52" i="33" s="1"/>
  <c r="O34" i="33"/>
  <c r="O32" i="33"/>
  <c r="K22" i="33"/>
  <c r="K21" i="33"/>
  <c r="K20" i="33"/>
  <c r="K23" i="33"/>
  <c r="T47" i="33"/>
  <c r="T48" i="33" s="1"/>
  <c r="D36" i="33"/>
  <c r="D50" i="33" s="1"/>
  <c r="D52" i="33" s="1"/>
  <c r="D34" i="33"/>
  <c r="D32" i="33"/>
  <c r="D35" i="33"/>
  <c r="D33" i="33"/>
  <c r="I66" i="33"/>
  <c r="H26" i="33"/>
  <c r="H27" i="33" s="1"/>
  <c r="H28" i="33" s="1"/>
  <c r="U26" i="33"/>
  <c r="U27" i="33" s="1"/>
  <c r="U28" i="33" s="1"/>
  <c r="U34" i="33" s="1"/>
  <c r="Q26" i="33"/>
  <c r="Q27" i="33" s="1"/>
  <c r="Q28" i="33" s="1"/>
  <c r="T114" i="35" s="1"/>
  <c r="X61" i="33"/>
  <c r="X65" i="33" s="1"/>
  <c r="X42" i="33"/>
  <c r="X60" i="33"/>
  <c r="X64" i="33" s="1"/>
  <c r="X41" i="33"/>
  <c r="B33" i="33"/>
  <c r="B36" i="33"/>
  <c r="B32" i="33"/>
  <c r="F32" i="33"/>
  <c r="R23" i="33"/>
  <c r="R15" i="33"/>
  <c r="U113" i="35" s="1"/>
  <c r="R21" i="33"/>
  <c r="R18" i="33"/>
  <c r="R26" i="33" s="1"/>
  <c r="R27" i="33" s="1"/>
  <c r="R22" i="33"/>
  <c r="R20" i="33"/>
  <c r="F22" i="33"/>
  <c r="F21" i="33"/>
  <c r="F36" i="33" s="1"/>
  <c r="F50" i="33" s="1"/>
  <c r="F52" i="33" s="1"/>
  <c r="F23" i="33"/>
  <c r="U36" i="33"/>
  <c r="U50" i="33" s="1"/>
  <c r="U52" i="33" s="1"/>
  <c r="U32" i="33"/>
  <c r="Q66" i="33"/>
  <c r="Q67" i="33" s="1"/>
  <c r="Q15" i="33" s="1"/>
  <c r="T113" i="35" s="1"/>
  <c r="V12" i="14"/>
  <c r="U12" i="14"/>
  <c r="T12" i="14"/>
  <c r="S12" i="14"/>
  <c r="R12" i="14"/>
  <c r="Q12" i="14"/>
  <c r="P12" i="14"/>
  <c r="O12" i="14"/>
  <c r="N12" i="14"/>
  <c r="M12" i="14"/>
  <c r="K12" i="14"/>
  <c r="J12" i="14"/>
  <c r="I12" i="14"/>
  <c r="H12" i="14"/>
  <c r="G12" i="14"/>
  <c r="F12" i="14"/>
  <c r="E12" i="14"/>
  <c r="D12" i="14"/>
  <c r="C12" i="14"/>
  <c r="B12" i="14"/>
  <c r="T11" i="14"/>
  <c r="B50" i="33" l="1"/>
  <c r="B52" i="33" s="1"/>
  <c r="E26" i="33"/>
  <c r="X40" i="33"/>
  <c r="R28" i="33"/>
  <c r="U114" i="35" s="1"/>
  <c r="X66" i="33"/>
  <c r="X67" i="33" s="1"/>
  <c r="L113" i="35"/>
  <c r="J36" i="33"/>
  <c r="J50" i="33" s="1"/>
  <c r="J52" i="33" s="1"/>
  <c r="F27" i="33"/>
  <c r="H34" i="33"/>
  <c r="H37" i="33" s="1"/>
  <c r="J114" i="35"/>
  <c r="W115" i="35"/>
  <c r="T15" i="33"/>
  <c r="W113" i="35" s="1"/>
  <c r="B28" i="33"/>
  <c r="U33" i="33"/>
  <c r="I15" i="33"/>
  <c r="K113" i="35" s="1"/>
  <c r="I67" i="33"/>
  <c r="V37" i="33"/>
  <c r="R33" i="33"/>
  <c r="R36" i="33"/>
  <c r="R50" i="33" s="1"/>
  <c r="R52" i="33" s="1"/>
  <c r="R34" i="33"/>
  <c r="R32" i="33"/>
  <c r="F28" i="33"/>
  <c r="F33" i="33"/>
  <c r="Q29" i="33"/>
  <c r="Q35" i="33" s="1"/>
  <c r="U37" i="33"/>
  <c r="J27" i="33"/>
  <c r="J32" i="33"/>
  <c r="X22" i="33"/>
  <c r="X23" i="33"/>
  <c r="X18" i="33"/>
  <c r="X15" i="33"/>
  <c r="X21" i="33"/>
  <c r="X20" i="33"/>
  <c r="H32" i="33"/>
  <c r="T41" i="33"/>
  <c r="G26" i="33"/>
  <c r="G27" i="33" s="1"/>
  <c r="G28" i="33" s="1"/>
  <c r="I114" i="35" s="1"/>
  <c r="Q36" i="33"/>
  <c r="Q50" i="33" s="1"/>
  <c r="Q52" i="33" s="1"/>
  <c r="Q34" i="33"/>
  <c r="Q32" i="33"/>
  <c r="Q107" i="33"/>
  <c r="Q33" i="33"/>
  <c r="I29" i="33"/>
  <c r="P48" i="33"/>
  <c r="S115" i="35" s="1"/>
  <c r="P41" i="33"/>
  <c r="P42" i="33"/>
  <c r="U29" i="33"/>
  <c r="U35" i="33" s="1"/>
  <c r="D37" i="33"/>
  <c r="O37" i="33"/>
  <c r="W33" i="33"/>
  <c r="W28" i="33"/>
  <c r="L32" i="33"/>
  <c r="L27" i="33"/>
  <c r="C27" i="33"/>
  <c r="C36" i="33"/>
  <c r="C50" i="33" s="1"/>
  <c r="C52" i="33" s="1"/>
  <c r="H33" i="33"/>
  <c r="E27" i="33"/>
  <c r="E28" i="33" s="1"/>
  <c r="F114" i="35" s="1"/>
  <c r="T42" i="33"/>
  <c r="T40" i="33"/>
  <c r="R29" i="33"/>
  <c r="R35" i="33" s="1"/>
  <c r="H29" i="33"/>
  <c r="H35" i="33" s="1"/>
  <c r="I34" i="33"/>
  <c r="T21" i="33"/>
  <c r="T18" i="33"/>
  <c r="T22" i="33"/>
  <c r="T20" i="33"/>
  <c r="T23" i="33"/>
  <c r="K36" i="33"/>
  <c r="K50" i="33" s="1"/>
  <c r="K52" i="33" s="1"/>
  <c r="K26" i="33"/>
  <c r="N33" i="33"/>
  <c r="N28" i="33"/>
  <c r="V29" i="33"/>
  <c r="V35" i="33" s="1"/>
  <c r="S37" i="33"/>
  <c r="G36" i="33"/>
  <c r="G50" i="33" s="1"/>
  <c r="G52" i="33" s="1"/>
  <c r="G34" i="33"/>
  <c r="G32" i="33"/>
  <c r="G33" i="33"/>
  <c r="E36" i="33"/>
  <c r="E50" i="33" s="1"/>
  <c r="E52" i="33" s="1"/>
  <c r="E32" i="33"/>
  <c r="E16" i="29"/>
  <c r="E33" i="33" l="1"/>
  <c r="H114" i="35"/>
  <c r="G114" i="35"/>
  <c r="P114" i="35"/>
  <c r="Q114" i="35"/>
  <c r="E34" i="33"/>
  <c r="B114" i="35"/>
  <c r="B29" i="33"/>
  <c r="B34" i="33"/>
  <c r="B37" i="33" s="1"/>
  <c r="I32" i="33"/>
  <c r="I35" i="33"/>
  <c r="I33" i="33"/>
  <c r="I36" i="33"/>
  <c r="X36" i="33"/>
  <c r="X50" i="33" s="1"/>
  <c r="X52" i="33" s="1"/>
  <c r="R37" i="33"/>
  <c r="G37" i="33"/>
  <c r="K32" i="33"/>
  <c r="K27" i="33"/>
  <c r="L28" i="33"/>
  <c r="O114" i="35" s="1"/>
  <c r="L33" i="33"/>
  <c r="P21" i="33"/>
  <c r="P18" i="33"/>
  <c r="J14" i="5" s="1"/>
  <c r="P22" i="33"/>
  <c r="P20" i="33"/>
  <c r="P23" i="33"/>
  <c r="P15" i="33"/>
  <c r="S113" i="35" s="1"/>
  <c r="Q37" i="33"/>
  <c r="T26" i="33"/>
  <c r="T27" i="33" s="1"/>
  <c r="T28" i="33" s="1"/>
  <c r="W114" i="35" s="1"/>
  <c r="E29" i="33"/>
  <c r="E35" i="33" s="1"/>
  <c r="C28" i="33"/>
  <c r="C33" i="33"/>
  <c r="G29" i="33"/>
  <c r="G35" i="33" s="1"/>
  <c r="J33" i="33"/>
  <c r="J28" i="33"/>
  <c r="L114" i="35" s="1"/>
  <c r="I37" i="33"/>
  <c r="E37" i="33"/>
  <c r="N29" i="33"/>
  <c r="N35" i="33" s="1"/>
  <c r="N34" i="33"/>
  <c r="T36" i="33"/>
  <c r="T50" i="33" s="1"/>
  <c r="T52" i="33" s="1"/>
  <c r="T32" i="33"/>
  <c r="W29" i="33"/>
  <c r="W35" i="33" s="1"/>
  <c r="W34" i="33"/>
  <c r="F29" i="33"/>
  <c r="F35" i="33" s="1"/>
  <c r="F34" i="33"/>
  <c r="X26" i="33"/>
  <c r="X27" i="33" s="1"/>
  <c r="X28" i="33" s="1"/>
  <c r="X34" i="33" s="1"/>
  <c r="A4" i="5"/>
  <c r="M316" i="11"/>
  <c r="M293" i="11"/>
  <c r="M272" i="11"/>
  <c r="M247" i="11"/>
  <c r="F217" i="11"/>
  <c r="F191" i="11"/>
  <c r="F164" i="11"/>
  <c r="F138" i="11"/>
  <c r="F113" i="11"/>
  <c r="F88" i="11"/>
  <c r="F64" i="11"/>
  <c r="F39" i="11"/>
  <c r="F14" i="11"/>
  <c r="B269" i="11"/>
  <c r="D244" i="11"/>
  <c r="D63" i="11"/>
  <c r="D38" i="11"/>
  <c r="D13" i="11"/>
  <c r="B2" i="11"/>
  <c r="B3" i="11"/>
  <c r="A11" i="14"/>
  <c r="A1" i="14"/>
  <c r="C5" i="25"/>
  <c r="A1" i="31"/>
  <c r="V52" i="4"/>
  <c r="U52" i="4"/>
  <c r="T52" i="4"/>
  <c r="Q52" i="4"/>
  <c r="I52" i="4"/>
  <c r="H52" i="4"/>
  <c r="G52" i="4"/>
  <c r="U47" i="4"/>
  <c r="R47" i="4"/>
  <c r="P47" i="4"/>
  <c r="N47" i="4"/>
  <c r="M47" i="4"/>
  <c r="J47" i="4"/>
  <c r="I47" i="4"/>
  <c r="H47" i="4"/>
  <c r="G47" i="4"/>
  <c r="F47" i="4"/>
  <c r="E47" i="4"/>
  <c r="D47" i="4"/>
  <c r="U46" i="4"/>
  <c r="R46" i="4"/>
  <c r="P46" i="4"/>
  <c r="N46" i="4"/>
  <c r="J46" i="4"/>
  <c r="I46" i="4"/>
  <c r="H46" i="4"/>
  <c r="G46" i="4"/>
  <c r="F46" i="4"/>
  <c r="E46" i="4"/>
  <c r="D46" i="4"/>
  <c r="U45" i="4"/>
  <c r="R45" i="4"/>
  <c r="P45" i="4"/>
  <c r="N45" i="4"/>
  <c r="M45" i="4"/>
  <c r="J45" i="4"/>
  <c r="I45" i="4"/>
  <c r="G45" i="4"/>
  <c r="F45" i="4"/>
  <c r="T23" i="4"/>
  <c r="T21" i="4"/>
  <c r="M21" i="4"/>
  <c r="U20" i="4"/>
  <c r="T20" i="4"/>
  <c r="M20" i="4"/>
  <c r="D20" i="4"/>
  <c r="V19" i="4"/>
  <c r="U19" i="4"/>
  <c r="T19" i="4"/>
  <c r="R19" i="4"/>
  <c r="Q19" i="4"/>
  <c r="P19" i="4"/>
  <c r="O19" i="4"/>
  <c r="N19" i="4"/>
  <c r="M19" i="4"/>
  <c r="K19" i="4"/>
  <c r="J19" i="4"/>
  <c r="I19" i="4"/>
  <c r="H19" i="4"/>
  <c r="G19" i="4"/>
  <c r="F19" i="4"/>
  <c r="C19" i="4"/>
  <c r="B19" i="4"/>
  <c r="U18" i="4"/>
  <c r="T18" i="4"/>
  <c r="J19" i="5" l="1"/>
  <c r="T34" i="33"/>
  <c r="D114" i="35"/>
  <c r="C114" i="35"/>
  <c r="T33" i="33"/>
  <c r="B35" i="33"/>
  <c r="P26" i="33"/>
  <c r="J15" i="5" s="1"/>
  <c r="F48" i="4"/>
  <c r="F42" i="4" s="1"/>
  <c r="I50" i="33"/>
  <c r="X37" i="33"/>
  <c r="W37" i="33"/>
  <c r="L34" i="33"/>
  <c r="L29" i="33"/>
  <c r="L35" i="33" s="1"/>
  <c r="T37" i="33"/>
  <c r="J29" i="33"/>
  <c r="J35" i="33" s="1"/>
  <c r="J34" i="33"/>
  <c r="F37" i="33"/>
  <c r="P36" i="33"/>
  <c r="P50" i="33" s="1"/>
  <c r="P52" i="33" s="1"/>
  <c r="P32" i="33"/>
  <c r="P107" i="33"/>
  <c r="X33" i="33"/>
  <c r="X32" i="33"/>
  <c r="X29" i="33"/>
  <c r="X35" i="33" s="1"/>
  <c r="N37" i="33"/>
  <c r="C29" i="33"/>
  <c r="C35" i="33" s="1"/>
  <c r="C34" i="33"/>
  <c r="T29" i="33"/>
  <c r="T35" i="33" s="1"/>
  <c r="K28" i="33"/>
  <c r="N114" i="35" s="1"/>
  <c r="K33" i="33"/>
  <c r="I48" i="4"/>
  <c r="I41" i="4" s="1"/>
  <c r="R48" i="4"/>
  <c r="R42" i="4" s="1"/>
  <c r="U27" i="4"/>
  <c r="T27" i="4"/>
  <c r="T28" i="4" s="1"/>
  <c r="P48" i="4"/>
  <c r="P49" i="4" s="1"/>
  <c r="G48" i="4"/>
  <c r="G41" i="4" s="1"/>
  <c r="N48" i="4"/>
  <c r="N49" i="4" s="1"/>
  <c r="U48" i="4"/>
  <c r="U42" i="4" s="1"/>
  <c r="J48" i="4"/>
  <c r="J41" i="4" s="1"/>
  <c r="R102" i="31"/>
  <c r="R14" i="31" s="1"/>
  <c r="R15" i="31" s="1"/>
  <c r="R95" i="31"/>
  <c r="R12" i="31" s="1"/>
  <c r="R13" i="31" s="1"/>
  <c r="S88" i="31"/>
  <c r="S14" i="31" s="1"/>
  <c r="S15" i="31" s="1"/>
  <c r="R10" i="31"/>
  <c r="R11" i="31" s="1"/>
  <c r="S12" i="31"/>
  <c r="S13" i="31" s="1"/>
  <c r="S70" i="31"/>
  <c r="S10" i="31" s="1"/>
  <c r="S11" i="31" s="1"/>
  <c r="S52" i="4"/>
  <c r="R52" i="4"/>
  <c r="O52" i="4"/>
  <c r="N52" i="4"/>
  <c r="M52" i="4"/>
  <c r="K52" i="4"/>
  <c r="J52" i="4"/>
  <c r="F52" i="4"/>
  <c r="E52" i="4"/>
  <c r="C52" i="4"/>
  <c r="B52" i="4"/>
  <c r="V47" i="4"/>
  <c r="O47" i="4"/>
  <c r="T46" i="4"/>
  <c r="Q46" i="4"/>
  <c r="O46" i="4"/>
  <c r="M46" i="4"/>
  <c r="M48" i="4" s="1"/>
  <c r="M42" i="4" s="1"/>
  <c r="C46" i="4"/>
  <c r="B46" i="4"/>
  <c r="V45" i="4"/>
  <c r="H45" i="4"/>
  <c r="H48" i="4" s="1"/>
  <c r="H42" i="4" s="1"/>
  <c r="B20" i="4"/>
  <c r="B18" i="4"/>
  <c r="N14" i="4"/>
  <c r="J14" i="4"/>
  <c r="G14" i="4"/>
  <c r="N12" i="4"/>
  <c r="J12" i="4"/>
  <c r="G12" i="4"/>
  <c r="N10" i="4"/>
  <c r="J10" i="4"/>
  <c r="G10" i="4"/>
  <c r="T213" i="31"/>
  <c r="E211" i="31"/>
  <c r="T210" i="31"/>
  <c r="S210" i="31"/>
  <c r="T209" i="31"/>
  <c r="T208" i="31"/>
  <c r="D206" i="31"/>
  <c r="C206" i="31"/>
  <c r="T205" i="31"/>
  <c r="S205" i="31"/>
  <c r="D205" i="31"/>
  <c r="G205" i="31" s="1"/>
  <c r="T204" i="31"/>
  <c r="T203" i="31"/>
  <c r="V107" i="31"/>
  <c r="V109" i="31" s="1"/>
  <c r="V111" i="31" s="1"/>
  <c r="U107" i="31"/>
  <c r="U109" i="31" s="1"/>
  <c r="U111" i="31" s="1"/>
  <c r="T107" i="31"/>
  <c r="T109" i="31" s="1"/>
  <c r="T111" i="31" s="1"/>
  <c r="S107" i="31"/>
  <c r="S109" i="31" s="1"/>
  <c r="S111" i="31" s="1"/>
  <c r="R107" i="31"/>
  <c r="R109" i="31" s="1"/>
  <c r="R111" i="31" s="1"/>
  <c r="Q107" i="31"/>
  <c r="Q109" i="31" s="1"/>
  <c r="Q111" i="31" s="1"/>
  <c r="P107" i="31"/>
  <c r="P109" i="31" s="1"/>
  <c r="P111" i="31" s="1"/>
  <c r="O107" i="31"/>
  <c r="O109" i="31" s="1"/>
  <c r="O111" i="31" s="1"/>
  <c r="N107" i="31"/>
  <c r="N109" i="31" s="1"/>
  <c r="N111" i="31" s="1"/>
  <c r="M107" i="31"/>
  <c r="M109" i="31" s="1"/>
  <c r="M111" i="31" s="1"/>
  <c r="K107" i="31"/>
  <c r="K109" i="31" s="1"/>
  <c r="K111" i="31" s="1"/>
  <c r="J107" i="31"/>
  <c r="J109" i="31" s="1"/>
  <c r="J111" i="31" s="1"/>
  <c r="I107" i="31"/>
  <c r="I109" i="31" s="1"/>
  <c r="I111" i="31" s="1"/>
  <c r="H107" i="31"/>
  <c r="H109" i="31" s="1"/>
  <c r="H111" i="31" s="1"/>
  <c r="G107" i="31"/>
  <c r="G109" i="31" s="1"/>
  <c r="G111" i="31" s="1"/>
  <c r="F107" i="31"/>
  <c r="F109" i="31" s="1"/>
  <c r="F111" i="31" s="1"/>
  <c r="E107" i="31"/>
  <c r="E109" i="31" s="1"/>
  <c r="E111" i="31" s="1"/>
  <c r="D107" i="31"/>
  <c r="D109" i="31" s="1"/>
  <c r="D111" i="31" s="1"/>
  <c r="C107" i="31"/>
  <c r="C109" i="31" s="1"/>
  <c r="C111" i="31" s="1"/>
  <c r="B107" i="31"/>
  <c r="B109" i="31" s="1"/>
  <c r="B111" i="31" s="1"/>
  <c r="J20" i="5" l="1"/>
  <c r="G206" i="31"/>
  <c r="H206" i="31" s="1"/>
  <c r="P27" i="33"/>
  <c r="J16" i="5" s="1"/>
  <c r="D45" i="4"/>
  <c r="S38" i="31"/>
  <c r="R38" i="31"/>
  <c r="F41" i="4"/>
  <c r="F49" i="4"/>
  <c r="F43" i="4"/>
  <c r="J18" i="4"/>
  <c r="J20" i="4"/>
  <c r="J21" i="4"/>
  <c r="Q12" i="4"/>
  <c r="P12" i="4"/>
  <c r="H14" i="4"/>
  <c r="B10" i="4"/>
  <c r="O10" i="4"/>
  <c r="U10" i="4"/>
  <c r="F12" i="4"/>
  <c r="H12" i="4"/>
  <c r="M12" i="4"/>
  <c r="T12" i="4"/>
  <c r="O14" i="4"/>
  <c r="E14" i="4"/>
  <c r="P14" i="4"/>
  <c r="V14" i="4"/>
  <c r="M10" i="4"/>
  <c r="B12" i="4"/>
  <c r="B14" i="4"/>
  <c r="M14" i="4"/>
  <c r="D52" i="4"/>
  <c r="R14" i="4"/>
  <c r="I10" i="4"/>
  <c r="T10" i="4"/>
  <c r="E12" i="4"/>
  <c r="C14" i="4"/>
  <c r="I14" i="4"/>
  <c r="U14" i="4"/>
  <c r="E18" i="4"/>
  <c r="E20" i="4"/>
  <c r="R10" i="4"/>
  <c r="F10" i="4"/>
  <c r="D12" i="4"/>
  <c r="V12" i="4"/>
  <c r="T14" i="4"/>
  <c r="C10" i="4"/>
  <c r="P10" i="4"/>
  <c r="V10" i="4"/>
  <c r="O12" i="4"/>
  <c r="C12" i="4"/>
  <c r="I12" i="4"/>
  <c r="U12" i="4"/>
  <c r="E19" i="4"/>
  <c r="R12" i="4"/>
  <c r="I52" i="33"/>
  <c r="J22" i="4"/>
  <c r="F22" i="4"/>
  <c r="F11" i="14"/>
  <c r="K34" i="33"/>
  <c r="K29" i="33"/>
  <c r="C37" i="33"/>
  <c r="J37" i="33"/>
  <c r="I43" i="4"/>
  <c r="L37" i="33"/>
  <c r="I42" i="4"/>
  <c r="I49" i="4"/>
  <c r="G43" i="4"/>
  <c r="P43" i="4"/>
  <c r="Q45" i="4"/>
  <c r="C47" i="4"/>
  <c r="M18" i="4"/>
  <c r="M27" i="4" s="1"/>
  <c r="M28" i="4" s="1"/>
  <c r="B47" i="4"/>
  <c r="E45" i="4"/>
  <c r="R41" i="4"/>
  <c r="U41" i="4"/>
  <c r="U43" i="4"/>
  <c r="H43" i="4"/>
  <c r="U49" i="4"/>
  <c r="C45" i="4"/>
  <c r="R43" i="4"/>
  <c r="B27" i="4"/>
  <c r="T64" i="31"/>
  <c r="T68" i="31" s="1"/>
  <c r="N41" i="4"/>
  <c r="R49" i="4"/>
  <c r="H49" i="4"/>
  <c r="N42" i="4"/>
  <c r="T47" i="4"/>
  <c r="Q47" i="4"/>
  <c r="B45" i="4"/>
  <c r="P42" i="4"/>
  <c r="N43" i="4"/>
  <c r="H41" i="4"/>
  <c r="P41" i="4"/>
  <c r="T45" i="4"/>
  <c r="M41" i="4"/>
  <c r="M49" i="4"/>
  <c r="G49" i="4"/>
  <c r="G42" i="4"/>
  <c r="M43" i="4"/>
  <c r="R18" i="4"/>
  <c r="V64" i="31"/>
  <c r="V68" i="31" s="1"/>
  <c r="V46" i="4"/>
  <c r="V48" i="4" s="1"/>
  <c r="V43" i="4" s="1"/>
  <c r="O45" i="4"/>
  <c r="R22" i="4"/>
  <c r="V65" i="31"/>
  <c r="V69" i="31" s="1"/>
  <c r="R21" i="4"/>
  <c r="F21" i="4"/>
  <c r="J42" i="4"/>
  <c r="J49" i="4"/>
  <c r="J43" i="4"/>
  <c r="N20" i="4"/>
  <c r="N21" i="4"/>
  <c r="N18" i="4"/>
  <c r="N22" i="4"/>
  <c r="T63" i="31"/>
  <c r="T67" i="31" s="1"/>
  <c r="F20" i="4"/>
  <c r="F18" i="4"/>
  <c r="T65" i="31"/>
  <c r="T69" i="31" s="1"/>
  <c r="D10" i="31"/>
  <c r="D11" i="31" s="1"/>
  <c r="V63" i="31"/>
  <c r="V67" i="31" s="1"/>
  <c r="U204" i="32"/>
  <c r="F202" i="32"/>
  <c r="U201" i="32"/>
  <c r="T201" i="32"/>
  <c r="U200" i="32"/>
  <c r="U199" i="32"/>
  <c r="E197" i="32"/>
  <c r="D197" i="32"/>
  <c r="U196" i="32"/>
  <c r="T196" i="32"/>
  <c r="E196" i="32"/>
  <c r="H196" i="32" s="1"/>
  <c r="U195" i="32"/>
  <c r="U194" i="32"/>
  <c r="V107" i="32"/>
  <c r="M107" i="32"/>
  <c r="L107" i="32"/>
  <c r="K107" i="32"/>
  <c r="W98" i="32"/>
  <c r="W100" i="32" s="1"/>
  <c r="W102" i="32" s="1"/>
  <c r="V98" i="32"/>
  <c r="V100" i="32" s="1"/>
  <c r="V102" i="32" s="1"/>
  <c r="U98" i="32"/>
  <c r="U100" i="32" s="1"/>
  <c r="U102" i="32" s="1"/>
  <c r="T98" i="32"/>
  <c r="T100" i="32" s="1"/>
  <c r="T102" i="32" s="1"/>
  <c r="S98" i="32"/>
  <c r="S100" i="32" s="1"/>
  <c r="S102" i="32" s="1"/>
  <c r="R98" i="32"/>
  <c r="R100" i="32" s="1"/>
  <c r="R102" i="32" s="1"/>
  <c r="Q98" i="32"/>
  <c r="Q100" i="32" s="1"/>
  <c r="Q102" i="32" s="1"/>
  <c r="P98" i="32"/>
  <c r="P100" i="32" s="1"/>
  <c r="P102" i="32" s="1"/>
  <c r="O98" i="32"/>
  <c r="O100" i="32" s="1"/>
  <c r="O102" i="32" s="1"/>
  <c r="N98" i="32"/>
  <c r="N100" i="32" s="1"/>
  <c r="N102" i="32" s="1"/>
  <c r="M98" i="32"/>
  <c r="M100" i="32" s="1"/>
  <c r="M102" i="32" s="1"/>
  <c r="L98" i="32"/>
  <c r="L100" i="32" s="1"/>
  <c r="L102" i="32" s="1"/>
  <c r="K98" i="32"/>
  <c r="K100" i="32" s="1"/>
  <c r="K102" i="32" s="1"/>
  <c r="J98" i="32"/>
  <c r="J100" i="32" s="1"/>
  <c r="J102" i="32" s="1"/>
  <c r="I98" i="32"/>
  <c r="I100" i="32" s="1"/>
  <c r="I102" i="32" s="1"/>
  <c r="H98" i="32"/>
  <c r="H100" i="32" s="1"/>
  <c r="H102" i="32" s="1"/>
  <c r="G98" i="32"/>
  <c r="G100" i="32" s="1"/>
  <c r="G102" i="32" s="1"/>
  <c r="F98" i="32"/>
  <c r="F100" i="32" s="1"/>
  <c r="F102" i="32" s="1"/>
  <c r="E98" i="32"/>
  <c r="E100" i="32" s="1"/>
  <c r="E102" i="32" s="1"/>
  <c r="D98" i="32"/>
  <c r="D100" i="32" s="1"/>
  <c r="D102" i="32" s="1"/>
  <c r="C98" i="32"/>
  <c r="C100" i="32" s="1"/>
  <c r="C102" i="32" s="1"/>
  <c r="B98" i="32"/>
  <c r="B100" i="32" s="1"/>
  <c r="B102" i="32" s="1"/>
  <c r="R94" i="32"/>
  <c r="R13" i="32" s="1"/>
  <c r="R14" i="32" s="1"/>
  <c r="R88" i="32"/>
  <c r="R83" i="32"/>
  <c r="R9" i="32" s="1"/>
  <c r="R10" i="32" s="1"/>
  <c r="T79" i="32"/>
  <c r="T70" i="32"/>
  <c r="T11" i="32" s="1"/>
  <c r="T12" i="32" s="1"/>
  <c r="T65" i="32"/>
  <c r="T9" i="32" s="1"/>
  <c r="T10" i="32" s="1"/>
  <c r="P61" i="32"/>
  <c r="P65" i="32" s="1"/>
  <c r="I61" i="32"/>
  <c r="I65" i="32" s="1"/>
  <c r="W60" i="32"/>
  <c r="W64" i="32" s="1"/>
  <c r="P60" i="32"/>
  <c r="P64" i="32" s="1"/>
  <c r="I60" i="32"/>
  <c r="I64" i="32" s="1"/>
  <c r="E60" i="32"/>
  <c r="E75" i="32" s="1"/>
  <c r="E9" i="32" s="1"/>
  <c r="E10" i="32" s="1"/>
  <c r="W59" i="32"/>
  <c r="W63" i="32" s="1"/>
  <c r="P59" i="32"/>
  <c r="P63" i="32" s="1"/>
  <c r="T51" i="32"/>
  <c r="R51" i="32"/>
  <c r="O51" i="32"/>
  <c r="M51" i="32"/>
  <c r="L51" i="32"/>
  <c r="J51" i="32"/>
  <c r="G51" i="32"/>
  <c r="F51" i="32"/>
  <c r="E51" i="32"/>
  <c r="D51" i="32"/>
  <c r="C51" i="32"/>
  <c r="V47" i="32"/>
  <c r="V42" i="32" s="1"/>
  <c r="R47" i="32"/>
  <c r="R42" i="32" s="1"/>
  <c r="P47" i="32"/>
  <c r="P40" i="32" s="1"/>
  <c r="N47" i="32"/>
  <c r="N48" i="32" s="1"/>
  <c r="R109" i="33" s="1"/>
  <c r="L47" i="32"/>
  <c r="L40" i="32" s="1"/>
  <c r="K47" i="32"/>
  <c r="K40" i="32" s="1"/>
  <c r="J47" i="32"/>
  <c r="J40" i="32" s="1"/>
  <c r="H47" i="32"/>
  <c r="H48" i="32" s="1"/>
  <c r="G47" i="32"/>
  <c r="G48" i="32" s="1"/>
  <c r="E47" i="32"/>
  <c r="E48" i="32" s="1"/>
  <c r="C47" i="32"/>
  <c r="C40" i="32" s="1"/>
  <c r="B47" i="32"/>
  <c r="B48" i="32" s="1"/>
  <c r="B109" i="33" s="1"/>
  <c r="W46" i="32"/>
  <c r="W47" i="32" s="1"/>
  <c r="U46" i="32"/>
  <c r="S46" i="32"/>
  <c r="Q46" i="32"/>
  <c r="O46" i="32"/>
  <c r="D46" i="32"/>
  <c r="U45" i="32"/>
  <c r="T45" i="32"/>
  <c r="Q45" i="32"/>
  <c r="O45" i="32"/>
  <c r="O47" i="32" s="1"/>
  <c r="M45" i="32"/>
  <c r="M47" i="32" s="1"/>
  <c r="C45" i="32"/>
  <c r="U44" i="32"/>
  <c r="U59" i="32" s="1"/>
  <c r="U63" i="32" s="1"/>
  <c r="T44" i="32"/>
  <c r="S44" i="32"/>
  <c r="S47" i="32" s="1"/>
  <c r="Q44" i="32"/>
  <c r="Q9" i="32" s="1"/>
  <c r="Q10" i="32" s="1"/>
  <c r="I44" i="32"/>
  <c r="F44" i="32"/>
  <c r="F47" i="32" s="1"/>
  <c r="D44" i="32"/>
  <c r="D47" i="32" s="1"/>
  <c r="L42" i="32"/>
  <c r="K42" i="32"/>
  <c r="J42" i="32"/>
  <c r="H42" i="32"/>
  <c r="G42" i="32"/>
  <c r="E42" i="32"/>
  <c r="V41" i="32"/>
  <c r="R41" i="32"/>
  <c r="P41" i="32"/>
  <c r="N41" i="32"/>
  <c r="L41" i="32"/>
  <c r="H41" i="32"/>
  <c r="G41" i="32"/>
  <c r="E41" i="32"/>
  <c r="B41" i="32"/>
  <c r="V40" i="32"/>
  <c r="H40" i="32"/>
  <c r="G40" i="32"/>
  <c r="E40" i="32"/>
  <c r="U27" i="32"/>
  <c r="U26" i="32"/>
  <c r="W21" i="32"/>
  <c r="W20" i="32"/>
  <c r="F20" i="32"/>
  <c r="C20" i="32"/>
  <c r="F19" i="32"/>
  <c r="V18" i="32"/>
  <c r="M18" i="32"/>
  <c r="F18" i="32"/>
  <c r="C18" i="32"/>
  <c r="C26" i="32" s="1"/>
  <c r="F15" i="32"/>
  <c r="C15" i="32"/>
  <c r="W14" i="32"/>
  <c r="V14" i="32"/>
  <c r="U14" i="32"/>
  <c r="S14" i="32"/>
  <c r="P14" i="32"/>
  <c r="O14" i="32"/>
  <c r="N14" i="32"/>
  <c r="M14" i="32"/>
  <c r="L14" i="32"/>
  <c r="K14" i="32"/>
  <c r="I14" i="32"/>
  <c r="H14" i="32"/>
  <c r="D14" i="32"/>
  <c r="C14" i="32"/>
  <c r="B14" i="32"/>
  <c r="T13" i="32"/>
  <c r="T14" i="32" s="1"/>
  <c r="Q13" i="32"/>
  <c r="Q14" i="32" s="1"/>
  <c r="O13" i="32"/>
  <c r="G13" i="32"/>
  <c r="G14" i="32" s="1"/>
  <c r="F13" i="32"/>
  <c r="F14" i="32" s="1"/>
  <c r="E13" i="32"/>
  <c r="E14" i="32" s="1"/>
  <c r="W12" i="32"/>
  <c r="V12" i="32"/>
  <c r="U12" i="32"/>
  <c r="S12" i="32"/>
  <c r="P12" i="32"/>
  <c r="N12" i="32"/>
  <c r="M12" i="32"/>
  <c r="L12" i="32"/>
  <c r="K12" i="32"/>
  <c r="I12" i="32"/>
  <c r="H12" i="32"/>
  <c r="E12" i="32"/>
  <c r="D12" i="32"/>
  <c r="B12" i="32"/>
  <c r="R11" i="32"/>
  <c r="R12" i="32" s="1"/>
  <c r="Q11" i="32"/>
  <c r="Q12" i="32" s="1"/>
  <c r="O11" i="32"/>
  <c r="O12" i="32" s="1"/>
  <c r="G11" i="32"/>
  <c r="G12" i="32" s="1"/>
  <c r="F11" i="32"/>
  <c r="F12" i="32" s="1"/>
  <c r="C11" i="32"/>
  <c r="C12" i="32" s="1"/>
  <c r="W10" i="32"/>
  <c r="V10" i="32"/>
  <c r="U10" i="32"/>
  <c r="S10" i="32"/>
  <c r="P10" i="32"/>
  <c r="O10" i="32"/>
  <c r="N10" i="32"/>
  <c r="M10" i="32"/>
  <c r="L10" i="32"/>
  <c r="K10" i="32"/>
  <c r="H10" i="32"/>
  <c r="D10" i="32"/>
  <c r="C10" i="32"/>
  <c r="B10" i="32"/>
  <c r="I9" i="32"/>
  <c r="I10" i="32" s="1"/>
  <c r="G9" i="32"/>
  <c r="G10" i="32" s="1"/>
  <c r="F9" i="32"/>
  <c r="F10" i="32" s="1"/>
  <c r="D194" i="11"/>
  <c r="D195" i="11"/>
  <c r="D196" i="11"/>
  <c r="D199" i="11"/>
  <c r="D200" i="11"/>
  <c r="D201" i="11"/>
  <c r="D202" i="11"/>
  <c r="D203" i="11"/>
  <c r="D210" i="11"/>
  <c r="D211" i="11"/>
  <c r="O48" i="32" l="1"/>
  <c r="O41" i="32"/>
  <c r="E21" i="32"/>
  <c r="F109" i="33"/>
  <c r="E54" i="32"/>
  <c r="E23" i="32"/>
  <c r="E18" i="32"/>
  <c r="G21" i="32"/>
  <c r="I109" i="33"/>
  <c r="G20" i="32"/>
  <c r="G22" i="32"/>
  <c r="G23" i="32"/>
  <c r="G18" i="32"/>
  <c r="G15" i="32"/>
  <c r="I107" i="33" s="1"/>
  <c r="M42" i="32"/>
  <c r="M48" i="32"/>
  <c r="J109" i="33"/>
  <c r="H23" i="32"/>
  <c r="H18" i="32"/>
  <c r="V48" i="32"/>
  <c r="M41" i="32"/>
  <c r="C41" i="32"/>
  <c r="H197" i="32"/>
  <c r="I197" i="32" s="1"/>
  <c r="K35" i="33"/>
  <c r="J48" i="32"/>
  <c r="J20" i="32" s="1"/>
  <c r="C107" i="33"/>
  <c r="D107" i="33"/>
  <c r="J41" i="32"/>
  <c r="T47" i="32"/>
  <c r="K48" i="32"/>
  <c r="U61" i="32"/>
  <c r="U65" i="32" s="1"/>
  <c r="P33" i="33"/>
  <c r="P28" i="33"/>
  <c r="J17" i="5" s="1"/>
  <c r="H107" i="33"/>
  <c r="G107" i="33"/>
  <c r="F26" i="32"/>
  <c r="U47" i="32"/>
  <c r="U48" i="32" s="1"/>
  <c r="O42" i="32"/>
  <c r="L48" i="32"/>
  <c r="W61" i="32"/>
  <c r="W65" i="32" s="1"/>
  <c r="D48" i="4"/>
  <c r="D48" i="31"/>
  <c r="F38" i="31"/>
  <c r="F37" i="31"/>
  <c r="R37" i="31"/>
  <c r="R53" i="31" s="1"/>
  <c r="I22" i="4"/>
  <c r="I23" i="4"/>
  <c r="G22" i="4"/>
  <c r="G18" i="4"/>
  <c r="G20" i="4"/>
  <c r="E27" i="4"/>
  <c r="H10" i="4"/>
  <c r="E10" i="4"/>
  <c r="Q14" i="4"/>
  <c r="D14" i="4"/>
  <c r="F14" i="4"/>
  <c r="Q10" i="4"/>
  <c r="G23" i="4"/>
  <c r="G21" i="4"/>
  <c r="J23" i="4"/>
  <c r="J11" i="14"/>
  <c r="G11" i="14"/>
  <c r="R23" i="4"/>
  <c r="R11" i="14"/>
  <c r="F23" i="4"/>
  <c r="U23" i="4"/>
  <c r="U11" i="14"/>
  <c r="N23" i="4"/>
  <c r="N11" i="14"/>
  <c r="U22" i="4"/>
  <c r="K37" i="33"/>
  <c r="T48" i="4"/>
  <c r="T41" i="4" s="1"/>
  <c r="O20" i="4"/>
  <c r="Q48" i="4"/>
  <c r="C48" i="4"/>
  <c r="C43" i="4" s="1"/>
  <c r="O18" i="4"/>
  <c r="O21" i="4"/>
  <c r="B48" i="4"/>
  <c r="B43" i="4" s="1"/>
  <c r="E48" i="4"/>
  <c r="E41" i="4" s="1"/>
  <c r="V70" i="31"/>
  <c r="U21" i="4"/>
  <c r="U28" i="4" s="1"/>
  <c r="N27" i="4"/>
  <c r="N28" i="4" s="1"/>
  <c r="N29" i="4" s="1"/>
  <c r="O48" i="4"/>
  <c r="F27" i="4"/>
  <c r="F28" i="4" s="1"/>
  <c r="F29" i="4" s="1"/>
  <c r="R20" i="4"/>
  <c r="R27" i="4" s="1"/>
  <c r="R28" i="4" s="1"/>
  <c r="R29" i="4" s="1"/>
  <c r="J27" i="4"/>
  <c r="J28" i="4" s="1"/>
  <c r="J29" i="4" s="1"/>
  <c r="V42" i="4"/>
  <c r="V49" i="4"/>
  <c r="V41" i="4"/>
  <c r="B21" i="4"/>
  <c r="B28" i="4" s="1"/>
  <c r="B22" i="4"/>
  <c r="T70" i="31"/>
  <c r="T71" i="31" s="1"/>
  <c r="T16" i="31" s="1"/>
  <c r="B22" i="32"/>
  <c r="B18" i="32"/>
  <c r="B15" i="32"/>
  <c r="B21" i="32"/>
  <c r="B23" i="32"/>
  <c r="B20" i="32"/>
  <c r="W41" i="32"/>
  <c r="W40" i="32"/>
  <c r="W48" i="32"/>
  <c r="O18" i="32"/>
  <c r="O21" i="32"/>
  <c r="O23" i="32"/>
  <c r="O20" i="32"/>
  <c r="O22" i="32"/>
  <c r="O15" i="32"/>
  <c r="E26" i="32"/>
  <c r="E27" i="32" s="1"/>
  <c r="E28" i="32" s="1"/>
  <c r="F108" i="33" s="1"/>
  <c r="W66" i="32"/>
  <c r="N18" i="32"/>
  <c r="N23" i="32"/>
  <c r="N20" i="32"/>
  <c r="N15" i="32"/>
  <c r="R107" i="33" s="1"/>
  <c r="N22" i="32"/>
  <c r="N21" i="32"/>
  <c r="P66" i="32"/>
  <c r="T42" i="32"/>
  <c r="T48" i="32"/>
  <c r="T40" i="32"/>
  <c r="S41" i="32"/>
  <c r="S48" i="32"/>
  <c r="X109" i="33" s="1"/>
  <c r="T41" i="32"/>
  <c r="F40" i="32"/>
  <c r="F41" i="32"/>
  <c r="F48" i="32"/>
  <c r="F42" i="32"/>
  <c r="D42" i="32"/>
  <c r="D41" i="32"/>
  <c r="D48" i="32"/>
  <c r="E109" i="33" s="1"/>
  <c r="D40" i="32"/>
  <c r="S42" i="32"/>
  <c r="M36" i="32"/>
  <c r="M50" i="32" s="1"/>
  <c r="M52" i="32" s="1"/>
  <c r="L22" i="32"/>
  <c r="J22" i="32"/>
  <c r="W42" i="32"/>
  <c r="H15" i="32"/>
  <c r="J107" i="33" s="1"/>
  <c r="E19" i="32"/>
  <c r="F32" i="32"/>
  <c r="B40" i="32"/>
  <c r="R40" i="32"/>
  <c r="U60" i="32"/>
  <c r="U64" i="32" s="1"/>
  <c r="S40" i="32"/>
  <c r="M21" i="32"/>
  <c r="H22" i="32"/>
  <c r="M26" i="32"/>
  <c r="K41" i="32"/>
  <c r="E15" i="32"/>
  <c r="F107" i="33" s="1"/>
  <c r="C32" i="32"/>
  <c r="O40" i="32"/>
  <c r="C42" i="32"/>
  <c r="M23" i="32"/>
  <c r="P42" i="32"/>
  <c r="P48" i="32"/>
  <c r="U109" i="33" s="1"/>
  <c r="Q47" i="32"/>
  <c r="Q42" i="32" s="1"/>
  <c r="L21" i="32"/>
  <c r="N40" i="32"/>
  <c r="B42" i="32"/>
  <c r="C48" i="32"/>
  <c r="R48" i="32"/>
  <c r="K20" i="32"/>
  <c r="G36" i="32"/>
  <c r="G50" i="32" s="1"/>
  <c r="G52" i="32" s="1"/>
  <c r="I59" i="32"/>
  <c r="I63" i="32" s="1"/>
  <c r="I66" i="32" s="1"/>
  <c r="V26" i="32"/>
  <c r="N42" i="32"/>
  <c r="E22" i="32"/>
  <c r="I47" i="32"/>
  <c r="I40" i="32" s="1"/>
  <c r="L20" i="32"/>
  <c r="M40" i="32"/>
  <c r="H21" i="32"/>
  <c r="H20" i="32"/>
  <c r="H26" i="32" s="1"/>
  <c r="R20" i="14"/>
  <c r="R23" i="14"/>
  <c r="O20" i="14"/>
  <c r="O23" i="14"/>
  <c r="F20" i="14"/>
  <c r="F23" i="14"/>
  <c r="B20" i="14"/>
  <c r="B23" i="14"/>
  <c r="T116" i="31" l="1"/>
  <c r="H109" i="33"/>
  <c r="G109" i="33"/>
  <c r="S107" i="33"/>
  <c r="T107" i="33"/>
  <c r="P34" i="33"/>
  <c r="S114" i="35"/>
  <c r="P29" i="33"/>
  <c r="J18" i="5" s="1"/>
  <c r="K23" i="32"/>
  <c r="N109" i="33"/>
  <c r="K18" i="32"/>
  <c r="K26" i="32" s="1"/>
  <c r="K32" i="32" s="1"/>
  <c r="U41" i="32"/>
  <c r="J23" i="32"/>
  <c r="J15" i="32"/>
  <c r="L109" i="33"/>
  <c r="J18" i="32"/>
  <c r="J26" i="32" s="1"/>
  <c r="U66" i="32"/>
  <c r="U67" i="32" s="1"/>
  <c r="U15" i="32" s="1"/>
  <c r="D109" i="33"/>
  <c r="C109" i="33"/>
  <c r="K22" i="32"/>
  <c r="K21" i="32"/>
  <c r="U40" i="32"/>
  <c r="P67" i="32"/>
  <c r="P15" i="32" s="1"/>
  <c r="U107" i="33" s="1"/>
  <c r="N26" i="32"/>
  <c r="G32" i="32"/>
  <c r="U42" i="32"/>
  <c r="M22" i="32"/>
  <c r="Q109" i="33"/>
  <c r="P109" i="33"/>
  <c r="G26" i="32"/>
  <c r="G27" i="32" s="1"/>
  <c r="G28" i="32" s="1"/>
  <c r="I108" i="33" s="1"/>
  <c r="B26" i="32"/>
  <c r="W109" i="33"/>
  <c r="R22" i="32"/>
  <c r="J21" i="32"/>
  <c r="B107" i="33"/>
  <c r="L23" i="32"/>
  <c r="O109" i="33"/>
  <c r="L18" i="32"/>
  <c r="L26" i="32" s="1"/>
  <c r="V21" i="32"/>
  <c r="V36" i="32" s="1"/>
  <c r="V50" i="32" s="1"/>
  <c r="V52" i="32" s="1"/>
  <c r="V23" i="32"/>
  <c r="V22" i="32"/>
  <c r="S109" i="33"/>
  <c r="T109" i="33"/>
  <c r="D49" i="31"/>
  <c r="D43" i="31"/>
  <c r="D42" i="31"/>
  <c r="D41" i="31"/>
  <c r="T35" i="31"/>
  <c r="T36" i="31"/>
  <c r="U2" i="11" s="1"/>
  <c r="T34" i="31"/>
  <c r="T33" i="31"/>
  <c r="D43" i="4"/>
  <c r="D49" i="4"/>
  <c r="D42" i="4"/>
  <c r="D41" i="4"/>
  <c r="O27" i="4"/>
  <c r="O28" i="4" s="1"/>
  <c r="T37" i="31"/>
  <c r="T51" i="31" s="1"/>
  <c r="O37" i="31"/>
  <c r="O53" i="31" s="1"/>
  <c r="G37" i="31"/>
  <c r="G51" i="31" s="1"/>
  <c r="G53" i="31" s="1"/>
  <c r="Q21" i="4"/>
  <c r="Q20" i="4"/>
  <c r="Q22" i="4"/>
  <c r="Q18" i="4"/>
  <c r="Q23" i="4"/>
  <c r="H20" i="4"/>
  <c r="C37" i="31"/>
  <c r="C18" i="4"/>
  <c r="U29" i="4"/>
  <c r="U30" i="4" s="1"/>
  <c r="R30" i="4"/>
  <c r="F30" i="4"/>
  <c r="O22" i="4"/>
  <c r="I20" i="4"/>
  <c r="I18" i="4"/>
  <c r="I21" i="4"/>
  <c r="D10" i="4"/>
  <c r="E22" i="4"/>
  <c r="J30" i="4"/>
  <c r="I11" i="14"/>
  <c r="H21" i="4"/>
  <c r="H22" i="4"/>
  <c r="G27" i="4"/>
  <c r="G28" i="4" s="1"/>
  <c r="G29" i="4" s="1"/>
  <c r="G30" i="4" s="1"/>
  <c r="M22" i="4"/>
  <c r="M29" i="4" s="1"/>
  <c r="C41" i="4"/>
  <c r="N30" i="4"/>
  <c r="E23" i="4"/>
  <c r="E11" i="14"/>
  <c r="O23" i="4"/>
  <c r="O11" i="14"/>
  <c r="B23" i="4"/>
  <c r="B11" i="14"/>
  <c r="T43" i="4"/>
  <c r="T49" i="4"/>
  <c r="T42" i="4"/>
  <c r="W67" i="32"/>
  <c r="W15" i="32" s="1"/>
  <c r="B49" i="4"/>
  <c r="B42" i="4"/>
  <c r="B41" i="4"/>
  <c r="Q43" i="4"/>
  <c r="Q49" i="4"/>
  <c r="Q42" i="4"/>
  <c r="Q41" i="4"/>
  <c r="E43" i="4"/>
  <c r="E42" i="4"/>
  <c r="E49" i="4"/>
  <c r="C42" i="4"/>
  <c r="C49" i="4"/>
  <c r="B29" i="4"/>
  <c r="O43" i="4"/>
  <c r="O49" i="4"/>
  <c r="O42" i="4"/>
  <c r="E21" i="4"/>
  <c r="E28" i="4" s="1"/>
  <c r="O41" i="4"/>
  <c r="T22" i="4"/>
  <c r="T29" i="4" s="1"/>
  <c r="T30" i="4" s="1"/>
  <c r="V20" i="4"/>
  <c r="V21" i="4"/>
  <c r="V22" i="4"/>
  <c r="V18" i="4"/>
  <c r="V71" i="31"/>
  <c r="U36" i="32"/>
  <c r="U50" i="32" s="1"/>
  <c r="U52" i="32" s="1"/>
  <c r="U32" i="32"/>
  <c r="U33" i="32"/>
  <c r="E36" i="32"/>
  <c r="E50" i="32" s="1"/>
  <c r="E52" i="32" s="1"/>
  <c r="E33" i="32"/>
  <c r="E34" i="32"/>
  <c r="E32" i="32"/>
  <c r="D22" i="32"/>
  <c r="D15" i="32"/>
  <c r="E107" i="33" s="1"/>
  <c r="D20" i="32"/>
  <c r="D21" i="32"/>
  <c r="D23" i="32"/>
  <c r="D18" i="32"/>
  <c r="B36" i="32"/>
  <c r="B50" i="32" s="1"/>
  <c r="B52" i="32" s="1"/>
  <c r="G33" i="32"/>
  <c r="J32" i="32"/>
  <c r="J27" i="32"/>
  <c r="U22" i="32"/>
  <c r="U28" i="32" s="1"/>
  <c r="U34" i="32" s="1"/>
  <c r="W36" i="32"/>
  <c r="G29" i="32"/>
  <c r="G35" i="32" s="1"/>
  <c r="S15" i="32"/>
  <c r="X107" i="33" s="1"/>
  <c r="S22" i="32"/>
  <c r="S18" i="32"/>
  <c r="S26" i="32" s="1"/>
  <c r="S20" i="32"/>
  <c r="S23" i="32"/>
  <c r="S21" i="32"/>
  <c r="V32" i="32"/>
  <c r="W22" i="32"/>
  <c r="W23" i="32"/>
  <c r="W18" i="32"/>
  <c r="N32" i="32"/>
  <c r="N36" i="32"/>
  <c r="N50" i="32" s="1"/>
  <c r="N52" i="32" s="1"/>
  <c r="Q48" i="32"/>
  <c r="V109" i="33" s="1"/>
  <c r="Q41" i="32"/>
  <c r="M32" i="32"/>
  <c r="M27" i="32"/>
  <c r="O26" i="32"/>
  <c r="O27" i="32" s="1"/>
  <c r="O28" i="32" s="1"/>
  <c r="O36" i="32"/>
  <c r="O50" i="32" s="1"/>
  <c r="O52" i="32" s="1"/>
  <c r="G34" i="32"/>
  <c r="H27" i="32"/>
  <c r="H28" i="32" s="1"/>
  <c r="J108" i="33" s="1"/>
  <c r="Q40" i="32"/>
  <c r="L36" i="32"/>
  <c r="L50" i="32" s="1"/>
  <c r="L52" i="32" s="1"/>
  <c r="N27" i="32"/>
  <c r="N28" i="32" s="1"/>
  <c r="H32" i="32"/>
  <c r="H36" i="32"/>
  <c r="H50" i="32" s="1"/>
  <c r="H52" i="32" s="1"/>
  <c r="C22" i="32"/>
  <c r="C21" i="32"/>
  <c r="C23" i="32"/>
  <c r="R18" i="32"/>
  <c r="R15" i="32"/>
  <c r="W107" i="33" s="1"/>
  <c r="R21" i="32"/>
  <c r="R23" i="32"/>
  <c r="R20" i="32"/>
  <c r="I48" i="32"/>
  <c r="K109" i="33" s="1"/>
  <c r="I41" i="32"/>
  <c r="I42" i="32"/>
  <c r="K27" i="32"/>
  <c r="E29" i="32"/>
  <c r="E35" i="32" s="1"/>
  <c r="T15" i="32"/>
  <c r="T22" i="32"/>
  <c r="T21" i="32"/>
  <c r="T18" i="32"/>
  <c r="T23" i="32"/>
  <c r="T20" i="32"/>
  <c r="P22" i="32"/>
  <c r="P18" i="32"/>
  <c r="P20" i="32"/>
  <c r="P23" i="32"/>
  <c r="P21" i="32"/>
  <c r="F21" i="32"/>
  <c r="F22" i="32"/>
  <c r="F23" i="32"/>
  <c r="D55" i="31" l="1"/>
  <c r="D16" i="31"/>
  <c r="D22" i="31"/>
  <c r="B9" i="5" s="1"/>
  <c r="D23" i="31"/>
  <c r="B10" i="5" s="1"/>
  <c r="D19" i="31"/>
  <c r="D20" i="31"/>
  <c r="B7" i="5" s="1"/>
  <c r="D24" i="31"/>
  <c r="B11" i="5" s="1"/>
  <c r="U4" i="11"/>
  <c r="U3" i="11"/>
  <c r="T38" i="31"/>
  <c r="L32" i="32"/>
  <c r="L27" i="32"/>
  <c r="L33" i="32" s="1"/>
  <c r="B27" i="32"/>
  <c r="L107" i="33"/>
  <c r="J107" i="32"/>
  <c r="J36" i="32"/>
  <c r="J50" i="32" s="1"/>
  <c r="J52" i="32" s="1"/>
  <c r="P35" i="33"/>
  <c r="P26" i="32"/>
  <c r="P27" i="32" s="1"/>
  <c r="P33" i="32" s="1"/>
  <c r="H34" i="32"/>
  <c r="B32" i="32"/>
  <c r="K36" i="32"/>
  <c r="K50" i="32" s="1"/>
  <c r="K52" i="32" s="1"/>
  <c r="O34" i="32"/>
  <c r="S108" i="33"/>
  <c r="T108" i="33"/>
  <c r="V27" i="32"/>
  <c r="N34" i="32"/>
  <c r="R108" i="33"/>
  <c r="N33" i="32"/>
  <c r="I67" i="32"/>
  <c r="I15" i="32" s="1"/>
  <c r="K107" i="33" s="1"/>
  <c r="S27" i="32"/>
  <c r="S28" i="32" s="1"/>
  <c r="X108" i="33" s="1"/>
  <c r="P37" i="33"/>
  <c r="B103" i="33"/>
  <c r="F103" i="33"/>
  <c r="P103" i="33"/>
  <c r="E103" i="33"/>
  <c r="V103" i="33"/>
  <c r="G103" i="33"/>
  <c r="L103" i="33"/>
  <c r="O103" i="33"/>
  <c r="W103" i="33"/>
  <c r="X103" i="33"/>
  <c r="R103" i="33"/>
  <c r="S103" i="33"/>
  <c r="D103" i="33"/>
  <c r="T103" i="33"/>
  <c r="J103" i="33"/>
  <c r="K103" i="33"/>
  <c r="H103" i="33"/>
  <c r="Q103" i="33"/>
  <c r="N103" i="33"/>
  <c r="C103" i="33"/>
  <c r="U103" i="33"/>
  <c r="I103" i="33"/>
  <c r="D118" i="31"/>
  <c r="C51" i="31"/>
  <c r="C53" i="31" s="1"/>
  <c r="V37" i="31"/>
  <c r="I27" i="4"/>
  <c r="I28" i="4" s="1"/>
  <c r="I29" i="4" s="1"/>
  <c r="I30" i="4" s="1"/>
  <c r="Q27" i="4"/>
  <c r="Q28" i="4" s="1"/>
  <c r="Q29" i="4" s="1"/>
  <c r="Q30" i="4" s="1"/>
  <c r="Q11" i="14"/>
  <c r="O29" i="4"/>
  <c r="O30" i="4" s="1"/>
  <c r="C22" i="4"/>
  <c r="C20" i="4"/>
  <c r="C27" i="4" s="1"/>
  <c r="E29" i="4"/>
  <c r="E30" i="4" s="1"/>
  <c r="C21" i="4"/>
  <c r="C11" i="14"/>
  <c r="C224" i="11"/>
  <c r="C23" i="4"/>
  <c r="M11" i="14"/>
  <c r="M23" i="4"/>
  <c r="M30" i="4" s="1"/>
  <c r="V23" i="4"/>
  <c r="V11" i="14"/>
  <c r="B30" i="4"/>
  <c r="H23" i="4"/>
  <c r="H11" i="14"/>
  <c r="W26" i="32"/>
  <c r="W50" i="32"/>
  <c r="W52" i="32" s="1"/>
  <c r="H18" i="4"/>
  <c r="H27" i="4" s="1"/>
  <c r="H28" i="4" s="1"/>
  <c r="H29" i="4" s="1"/>
  <c r="V27" i="4"/>
  <c r="V28" i="4" s="1"/>
  <c r="V29" i="4" s="1"/>
  <c r="N37" i="32"/>
  <c r="O37" i="32"/>
  <c r="D32" i="32"/>
  <c r="D36" i="32"/>
  <c r="D50" i="32" s="1"/>
  <c r="D52" i="32" s="1"/>
  <c r="U37" i="32"/>
  <c r="K33" i="32"/>
  <c r="K28" i="32"/>
  <c r="N108" i="33" s="1"/>
  <c r="G37" i="32"/>
  <c r="O33" i="32"/>
  <c r="P36" i="32"/>
  <c r="P50" i="32" s="1"/>
  <c r="P52" i="32" s="1"/>
  <c r="C36" i="32"/>
  <c r="C50" i="32" s="1"/>
  <c r="C52" i="32" s="1"/>
  <c r="C27" i="32"/>
  <c r="D26" i="32"/>
  <c r="D27" i="32" s="1"/>
  <c r="D28" i="32" s="1"/>
  <c r="I20" i="32"/>
  <c r="I36" i="32" s="1"/>
  <c r="I50" i="32" s="1"/>
  <c r="I52" i="32" s="1"/>
  <c r="I23" i="32"/>
  <c r="I21" i="32"/>
  <c r="I22" i="32"/>
  <c r="I18" i="32"/>
  <c r="S29" i="32"/>
  <c r="N29" i="32"/>
  <c r="N35" i="32" s="1"/>
  <c r="E37" i="32"/>
  <c r="P32" i="32"/>
  <c r="H37" i="32"/>
  <c r="S36" i="32"/>
  <c r="S50" i="32" s="1"/>
  <c r="S52" i="32" s="1"/>
  <c r="S34" i="32"/>
  <c r="S33" i="32"/>
  <c r="S32" i="32"/>
  <c r="S35" i="32"/>
  <c r="Q22" i="32"/>
  <c r="Q18" i="32"/>
  <c r="Q23" i="32"/>
  <c r="Q21" i="32"/>
  <c r="Q15" i="32"/>
  <c r="V107" i="33" s="1"/>
  <c r="Q20" i="32"/>
  <c r="P28" i="32"/>
  <c r="U108" i="33" s="1"/>
  <c r="O29" i="32"/>
  <c r="O35" i="32" s="1"/>
  <c r="O32" i="32"/>
  <c r="V28" i="32"/>
  <c r="V33" i="32"/>
  <c r="F36" i="32"/>
  <c r="F50" i="32" s="1"/>
  <c r="F52" i="32" s="1"/>
  <c r="F27" i="32"/>
  <c r="H29" i="32"/>
  <c r="H35" i="32" s="1"/>
  <c r="T32" i="32"/>
  <c r="T36" i="32"/>
  <c r="T50" i="32" s="1"/>
  <c r="T52" i="32" s="1"/>
  <c r="J33" i="32"/>
  <c r="J28" i="32"/>
  <c r="L108" i="33" s="1"/>
  <c r="R34" i="32"/>
  <c r="R33" i="32"/>
  <c r="R36" i="32"/>
  <c r="R50" i="32" s="1"/>
  <c r="R52" i="32" s="1"/>
  <c r="M28" i="32"/>
  <c r="M33" i="32"/>
  <c r="U29" i="32"/>
  <c r="U35" i="32" s="1"/>
  <c r="R26" i="32"/>
  <c r="R27" i="32" s="1"/>
  <c r="R28" i="32" s="1"/>
  <c r="W108" i="33" s="1"/>
  <c r="H33" i="32"/>
  <c r="T26" i="32"/>
  <c r="T27" i="32" s="1"/>
  <c r="T28" i="32" s="1"/>
  <c r="F14" i="5" l="1"/>
  <c r="K14" i="5" s="1"/>
  <c r="B6" i="5"/>
  <c r="B14" i="5"/>
  <c r="D116" i="31"/>
  <c r="F19" i="5"/>
  <c r="K19" i="5" s="1"/>
  <c r="D27" i="31"/>
  <c r="B15" i="5" s="1"/>
  <c r="L28" i="32"/>
  <c r="O108" i="33" s="1"/>
  <c r="F101" i="33"/>
  <c r="W101" i="33"/>
  <c r="J101" i="33"/>
  <c r="B101" i="33"/>
  <c r="D101" i="33"/>
  <c r="I101" i="33"/>
  <c r="P101" i="33"/>
  <c r="R101" i="33"/>
  <c r="T101" i="33"/>
  <c r="N101" i="33"/>
  <c r="O101" i="33"/>
  <c r="G101" i="33"/>
  <c r="K101" i="33"/>
  <c r="S101" i="33"/>
  <c r="C101" i="33"/>
  <c r="V101" i="33"/>
  <c r="E101" i="33"/>
  <c r="X101" i="33"/>
  <c r="L101" i="33"/>
  <c r="U101" i="33"/>
  <c r="H101" i="33"/>
  <c r="Q101" i="33"/>
  <c r="T33" i="32"/>
  <c r="Q26" i="32"/>
  <c r="Q27" i="32" s="1"/>
  <c r="Q28" i="32" s="1"/>
  <c r="V108" i="33" s="1"/>
  <c r="D34" i="32"/>
  <c r="E108" i="33"/>
  <c r="P99" i="33"/>
  <c r="K99" i="33"/>
  <c r="F99" i="33"/>
  <c r="C99" i="33"/>
  <c r="T99" i="33"/>
  <c r="I99" i="33"/>
  <c r="E99" i="33"/>
  <c r="N99" i="33"/>
  <c r="S99" i="33"/>
  <c r="X99" i="33"/>
  <c r="D99" i="33"/>
  <c r="L99" i="33"/>
  <c r="W99" i="33"/>
  <c r="Q99" i="33"/>
  <c r="R99" i="33"/>
  <c r="J99" i="33"/>
  <c r="U99" i="33"/>
  <c r="O99" i="33"/>
  <c r="B99" i="33"/>
  <c r="H99" i="33"/>
  <c r="G99" i="33"/>
  <c r="V99" i="33"/>
  <c r="Q108" i="33"/>
  <c r="P108" i="33"/>
  <c r="R32" i="32"/>
  <c r="D18" i="4"/>
  <c r="D27" i="4" s="1"/>
  <c r="B33" i="32"/>
  <c r="B28" i="32"/>
  <c r="D19" i="4"/>
  <c r="D22" i="4"/>
  <c r="D37" i="31"/>
  <c r="D21" i="4"/>
  <c r="D23" i="4"/>
  <c r="D11" i="14"/>
  <c r="V30" i="4"/>
  <c r="C28" i="4"/>
  <c r="C29" i="4" s="1"/>
  <c r="C30" i="4" s="1"/>
  <c r="C100" i="11"/>
  <c r="H30" i="4"/>
  <c r="C134" i="11"/>
  <c r="C109" i="11"/>
  <c r="C159" i="11"/>
  <c r="C158" i="11"/>
  <c r="C108" i="11"/>
  <c r="C133" i="11"/>
  <c r="W27" i="32"/>
  <c r="W32" i="32"/>
  <c r="U5" i="14"/>
  <c r="H5" i="14"/>
  <c r="D37" i="32"/>
  <c r="C33" i="32"/>
  <c r="C28" i="32"/>
  <c r="D33" i="32"/>
  <c r="V29" i="32"/>
  <c r="V35" i="32" s="1"/>
  <c r="V34" i="32"/>
  <c r="R29" i="32"/>
  <c r="R35" i="32" s="1"/>
  <c r="J29" i="32"/>
  <c r="J35" i="32" s="1"/>
  <c r="J34" i="32"/>
  <c r="D29" i="32"/>
  <c r="D35" i="32" s="1"/>
  <c r="M29" i="32"/>
  <c r="M35" i="32" s="1"/>
  <c r="M34" i="32"/>
  <c r="P29" i="32"/>
  <c r="P35" i="32" s="1"/>
  <c r="P34" i="32"/>
  <c r="T29" i="32"/>
  <c r="T35" i="32" s="1"/>
  <c r="K29" i="32"/>
  <c r="K35" i="32" s="1"/>
  <c r="K34" i="32"/>
  <c r="T34" i="32"/>
  <c r="R37" i="32"/>
  <c r="Q36" i="32"/>
  <c r="Q50" i="32" s="1"/>
  <c r="Q52" i="32" s="1"/>
  <c r="F28" i="32"/>
  <c r="F33" i="32"/>
  <c r="L29" i="32"/>
  <c r="L35" i="32" s="1"/>
  <c r="L34" i="32"/>
  <c r="S37" i="32"/>
  <c r="I26" i="32"/>
  <c r="F20" i="5" l="1"/>
  <c r="K20" i="5" s="1"/>
  <c r="B20" i="5"/>
  <c r="F15" i="5"/>
  <c r="K15" i="5" s="1"/>
  <c r="D28" i="31"/>
  <c r="B16" i="5" s="1"/>
  <c r="D33" i="31"/>
  <c r="B23" i="5" s="1"/>
  <c r="D28" i="4"/>
  <c r="D29" i="4" s="1"/>
  <c r="D30" i="4" s="1"/>
  <c r="C185" i="11"/>
  <c r="C238" i="11"/>
  <c r="C184" i="11"/>
  <c r="C237" i="11"/>
  <c r="Q32" i="32"/>
  <c r="B108" i="33"/>
  <c r="B34" i="32"/>
  <c r="B37" i="32" s="1"/>
  <c r="B29" i="32"/>
  <c r="D108" i="33"/>
  <c r="C108" i="33"/>
  <c r="H108" i="33"/>
  <c r="G108" i="33"/>
  <c r="D51" i="31"/>
  <c r="D53" i="31" s="1"/>
  <c r="Q33" i="32"/>
  <c r="C176" i="11"/>
  <c r="C229" i="11"/>
  <c r="C125" i="11"/>
  <c r="C150" i="11"/>
  <c r="C148" i="11"/>
  <c r="C123" i="11"/>
  <c r="C98" i="11"/>
  <c r="W33" i="32"/>
  <c r="W28" i="32"/>
  <c r="R4" i="14"/>
  <c r="F4" i="14"/>
  <c r="C29" i="32"/>
  <c r="C35" i="32" s="1"/>
  <c r="C34" i="32"/>
  <c r="V37" i="32"/>
  <c r="K37" i="32"/>
  <c r="J37" i="32"/>
  <c r="Q29" i="32"/>
  <c r="Q35" i="32" s="1"/>
  <c r="L37" i="32"/>
  <c r="I27" i="32"/>
  <c r="I32" i="32"/>
  <c r="P37" i="32"/>
  <c r="T37" i="32"/>
  <c r="M37" i="32"/>
  <c r="F29" i="32"/>
  <c r="F35" i="32" s="1"/>
  <c r="F34" i="32"/>
  <c r="Q34" i="32"/>
  <c r="B28" i="5" l="1"/>
  <c r="C28" i="5"/>
  <c r="F16" i="5"/>
  <c r="K16" i="5" s="1"/>
  <c r="D34" i="31"/>
  <c r="B24" i="5" s="1"/>
  <c r="D29" i="31"/>
  <c r="B17" i="5" s="1"/>
  <c r="C174" i="11"/>
  <c r="C227" i="11"/>
  <c r="B35" i="32"/>
  <c r="C173" i="11"/>
  <c r="C226" i="11"/>
  <c r="D246" i="11"/>
  <c r="W29" i="32"/>
  <c r="W34" i="32"/>
  <c r="W37" i="32" s="1"/>
  <c r="C220" i="11"/>
  <c r="C5" i="14"/>
  <c r="D262" i="11"/>
  <c r="Q37" i="32"/>
  <c r="F37" i="32"/>
  <c r="C37" i="32"/>
  <c r="I28" i="32"/>
  <c r="I33" i="32"/>
  <c r="D30" i="31" l="1"/>
  <c r="F17" i="5"/>
  <c r="K17" i="5" s="1"/>
  <c r="D117" i="31"/>
  <c r="D35" i="31"/>
  <c r="K108" i="33"/>
  <c r="C97" i="11"/>
  <c r="C122" i="11"/>
  <c r="C147" i="11"/>
  <c r="C167" i="11"/>
  <c r="C171" i="11"/>
  <c r="C146" i="11"/>
  <c r="C96" i="11"/>
  <c r="C121" i="11"/>
  <c r="W35" i="32"/>
  <c r="B5" i="14"/>
  <c r="R5" i="14"/>
  <c r="I29" i="32"/>
  <c r="I34" i="32"/>
  <c r="Q61" i="29"/>
  <c r="Q60" i="29"/>
  <c r="Q59" i="29"/>
  <c r="M61" i="29"/>
  <c r="M60" i="29"/>
  <c r="M59" i="29"/>
  <c r="B10" i="29"/>
  <c r="C46" i="29"/>
  <c r="C44" i="29"/>
  <c r="C51" i="29"/>
  <c r="D60" i="29"/>
  <c r="D75" i="29" s="1"/>
  <c r="D9" i="29" s="1"/>
  <c r="D13" i="29"/>
  <c r="D51" i="29"/>
  <c r="E11" i="29"/>
  <c r="E13" i="29"/>
  <c r="L9" i="4"/>
  <c r="E51" i="29"/>
  <c r="E44" i="29"/>
  <c r="E19" i="29"/>
  <c r="E18" i="29"/>
  <c r="E15" i="29"/>
  <c r="E9" i="29"/>
  <c r="G61" i="29"/>
  <c r="G60" i="29"/>
  <c r="G59" i="29"/>
  <c r="G44" i="29"/>
  <c r="G9" i="29" s="1"/>
  <c r="N44" i="29"/>
  <c r="N9" i="29"/>
  <c r="N46" i="29"/>
  <c r="N13" i="29" s="1"/>
  <c r="N45" i="29"/>
  <c r="N11" i="29" s="1"/>
  <c r="P51" i="29"/>
  <c r="P11" i="29"/>
  <c r="P9" i="29"/>
  <c r="P65" i="29"/>
  <c r="P70" i="29"/>
  <c r="P79" i="29"/>
  <c r="P13" i="29" s="1"/>
  <c r="P45" i="29"/>
  <c r="P44" i="29"/>
  <c r="D36" i="31" l="1"/>
  <c r="E2" i="11" s="1"/>
  <c r="B18" i="5"/>
  <c r="E4" i="11"/>
  <c r="C221" i="11" s="1"/>
  <c r="E3" i="11"/>
  <c r="B26" i="5"/>
  <c r="L108" i="31"/>
  <c r="B25" i="5"/>
  <c r="L112" i="31"/>
  <c r="F18" i="5"/>
  <c r="K18" i="5" s="1"/>
  <c r="D38" i="31"/>
  <c r="L110" i="31" s="1"/>
  <c r="I35" i="32"/>
  <c r="C172" i="11"/>
  <c r="C225" i="11"/>
  <c r="C145" i="11"/>
  <c r="C95" i="11"/>
  <c r="C120" i="11"/>
  <c r="C116" i="11"/>
  <c r="C141" i="11"/>
  <c r="T9" i="4"/>
  <c r="Q9" i="4"/>
  <c r="B9" i="4"/>
  <c r="D9" i="4"/>
  <c r="R9" i="4"/>
  <c r="C9" i="4"/>
  <c r="I9" i="4"/>
  <c r="V9" i="4"/>
  <c r="J9" i="4"/>
  <c r="F9" i="4"/>
  <c r="P9" i="4"/>
  <c r="G9" i="4"/>
  <c r="H9" i="4"/>
  <c r="M9" i="4"/>
  <c r="N9" i="4"/>
  <c r="O9" i="4"/>
  <c r="U9" i="4"/>
  <c r="E9" i="4"/>
  <c r="O4" i="14"/>
  <c r="B4" i="14"/>
  <c r="D250" i="11"/>
  <c r="I99" i="32"/>
  <c r="J99" i="32"/>
  <c r="M99" i="32"/>
  <c r="L99" i="32"/>
  <c r="W99" i="32"/>
  <c r="F99" i="32"/>
  <c r="S99" i="32"/>
  <c r="O99" i="32"/>
  <c r="U99" i="32"/>
  <c r="B99" i="32"/>
  <c r="E99" i="32"/>
  <c r="T99" i="32"/>
  <c r="D99" i="32"/>
  <c r="P99" i="32"/>
  <c r="K99" i="32"/>
  <c r="H99" i="32"/>
  <c r="N99" i="32"/>
  <c r="Q99" i="32"/>
  <c r="G99" i="32"/>
  <c r="V99" i="32"/>
  <c r="C99" i="32"/>
  <c r="R99" i="32"/>
  <c r="I103" i="32"/>
  <c r="I37" i="32"/>
  <c r="J103" i="32"/>
  <c r="B103" i="32"/>
  <c r="P103" i="32"/>
  <c r="G103" i="32"/>
  <c r="F103" i="32"/>
  <c r="L103" i="32"/>
  <c r="D103" i="32"/>
  <c r="M103" i="32"/>
  <c r="Q103" i="32"/>
  <c r="O103" i="32"/>
  <c r="H103" i="32"/>
  <c r="T103" i="32"/>
  <c r="E103" i="32"/>
  <c r="K103" i="32"/>
  <c r="C103" i="32"/>
  <c r="V103" i="32"/>
  <c r="S103" i="32"/>
  <c r="R103" i="32"/>
  <c r="U103" i="32"/>
  <c r="W103" i="32"/>
  <c r="N103" i="32"/>
  <c r="K45" i="29"/>
  <c r="K18" i="29"/>
  <c r="S21" i="29"/>
  <c r="S20" i="29"/>
  <c r="S46" i="29"/>
  <c r="S61" i="29"/>
  <c r="S60" i="29"/>
  <c r="S59" i="29"/>
  <c r="O46" i="29"/>
  <c r="O44" i="29"/>
  <c r="I51" i="29"/>
  <c r="C169" i="11" l="1"/>
  <c r="C222" i="11"/>
  <c r="C118" i="11"/>
  <c r="C143" i="11"/>
  <c r="C93" i="11"/>
  <c r="C168" i="11"/>
  <c r="C117" i="11"/>
  <c r="C142" i="11"/>
  <c r="C92" i="11"/>
  <c r="D5" i="14"/>
  <c r="O5" i="14"/>
  <c r="I101" i="32"/>
  <c r="L101" i="32"/>
  <c r="W101" i="32"/>
  <c r="K101" i="32"/>
  <c r="T101" i="32"/>
  <c r="J101" i="32"/>
  <c r="R101" i="32"/>
  <c r="B101" i="32"/>
  <c r="E101" i="32"/>
  <c r="G101" i="32"/>
  <c r="U101" i="32"/>
  <c r="S101" i="32"/>
  <c r="O101" i="32"/>
  <c r="P101" i="32"/>
  <c r="V101" i="32"/>
  <c r="F101" i="32"/>
  <c r="H101" i="32"/>
  <c r="D101" i="32"/>
  <c r="N101" i="32"/>
  <c r="C101" i="32"/>
  <c r="M101" i="32"/>
  <c r="Q101" i="32"/>
  <c r="B51" i="29"/>
  <c r="R18" i="29"/>
  <c r="L51" i="29"/>
  <c r="R51" i="29"/>
  <c r="L22" i="29"/>
  <c r="L48" i="29"/>
  <c r="L18" i="29" s="1"/>
  <c r="I48" i="29"/>
  <c r="Q186" i="29"/>
  <c r="E184" i="29"/>
  <c r="Q183" i="29"/>
  <c r="P183" i="29"/>
  <c r="Q182" i="29"/>
  <c r="Q181" i="29"/>
  <c r="D179" i="29"/>
  <c r="C179" i="29"/>
  <c r="Q178" i="29"/>
  <c r="P178" i="29"/>
  <c r="D178" i="29"/>
  <c r="F178" i="29" s="1"/>
  <c r="Q177" i="29"/>
  <c r="Q176" i="29"/>
  <c r="R89" i="29"/>
  <c r="K89" i="29"/>
  <c r="J89" i="29"/>
  <c r="I89" i="29"/>
  <c r="S82" i="29"/>
  <c r="S84" i="29" s="1"/>
  <c r="F82" i="29"/>
  <c r="F84" i="29" s="1"/>
  <c r="S80" i="29"/>
  <c r="R80" i="29"/>
  <c r="R82" i="29" s="1"/>
  <c r="R84" i="29" s="1"/>
  <c r="Q80" i="29"/>
  <c r="Q82" i="29" s="1"/>
  <c r="Q84" i="29" s="1"/>
  <c r="P80" i="29"/>
  <c r="P82" i="29" s="1"/>
  <c r="P84" i="29" s="1"/>
  <c r="O80" i="29"/>
  <c r="O82" i="29" s="1"/>
  <c r="O84" i="29" s="1"/>
  <c r="N80" i="29"/>
  <c r="N82" i="29" s="1"/>
  <c r="N84" i="29" s="1"/>
  <c r="M80" i="29"/>
  <c r="M82" i="29" s="1"/>
  <c r="M84" i="29" s="1"/>
  <c r="L80" i="29"/>
  <c r="L82" i="29" s="1"/>
  <c r="L84" i="29" s="1"/>
  <c r="K80" i="29"/>
  <c r="K82" i="29" s="1"/>
  <c r="K84" i="29" s="1"/>
  <c r="J80" i="29"/>
  <c r="J82" i="29" s="1"/>
  <c r="J84" i="29" s="1"/>
  <c r="I80" i="29"/>
  <c r="I82" i="29" s="1"/>
  <c r="I84" i="29" s="1"/>
  <c r="H80" i="29"/>
  <c r="H82" i="29" s="1"/>
  <c r="H84" i="29" s="1"/>
  <c r="G80" i="29"/>
  <c r="G82" i="29" s="1"/>
  <c r="G84" i="29" s="1"/>
  <c r="F80" i="29"/>
  <c r="E80" i="29"/>
  <c r="E82" i="29" s="1"/>
  <c r="E84" i="29" s="1"/>
  <c r="D80" i="29"/>
  <c r="D82" i="29" s="1"/>
  <c r="D84" i="29" s="1"/>
  <c r="C80" i="29"/>
  <c r="C82" i="29" s="1"/>
  <c r="C84" i="29" s="1"/>
  <c r="B80" i="29"/>
  <c r="B82" i="29" s="1"/>
  <c r="B84" i="29" s="1"/>
  <c r="S65" i="29"/>
  <c r="S66" i="29" s="1"/>
  <c r="S64" i="29"/>
  <c r="M64" i="29"/>
  <c r="M65" i="29"/>
  <c r="G65" i="29"/>
  <c r="G66" i="29" s="1"/>
  <c r="Q64" i="29"/>
  <c r="G64" i="29"/>
  <c r="S63" i="29"/>
  <c r="M63" i="29"/>
  <c r="G63" i="29"/>
  <c r="S47" i="29"/>
  <c r="S41" i="29" s="1"/>
  <c r="R47" i="29"/>
  <c r="R41" i="29" s="1"/>
  <c r="P47" i="29"/>
  <c r="P41" i="29" s="1"/>
  <c r="M47" i="29"/>
  <c r="M48" i="29" s="1"/>
  <c r="L47" i="29"/>
  <c r="K47" i="29"/>
  <c r="K41" i="29" s="1"/>
  <c r="J47" i="29"/>
  <c r="J41" i="29" s="1"/>
  <c r="I47" i="29"/>
  <c r="I42" i="29" s="1"/>
  <c r="H47" i="29"/>
  <c r="H41" i="29" s="1"/>
  <c r="F47" i="29"/>
  <c r="F41" i="29" s="1"/>
  <c r="E47" i="29"/>
  <c r="D47" i="29"/>
  <c r="D40" i="29" s="1"/>
  <c r="B47" i="29"/>
  <c r="B41" i="29" s="1"/>
  <c r="Q65" i="29"/>
  <c r="O47" i="29"/>
  <c r="O48" i="29" s="1"/>
  <c r="Q47" i="29"/>
  <c r="Q48" i="29" s="1"/>
  <c r="Q22" i="29" s="1"/>
  <c r="N47" i="29"/>
  <c r="N48" i="29" s="1"/>
  <c r="G47" i="29"/>
  <c r="G48" i="29" s="1"/>
  <c r="I41" i="29"/>
  <c r="Q26" i="29"/>
  <c r="Q27" i="29" s="1"/>
  <c r="E20" i="29"/>
  <c r="S14" i="29"/>
  <c r="R14" i="29"/>
  <c r="Q14" i="29"/>
  <c r="O14" i="29"/>
  <c r="N14" i="29"/>
  <c r="M14" i="29"/>
  <c r="L14" i="29"/>
  <c r="K14" i="29"/>
  <c r="J14" i="29"/>
  <c r="I14" i="29"/>
  <c r="G14" i="29"/>
  <c r="F14" i="29"/>
  <c r="E14" i="29"/>
  <c r="C14" i="29"/>
  <c r="B14" i="29"/>
  <c r="P14" i="29"/>
  <c r="D14" i="29"/>
  <c r="S12" i="29"/>
  <c r="R12" i="29"/>
  <c r="Q12" i="29"/>
  <c r="O12" i="29"/>
  <c r="N12" i="29"/>
  <c r="M12" i="29"/>
  <c r="L12" i="29"/>
  <c r="K12" i="29"/>
  <c r="J12" i="29"/>
  <c r="I12" i="29"/>
  <c r="G12" i="29"/>
  <c r="F12" i="29"/>
  <c r="E12" i="29"/>
  <c r="D12" i="29"/>
  <c r="C12" i="29"/>
  <c r="B12" i="29"/>
  <c r="S10" i="29"/>
  <c r="R10" i="29"/>
  <c r="Q10" i="29"/>
  <c r="O10" i="29"/>
  <c r="N10" i="29"/>
  <c r="M10" i="29"/>
  <c r="L10" i="29"/>
  <c r="K10" i="29"/>
  <c r="J10" i="29"/>
  <c r="I10" i="29"/>
  <c r="G10" i="29"/>
  <c r="F10" i="29"/>
  <c r="C10" i="29"/>
  <c r="P10" i="29"/>
  <c r="E10" i="29"/>
  <c r="D10" i="29"/>
  <c r="M51" i="28"/>
  <c r="P51" i="28"/>
  <c r="L51" i="28"/>
  <c r="B51" i="28"/>
  <c r="C51" i="28"/>
  <c r="G51" i="28"/>
  <c r="E26" i="29" l="1"/>
  <c r="J42" i="29"/>
  <c r="O18" i="29"/>
  <c r="O23" i="29"/>
  <c r="O15" i="29"/>
  <c r="O21" i="29"/>
  <c r="O20" i="29"/>
  <c r="G21" i="29"/>
  <c r="G20" i="29"/>
  <c r="G18" i="29"/>
  <c r="G22" i="29"/>
  <c r="G23" i="29"/>
  <c r="L20" i="29"/>
  <c r="L23" i="29"/>
  <c r="M22" i="29"/>
  <c r="M18" i="29"/>
  <c r="M23" i="29"/>
  <c r="M20" i="29"/>
  <c r="M21" i="29"/>
  <c r="L21" i="29"/>
  <c r="I23" i="29"/>
  <c r="I18" i="29"/>
  <c r="I21" i="29"/>
  <c r="I22" i="29"/>
  <c r="I20" i="29"/>
  <c r="T5" i="14"/>
  <c r="M5" i="14"/>
  <c r="E5" i="14"/>
  <c r="Q5" i="14"/>
  <c r="N5" i="14"/>
  <c r="V5" i="14"/>
  <c r="G5" i="14"/>
  <c r="F5" i="14"/>
  <c r="I5" i="14"/>
  <c r="J5" i="14"/>
  <c r="F40" i="29"/>
  <c r="F42" i="29"/>
  <c r="F48" i="29"/>
  <c r="F21" i="29" s="1"/>
  <c r="D41" i="29"/>
  <c r="D48" i="29"/>
  <c r="E40" i="29"/>
  <c r="E48" i="29"/>
  <c r="E32" i="29"/>
  <c r="N18" i="29"/>
  <c r="N20" i="29"/>
  <c r="N21" i="29"/>
  <c r="N22" i="29"/>
  <c r="N23" i="29"/>
  <c r="N15" i="29"/>
  <c r="P48" i="29"/>
  <c r="K40" i="29"/>
  <c r="K48" i="29"/>
  <c r="K21" i="29" s="1"/>
  <c r="S48" i="29"/>
  <c r="S40" i="29"/>
  <c r="M66" i="29"/>
  <c r="M67" i="29" s="1"/>
  <c r="M15" i="29" s="1"/>
  <c r="J48" i="29"/>
  <c r="J23" i="29" s="1"/>
  <c r="J40" i="29"/>
  <c r="I40" i="29"/>
  <c r="H48" i="29"/>
  <c r="B42" i="29"/>
  <c r="B48" i="29"/>
  <c r="B40" i="29"/>
  <c r="R42" i="29"/>
  <c r="R48" i="29"/>
  <c r="R40" i="29"/>
  <c r="L15" i="29"/>
  <c r="L41" i="29"/>
  <c r="O42" i="29"/>
  <c r="O40" i="29"/>
  <c r="O41" i="29"/>
  <c r="G42" i="29"/>
  <c r="G41" i="29"/>
  <c r="G67" i="29"/>
  <c r="G15" i="29" s="1"/>
  <c r="N42" i="29"/>
  <c r="N40" i="29"/>
  <c r="N41" i="29"/>
  <c r="Q41" i="29"/>
  <c r="Q40" i="29"/>
  <c r="E42" i="29"/>
  <c r="M42" i="29"/>
  <c r="C47" i="29"/>
  <c r="Q63" i="29"/>
  <c r="Q66" i="29" s="1"/>
  <c r="Q67" i="29" s="1"/>
  <c r="Q15" i="29" s="1"/>
  <c r="H40" i="29"/>
  <c r="P40" i="29"/>
  <c r="D42" i="29"/>
  <c r="L42" i="29"/>
  <c r="F179" i="29"/>
  <c r="G179" i="29" s="1"/>
  <c r="G40" i="29"/>
  <c r="E41" i="29"/>
  <c r="M41" i="29"/>
  <c r="K42" i="29"/>
  <c r="S42" i="29"/>
  <c r="P12" i="29"/>
  <c r="M40" i="29"/>
  <c r="Q42" i="29"/>
  <c r="L40" i="29"/>
  <c r="H42" i="29"/>
  <c r="P42" i="29"/>
  <c r="C46" i="28"/>
  <c r="C44" i="28"/>
  <c r="H15" i="29" l="1"/>
  <c r="H89" i="29" s="1"/>
  <c r="H21" i="29"/>
  <c r="H22" i="29"/>
  <c r="H20" i="29"/>
  <c r="H18" i="29"/>
  <c r="H23" i="29"/>
  <c r="R22" i="29"/>
  <c r="R21" i="29"/>
  <c r="R23" i="29"/>
  <c r="R20" i="29"/>
  <c r="R26" i="29" s="1"/>
  <c r="R32" i="29" s="1"/>
  <c r="D22" i="29"/>
  <c r="D15" i="29"/>
  <c r="D23" i="29"/>
  <c r="D19" i="29"/>
  <c r="D18" i="29"/>
  <c r="D26" i="29" s="1"/>
  <c r="D21" i="29"/>
  <c r="D54" i="29"/>
  <c r="P22" i="29"/>
  <c r="P18" i="29"/>
  <c r="P23" i="29"/>
  <c r="P20" i="29"/>
  <c r="P21" i="29"/>
  <c r="P15" i="29"/>
  <c r="B22" i="29"/>
  <c r="B15" i="29"/>
  <c r="B20" i="29"/>
  <c r="B21" i="29"/>
  <c r="B23" i="29"/>
  <c r="B18" i="29"/>
  <c r="S22" i="29"/>
  <c r="S23" i="29"/>
  <c r="S18" i="29"/>
  <c r="S26" i="29" s="1"/>
  <c r="S27" i="29" s="1"/>
  <c r="D259" i="11"/>
  <c r="D267" i="11"/>
  <c r="F22" i="29"/>
  <c r="F15" i="29"/>
  <c r="F23" i="29"/>
  <c r="F18" i="29"/>
  <c r="F20" i="29"/>
  <c r="C42" i="29"/>
  <c r="C48" i="29"/>
  <c r="E21" i="29"/>
  <c r="E36" i="29" s="1"/>
  <c r="E22" i="29"/>
  <c r="E23" i="29"/>
  <c r="K23" i="29"/>
  <c r="K22" i="29"/>
  <c r="S67" i="29"/>
  <c r="J20" i="29"/>
  <c r="J22" i="29"/>
  <c r="J18" i="29"/>
  <c r="J26" i="29" s="1"/>
  <c r="J21" i="29"/>
  <c r="R27" i="29"/>
  <c r="R33" i="29" s="1"/>
  <c r="K26" i="29"/>
  <c r="K32" i="29" s="1"/>
  <c r="M26" i="29"/>
  <c r="M32" i="29" s="1"/>
  <c r="L26" i="29"/>
  <c r="L27" i="29" s="1"/>
  <c r="L28" i="29" s="1"/>
  <c r="L29" i="29" s="1"/>
  <c r="L35" i="29" s="1"/>
  <c r="K27" i="29"/>
  <c r="Q36" i="29"/>
  <c r="Q50" i="29" s="1"/>
  <c r="Q52" i="29" s="1"/>
  <c r="Q32" i="29"/>
  <c r="Q33" i="29"/>
  <c r="M36" i="29"/>
  <c r="M50" i="29" s="1"/>
  <c r="M52" i="29" s="1"/>
  <c r="L36" i="29"/>
  <c r="L50" i="29" s="1"/>
  <c r="L52" i="29" s="1"/>
  <c r="C40" i="29"/>
  <c r="C41" i="29"/>
  <c r="K36" i="29"/>
  <c r="K50" i="29" s="1"/>
  <c r="K52" i="29" s="1"/>
  <c r="O22" i="29"/>
  <c r="F26" i="29"/>
  <c r="F27" i="29" s="1"/>
  <c r="F28" i="29" s="1"/>
  <c r="I36" i="29"/>
  <c r="I50" i="29" s="1"/>
  <c r="I52" i="29" s="1"/>
  <c r="I26" i="29"/>
  <c r="D44" i="28"/>
  <c r="D9" i="28"/>
  <c r="D13" i="28"/>
  <c r="S33" i="29" l="1"/>
  <c r="S15" i="29"/>
  <c r="C23" i="29"/>
  <c r="C15" i="29"/>
  <c r="C21" i="29"/>
  <c r="C20" i="29"/>
  <c r="C22" i="29"/>
  <c r="C18" i="29"/>
  <c r="E27" i="29"/>
  <c r="E33" i="29" s="1"/>
  <c r="B26" i="29"/>
  <c r="D265" i="11"/>
  <c r="C211" i="11"/>
  <c r="C195" i="11"/>
  <c r="D248" i="11"/>
  <c r="D247" i="11"/>
  <c r="C194" i="11"/>
  <c r="F36" i="29"/>
  <c r="F50" i="29" s="1"/>
  <c r="F52" i="29" s="1"/>
  <c r="M27" i="29"/>
  <c r="M28" i="29" s="1"/>
  <c r="M34" i="29" s="1"/>
  <c r="D36" i="29"/>
  <c r="E50" i="29"/>
  <c r="E52" i="29" s="1"/>
  <c r="D27" i="29"/>
  <c r="D33" i="29" s="1"/>
  <c r="S36" i="29"/>
  <c r="S50" i="29" s="1"/>
  <c r="S52" i="29" s="1"/>
  <c r="S32" i="29"/>
  <c r="S28" i="29"/>
  <c r="S29" i="29" s="1"/>
  <c r="S35" i="29" s="1"/>
  <c r="J36" i="29"/>
  <c r="J50" i="29" s="1"/>
  <c r="J52" i="29" s="1"/>
  <c r="B36" i="29"/>
  <c r="B50" i="29" s="1"/>
  <c r="B52" i="29" s="1"/>
  <c r="R36" i="29"/>
  <c r="R50" i="29" s="1"/>
  <c r="R52" i="29" s="1"/>
  <c r="R28" i="29"/>
  <c r="R34" i="29" s="1"/>
  <c r="O26" i="29"/>
  <c r="O27" i="29" s="1"/>
  <c r="O28" i="29" s="1"/>
  <c r="O34" i="29" s="1"/>
  <c r="J32" i="29"/>
  <c r="J27" i="29"/>
  <c r="G36" i="29"/>
  <c r="G50" i="29" s="1"/>
  <c r="G52" i="29" s="1"/>
  <c r="N26" i="29"/>
  <c r="N27" i="29" s="1"/>
  <c r="N28" i="29" s="1"/>
  <c r="Q28" i="29"/>
  <c r="Q34" i="29" s="1"/>
  <c r="P26" i="29"/>
  <c r="P27" i="29" s="1"/>
  <c r="P28" i="29" s="1"/>
  <c r="F33" i="29"/>
  <c r="D32" i="29"/>
  <c r="F32" i="29"/>
  <c r="B32" i="29"/>
  <c r="L32" i="29"/>
  <c r="L33" i="29"/>
  <c r="L34" i="29"/>
  <c r="Q29" i="29"/>
  <c r="Q35" i="29" s="1"/>
  <c r="P36" i="29"/>
  <c r="P50" i="29" s="1"/>
  <c r="P52" i="29" s="1"/>
  <c r="I32" i="29"/>
  <c r="I27" i="29"/>
  <c r="F29" i="29"/>
  <c r="F35" i="29" s="1"/>
  <c r="O36" i="29"/>
  <c r="O50" i="29" s="1"/>
  <c r="O52" i="29" s="1"/>
  <c r="F34" i="29"/>
  <c r="K28" i="29"/>
  <c r="K33" i="29"/>
  <c r="G26" i="29"/>
  <c r="H36" i="29"/>
  <c r="H26" i="29"/>
  <c r="N36" i="29"/>
  <c r="N50" i="29" s="1"/>
  <c r="D51" i="28"/>
  <c r="E51" i="28"/>
  <c r="E18" i="28"/>
  <c r="E19" i="28"/>
  <c r="E44" i="28"/>
  <c r="E15" i="28"/>
  <c r="E11" i="28"/>
  <c r="E9" i="28"/>
  <c r="N46" i="28"/>
  <c r="N45" i="28"/>
  <c r="N44" i="28"/>
  <c r="K18" i="28"/>
  <c r="K45" i="28"/>
  <c r="I51" i="28"/>
  <c r="B27" i="29" l="1"/>
  <c r="D50" i="29"/>
  <c r="D52" i="29" s="1"/>
  <c r="H50" i="29"/>
  <c r="H52" i="29" s="1"/>
  <c r="D261" i="11"/>
  <c r="D258" i="11"/>
  <c r="M29" i="29"/>
  <c r="M35" i="29" s="1"/>
  <c r="M33" i="29"/>
  <c r="M37" i="29"/>
  <c r="E28" i="29"/>
  <c r="E29" i="29" s="1"/>
  <c r="E35" i="29" s="1"/>
  <c r="D28" i="29"/>
  <c r="N52" i="29"/>
  <c r="N32" i="29"/>
  <c r="P32" i="29"/>
  <c r="P33" i="29"/>
  <c r="S34" i="29"/>
  <c r="O32" i="29"/>
  <c r="O33" i="29"/>
  <c r="B33" i="29"/>
  <c r="R29" i="29"/>
  <c r="R35" i="29" s="1"/>
  <c r="C26" i="29"/>
  <c r="J28" i="29"/>
  <c r="J33" i="29"/>
  <c r="L37" i="29"/>
  <c r="O37" i="29"/>
  <c r="G27" i="29"/>
  <c r="G32" i="29"/>
  <c r="K34" i="29"/>
  <c r="K29" i="29"/>
  <c r="K35" i="29" s="1"/>
  <c r="O29" i="29"/>
  <c r="O35" i="29" s="1"/>
  <c r="N29" i="29"/>
  <c r="N35" i="29" s="1"/>
  <c r="H32" i="29"/>
  <c r="H27" i="29"/>
  <c r="N33" i="29"/>
  <c r="R37" i="29"/>
  <c r="P29" i="29"/>
  <c r="P35" i="29" s="1"/>
  <c r="I33" i="29"/>
  <c r="I28" i="29"/>
  <c r="Q37" i="29"/>
  <c r="F37" i="29"/>
  <c r="C36" i="29"/>
  <c r="C32" i="29"/>
  <c r="N34" i="29"/>
  <c r="P34" i="29"/>
  <c r="P13" i="28"/>
  <c r="P11" i="28"/>
  <c r="P45" i="28"/>
  <c r="P44" i="28"/>
  <c r="P9" i="28" s="1"/>
  <c r="O46" i="28"/>
  <c r="S21" i="28"/>
  <c r="S20" i="28"/>
  <c r="S46" i="28"/>
  <c r="G44" i="28"/>
  <c r="R18" i="28"/>
  <c r="R51" i="28"/>
  <c r="J51" i="28"/>
  <c r="Q51" i="28"/>
  <c r="Q46" i="28"/>
  <c r="Q45" i="28"/>
  <c r="Q44" i="28"/>
  <c r="C52" i="29" l="1"/>
  <c r="C50" i="29"/>
  <c r="B28" i="29"/>
  <c r="C199" i="11"/>
  <c r="D252" i="11"/>
  <c r="D253" i="11"/>
  <c r="C200" i="11"/>
  <c r="D257" i="11"/>
  <c r="C203" i="11"/>
  <c r="C27" i="29"/>
  <c r="E34" i="29"/>
  <c r="D34" i="29"/>
  <c r="D29" i="29"/>
  <c r="S37" i="29"/>
  <c r="J29" i="29"/>
  <c r="J35" i="29" s="1"/>
  <c r="J34" i="29"/>
  <c r="G28" i="29"/>
  <c r="G33" i="29"/>
  <c r="K37" i="29"/>
  <c r="I29" i="29"/>
  <c r="I35" i="29" s="1"/>
  <c r="I34" i="29"/>
  <c r="P37" i="29"/>
  <c r="H33" i="29"/>
  <c r="H28" i="29"/>
  <c r="N37" i="29"/>
  <c r="H51" i="28"/>
  <c r="Q179" i="28"/>
  <c r="E177" i="28"/>
  <c r="Q176" i="28"/>
  <c r="P176" i="28"/>
  <c r="Q175" i="28"/>
  <c r="Q174" i="28"/>
  <c r="D172" i="28"/>
  <c r="C172" i="28"/>
  <c r="Q171" i="28"/>
  <c r="P171" i="28"/>
  <c r="D171" i="28"/>
  <c r="F171" i="28" s="1"/>
  <c r="Q170" i="28"/>
  <c r="Q169" i="28"/>
  <c r="R82" i="28"/>
  <c r="K82" i="28"/>
  <c r="J82" i="28"/>
  <c r="I82" i="28"/>
  <c r="H82" i="28"/>
  <c r="H75" i="28"/>
  <c r="H77" i="28" s="1"/>
  <c r="S73" i="28"/>
  <c r="S75" i="28" s="1"/>
  <c r="S77" i="28" s="1"/>
  <c r="R73" i="28"/>
  <c r="R75" i="28" s="1"/>
  <c r="R77" i="28" s="1"/>
  <c r="Q73" i="28"/>
  <c r="Q75" i="28" s="1"/>
  <c r="Q77" i="28" s="1"/>
  <c r="P73" i="28"/>
  <c r="P75" i="28" s="1"/>
  <c r="P77" i="28" s="1"/>
  <c r="O73" i="28"/>
  <c r="O75" i="28" s="1"/>
  <c r="O77" i="28" s="1"/>
  <c r="N73" i="28"/>
  <c r="N75" i="28" s="1"/>
  <c r="N77" i="28" s="1"/>
  <c r="M73" i="28"/>
  <c r="M75" i="28" s="1"/>
  <c r="M77" i="28" s="1"/>
  <c r="L73" i="28"/>
  <c r="L75" i="28" s="1"/>
  <c r="L77" i="28" s="1"/>
  <c r="K73" i="28"/>
  <c r="K75" i="28" s="1"/>
  <c r="K77" i="28" s="1"/>
  <c r="J73" i="28"/>
  <c r="J75" i="28" s="1"/>
  <c r="J77" i="28" s="1"/>
  <c r="I73" i="28"/>
  <c r="I75" i="28" s="1"/>
  <c r="I77" i="28" s="1"/>
  <c r="H73" i="28"/>
  <c r="G73" i="28"/>
  <c r="G75" i="28" s="1"/>
  <c r="G77" i="28" s="1"/>
  <c r="F73" i="28"/>
  <c r="F75" i="28" s="1"/>
  <c r="F77" i="28" s="1"/>
  <c r="E73" i="28"/>
  <c r="E75" i="28" s="1"/>
  <c r="E77" i="28" s="1"/>
  <c r="D73" i="28"/>
  <c r="D75" i="28" s="1"/>
  <c r="D77" i="28" s="1"/>
  <c r="C73" i="28"/>
  <c r="C75" i="28" s="1"/>
  <c r="C77" i="28" s="1"/>
  <c r="B73" i="28"/>
  <c r="B75" i="28" s="1"/>
  <c r="B77" i="28" s="1"/>
  <c r="P61" i="28"/>
  <c r="M61" i="28"/>
  <c r="M65" i="28" s="1"/>
  <c r="G61" i="28"/>
  <c r="G65" i="28" s="1"/>
  <c r="S60" i="28"/>
  <c r="S64" i="28" s="1"/>
  <c r="Q60" i="28"/>
  <c r="Q64" i="28" s="1"/>
  <c r="P60" i="28"/>
  <c r="M60" i="28"/>
  <c r="M64" i="28" s="1"/>
  <c r="G60" i="28"/>
  <c r="G64" i="28" s="1"/>
  <c r="S59" i="28"/>
  <c r="S63" i="28" s="1"/>
  <c r="P59" i="28"/>
  <c r="P63" i="28" s="1"/>
  <c r="M59" i="28"/>
  <c r="M63" i="28" s="1"/>
  <c r="S47" i="28"/>
  <c r="S48" i="28" s="1"/>
  <c r="R47" i="28"/>
  <c r="R40" i="28" s="1"/>
  <c r="P47" i="28"/>
  <c r="P48" i="28" s="1"/>
  <c r="M47" i="28"/>
  <c r="M42" i="28" s="1"/>
  <c r="L47" i="28"/>
  <c r="L48" i="28" s="1"/>
  <c r="K47" i="28"/>
  <c r="K42" i="28" s="1"/>
  <c r="J47" i="28"/>
  <c r="J40" i="28" s="1"/>
  <c r="I47" i="28"/>
  <c r="I40" i="28" s="1"/>
  <c r="H47" i="28"/>
  <c r="H40" i="28" s="1"/>
  <c r="G47" i="28"/>
  <c r="G41" i="28" s="1"/>
  <c r="F47" i="28"/>
  <c r="F40" i="28" s="1"/>
  <c r="D47" i="28"/>
  <c r="D48" i="28" s="1"/>
  <c r="D54" i="28" s="1"/>
  <c r="C47" i="28"/>
  <c r="C48" i="28" s="1"/>
  <c r="B47" i="28"/>
  <c r="B40" i="28" s="1"/>
  <c r="S61" i="28"/>
  <c r="S65" i="28" s="1"/>
  <c r="Q61" i="28"/>
  <c r="Q65" i="28" s="1"/>
  <c r="O47" i="28"/>
  <c r="Q59" i="28"/>
  <c r="Q63" i="28" s="1"/>
  <c r="N47" i="28"/>
  <c r="E47" i="28"/>
  <c r="E41" i="28" s="1"/>
  <c r="S41" i="28"/>
  <c r="Q26" i="28"/>
  <c r="Q27" i="28" s="1"/>
  <c r="E20" i="28"/>
  <c r="E26" i="28" s="1"/>
  <c r="S18" i="28"/>
  <c r="S26" i="28" s="1"/>
  <c r="S27" i="28" s="1"/>
  <c r="S14" i="28"/>
  <c r="R14" i="28"/>
  <c r="Q14" i="28"/>
  <c r="O14" i="28"/>
  <c r="N14" i="28"/>
  <c r="M14" i="28"/>
  <c r="L14" i="28"/>
  <c r="K14" i="28"/>
  <c r="J14" i="28"/>
  <c r="I14" i="28"/>
  <c r="H14" i="28"/>
  <c r="G14" i="28"/>
  <c r="F14" i="28"/>
  <c r="C14" i="28"/>
  <c r="B14" i="28"/>
  <c r="P14" i="28"/>
  <c r="E14" i="28"/>
  <c r="D14" i="28"/>
  <c r="R12" i="28"/>
  <c r="Q12" i="28"/>
  <c r="O12" i="28"/>
  <c r="N12" i="28"/>
  <c r="M12" i="28"/>
  <c r="L12" i="28"/>
  <c r="K12" i="28"/>
  <c r="J12" i="28"/>
  <c r="I12" i="28"/>
  <c r="H12" i="28"/>
  <c r="G12" i="28"/>
  <c r="F12" i="28"/>
  <c r="C12" i="28"/>
  <c r="B12" i="28"/>
  <c r="P12" i="28"/>
  <c r="E12" i="28"/>
  <c r="D12" i="28"/>
  <c r="S10" i="28"/>
  <c r="R10" i="28"/>
  <c r="Q10" i="28"/>
  <c r="O10" i="28"/>
  <c r="N10" i="28"/>
  <c r="M10" i="28"/>
  <c r="L10" i="28"/>
  <c r="K10" i="28"/>
  <c r="J10" i="28"/>
  <c r="I10" i="28"/>
  <c r="H10" i="28"/>
  <c r="G10" i="28"/>
  <c r="F10" i="28"/>
  <c r="C10" i="28"/>
  <c r="B10" i="28"/>
  <c r="P10" i="28"/>
  <c r="E10" i="28"/>
  <c r="D10" i="28"/>
  <c r="O46" i="12"/>
  <c r="O46" i="16"/>
  <c r="O46" i="17"/>
  <c r="O45" i="22"/>
  <c r="P20" i="28" l="1"/>
  <c r="P22" i="28"/>
  <c r="P21" i="28"/>
  <c r="P18" i="28"/>
  <c r="P23" i="28"/>
  <c r="M41" i="28"/>
  <c r="F172" i="28"/>
  <c r="C15" i="28"/>
  <c r="C23" i="28"/>
  <c r="C22" i="28"/>
  <c r="C21" i="28"/>
  <c r="C20" i="28"/>
  <c r="C18" i="28"/>
  <c r="L18" i="28"/>
  <c r="L20" i="28"/>
  <c r="L23" i="28"/>
  <c r="L15" i="28"/>
  <c r="L21" i="28"/>
  <c r="L22" i="28"/>
  <c r="S23" i="28"/>
  <c r="S22" i="28"/>
  <c r="B29" i="29"/>
  <c r="B34" i="29"/>
  <c r="B37" i="29" s="1"/>
  <c r="D249" i="11"/>
  <c r="C196" i="11"/>
  <c r="D266" i="11"/>
  <c r="D254" i="11"/>
  <c r="C201" i="11"/>
  <c r="D251" i="11"/>
  <c r="C28" i="29"/>
  <c r="C33" i="29"/>
  <c r="E37" i="29"/>
  <c r="D37" i="29"/>
  <c r="D35" i="29"/>
  <c r="J37" i="29"/>
  <c r="I37" i="29"/>
  <c r="G29" i="29"/>
  <c r="G35" i="29" s="1"/>
  <c r="G34" i="29"/>
  <c r="H29" i="29"/>
  <c r="H35" i="29" s="1"/>
  <c r="H34" i="29"/>
  <c r="M40" i="28"/>
  <c r="C41" i="28"/>
  <c r="D22" i="28"/>
  <c r="D23" i="28"/>
  <c r="D15" i="28"/>
  <c r="D19" i="28"/>
  <c r="D21" i="28"/>
  <c r="D18" i="28"/>
  <c r="D42" i="28"/>
  <c r="I42" i="28"/>
  <c r="I41" i="28"/>
  <c r="I48" i="28"/>
  <c r="P65" i="28"/>
  <c r="G40" i="28"/>
  <c r="R48" i="28"/>
  <c r="R41" i="28"/>
  <c r="L40" i="28"/>
  <c r="J41" i="28"/>
  <c r="J48" i="28"/>
  <c r="B41" i="28"/>
  <c r="F41" i="28"/>
  <c r="F42" i="28"/>
  <c r="M48" i="28"/>
  <c r="K41" i="28"/>
  <c r="S66" i="28"/>
  <c r="S67" i="28" s="1"/>
  <c r="S15" i="28" s="1"/>
  <c r="S36" i="28" s="1"/>
  <c r="S50" i="28" s="1"/>
  <c r="S52" i="28" s="1"/>
  <c r="F48" i="28"/>
  <c r="L42" i="28"/>
  <c r="Q66" i="28"/>
  <c r="B48" i="28"/>
  <c r="D40" i="28"/>
  <c r="P64" i="28"/>
  <c r="O41" i="28"/>
  <c r="O48" i="28"/>
  <c r="O40" i="28"/>
  <c r="N41" i="28"/>
  <c r="N42" i="28"/>
  <c r="N48" i="28"/>
  <c r="N40" i="28"/>
  <c r="E42" i="28"/>
  <c r="E48" i="28"/>
  <c r="E40" i="28"/>
  <c r="M66" i="28"/>
  <c r="M67" i="28" s="1"/>
  <c r="M15" i="28" s="1"/>
  <c r="S12" i="28"/>
  <c r="C42" i="28"/>
  <c r="S42" i="28"/>
  <c r="H48" i="28"/>
  <c r="R26" i="28"/>
  <c r="D41" i="28"/>
  <c r="L41" i="28"/>
  <c r="B42" i="28"/>
  <c r="J42" i="28"/>
  <c r="R42" i="28"/>
  <c r="Q47" i="28"/>
  <c r="Q41" i="28" s="1"/>
  <c r="G48" i="28"/>
  <c r="H42" i="28"/>
  <c r="C40" i="28"/>
  <c r="K40" i="28"/>
  <c r="S40" i="28"/>
  <c r="G42" i="28"/>
  <c r="O42" i="28"/>
  <c r="G59" i="28"/>
  <c r="G63" i="28" s="1"/>
  <c r="G66" i="28" s="1"/>
  <c r="P42" i="28"/>
  <c r="H41" i="28"/>
  <c r="P41" i="28"/>
  <c r="K48" i="28"/>
  <c r="E32" i="28"/>
  <c r="P40" i="28"/>
  <c r="G172" i="28"/>
  <c r="N46" i="27"/>
  <c r="N45" i="27"/>
  <c r="N44" i="27"/>
  <c r="K21" i="28" l="1"/>
  <c r="K20" i="28"/>
  <c r="G21" i="28"/>
  <c r="G20" i="28"/>
  <c r="G22" i="28"/>
  <c r="G23" i="28"/>
  <c r="G18" i="28"/>
  <c r="H20" i="28"/>
  <c r="H23" i="28"/>
  <c r="H18" i="28"/>
  <c r="H22" i="28"/>
  <c r="H21" i="28"/>
  <c r="E23" i="28"/>
  <c r="E22" i="28"/>
  <c r="E21" i="28"/>
  <c r="M21" i="28"/>
  <c r="M20" i="28"/>
  <c r="M22" i="28"/>
  <c r="M18" i="28"/>
  <c r="J21" i="28"/>
  <c r="J20" i="28"/>
  <c r="J23" i="28"/>
  <c r="J18" i="28"/>
  <c r="J22" i="28"/>
  <c r="R23" i="28"/>
  <c r="R21" i="28"/>
  <c r="R22" i="28"/>
  <c r="N15" i="28"/>
  <c r="N22" i="28"/>
  <c r="N18" i="28"/>
  <c r="N23" i="28"/>
  <c r="N21" i="28"/>
  <c r="N20" i="28"/>
  <c r="F21" i="28"/>
  <c r="F18" i="28"/>
  <c r="F23" i="28"/>
  <c r="F15" i="28"/>
  <c r="F20" i="28"/>
  <c r="F22" i="28"/>
  <c r="B35" i="29"/>
  <c r="Q40" i="28"/>
  <c r="O15" i="28"/>
  <c r="O22" i="28"/>
  <c r="O21" i="28"/>
  <c r="O18" i="28"/>
  <c r="O23" i="28"/>
  <c r="O20" i="28"/>
  <c r="B15" i="28"/>
  <c r="B21" i="28"/>
  <c r="B20" i="28"/>
  <c r="B23" i="28"/>
  <c r="B22" i="28"/>
  <c r="I22" i="28"/>
  <c r="I20" i="28"/>
  <c r="I23" i="28"/>
  <c r="I18" i="28"/>
  <c r="C29" i="29"/>
  <c r="C34" i="29"/>
  <c r="M85" i="29" s="1"/>
  <c r="G37" i="29"/>
  <c r="H37" i="29"/>
  <c r="C36" i="28"/>
  <c r="I21" i="28"/>
  <c r="P66" i="28"/>
  <c r="P67" i="28" s="1"/>
  <c r="P15" i="28" s="1"/>
  <c r="G67" i="28"/>
  <c r="G15" i="28" s="1"/>
  <c r="B18" i="28"/>
  <c r="D26" i="28"/>
  <c r="D27" i="28" s="1"/>
  <c r="D28" i="28" s="1"/>
  <c r="D34" i="28" s="1"/>
  <c r="S32" i="28"/>
  <c r="L26" i="28"/>
  <c r="L27" i="28" s="1"/>
  <c r="L28" i="28" s="1"/>
  <c r="L29" i="28" s="1"/>
  <c r="L35" i="28" s="1"/>
  <c r="C26" i="28"/>
  <c r="C27" i="28" s="1"/>
  <c r="C33" i="28" s="1"/>
  <c r="P26" i="28"/>
  <c r="P27" i="28" s="1"/>
  <c r="P28" i="28" s="1"/>
  <c r="P29" i="28" s="1"/>
  <c r="S33" i="28"/>
  <c r="J36" i="28"/>
  <c r="J50" i="28" s="1"/>
  <c r="J52" i="28" s="1"/>
  <c r="S28" i="28"/>
  <c r="S34" i="28" s="1"/>
  <c r="C50" i="28"/>
  <c r="C52" i="28" s="1"/>
  <c r="K22" i="28"/>
  <c r="K23" i="28"/>
  <c r="L36" i="28"/>
  <c r="L50" i="28" s="1"/>
  <c r="L52" i="28" s="1"/>
  <c r="D36" i="28"/>
  <c r="D50" i="28" s="1"/>
  <c r="D52" i="28" s="1"/>
  <c r="D32" i="28"/>
  <c r="J26" i="28"/>
  <c r="Q48" i="28"/>
  <c r="Q42" i="28"/>
  <c r="R32" i="28"/>
  <c r="M51" i="27"/>
  <c r="Q67" i="28" l="1"/>
  <c r="Q22" i="28"/>
  <c r="P34" i="28"/>
  <c r="I85" i="29"/>
  <c r="F85" i="29"/>
  <c r="N85" i="29"/>
  <c r="D85" i="29"/>
  <c r="B85" i="29"/>
  <c r="P85" i="29"/>
  <c r="H85" i="29"/>
  <c r="E85" i="29"/>
  <c r="L85" i="29"/>
  <c r="Q85" i="29"/>
  <c r="C85" i="29"/>
  <c r="O85" i="29"/>
  <c r="K85" i="29"/>
  <c r="S85" i="29"/>
  <c r="G85" i="29"/>
  <c r="C35" i="29"/>
  <c r="C37" i="29"/>
  <c r="R83" i="29" s="1"/>
  <c r="J85" i="29"/>
  <c r="R85" i="29"/>
  <c r="M36" i="28"/>
  <c r="M26" i="28"/>
  <c r="M27" i="28" s="1"/>
  <c r="M28" i="28" s="1"/>
  <c r="L32" i="28"/>
  <c r="F36" i="28"/>
  <c r="F50" i="28" s="1"/>
  <c r="F52" i="28" s="1"/>
  <c r="F26" i="28"/>
  <c r="F32" i="28" s="1"/>
  <c r="I26" i="28"/>
  <c r="I27" i="28" s="1"/>
  <c r="I36" i="28"/>
  <c r="I50" i="28" s="1"/>
  <c r="I52" i="28" s="1"/>
  <c r="P35" i="28"/>
  <c r="P36" i="28"/>
  <c r="P50" i="28" s="1"/>
  <c r="P52" i="28" s="1"/>
  <c r="P32" i="28"/>
  <c r="P33" i="28"/>
  <c r="S29" i="28"/>
  <c r="S35" i="28" s="1"/>
  <c r="R36" i="28"/>
  <c r="R50" i="28" s="1"/>
  <c r="R52" i="28" s="1"/>
  <c r="R27" i="28"/>
  <c r="R33" i="28" s="1"/>
  <c r="L33" i="28"/>
  <c r="L34" i="28"/>
  <c r="B36" i="28"/>
  <c r="D33" i="28"/>
  <c r="C32" i="28"/>
  <c r="O26" i="28"/>
  <c r="O27" i="28" s="1"/>
  <c r="O28" i="28" s="1"/>
  <c r="O29" i="28" s="1"/>
  <c r="O35" i="28" s="1"/>
  <c r="C28" i="28"/>
  <c r="C34" i="28" s="1"/>
  <c r="C37" i="28" s="1"/>
  <c r="B26" i="28"/>
  <c r="O36" i="28"/>
  <c r="O50" i="28" s="1"/>
  <c r="O52" i="28" s="1"/>
  <c r="D37" i="28"/>
  <c r="S37" i="28"/>
  <c r="P37" i="28"/>
  <c r="J27" i="28"/>
  <c r="J32" i="28"/>
  <c r="N36" i="28"/>
  <c r="N50" i="28" s="1"/>
  <c r="N52" i="28" s="1"/>
  <c r="N26" i="28"/>
  <c r="K36" i="28"/>
  <c r="K50" i="28" s="1"/>
  <c r="K52" i="28" s="1"/>
  <c r="K26" i="28"/>
  <c r="E36" i="28"/>
  <c r="E50" i="28" s="1"/>
  <c r="E52" i="28" s="1"/>
  <c r="E27" i="28"/>
  <c r="Q15" i="28"/>
  <c r="Q32" i="28" s="1"/>
  <c r="D29" i="28"/>
  <c r="D35" i="28" s="1"/>
  <c r="H36" i="28"/>
  <c r="H50" i="28" s="1"/>
  <c r="H52" i="28" s="1"/>
  <c r="H26" i="28"/>
  <c r="G26" i="28"/>
  <c r="G36" i="28"/>
  <c r="G50" i="28" s="1"/>
  <c r="G52" i="28" s="1"/>
  <c r="G51" i="27"/>
  <c r="G44" i="27"/>
  <c r="E15" i="27"/>
  <c r="E18" i="27"/>
  <c r="E20" i="27"/>
  <c r="E19" i="27"/>
  <c r="E9" i="27"/>
  <c r="E51" i="27"/>
  <c r="E13" i="27"/>
  <c r="E11" i="27"/>
  <c r="E46" i="27"/>
  <c r="E45" i="27"/>
  <c r="E44" i="27"/>
  <c r="D51" i="27"/>
  <c r="E26" i="27" l="1"/>
  <c r="R28" i="28"/>
  <c r="M50" i="28"/>
  <c r="M52" i="28" s="1"/>
  <c r="L83" i="29"/>
  <c r="N83" i="29"/>
  <c r="H83" i="29"/>
  <c r="B83" i="29"/>
  <c r="F83" i="29"/>
  <c r="K83" i="29"/>
  <c r="G83" i="29"/>
  <c r="C83" i="29"/>
  <c r="J83" i="29"/>
  <c r="I83" i="29"/>
  <c r="S83" i="29"/>
  <c r="P83" i="29"/>
  <c r="E83" i="29"/>
  <c r="Q83" i="29"/>
  <c r="O83" i="29"/>
  <c r="M83" i="29"/>
  <c r="D83" i="29"/>
  <c r="S81" i="29"/>
  <c r="D81" i="29"/>
  <c r="F81" i="29"/>
  <c r="R81" i="29"/>
  <c r="P81" i="29"/>
  <c r="N81" i="29"/>
  <c r="C81" i="29"/>
  <c r="E81" i="29"/>
  <c r="L81" i="29"/>
  <c r="I81" i="29"/>
  <c r="J81" i="29"/>
  <c r="K81" i="29"/>
  <c r="Q81" i="29"/>
  <c r="M81" i="29"/>
  <c r="B81" i="29"/>
  <c r="H81" i="29"/>
  <c r="O81" i="29"/>
  <c r="G81" i="29"/>
  <c r="M33" i="28"/>
  <c r="M32" i="28"/>
  <c r="M29" i="28"/>
  <c r="M35" i="28" s="1"/>
  <c r="M34" i="28"/>
  <c r="C29" i="28"/>
  <c r="C35" i="28" s="1"/>
  <c r="F27" i="28"/>
  <c r="F33" i="28" s="1"/>
  <c r="I32" i="28"/>
  <c r="O32" i="28"/>
  <c r="O34" i="28"/>
  <c r="O37" i="28" s="1"/>
  <c r="O33" i="28"/>
  <c r="L37" i="28"/>
  <c r="Q28" i="28"/>
  <c r="Q34" i="28" s="1"/>
  <c r="B27" i="28"/>
  <c r="B50" i="28"/>
  <c r="B52" i="28" s="1"/>
  <c r="B32" i="28"/>
  <c r="H32" i="28"/>
  <c r="H27" i="28"/>
  <c r="I28" i="28"/>
  <c r="I33" i="28"/>
  <c r="E28" i="28"/>
  <c r="E33" i="28"/>
  <c r="J33" i="28"/>
  <c r="J28" i="28"/>
  <c r="R34" i="28"/>
  <c r="R29" i="28"/>
  <c r="R35" i="28" s="1"/>
  <c r="G27" i="28"/>
  <c r="G32" i="28"/>
  <c r="K27" i="28"/>
  <c r="K32" i="28"/>
  <c r="Q33" i="28"/>
  <c r="Q36" i="28"/>
  <c r="Q50" i="28" s="1"/>
  <c r="Q52" i="28" s="1"/>
  <c r="N32" i="28"/>
  <c r="N27" i="28"/>
  <c r="D9" i="27"/>
  <c r="D13" i="27"/>
  <c r="D11" i="27"/>
  <c r="M37" i="28" l="1"/>
  <c r="F28" i="28"/>
  <c r="Q29" i="28"/>
  <c r="Q35" i="28" s="1"/>
  <c r="B28" i="28"/>
  <c r="B33" i="28"/>
  <c r="K33" i="28"/>
  <c r="K28" i="28"/>
  <c r="N33" i="28"/>
  <c r="N28" i="28"/>
  <c r="R37" i="28"/>
  <c r="H28" i="28"/>
  <c r="H33" i="28"/>
  <c r="I34" i="28"/>
  <c r="I29" i="28"/>
  <c r="I35" i="28" s="1"/>
  <c r="E29" i="28"/>
  <c r="E34" i="28"/>
  <c r="J34" i="28"/>
  <c r="J29" i="28"/>
  <c r="J35" i="28" s="1"/>
  <c r="G28" i="28"/>
  <c r="G33" i="28"/>
  <c r="Q37" i="28"/>
  <c r="K18" i="27"/>
  <c r="K18" i="22"/>
  <c r="K18" i="15"/>
  <c r="K45" i="27"/>
  <c r="K47" i="27" s="1"/>
  <c r="K41" i="27" s="1"/>
  <c r="S21" i="27"/>
  <c r="S20" i="27"/>
  <c r="S18" i="27"/>
  <c r="S21" i="1"/>
  <c r="S20" i="1"/>
  <c r="S18" i="1"/>
  <c r="S21" i="9"/>
  <c r="S20" i="9"/>
  <c r="S18" i="9"/>
  <c r="S21" i="10"/>
  <c r="S20" i="10"/>
  <c r="S18" i="10"/>
  <c r="S21" i="12"/>
  <c r="S20" i="12"/>
  <c r="S18" i="12"/>
  <c r="S21" i="16"/>
  <c r="S20" i="16"/>
  <c r="S18" i="16"/>
  <c r="S21" i="17"/>
  <c r="S20" i="17"/>
  <c r="S18" i="17"/>
  <c r="S21" i="20"/>
  <c r="S20" i="20"/>
  <c r="S18" i="20"/>
  <c r="S21" i="22"/>
  <c r="S20" i="22"/>
  <c r="S18" i="22"/>
  <c r="S21" i="15"/>
  <c r="S20" i="15"/>
  <c r="S18" i="15"/>
  <c r="S46" i="27"/>
  <c r="S59" i="27" s="1"/>
  <c r="S63" i="27" s="1"/>
  <c r="S11" i="27"/>
  <c r="S12" i="27" s="1"/>
  <c r="Q51" i="27"/>
  <c r="Q46" i="27"/>
  <c r="Q59" i="27" s="1"/>
  <c r="Q63" i="27" s="1"/>
  <c r="Q45" i="27"/>
  <c r="Q58" i="27" s="1"/>
  <c r="Q62" i="27" s="1"/>
  <c r="Q44" i="27"/>
  <c r="Q57" i="27" s="1"/>
  <c r="Q61" i="27" s="1"/>
  <c r="J51" i="27"/>
  <c r="R51" i="27"/>
  <c r="R18" i="27"/>
  <c r="P13" i="27"/>
  <c r="P14" i="27" s="1"/>
  <c r="P11" i="27"/>
  <c r="P12" i="27" s="1"/>
  <c r="P9" i="27"/>
  <c r="P10" i="27" s="1"/>
  <c r="P51" i="27"/>
  <c r="L51" i="27"/>
  <c r="H51" i="27"/>
  <c r="I51" i="27"/>
  <c r="O46" i="27"/>
  <c r="O45" i="27"/>
  <c r="O44" i="27"/>
  <c r="C51" i="27"/>
  <c r="O71" i="27"/>
  <c r="O73" i="27" s="1"/>
  <c r="O75" i="27" s="1"/>
  <c r="D51" i="15"/>
  <c r="Q177" i="27"/>
  <c r="E175" i="27"/>
  <c r="Q174" i="27"/>
  <c r="P174" i="27"/>
  <c r="Q173" i="27"/>
  <c r="Q172" i="27"/>
  <c r="D170" i="27"/>
  <c r="C170" i="27"/>
  <c r="Q169" i="27"/>
  <c r="P169" i="27"/>
  <c r="D169" i="27"/>
  <c r="F169" i="27" s="1"/>
  <c r="Q168" i="27"/>
  <c r="Q167" i="27"/>
  <c r="R80" i="27"/>
  <c r="K80" i="27"/>
  <c r="J80" i="27"/>
  <c r="I80" i="27"/>
  <c r="S71" i="27"/>
  <c r="S73" i="27" s="1"/>
  <c r="S75" i="27" s="1"/>
  <c r="R71" i="27"/>
  <c r="R73" i="27" s="1"/>
  <c r="R75" i="27" s="1"/>
  <c r="Q71" i="27"/>
  <c r="Q73" i="27" s="1"/>
  <c r="Q75" i="27" s="1"/>
  <c r="P71" i="27"/>
  <c r="P73" i="27" s="1"/>
  <c r="P75" i="27" s="1"/>
  <c r="N71" i="27"/>
  <c r="N73" i="27" s="1"/>
  <c r="N75" i="27" s="1"/>
  <c r="M71" i="27"/>
  <c r="M73" i="27" s="1"/>
  <c r="M75" i="27" s="1"/>
  <c r="L71" i="27"/>
  <c r="L73" i="27" s="1"/>
  <c r="L75" i="27" s="1"/>
  <c r="K71" i="27"/>
  <c r="K73" i="27" s="1"/>
  <c r="K75" i="27" s="1"/>
  <c r="J71" i="27"/>
  <c r="J73" i="27" s="1"/>
  <c r="J75" i="27" s="1"/>
  <c r="I71" i="27"/>
  <c r="I73" i="27" s="1"/>
  <c r="I75" i="27" s="1"/>
  <c r="H71" i="27"/>
  <c r="H73" i="27" s="1"/>
  <c r="H75" i="27" s="1"/>
  <c r="G71" i="27"/>
  <c r="G73" i="27" s="1"/>
  <c r="G75" i="27" s="1"/>
  <c r="F71" i="27"/>
  <c r="F73" i="27" s="1"/>
  <c r="F75" i="27" s="1"/>
  <c r="E71" i="27"/>
  <c r="E73" i="27" s="1"/>
  <c r="E75" i="27" s="1"/>
  <c r="D71" i="27"/>
  <c r="D73" i="27" s="1"/>
  <c r="D75" i="27" s="1"/>
  <c r="C71" i="27"/>
  <c r="C73" i="27" s="1"/>
  <c r="C75" i="27" s="1"/>
  <c r="B71" i="27"/>
  <c r="B73" i="27" s="1"/>
  <c r="B75" i="27" s="1"/>
  <c r="P59" i="27"/>
  <c r="M59" i="27"/>
  <c r="M63" i="27" s="1"/>
  <c r="G59" i="27"/>
  <c r="G63" i="27" s="1"/>
  <c r="P58" i="27"/>
  <c r="M58" i="27"/>
  <c r="M62" i="27" s="1"/>
  <c r="G58" i="27"/>
  <c r="G62" i="27" s="1"/>
  <c r="P57" i="27"/>
  <c r="M57" i="27"/>
  <c r="M61" i="27" s="1"/>
  <c r="R47" i="27"/>
  <c r="R41" i="27" s="1"/>
  <c r="P47" i="27"/>
  <c r="P48" i="27" s="1"/>
  <c r="P18" i="27" s="1"/>
  <c r="M47" i="27"/>
  <c r="M48" i="27" s="1"/>
  <c r="M21" i="27" s="1"/>
  <c r="L47" i="27"/>
  <c r="L48" i="27" s="1"/>
  <c r="L15" i="27" s="1"/>
  <c r="J47" i="27"/>
  <c r="J41" i="27" s="1"/>
  <c r="I47" i="27"/>
  <c r="I48" i="27" s="1"/>
  <c r="I18" i="27" s="1"/>
  <c r="H47" i="27"/>
  <c r="H42" i="27" s="1"/>
  <c r="F47" i="27"/>
  <c r="F48" i="27" s="1"/>
  <c r="F15" i="27" s="1"/>
  <c r="E47" i="27"/>
  <c r="E48" i="27" s="1"/>
  <c r="D47" i="27"/>
  <c r="D40" i="27" s="1"/>
  <c r="C47" i="27"/>
  <c r="C41" i="27" s="1"/>
  <c r="B47" i="27"/>
  <c r="S58" i="27"/>
  <c r="S57" i="27"/>
  <c r="S61" i="27" s="1"/>
  <c r="G57" i="27"/>
  <c r="Q26" i="27"/>
  <c r="Q27" i="27" s="1"/>
  <c r="S14" i="27"/>
  <c r="R14" i="27"/>
  <c r="Q14" i="27"/>
  <c r="O14" i="27"/>
  <c r="M14" i="27"/>
  <c r="L14" i="27"/>
  <c r="K14" i="27"/>
  <c r="J14" i="27"/>
  <c r="I14" i="27"/>
  <c r="H14" i="27"/>
  <c r="G14" i="27"/>
  <c r="F14" i="27"/>
  <c r="C14" i="27"/>
  <c r="B14" i="27"/>
  <c r="N14" i="27"/>
  <c r="E14" i="27"/>
  <c r="D14" i="27"/>
  <c r="R12" i="27"/>
  <c r="Q12" i="27"/>
  <c r="O12" i="27"/>
  <c r="M12" i="27"/>
  <c r="L12" i="27"/>
  <c r="K12" i="27"/>
  <c r="J12" i="27"/>
  <c r="I12" i="27"/>
  <c r="H12" i="27"/>
  <c r="G12" i="27"/>
  <c r="F12" i="27"/>
  <c r="C12" i="27"/>
  <c r="B12" i="27"/>
  <c r="N12" i="27"/>
  <c r="E12" i="27"/>
  <c r="D12" i="27"/>
  <c r="S10" i="27"/>
  <c r="R10" i="27"/>
  <c r="Q10" i="27"/>
  <c r="O10" i="27"/>
  <c r="M10" i="27"/>
  <c r="L10" i="27"/>
  <c r="K10" i="27"/>
  <c r="J10" i="27"/>
  <c r="I10" i="27"/>
  <c r="H10" i="27"/>
  <c r="F10" i="27"/>
  <c r="C10" i="27"/>
  <c r="B10" i="27"/>
  <c r="N10" i="27"/>
  <c r="G10" i="27"/>
  <c r="E10" i="27"/>
  <c r="D10" i="27"/>
  <c r="O46" i="15"/>
  <c r="O45" i="15"/>
  <c r="O44" i="15"/>
  <c r="O46" i="1"/>
  <c r="O39" i="1" s="1"/>
  <c r="O14" i="1"/>
  <c r="O12" i="1"/>
  <c r="O10" i="1"/>
  <c r="O46" i="9"/>
  <c r="O39" i="9" s="1"/>
  <c r="O14" i="9"/>
  <c r="O12" i="9"/>
  <c r="O10" i="9"/>
  <c r="O47" i="10"/>
  <c r="O41" i="10" s="1"/>
  <c r="O14" i="10"/>
  <c r="O12" i="10"/>
  <c r="O10" i="10"/>
  <c r="O47" i="12"/>
  <c r="O40" i="12" s="1"/>
  <c r="O14" i="12"/>
  <c r="O12" i="12"/>
  <c r="O10" i="12"/>
  <c r="O47" i="16"/>
  <c r="O40" i="16" s="1"/>
  <c r="O14" i="16"/>
  <c r="O12" i="16"/>
  <c r="O10" i="16"/>
  <c r="O47" i="17"/>
  <c r="O40" i="17" s="1"/>
  <c r="O14" i="17"/>
  <c r="O12" i="17"/>
  <c r="O10" i="17"/>
  <c r="O47" i="20"/>
  <c r="O48" i="20" s="1"/>
  <c r="O14" i="20"/>
  <c r="O12" i="20"/>
  <c r="O10" i="20"/>
  <c r="O47" i="22"/>
  <c r="O42" i="22" s="1"/>
  <c r="O14" i="22"/>
  <c r="O12" i="22"/>
  <c r="O10" i="22"/>
  <c r="O14" i="15"/>
  <c r="O12" i="15"/>
  <c r="O10" i="15"/>
  <c r="E51" i="15"/>
  <c r="G51" i="15"/>
  <c r="N51" i="15"/>
  <c r="P51" i="15"/>
  <c r="E35" i="28" l="1"/>
  <c r="F34" i="28"/>
  <c r="F37" i="28" s="1"/>
  <c r="F29" i="28"/>
  <c r="F35" i="28" s="1"/>
  <c r="B29" i="28"/>
  <c r="B34" i="28"/>
  <c r="I78" i="28" s="1"/>
  <c r="I37" i="28"/>
  <c r="N29" i="28"/>
  <c r="N35" i="28" s="1"/>
  <c r="N34" i="28"/>
  <c r="E37" i="28"/>
  <c r="K34" i="28"/>
  <c r="K29" i="28"/>
  <c r="K35" i="28" s="1"/>
  <c r="G29" i="28"/>
  <c r="G35" i="28" s="1"/>
  <c r="G34" i="28"/>
  <c r="H34" i="28"/>
  <c r="H29" i="28"/>
  <c r="H35" i="28" s="1"/>
  <c r="J37" i="28"/>
  <c r="O22" i="20"/>
  <c r="O23" i="20"/>
  <c r="O20" i="20"/>
  <c r="O21" i="20"/>
  <c r="O15" i="20"/>
  <c r="O18" i="20"/>
  <c r="E21" i="27"/>
  <c r="E22" i="27"/>
  <c r="E23" i="27"/>
  <c r="M20" i="27"/>
  <c r="M18" i="27"/>
  <c r="M22" i="27"/>
  <c r="B41" i="27"/>
  <c r="S62" i="27"/>
  <c r="S64" i="27" s="1"/>
  <c r="F21" i="27"/>
  <c r="F23" i="27"/>
  <c r="F22" i="27"/>
  <c r="F20" i="27"/>
  <c r="F18" i="27"/>
  <c r="P23" i="27"/>
  <c r="P22" i="27"/>
  <c r="P21" i="27"/>
  <c r="P20" i="27"/>
  <c r="P26" i="27" s="1"/>
  <c r="P63" i="27"/>
  <c r="P62" i="27"/>
  <c r="P61" i="27"/>
  <c r="L23" i="27"/>
  <c r="L22" i="27"/>
  <c r="L21" i="27"/>
  <c r="L20" i="27"/>
  <c r="L18" i="27"/>
  <c r="I23" i="27"/>
  <c r="I22" i="27"/>
  <c r="I21" i="27"/>
  <c r="I20" i="27"/>
  <c r="K48" i="27"/>
  <c r="K21" i="27" s="1"/>
  <c r="C48" i="27"/>
  <c r="C22" i="27" s="1"/>
  <c r="D48" i="27"/>
  <c r="H48" i="27"/>
  <c r="H23" i="27" s="1"/>
  <c r="R48" i="27"/>
  <c r="R23" i="27" s="1"/>
  <c r="J48" i="27"/>
  <c r="B48" i="27"/>
  <c r="B22" i="27" s="1"/>
  <c r="M41" i="27"/>
  <c r="R42" i="27"/>
  <c r="F42" i="27"/>
  <c r="R40" i="27"/>
  <c r="J40" i="27"/>
  <c r="P40" i="27"/>
  <c r="L40" i="27"/>
  <c r="E32" i="27"/>
  <c r="P42" i="27"/>
  <c r="F170" i="27"/>
  <c r="G170" i="27" s="1"/>
  <c r="H40" i="27"/>
  <c r="P41" i="27"/>
  <c r="H41" i="27"/>
  <c r="M40" i="27"/>
  <c r="C42" i="27"/>
  <c r="G61" i="27"/>
  <c r="G64" i="27" s="1"/>
  <c r="L41" i="27"/>
  <c r="I40" i="27"/>
  <c r="I41" i="27"/>
  <c r="L42" i="27"/>
  <c r="I42" i="27"/>
  <c r="E40" i="27"/>
  <c r="E41" i="27"/>
  <c r="E42" i="27"/>
  <c r="D42" i="27"/>
  <c r="M42" i="27"/>
  <c r="Q64" i="27"/>
  <c r="D41" i="27"/>
  <c r="Q47" i="27"/>
  <c r="S47" i="27"/>
  <c r="B42" i="27"/>
  <c r="K42" i="27"/>
  <c r="B40" i="27"/>
  <c r="J42" i="27"/>
  <c r="M64" i="27"/>
  <c r="M65" i="27" s="1"/>
  <c r="M15" i="27" s="1"/>
  <c r="C40" i="27"/>
  <c r="K40" i="27"/>
  <c r="G47" i="27"/>
  <c r="G48" i="27" s="1"/>
  <c r="O47" i="27"/>
  <c r="F41" i="27"/>
  <c r="N47" i="27"/>
  <c r="N48" i="27" s="1"/>
  <c r="R26" i="27"/>
  <c r="F40" i="27"/>
  <c r="O40" i="9"/>
  <c r="O48" i="10"/>
  <c r="O23" i="10" s="1"/>
  <c r="O40" i="10"/>
  <c r="O47" i="1"/>
  <c r="O40" i="1"/>
  <c r="O40" i="20"/>
  <c r="O48" i="12"/>
  <c r="O23" i="12" s="1"/>
  <c r="O47" i="9"/>
  <c r="O42" i="20"/>
  <c r="O41" i="20"/>
  <c r="O41" i="9"/>
  <c r="O48" i="22"/>
  <c r="O23" i="22" s="1"/>
  <c r="O48" i="17"/>
  <c r="O23" i="17" s="1"/>
  <c r="O48" i="16"/>
  <c r="O47" i="15"/>
  <c r="O41" i="15" s="1"/>
  <c r="O41" i="1"/>
  <c r="O42" i="10"/>
  <c r="O42" i="12"/>
  <c r="O41" i="12"/>
  <c r="O42" i="16"/>
  <c r="O41" i="16"/>
  <c r="O42" i="17"/>
  <c r="O41" i="17"/>
  <c r="O41" i="22"/>
  <c r="O40" i="22"/>
  <c r="S46" i="15"/>
  <c r="S45" i="15"/>
  <c r="S44" i="15"/>
  <c r="R18" i="15"/>
  <c r="Q46" i="15"/>
  <c r="Q45" i="15"/>
  <c r="Q44" i="15"/>
  <c r="M59" i="15"/>
  <c r="M63" i="15" s="1"/>
  <c r="M58" i="15"/>
  <c r="M62" i="15" s="1"/>
  <c r="M57" i="15"/>
  <c r="M61" i="15" s="1"/>
  <c r="P18" i="15"/>
  <c r="M78" i="28" l="1"/>
  <c r="O23" i="16"/>
  <c r="S109" i="32"/>
  <c r="R109" i="32"/>
  <c r="O91" i="29"/>
  <c r="O84" i="28"/>
  <c r="D18" i="27"/>
  <c r="D15" i="27"/>
  <c r="D23" i="27"/>
  <c r="S78" i="28"/>
  <c r="L78" i="28"/>
  <c r="O78" i="28"/>
  <c r="J78" i="28"/>
  <c r="F78" i="28"/>
  <c r="B35" i="28"/>
  <c r="I74" i="28" s="1"/>
  <c r="B37" i="28"/>
  <c r="D78" i="28"/>
  <c r="M74" i="28"/>
  <c r="R78" i="28"/>
  <c r="C74" i="28"/>
  <c r="Q78" i="28"/>
  <c r="C78" i="28"/>
  <c r="D74" i="28"/>
  <c r="B78" i="28"/>
  <c r="H78" i="28"/>
  <c r="H37" i="28"/>
  <c r="N78" i="28"/>
  <c r="N37" i="28"/>
  <c r="K74" i="28"/>
  <c r="G78" i="28"/>
  <c r="G37" i="28"/>
  <c r="K78" i="28"/>
  <c r="K37" i="28"/>
  <c r="P78" i="28"/>
  <c r="E78" i="28"/>
  <c r="O22" i="1"/>
  <c r="O23" i="1"/>
  <c r="O20" i="1"/>
  <c r="O21" i="1"/>
  <c r="O15" i="1"/>
  <c r="O18" i="1"/>
  <c r="O22" i="9"/>
  <c r="O23" i="9"/>
  <c r="O20" i="9"/>
  <c r="O21" i="9"/>
  <c r="O15" i="9"/>
  <c r="O18" i="9"/>
  <c r="O21" i="10"/>
  <c r="O22" i="10"/>
  <c r="O18" i="10"/>
  <c r="O20" i="10"/>
  <c r="O15" i="10"/>
  <c r="O21" i="12"/>
  <c r="O22" i="12"/>
  <c r="O18" i="12"/>
  <c r="O20" i="12"/>
  <c r="O15" i="12"/>
  <c r="O21" i="16"/>
  <c r="O22" i="16"/>
  <c r="O18" i="16"/>
  <c r="O20" i="16"/>
  <c r="O15" i="16"/>
  <c r="O21" i="17"/>
  <c r="O22" i="17"/>
  <c r="O18" i="17"/>
  <c r="O20" i="17"/>
  <c r="O15" i="17"/>
  <c r="O26" i="20"/>
  <c r="O27" i="20" s="1"/>
  <c r="O36" i="20"/>
  <c r="O50" i="20" s="1"/>
  <c r="O21" i="22"/>
  <c r="O22" i="22"/>
  <c r="O18" i="22"/>
  <c r="O20" i="22"/>
  <c r="O15" i="22"/>
  <c r="K22" i="27"/>
  <c r="K23" i="27"/>
  <c r="D22" i="27"/>
  <c r="D19" i="27"/>
  <c r="D21" i="27"/>
  <c r="G22" i="27"/>
  <c r="G18" i="27"/>
  <c r="G21" i="27"/>
  <c r="G20" i="27"/>
  <c r="G23" i="27"/>
  <c r="N22" i="27"/>
  <c r="N21" i="27"/>
  <c r="N23" i="27"/>
  <c r="N18" i="27"/>
  <c r="N20" i="27"/>
  <c r="C21" i="27"/>
  <c r="C18" i="27"/>
  <c r="C20" i="27"/>
  <c r="C23" i="27"/>
  <c r="C15" i="27"/>
  <c r="K58" i="27"/>
  <c r="K57" i="27"/>
  <c r="K20" i="27"/>
  <c r="K26" i="27" s="1"/>
  <c r="K32" i="27" s="1"/>
  <c r="J22" i="27"/>
  <c r="J21" i="27"/>
  <c r="J23" i="27"/>
  <c r="J18" i="27"/>
  <c r="J20" i="27"/>
  <c r="R21" i="27"/>
  <c r="R36" i="27" s="1"/>
  <c r="R50" i="27" s="1"/>
  <c r="R52" i="27" s="1"/>
  <c r="R22" i="27"/>
  <c r="P27" i="27"/>
  <c r="P28" i="27" s="1"/>
  <c r="P29" i="27" s="1"/>
  <c r="P64" i="27"/>
  <c r="P65" i="27" s="1"/>
  <c r="P15" i="27" s="1"/>
  <c r="L26" i="27"/>
  <c r="L32" i="27" s="1"/>
  <c r="H21" i="27"/>
  <c r="H22" i="27"/>
  <c r="H18" i="27"/>
  <c r="H20" i="27"/>
  <c r="I36" i="27"/>
  <c r="I50" i="27" s="1"/>
  <c r="I52" i="27" s="1"/>
  <c r="I26" i="27"/>
  <c r="I32" i="27" s="1"/>
  <c r="B20" i="27"/>
  <c r="B21" i="27"/>
  <c r="B23" i="27"/>
  <c r="B15" i="27"/>
  <c r="B18" i="27"/>
  <c r="O40" i="27"/>
  <c r="O48" i="27"/>
  <c r="O23" i="27" s="1"/>
  <c r="S41" i="27"/>
  <c r="S48" i="27"/>
  <c r="S22" i="27" s="1"/>
  <c r="Q40" i="27"/>
  <c r="Q48" i="27"/>
  <c r="E27" i="27"/>
  <c r="E33" i="27" s="1"/>
  <c r="O41" i="27"/>
  <c r="S40" i="27"/>
  <c r="M26" i="27"/>
  <c r="M27" i="27" s="1"/>
  <c r="M28" i="27" s="1"/>
  <c r="M34" i="27" s="1"/>
  <c r="Q41" i="27"/>
  <c r="S42" i="27"/>
  <c r="Q42" i="27"/>
  <c r="E36" i="27"/>
  <c r="E50" i="27" s="1"/>
  <c r="E52" i="27" s="1"/>
  <c r="L36" i="27"/>
  <c r="L50" i="27" s="1"/>
  <c r="L52" i="27" s="1"/>
  <c r="N40" i="27"/>
  <c r="N41" i="27"/>
  <c r="R32" i="27"/>
  <c r="M36" i="27"/>
  <c r="M50" i="27" s="1"/>
  <c r="M52" i="27" s="1"/>
  <c r="G40" i="27"/>
  <c r="G41" i="27"/>
  <c r="G42" i="27"/>
  <c r="N42" i="27"/>
  <c r="F36" i="27"/>
  <c r="F50" i="27" s="1"/>
  <c r="F52" i="27" s="1"/>
  <c r="O42" i="27"/>
  <c r="F26" i="27"/>
  <c r="F27" i="27" s="1"/>
  <c r="F28" i="27" s="1"/>
  <c r="F34" i="27" s="1"/>
  <c r="O40" i="15"/>
  <c r="O42" i="15"/>
  <c r="O48" i="15"/>
  <c r="M64" i="15"/>
  <c r="S107" i="32" l="1"/>
  <c r="R107" i="32"/>
  <c r="O89" i="29"/>
  <c r="O82" i="28"/>
  <c r="B76" i="28"/>
  <c r="G74" i="28"/>
  <c r="S74" i="28"/>
  <c r="O74" i="28"/>
  <c r="J74" i="28"/>
  <c r="Q74" i="28"/>
  <c r="B74" i="28"/>
  <c r="F74" i="28"/>
  <c r="E76" i="28"/>
  <c r="N74" i="28"/>
  <c r="E74" i="28"/>
  <c r="P74" i="28"/>
  <c r="L76" i="28"/>
  <c r="Q76" i="28"/>
  <c r="P76" i="28"/>
  <c r="H76" i="28"/>
  <c r="R74" i="28"/>
  <c r="O76" i="28"/>
  <c r="L74" i="28"/>
  <c r="H74" i="28"/>
  <c r="F76" i="28"/>
  <c r="D76" i="28"/>
  <c r="J76" i="28"/>
  <c r="G76" i="28"/>
  <c r="S76" i="28"/>
  <c r="N76" i="28"/>
  <c r="M76" i="28"/>
  <c r="K76" i="28"/>
  <c r="C76" i="28"/>
  <c r="I76" i="28"/>
  <c r="R76" i="28"/>
  <c r="O26" i="1"/>
  <c r="O27" i="1" s="1"/>
  <c r="O28" i="1" s="1"/>
  <c r="O29" i="1" s="1"/>
  <c r="O35" i="1" s="1"/>
  <c r="O36" i="1"/>
  <c r="O26" i="9"/>
  <c r="O32" i="9" s="1"/>
  <c r="O36" i="9"/>
  <c r="O26" i="10"/>
  <c r="O27" i="10" s="1"/>
  <c r="O28" i="10" s="1"/>
  <c r="O29" i="10" s="1"/>
  <c r="O35" i="10" s="1"/>
  <c r="O26" i="12"/>
  <c r="O27" i="12" s="1"/>
  <c r="O28" i="12" s="1"/>
  <c r="O29" i="12" s="1"/>
  <c r="O35" i="12" s="1"/>
  <c r="O36" i="10"/>
  <c r="O50" i="10" s="1"/>
  <c r="O36" i="12"/>
  <c r="O50" i="12" s="1"/>
  <c r="O26" i="16"/>
  <c r="O27" i="16" s="1"/>
  <c r="O28" i="16" s="1"/>
  <c r="O36" i="16"/>
  <c r="O50" i="16" s="1"/>
  <c r="O26" i="17"/>
  <c r="O32" i="17" s="1"/>
  <c r="O36" i="17"/>
  <c r="O50" i="17" s="1"/>
  <c r="O28" i="20"/>
  <c r="O33" i="20"/>
  <c r="O32" i="20"/>
  <c r="O26" i="22"/>
  <c r="O27" i="22" s="1"/>
  <c r="O28" i="22" s="1"/>
  <c r="O29" i="22" s="1"/>
  <c r="O35" i="22" s="1"/>
  <c r="O36" i="22"/>
  <c r="O50" i="22" s="1"/>
  <c r="O52" i="22" s="1"/>
  <c r="D26" i="27"/>
  <c r="K36" i="27"/>
  <c r="K50" i="27" s="1"/>
  <c r="K52" i="27" s="1"/>
  <c r="S23" i="27"/>
  <c r="Q65" i="27"/>
  <c r="Q15" i="27" s="1"/>
  <c r="Q33" i="27" s="1"/>
  <c r="Q22" i="27"/>
  <c r="Q28" i="27" s="1"/>
  <c r="Q29" i="27" s="1"/>
  <c r="P35" i="27"/>
  <c r="P36" i="27"/>
  <c r="P50" i="27" s="1"/>
  <c r="P52" i="27" s="1"/>
  <c r="P34" i="27"/>
  <c r="P32" i="27"/>
  <c r="P33" i="27"/>
  <c r="L27" i="27"/>
  <c r="L28" i="27" s="1"/>
  <c r="L34" i="27" s="1"/>
  <c r="H26" i="27"/>
  <c r="H27" i="27" s="1"/>
  <c r="H33" i="27" s="1"/>
  <c r="I27" i="27"/>
  <c r="I33" i="27" s="1"/>
  <c r="O21" i="27"/>
  <c r="O22" i="27"/>
  <c r="O18" i="27"/>
  <c r="O20" i="27"/>
  <c r="O82" i="27"/>
  <c r="O15" i="27"/>
  <c r="O80" i="27" s="1"/>
  <c r="B26" i="27"/>
  <c r="S65" i="27"/>
  <c r="S15" i="27" s="1"/>
  <c r="M32" i="27"/>
  <c r="E28" i="27"/>
  <c r="E34" i="27" s="1"/>
  <c r="K27" i="27"/>
  <c r="K28" i="27" s="1"/>
  <c r="H36" i="27"/>
  <c r="H50" i="27" s="1"/>
  <c r="H52" i="27" s="1"/>
  <c r="H80" i="27"/>
  <c r="M33" i="27"/>
  <c r="D36" i="27"/>
  <c r="C26" i="27"/>
  <c r="C27" i="27" s="1"/>
  <c r="C28" i="27" s="1"/>
  <c r="F33" i="27"/>
  <c r="J36" i="27"/>
  <c r="J50" i="27" s="1"/>
  <c r="J52" i="27" s="1"/>
  <c r="J26" i="27"/>
  <c r="C36" i="27"/>
  <c r="C50" i="27" s="1"/>
  <c r="C52" i="27" s="1"/>
  <c r="M37" i="27"/>
  <c r="M29" i="27"/>
  <c r="M35" i="27" s="1"/>
  <c r="F37" i="27"/>
  <c r="F29" i="27"/>
  <c r="F35" i="27" s="1"/>
  <c r="F32" i="27"/>
  <c r="R27" i="27"/>
  <c r="B36" i="27"/>
  <c r="G65" i="27"/>
  <c r="G15" i="27" s="1"/>
  <c r="O15" i="15"/>
  <c r="O18" i="15"/>
  <c r="O20" i="15"/>
  <c r="O22" i="15"/>
  <c r="O21" i="15"/>
  <c r="O23" i="15"/>
  <c r="N46" i="15"/>
  <c r="N45" i="15"/>
  <c r="N44" i="15"/>
  <c r="N13" i="15"/>
  <c r="N11" i="15"/>
  <c r="N9" i="15"/>
  <c r="S108" i="32" l="1"/>
  <c r="R108" i="32"/>
  <c r="O90" i="29"/>
  <c r="O83" i="28"/>
  <c r="D27" i="27"/>
  <c r="D50" i="27"/>
  <c r="D52" i="27" s="1"/>
  <c r="O33" i="1"/>
  <c r="O32" i="1"/>
  <c r="O34" i="1"/>
  <c r="O27" i="9"/>
  <c r="O28" i="9" s="1"/>
  <c r="O29" i="9" s="1"/>
  <c r="O35" i="9" s="1"/>
  <c r="O33" i="10"/>
  <c r="O32" i="10"/>
  <c r="O34" i="10"/>
  <c r="O37" i="10" s="1"/>
  <c r="O32" i="12"/>
  <c r="O34" i="12"/>
  <c r="O37" i="12" s="1"/>
  <c r="O33" i="12"/>
  <c r="O33" i="16"/>
  <c r="O29" i="16"/>
  <c r="O35" i="16" s="1"/>
  <c r="O34" i="16"/>
  <c r="O37" i="16" s="1"/>
  <c r="O32" i="16"/>
  <c r="O27" i="17"/>
  <c r="O28" i="17" s="1"/>
  <c r="O29" i="17" s="1"/>
  <c r="O35" i="17" s="1"/>
  <c r="D32" i="27"/>
  <c r="O29" i="20"/>
  <c r="O35" i="20" s="1"/>
  <c r="O34" i="20"/>
  <c r="O37" i="20" s="1"/>
  <c r="O32" i="22"/>
  <c r="O34" i="22"/>
  <c r="O37" i="22" s="1"/>
  <c r="O33" i="22"/>
  <c r="B32" i="27"/>
  <c r="B50" i="27"/>
  <c r="B52" i="27" s="1"/>
  <c r="P37" i="27"/>
  <c r="L37" i="27"/>
  <c r="Q36" i="27"/>
  <c r="Q50" i="27" s="1"/>
  <c r="Q52" i="27" s="1"/>
  <c r="Q32" i="27"/>
  <c r="Q35" i="27"/>
  <c r="L29" i="27"/>
  <c r="L35" i="27" s="1"/>
  <c r="L33" i="27"/>
  <c r="H28" i="27"/>
  <c r="H34" i="27" s="1"/>
  <c r="H32" i="27"/>
  <c r="I28" i="27"/>
  <c r="I29" i="27" s="1"/>
  <c r="I35" i="27" s="1"/>
  <c r="B27" i="27"/>
  <c r="S26" i="27"/>
  <c r="S32" i="27" s="1"/>
  <c r="K33" i="27"/>
  <c r="Q34" i="27"/>
  <c r="S36" i="27"/>
  <c r="S50" i="27" s="1"/>
  <c r="S52" i="27" s="1"/>
  <c r="N26" i="27"/>
  <c r="N27" i="27" s="1"/>
  <c r="N28" i="27" s="1"/>
  <c r="N34" i="27" s="1"/>
  <c r="C32" i="27"/>
  <c r="E29" i="27"/>
  <c r="E35" i="27" s="1"/>
  <c r="O26" i="27"/>
  <c r="O32" i="27" s="1"/>
  <c r="D28" i="27"/>
  <c r="N36" i="27"/>
  <c r="N50" i="27" s="1"/>
  <c r="N52" i="27" s="1"/>
  <c r="C33" i="27"/>
  <c r="G26" i="27"/>
  <c r="G27" i="27" s="1"/>
  <c r="G28" i="27" s="1"/>
  <c r="G34" i="27" s="1"/>
  <c r="O36" i="27"/>
  <c r="O50" i="27" s="1"/>
  <c r="O52" i="27" s="1"/>
  <c r="J32" i="27"/>
  <c r="J27" i="27"/>
  <c r="K29" i="27"/>
  <c r="K35" i="27" s="1"/>
  <c r="K34" i="27"/>
  <c r="E37" i="27"/>
  <c r="C29" i="27"/>
  <c r="C35" i="27" s="1"/>
  <c r="G36" i="27"/>
  <c r="G50" i="27" s="1"/>
  <c r="G52" i="27" s="1"/>
  <c r="C34" i="27"/>
  <c r="R33" i="27"/>
  <c r="R28" i="27"/>
  <c r="O26" i="15"/>
  <c r="O27" i="15" s="1"/>
  <c r="O28" i="15" s="1"/>
  <c r="O29" i="15" s="1"/>
  <c r="O36" i="15"/>
  <c r="O50" i="15" s="1"/>
  <c r="O52" i="15" s="1"/>
  <c r="D33" i="27" l="1"/>
  <c r="O34" i="9"/>
  <c r="O33" i="9"/>
  <c r="O34" i="17"/>
  <c r="O37" i="17" s="1"/>
  <c r="O33" i="17"/>
  <c r="Q37" i="27"/>
  <c r="H37" i="27"/>
  <c r="B28" i="27"/>
  <c r="H29" i="27"/>
  <c r="H35" i="27" s="1"/>
  <c r="I34" i="27"/>
  <c r="B33" i="27"/>
  <c r="S27" i="27"/>
  <c r="S28" i="27" s="1"/>
  <c r="N32" i="27"/>
  <c r="O27" i="27"/>
  <c r="O28" i="27" s="1"/>
  <c r="D29" i="27"/>
  <c r="D34" i="27"/>
  <c r="G33" i="27"/>
  <c r="G32" i="27"/>
  <c r="N37" i="27"/>
  <c r="K37" i="27"/>
  <c r="N33" i="27"/>
  <c r="J33" i="27"/>
  <c r="J28" i="27"/>
  <c r="G29" i="27"/>
  <c r="G35" i="27" s="1"/>
  <c r="R29" i="27"/>
  <c r="R35" i="27" s="1"/>
  <c r="R34" i="27"/>
  <c r="N29" i="27"/>
  <c r="N35" i="27" s="1"/>
  <c r="C37" i="27"/>
  <c r="G37" i="27"/>
  <c r="O33" i="15"/>
  <c r="O32" i="15"/>
  <c r="O35" i="15"/>
  <c r="O34" i="15"/>
  <c r="K20" i="15"/>
  <c r="K45" i="15"/>
  <c r="B29" i="27" l="1"/>
  <c r="D35" i="27"/>
  <c r="B35" i="27"/>
  <c r="I37" i="27"/>
  <c r="B34" i="27"/>
  <c r="D37" i="27"/>
  <c r="O29" i="27"/>
  <c r="O35" i="27" s="1"/>
  <c r="O81" i="27"/>
  <c r="S33" i="27"/>
  <c r="S29" i="27"/>
  <c r="S35" i="27" s="1"/>
  <c r="S34" i="27"/>
  <c r="O34" i="27"/>
  <c r="O33" i="27"/>
  <c r="R37" i="27"/>
  <c r="J29" i="27"/>
  <c r="J35" i="27" s="1"/>
  <c r="J34" i="27"/>
  <c r="O37" i="15"/>
  <c r="D51" i="22"/>
  <c r="D46" i="22"/>
  <c r="D45" i="22"/>
  <c r="D11" i="22" s="1"/>
  <c r="D12" i="22" s="1"/>
  <c r="D44" i="22"/>
  <c r="D47" i="15"/>
  <c r="D48" i="15" s="1"/>
  <c r="E51" i="22"/>
  <c r="F47" i="22"/>
  <c r="F48" i="22" s="1"/>
  <c r="G46" i="22"/>
  <c r="E46" i="22"/>
  <c r="G45" i="22"/>
  <c r="E45" i="22"/>
  <c r="G44" i="22"/>
  <c r="E44" i="22"/>
  <c r="E20" i="22"/>
  <c r="E19" i="22"/>
  <c r="E18" i="22"/>
  <c r="E15" i="22"/>
  <c r="G14" i="22"/>
  <c r="F14" i="22"/>
  <c r="E13" i="22"/>
  <c r="E14" i="22" s="1"/>
  <c r="G12" i="22"/>
  <c r="F12" i="22"/>
  <c r="E11" i="22"/>
  <c r="E12" i="22" s="1"/>
  <c r="F10" i="22"/>
  <c r="G9" i="22"/>
  <c r="G10" i="22" s="1"/>
  <c r="E9" i="22"/>
  <c r="E10" i="22" s="1"/>
  <c r="F47" i="15"/>
  <c r="F48" i="15" s="1"/>
  <c r="E47" i="15"/>
  <c r="E42" i="15" s="1"/>
  <c r="G44" i="15"/>
  <c r="E20" i="15"/>
  <c r="E19" i="15"/>
  <c r="E18" i="15"/>
  <c r="E15" i="15"/>
  <c r="G14" i="15"/>
  <c r="F14" i="15"/>
  <c r="E13" i="15"/>
  <c r="E14" i="15" s="1"/>
  <c r="G12" i="15"/>
  <c r="F12" i="15"/>
  <c r="E11" i="15"/>
  <c r="E12" i="15" s="1"/>
  <c r="F10" i="15"/>
  <c r="G9" i="15"/>
  <c r="G10" i="15" s="1"/>
  <c r="E9" i="15"/>
  <c r="E10" i="15" s="1"/>
  <c r="D23" i="15" l="1"/>
  <c r="D15" i="15"/>
  <c r="D18" i="15"/>
  <c r="E26" i="22"/>
  <c r="E26" i="15"/>
  <c r="G47" i="15"/>
  <c r="G48" i="15" s="1"/>
  <c r="O72" i="27"/>
  <c r="S37" i="27"/>
  <c r="B37" i="27"/>
  <c r="O37" i="27"/>
  <c r="O76" i="27"/>
  <c r="B72" i="27"/>
  <c r="G72" i="27"/>
  <c r="F40" i="22"/>
  <c r="F41" i="22"/>
  <c r="J72" i="27"/>
  <c r="Q72" i="27"/>
  <c r="F72" i="27"/>
  <c r="P72" i="27"/>
  <c r="L72" i="27"/>
  <c r="K72" i="27"/>
  <c r="C72" i="27"/>
  <c r="D72" i="27"/>
  <c r="S72" i="27"/>
  <c r="I72" i="27"/>
  <c r="M72" i="27"/>
  <c r="J76" i="27"/>
  <c r="J37" i="27"/>
  <c r="Q76" i="27"/>
  <c r="E76" i="27"/>
  <c r="D76" i="27"/>
  <c r="F76" i="27"/>
  <c r="C76" i="27"/>
  <c r="B76" i="27"/>
  <c r="G76" i="27"/>
  <c r="L76" i="27"/>
  <c r="N76" i="27"/>
  <c r="M76" i="27"/>
  <c r="K76" i="27"/>
  <c r="H76" i="27"/>
  <c r="S76" i="27"/>
  <c r="P76" i="27"/>
  <c r="I76" i="27"/>
  <c r="R72" i="27"/>
  <c r="N72" i="27"/>
  <c r="E72" i="27"/>
  <c r="R76" i="27"/>
  <c r="H72" i="27"/>
  <c r="D47" i="22"/>
  <c r="D41" i="22" s="1"/>
  <c r="G47" i="22"/>
  <c r="G42" i="22" s="1"/>
  <c r="D9" i="22"/>
  <c r="D10" i="22" s="1"/>
  <c r="E47" i="22"/>
  <c r="E41" i="22" s="1"/>
  <c r="F18" i="15"/>
  <c r="F21" i="15"/>
  <c r="F23" i="15"/>
  <c r="F15" i="15"/>
  <c r="F20" i="15"/>
  <c r="F22" i="15"/>
  <c r="E41" i="15"/>
  <c r="E48" i="15"/>
  <c r="F40" i="15"/>
  <c r="F41" i="15"/>
  <c r="F42" i="15"/>
  <c r="D13" i="22"/>
  <c r="D14" i="22" s="1"/>
  <c r="D42" i="15"/>
  <c r="D40" i="15"/>
  <c r="D41" i="15"/>
  <c r="F23" i="22"/>
  <c r="F15" i="22"/>
  <c r="F22" i="22"/>
  <c r="F21" i="22"/>
  <c r="F20" i="22"/>
  <c r="F18" i="22"/>
  <c r="F42" i="22"/>
  <c r="E40" i="15"/>
  <c r="G42" i="15" l="1"/>
  <c r="G40" i="15"/>
  <c r="G41" i="15"/>
  <c r="R74" i="27"/>
  <c r="O74" i="27"/>
  <c r="J74" i="27"/>
  <c r="B74" i="27"/>
  <c r="H74" i="27"/>
  <c r="S74" i="27"/>
  <c r="I74" i="27"/>
  <c r="K74" i="27"/>
  <c r="E74" i="27"/>
  <c r="G74" i="27"/>
  <c r="L74" i="27"/>
  <c r="P74" i="27"/>
  <c r="M74" i="27"/>
  <c r="F74" i="27"/>
  <c r="D74" i="27"/>
  <c r="N74" i="27"/>
  <c r="C74" i="27"/>
  <c r="Q74" i="27"/>
  <c r="D48" i="22"/>
  <c r="G48" i="22"/>
  <c r="G21" i="22" s="1"/>
  <c r="G40" i="22"/>
  <c r="E40" i="22"/>
  <c r="D42" i="22"/>
  <c r="D40" i="22"/>
  <c r="G41" i="22"/>
  <c r="E48" i="22"/>
  <c r="E23" i="22" s="1"/>
  <c r="E42" i="22"/>
  <c r="F26" i="15"/>
  <c r="F27" i="15" s="1"/>
  <c r="F28" i="15" s="1"/>
  <c r="D22" i="15"/>
  <c r="E32" i="22"/>
  <c r="F36" i="22"/>
  <c r="F50" i="22" s="1"/>
  <c r="F52" i="22" s="1"/>
  <c r="F26" i="22"/>
  <c r="F27" i="22" s="1"/>
  <c r="F28" i="22" s="1"/>
  <c r="F29" i="22" s="1"/>
  <c r="F35" i="22" s="1"/>
  <c r="E32" i="15"/>
  <c r="F36" i="15"/>
  <c r="F50" i="15" s="1"/>
  <c r="F52" i="15" s="1"/>
  <c r="G21" i="15"/>
  <c r="G20" i="15"/>
  <c r="G18" i="15"/>
  <c r="G23" i="15"/>
  <c r="G22" i="15"/>
  <c r="E23" i="15"/>
  <c r="E22" i="15"/>
  <c r="E21" i="15"/>
  <c r="E36" i="15" s="1"/>
  <c r="E50" i="15" s="1"/>
  <c r="E52" i="15" s="1"/>
  <c r="D19" i="22" l="1"/>
  <c r="D23" i="22"/>
  <c r="D15" i="22"/>
  <c r="D18" i="22"/>
  <c r="E21" i="22"/>
  <c r="E36" i="22" s="1"/>
  <c r="E50" i="22" s="1"/>
  <c r="E52" i="22" s="1"/>
  <c r="G20" i="22"/>
  <c r="G18" i="22"/>
  <c r="G23" i="22"/>
  <c r="G15" i="22"/>
  <c r="E22" i="22"/>
  <c r="D21" i="22"/>
  <c r="G22" i="22"/>
  <c r="F32" i="22"/>
  <c r="D22" i="22"/>
  <c r="G26" i="15"/>
  <c r="G27" i="15" s="1"/>
  <c r="G28" i="15" s="1"/>
  <c r="G29" i="15" s="1"/>
  <c r="F29" i="15"/>
  <c r="F35" i="15" s="1"/>
  <c r="F34" i="15"/>
  <c r="F37" i="15" s="1"/>
  <c r="F32" i="15"/>
  <c r="F33" i="15"/>
  <c r="E27" i="15"/>
  <c r="E33" i="15" s="1"/>
  <c r="F34" i="22"/>
  <c r="F37" i="22" s="1"/>
  <c r="F33" i="22"/>
  <c r="E27" i="22" l="1"/>
  <c r="G36" i="22"/>
  <c r="G50" i="22" s="1"/>
  <c r="G52" i="22" s="1"/>
  <c r="G26" i="22"/>
  <c r="G27" i="22" s="1"/>
  <c r="G28" i="22" s="1"/>
  <c r="D36" i="22"/>
  <c r="D50" i="22" s="1"/>
  <c r="D52" i="22" s="1"/>
  <c r="E28" i="15"/>
  <c r="E34" i="15" s="1"/>
  <c r="E37" i="15" s="1"/>
  <c r="D26" i="22"/>
  <c r="D27" i="22" s="1"/>
  <c r="D28" i="22" s="1"/>
  <c r="D29" i="22" s="1"/>
  <c r="D35" i="22" s="1"/>
  <c r="E33" i="22" l="1"/>
  <c r="E28" i="22"/>
  <c r="G32" i="22"/>
  <c r="G33" i="22"/>
  <c r="E29" i="15"/>
  <c r="E35" i="15" s="1"/>
  <c r="D33" i="22"/>
  <c r="G29" i="22"/>
  <c r="G35" i="22" s="1"/>
  <c r="G34" i="22"/>
  <c r="G37" i="22" s="1"/>
  <c r="D34" i="22"/>
  <c r="D37" i="22" s="1"/>
  <c r="D32" i="22"/>
  <c r="E29" i="22" l="1"/>
  <c r="E34" i="22"/>
  <c r="E37" i="22" s="1"/>
  <c r="D21" i="15"/>
  <c r="D19" i="15"/>
  <c r="E35" i="22" l="1"/>
  <c r="D26" i="15"/>
  <c r="D9" i="15"/>
  <c r="D13" i="15"/>
  <c r="D11" i="15"/>
  <c r="D27" i="15" l="1"/>
  <c r="Q177" i="22"/>
  <c r="E175" i="22"/>
  <c r="Q174" i="22"/>
  <c r="P174" i="22"/>
  <c r="Q173" i="22"/>
  <c r="Q172" i="22"/>
  <c r="D170" i="22"/>
  <c r="C170" i="22"/>
  <c r="Q169" i="22"/>
  <c r="P169" i="22"/>
  <c r="D169" i="22"/>
  <c r="F169" i="22" s="1"/>
  <c r="Q168" i="22"/>
  <c r="Q167" i="22"/>
  <c r="R80" i="22"/>
  <c r="K80" i="22"/>
  <c r="J80" i="22"/>
  <c r="I80" i="22"/>
  <c r="S71" i="22"/>
  <c r="S73" i="22" s="1"/>
  <c r="S75" i="22" s="1"/>
  <c r="R71" i="22"/>
  <c r="R73" i="22" s="1"/>
  <c r="R75" i="22" s="1"/>
  <c r="Q71" i="22"/>
  <c r="Q73" i="22" s="1"/>
  <c r="Q75" i="22" s="1"/>
  <c r="P71" i="22"/>
  <c r="P73" i="22" s="1"/>
  <c r="P75" i="22" s="1"/>
  <c r="N71" i="22"/>
  <c r="N73" i="22" s="1"/>
  <c r="N75" i="22" s="1"/>
  <c r="M71" i="22"/>
  <c r="M73" i="22" s="1"/>
  <c r="M75" i="22" s="1"/>
  <c r="L71" i="22"/>
  <c r="L73" i="22" s="1"/>
  <c r="L75" i="22" s="1"/>
  <c r="K71" i="22"/>
  <c r="K73" i="22" s="1"/>
  <c r="K75" i="22" s="1"/>
  <c r="J71" i="22"/>
  <c r="J73" i="22" s="1"/>
  <c r="J75" i="22" s="1"/>
  <c r="I71" i="22"/>
  <c r="I73" i="22" s="1"/>
  <c r="I75" i="22" s="1"/>
  <c r="H71" i="22"/>
  <c r="H73" i="22" s="1"/>
  <c r="H75" i="22" s="1"/>
  <c r="G71" i="22"/>
  <c r="G73" i="22" s="1"/>
  <c r="G75" i="22" s="1"/>
  <c r="F71" i="22"/>
  <c r="F73" i="22" s="1"/>
  <c r="F75" i="22" s="1"/>
  <c r="E71" i="22"/>
  <c r="E73" i="22" s="1"/>
  <c r="E75" i="22" s="1"/>
  <c r="D71" i="22"/>
  <c r="D73" i="22" s="1"/>
  <c r="D75" i="22" s="1"/>
  <c r="C71" i="22"/>
  <c r="C73" i="22" s="1"/>
  <c r="C75" i="22" s="1"/>
  <c r="B71" i="22"/>
  <c r="B73" i="22" s="1"/>
  <c r="B75" i="22" s="1"/>
  <c r="Q59" i="22"/>
  <c r="Q63" i="22" s="1"/>
  <c r="P59" i="22"/>
  <c r="Q58" i="22"/>
  <c r="Q62" i="22" s="1"/>
  <c r="P58" i="22"/>
  <c r="Q57" i="22"/>
  <c r="Q61" i="22" s="1"/>
  <c r="P57" i="22"/>
  <c r="R47" i="22"/>
  <c r="R42" i="22" s="1"/>
  <c r="Q47" i="22"/>
  <c r="Q48" i="22" s="1"/>
  <c r="P47" i="22"/>
  <c r="P41" i="22" s="1"/>
  <c r="M47" i="22"/>
  <c r="M42" i="22" s="1"/>
  <c r="L47" i="22"/>
  <c r="L48" i="22" s="1"/>
  <c r="J47" i="22"/>
  <c r="J40" i="22" s="1"/>
  <c r="I47" i="22"/>
  <c r="I40" i="22" s="1"/>
  <c r="H47" i="22"/>
  <c r="H48" i="22" s="1"/>
  <c r="C47" i="22"/>
  <c r="C48" i="22" s="1"/>
  <c r="C22" i="22" s="1"/>
  <c r="B47" i="22"/>
  <c r="S46" i="22"/>
  <c r="S59" i="22" s="1"/>
  <c r="S63" i="22" s="1"/>
  <c r="N46" i="22"/>
  <c r="K46" i="22"/>
  <c r="G59" i="22"/>
  <c r="G63" i="22" s="1"/>
  <c r="S45" i="22"/>
  <c r="S58" i="22" s="1"/>
  <c r="S62" i="22" s="1"/>
  <c r="N45" i="22"/>
  <c r="K45" i="22"/>
  <c r="S44" i="22"/>
  <c r="S57" i="22" s="1"/>
  <c r="S61" i="22" s="1"/>
  <c r="N44" i="22"/>
  <c r="K44" i="22"/>
  <c r="I36" i="22"/>
  <c r="Q26" i="22"/>
  <c r="Q27" i="22" s="1"/>
  <c r="I26" i="22"/>
  <c r="I32" i="22" s="1"/>
  <c r="K20" i="22"/>
  <c r="R18" i="22"/>
  <c r="S14" i="22"/>
  <c r="R14" i="22"/>
  <c r="Q14" i="22"/>
  <c r="M14" i="22"/>
  <c r="L14" i="22"/>
  <c r="K14" i="22"/>
  <c r="J14" i="22"/>
  <c r="I14" i="22"/>
  <c r="H14" i="22"/>
  <c r="C14" i="22"/>
  <c r="B14" i="22"/>
  <c r="P13" i="22"/>
  <c r="P14" i="22" s="1"/>
  <c r="N13" i="22"/>
  <c r="N14" i="22" s="1"/>
  <c r="S12" i="22"/>
  <c r="R12" i="22"/>
  <c r="Q12" i="22"/>
  <c r="M12" i="22"/>
  <c r="L12" i="22"/>
  <c r="K12" i="22"/>
  <c r="J12" i="22"/>
  <c r="I12" i="22"/>
  <c r="H12" i="22"/>
  <c r="C12" i="22"/>
  <c r="B12" i="22"/>
  <c r="P11" i="22"/>
  <c r="P12" i="22" s="1"/>
  <c r="N11" i="22"/>
  <c r="N12" i="22" s="1"/>
  <c r="S10" i="22"/>
  <c r="R10" i="22"/>
  <c r="Q10" i="22"/>
  <c r="M10" i="22"/>
  <c r="L10" i="22"/>
  <c r="K10" i="22"/>
  <c r="J10" i="22"/>
  <c r="I10" i="22"/>
  <c r="H10" i="22"/>
  <c r="C10" i="22"/>
  <c r="B10" i="22"/>
  <c r="P9" i="22"/>
  <c r="P10" i="22" s="1"/>
  <c r="N9" i="22"/>
  <c r="N10" i="22" s="1"/>
  <c r="D28" i="15" l="1"/>
  <c r="B40" i="22"/>
  <c r="F170" i="22"/>
  <c r="G170" i="22" s="1"/>
  <c r="P61" i="22"/>
  <c r="J41" i="22"/>
  <c r="K26" i="22"/>
  <c r="K32" i="22" s="1"/>
  <c r="P40" i="22"/>
  <c r="P42" i="22"/>
  <c r="M41" i="22"/>
  <c r="I42" i="22"/>
  <c r="I41" i="22"/>
  <c r="H41" i="22"/>
  <c r="I48" i="22"/>
  <c r="I22" i="22" s="1"/>
  <c r="C40" i="22"/>
  <c r="C23" i="22"/>
  <c r="C21" i="22"/>
  <c r="C15" i="22"/>
  <c r="C42" i="22"/>
  <c r="S47" i="22"/>
  <c r="S48" i="22" s="1"/>
  <c r="C41" i="22"/>
  <c r="R41" i="22"/>
  <c r="R48" i="22"/>
  <c r="B41" i="22"/>
  <c r="Q41" i="22"/>
  <c r="K47" i="22"/>
  <c r="K42" i="22" s="1"/>
  <c r="P48" i="22"/>
  <c r="P18" i="22" s="1"/>
  <c r="R40" i="22"/>
  <c r="M48" i="22"/>
  <c r="P63" i="22"/>
  <c r="M40" i="22"/>
  <c r="L41" i="22"/>
  <c r="P62" i="22"/>
  <c r="H22" i="22"/>
  <c r="H20" i="22"/>
  <c r="H26" i="22" s="1"/>
  <c r="H27" i="22" s="1"/>
  <c r="H15" i="22"/>
  <c r="Q22" i="22"/>
  <c r="Q28" i="22" s="1"/>
  <c r="Q64" i="22"/>
  <c r="Q65" i="22" s="1"/>
  <c r="Q15" i="22" s="1"/>
  <c r="L18" i="22"/>
  <c r="L23" i="22"/>
  <c r="L20" i="22"/>
  <c r="L22" i="22"/>
  <c r="L21" i="22"/>
  <c r="L15" i="22"/>
  <c r="S64" i="22"/>
  <c r="G57" i="22"/>
  <c r="G61" i="22" s="1"/>
  <c r="G58" i="22"/>
  <c r="G62" i="22" s="1"/>
  <c r="C18" i="22"/>
  <c r="C20" i="22"/>
  <c r="I27" i="22"/>
  <c r="H40" i="22"/>
  <c r="L40" i="22"/>
  <c r="Q40" i="22"/>
  <c r="B42" i="22"/>
  <c r="J42" i="22"/>
  <c r="B48" i="22"/>
  <c r="J48" i="22"/>
  <c r="R26" i="22"/>
  <c r="N47" i="22"/>
  <c r="N42" i="22" s="1"/>
  <c r="H42" i="22"/>
  <c r="L42" i="22"/>
  <c r="Q42" i="22"/>
  <c r="C36" i="1"/>
  <c r="H36" i="1"/>
  <c r="I36" i="1"/>
  <c r="L36" i="1"/>
  <c r="Q36" i="1"/>
  <c r="I36" i="9"/>
  <c r="M18" i="22" l="1"/>
  <c r="M21" i="22"/>
  <c r="D29" i="15"/>
  <c r="S23" i="22"/>
  <c r="S22" i="22"/>
  <c r="M20" i="22"/>
  <c r="M26" i="22" s="1"/>
  <c r="I50" i="22"/>
  <c r="I52" i="22" s="1"/>
  <c r="P64" i="22"/>
  <c r="P65" i="22" s="1"/>
  <c r="S42" i="22"/>
  <c r="K40" i="22"/>
  <c r="K41" i="22"/>
  <c r="P15" i="22"/>
  <c r="K48" i="22"/>
  <c r="K22" i="22" s="1"/>
  <c r="C36" i="22"/>
  <c r="R23" i="22"/>
  <c r="R22" i="22"/>
  <c r="P22" i="22"/>
  <c r="P20" i="22"/>
  <c r="P26" i="22" s="1"/>
  <c r="P23" i="22"/>
  <c r="P21" i="22"/>
  <c r="R21" i="22"/>
  <c r="R36" i="22" s="1"/>
  <c r="R50" i="22" s="1"/>
  <c r="R52" i="22" s="1"/>
  <c r="S40" i="22"/>
  <c r="S41" i="22"/>
  <c r="M15" i="22"/>
  <c r="M22" i="22"/>
  <c r="H28" i="22"/>
  <c r="G64" i="22"/>
  <c r="G65" i="22" s="1"/>
  <c r="N41" i="22"/>
  <c r="N48" i="22"/>
  <c r="R32" i="22"/>
  <c r="S15" i="22"/>
  <c r="C26" i="22"/>
  <c r="B22" i="22"/>
  <c r="B15" i="22"/>
  <c r="B20" i="22"/>
  <c r="B18" i="22"/>
  <c r="B23" i="22"/>
  <c r="B21" i="22"/>
  <c r="L36" i="22"/>
  <c r="L50" i="22" s="1"/>
  <c r="L52" i="22" s="1"/>
  <c r="I33" i="22"/>
  <c r="I28" i="22"/>
  <c r="Q29" i="22"/>
  <c r="Q35" i="22" s="1"/>
  <c r="Q36" i="22"/>
  <c r="Q50" i="22" s="1"/>
  <c r="Q52" i="22" s="1"/>
  <c r="Q32" i="22"/>
  <c r="Q33" i="22"/>
  <c r="Q34" i="22"/>
  <c r="H36" i="22"/>
  <c r="H50" i="22" s="1"/>
  <c r="H52" i="22" s="1"/>
  <c r="H32" i="22"/>
  <c r="H33" i="22"/>
  <c r="H80" i="22"/>
  <c r="J22" i="22"/>
  <c r="J21" i="22"/>
  <c r="J23" i="22"/>
  <c r="J20" i="22"/>
  <c r="J18" i="22"/>
  <c r="S65" i="22"/>
  <c r="N40" i="22"/>
  <c r="L26" i="22"/>
  <c r="L27" i="22" s="1"/>
  <c r="L28" i="22" s="1"/>
  <c r="C50" i="22" l="1"/>
  <c r="C52" i="22" s="1"/>
  <c r="P27" i="22"/>
  <c r="P28" i="22" s="1"/>
  <c r="P34" i="22" s="1"/>
  <c r="P37" i="22" s="1"/>
  <c r="K23" i="22"/>
  <c r="K21" i="22"/>
  <c r="K27" i="22" s="1"/>
  <c r="M27" i="22"/>
  <c r="M32" i="22"/>
  <c r="P36" i="22"/>
  <c r="P50" i="22" s="1"/>
  <c r="P52" i="22" s="1"/>
  <c r="L33" i="22"/>
  <c r="M36" i="22"/>
  <c r="H29" i="22"/>
  <c r="H35" i="22" s="1"/>
  <c r="R27" i="22"/>
  <c r="R28" i="22" s="1"/>
  <c r="P32" i="22"/>
  <c r="B26" i="22"/>
  <c r="B27" i="22" s="1"/>
  <c r="B28" i="22" s="1"/>
  <c r="B34" i="22" s="1"/>
  <c r="H34" i="22"/>
  <c r="H37" i="22" s="1"/>
  <c r="L32" i="22"/>
  <c r="Q37" i="22"/>
  <c r="L29" i="22"/>
  <c r="L35" i="22" s="1"/>
  <c r="L34" i="22"/>
  <c r="S26" i="22"/>
  <c r="S27" i="22" s="1"/>
  <c r="S28" i="22" s="1"/>
  <c r="S34" i="22" s="1"/>
  <c r="J36" i="22"/>
  <c r="J50" i="22" s="1"/>
  <c r="J52" i="22" s="1"/>
  <c r="J26" i="22"/>
  <c r="I29" i="22"/>
  <c r="I35" i="22" s="1"/>
  <c r="I34" i="22"/>
  <c r="B36" i="22"/>
  <c r="B50" i="22" s="1"/>
  <c r="B52" i="22" s="1"/>
  <c r="C27" i="22"/>
  <c r="C32" i="22"/>
  <c r="S36" i="22"/>
  <c r="S50" i="22" s="1"/>
  <c r="S52" i="22" s="1"/>
  <c r="N22" i="22"/>
  <c r="N21" i="22"/>
  <c r="N15" i="22"/>
  <c r="N23" i="22"/>
  <c r="N20" i="22"/>
  <c r="N18" i="22"/>
  <c r="M33" i="22" l="1"/>
  <c r="M50" i="22"/>
  <c r="M52" i="22" s="1"/>
  <c r="P33" i="22"/>
  <c r="K36" i="22"/>
  <c r="K50" i="22" s="1"/>
  <c r="K52" i="22" s="1"/>
  <c r="M28" i="22"/>
  <c r="M34" i="22" s="1"/>
  <c r="M37" i="22" s="1"/>
  <c r="P29" i="22"/>
  <c r="P35" i="22" s="1"/>
  <c r="S32" i="22"/>
  <c r="B29" i="22"/>
  <c r="B35" i="22" s="1"/>
  <c r="S33" i="22"/>
  <c r="B32" i="22"/>
  <c r="B33" i="22"/>
  <c r="R33" i="22"/>
  <c r="I37" i="22"/>
  <c r="C28" i="22"/>
  <c r="C33" i="22"/>
  <c r="N36" i="22"/>
  <c r="N50" i="22" s="1"/>
  <c r="N52" i="22" s="1"/>
  <c r="S37" i="22"/>
  <c r="B37" i="22"/>
  <c r="J32" i="22"/>
  <c r="J27" i="22"/>
  <c r="L37" i="22"/>
  <c r="R29" i="22"/>
  <c r="R35" i="22" s="1"/>
  <c r="R34" i="22"/>
  <c r="K33" i="22"/>
  <c r="K28" i="22"/>
  <c r="N26" i="22"/>
  <c r="N27" i="22" s="1"/>
  <c r="N28" i="22" s="1"/>
  <c r="N34" i="22" s="1"/>
  <c r="S29" i="22"/>
  <c r="S35" i="22" s="1"/>
  <c r="N32" i="22" l="1"/>
  <c r="M29" i="22"/>
  <c r="M35" i="22" s="1"/>
  <c r="K34" i="22"/>
  <c r="K29" i="22"/>
  <c r="K35" i="22" s="1"/>
  <c r="N29" i="22"/>
  <c r="N35" i="22" s="1"/>
  <c r="J28" i="22"/>
  <c r="J33" i="22"/>
  <c r="C29" i="22"/>
  <c r="C34" i="22"/>
  <c r="R37" i="22"/>
  <c r="N37" i="22"/>
  <c r="N33" i="22"/>
  <c r="C35" i="22" l="1"/>
  <c r="K37" i="22"/>
  <c r="C37" i="22"/>
  <c r="J34" i="22"/>
  <c r="K76" i="22" s="1"/>
  <c r="J29" i="22"/>
  <c r="J35" i="22" s="1"/>
  <c r="I80" i="15"/>
  <c r="I71" i="15"/>
  <c r="I73" i="15" s="1"/>
  <c r="I75" i="15" s="1"/>
  <c r="J23" i="14"/>
  <c r="J20" i="14"/>
  <c r="I46" i="1"/>
  <c r="I40" i="1" s="1"/>
  <c r="I26" i="1"/>
  <c r="I32" i="1" s="1"/>
  <c r="I14" i="1"/>
  <c r="I12" i="1"/>
  <c r="I10" i="1"/>
  <c r="I46" i="9"/>
  <c r="I47" i="9" s="1"/>
  <c r="I22" i="9" s="1"/>
  <c r="I26" i="9"/>
  <c r="I27" i="9" s="1"/>
  <c r="I14" i="9"/>
  <c r="I12" i="9"/>
  <c r="I10" i="9"/>
  <c r="I47" i="10"/>
  <c r="I40" i="10" s="1"/>
  <c r="I36" i="10"/>
  <c r="I26" i="10"/>
  <c r="I27" i="10" s="1"/>
  <c r="I14" i="10"/>
  <c r="I12" i="10"/>
  <c r="I10" i="10"/>
  <c r="I47" i="12"/>
  <c r="I40" i="12" s="1"/>
  <c r="I36" i="12"/>
  <c r="I26" i="12"/>
  <c r="I27" i="12" s="1"/>
  <c r="I14" i="12"/>
  <c r="I12" i="12"/>
  <c r="I10" i="12"/>
  <c r="I47" i="16"/>
  <c r="I40" i="16" s="1"/>
  <c r="I36" i="16"/>
  <c r="I26" i="16"/>
  <c r="I32" i="16" s="1"/>
  <c r="I14" i="16"/>
  <c r="I12" i="16"/>
  <c r="I10" i="16"/>
  <c r="I47" i="17"/>
  <c r="I40" i="17" s="1"/>
  <c r="I36" i="17"/>
  <c r="I26" i="17"/>
  <c r="I27" i="17" s="1"/>
  <c r="I14" i="17"/>
  <c r="I12" i="17"/>
  <c r="I10" i="17"/>
  <c r="I47" i="20"/>
  <c r="I40" i="20" s="1"/>
  <c r="I36" i="20"/>
  <c r="I26" i="20"/>
  <c r="I32" i="20" s="1"/>
  <c r="I14" i="20"/>
  <c r="I12" i="20"/>
  <c r="I10" i="20"/>
  <c r="I47" i="15"/>
  <c r="I36" i="15"/>
  <c r="I26" i="15"/>
  <c r="I27" i="15" s="1"/>
  <c r="I14" i="15"/>
  <c r="I12" i="15"/>
  <c r="I10" i="15"/>
  <c r="C76" i="22" l="1"/>
  <c r="I39" i="1"/>
  <c r="E76" i="22"/>
  <c r="Q76" i="22"/>
  <c r="L76" i="22"/>
  <c r="I47" i="1"/>
  <c r="I22" i="1" s="1"/>
  <c r="B76" i="22"/>
  <c r="H76" i="22"/>
  <c r="I41" i="1"/>
  <c r="S76" i="22"/>
  <c r="I48" i="15"/>
  <c r="J72" i="22"/>
  <c r="D72" i="22"/>
  <c r="R72" i="22"/>
  <c r="E72" i="22"/>
  <c r="C72" i="22"/>
  <c r="F72" i="22"/>
  <c r="Q72" i="22"/>
  <c r="P72" i="22"/>
  <c r="B72" i="22"/>
  <c r="I76" i="22"/>
  <c r="P76" i="22"/>
  <c r="N72" i="22"/>
  <c r="H72" i="22"/>
  <c r="M72" i="22"/>
  <c r="J76" i="22"/>
  <c r="J37" i="22"/>
  <c r="F74" i="22" s="1"/>
  <c r="F76" i="22"/>
  <c r="N76" i="22"/>
  <c r="R76" i="22"/>
  <c r="D76" i="22"/>
  <c r="L72" i="22"/>
  <c r="K72" i="22"/>
  <c r="G76" i="22"/>
  <c r="M76" i="22"/>
  <c r="S72" i="22"/>
  <c r="G72" i="22"/>
  <c r="I72" i="22"/>
  <c r="I27" i="1"/>
  <c r="I28" i="9"/>
  <c r="I29" i="9" s="1"/>
  <c r="I35" i="9" s="1"/>
  <c r="I33" i="9"/>
  <c r="I32" i="9"/>
  <c r="I48" i="10"/>
  <c r="I48" i="12"/>
  <c r="I27" i="16"/>
  <c r="I48" i="16"/>
  <c r="I48" i="17"/>
  <c r="I27" i="20"/>
  <c r="I48" i="20"/>
  <c r="I33" i="15"/>
  <c r="I32" i="15"/>
  <c r="I41" i="9"/>
  <c r="I40" i="9"/>
  <c r="I39" i="9"/>
  <c r="I33" i="10"/>
  <c r="I32" i="10"/>
  <c r="I42" i="10"/>
  <c r="I41" i="10"/>
  <c r="I33" i="12"/>
  <c r="I32" i="12"/>
  <c r="I42" i="12"/>
  <c r="I41" i="12"/>
  <c r="I42" i="16"/>
  <c r="I41" i="16"/>
  <c r="I33" i="17"/>
  <c r="I32" i="17"/>
  <c r="I42" i="17"/>
  <c r="I41" i="17"/>
  <c r="I42" i="20"/>
  <c r="I41" i="20"/>
  <c r="I42" i="15"/>
  <c r="I41" i="15"/>
  <c r="I40" i="15"/>
  <c r="I82" i="27" l="1"/>
  <c r="K109" i="32"/>
  <c r="I91" i="29"/>
  <c r="I84" i="28"/>
  <c r="I28" i="1"/>
  <c r="I29" i="1" s="1"/>
  <c r="I35" i="1" s="1"/>
  <c r="R74" i="22"/>
  <c r="H74" i="22"/>
  <c r="I50" i="16"/>
  <c r="I82" i="22"/>
  <c r="I22" i="16"/>
  <c r="I28" i="16" s="1"/>
  <c r="I82" i="15"/>
  <c r="I50" i="20"/>
  <c r="I22" i="20"/>
  <c r="I28" i="20" s="1"/>
  <c r="G74" i="22"/>
  <c r="I50" i="17"/>
  <c r="I22" i="17"/>
  <c r="I28" i="17" s="1"/>
  <c r="I34" i="17" s="1"/>
  <c r="I37" i="17" s="1"/>
  <c r="I50" i="10"/>
  <c r="I22" i="10"/>
  <c r="I28" i="10" s="1"/>
  <c r="I34" i="10" s="1"/>
  <c r="I37" i="10" s="1"/>
  <c r="I50" i="12"/>
  <c r="I22" i="12"/>
  <c r="I28" i="12" s="1"/>
  <c r="I34" i="12" s="1"/>
  <c r="I37" i="12" s="1"/>
  <c r="I22" i="15"/>
  <c r="I50" i="15"/>
  <c r="I52" i="15" s="1"/>
  <c r="J74" i="22"/>
  <c r="D74" i="22"/>
  <c r="N74" i="22"/>
  <c r="Q74" i="22"/>
  <c r="M74" i="22"/>
  <c r="E74" i="22"/>
  <c r="S74" i="22"/>
  <c r="I74" i="22"/>
  <c r="C74" i="22"/>
  <c r="B74" i="22"/>
  <c r="L74" i="22"/>
  <c r="P74" i="22"/>
  <c r="K74" i="22"/>
  <c r="I33" i="1"/>
  <c r="I34" i="9"/>
  <c r="I33" i="16"/>
  <c r="I33" i="20"/>
  <c r="K108" i="32" l="1"/>
  <c r="I90" i="29"/>
  <c r="I83" i="28"/>
  <c r="I34" i="1"/>
  <c r="I81" i="22"/>
  <c r="I81" i="27"/>
  <c r="I29" i="12"/>
  <c r="I35" i="12" s="1"/>
  <c r="I29" i="17"/>
  <c r="I35" i="17" s="1"/>
  <c r="I29" i="10"/>
  <c r="I35" i="10" s="1"/>
  <c r="I28" i="15"/>
  <c r="I29" i="16"/>
  <c r="I35" i="16" s="1"/>
  <c r="I34" i="16"/>
  <c r="I37" i="16" s="1"/>
  <c r="I34" i="20"/>
  <c r="I37" i="20" s="1"/>
  <c r="I29" i="20"/>
  <c r="I35" i="20" s="1"/>
  <c r="J4" i="14" l="1"/>
  <c r="I29" i="15"/>
  <c r="I35" i="15" s="1"/>
  <c r="I34" i="15"/>
  <c r="I81" i="15"/>
  <c r="I37" i="15" l="1"/>
  <c r="Q176" i="20"/>
  <c r="E174" i="20"/>
  <c r="Q173" i="20"/>
  <c r="P173" i="20"/>
  <c r="Q172" i="20"/>
  <c r="Q171" i="20"/>
  <c r="D169" i="20"/>
  <c r="C169" i="20"/>
  <c r="Q168" i="20"/>
  <c r="P168" i="20"/>
  <c r="D168" i="20"/>
  <c r="F168" i="20" s="1"/>
  <c r="Q167" i="20"/>
  <c r="Q166" i="20"/>
  <c r="R79" i="20"/>
  <c r="K79" i="20"/>
  <c r="J79" i="20"/>
  <c r="H79" i="20"/>
  <c r="S70" i="20"/>
  <c r="S72" i="20" s="1"/>
  <c r="S74" i="20" s="1"/>
  <c r="R70" i="20"/>
  <c r="R72" i="20" s="1"/>
  <c r="R74" i="20" s="1"/>
  <c r="Q70" i="20"/>
  <c r="Q72" i="20" s="1"/>
  <c r="Q74" i="20" s="1"/>
  <c r="P70" i="20"/>
  <c r="P72" i="20" s="1"/>
  <c r="P74" i="20" s="1"/>
  <c r="N70" i="20"/>
  <c r="N72" i="20" s="1"/>
  <c r="N74" i="20" s="1"/>
  <c r="M70" i="20"/>
  <c r="M72" i="20" s="1"/>
  <c r="M74" i="20" s="1"/>
  <c r="L70" i="20"/>
  <c r="L72" i="20" s="1"/>
  <c r="L74" i="20" s="1"/>
  <c r="K70" i="20"/>
  <c r="K72" i="20" s="1"/>
  <c r="K74" i="20" s="1"/>
  <c r="J70" i="20"/>
  <c r="J72" i="20" s="1"/>
  <c r="J74" i="20" s="1"/>
  <c r="H70" i="20"/>
  <c r="H72" i="20" s="1"/>
  <c r="H74" i="20" s="1"/>
  <c r="G70" i="20"/>
  <c r="G72" i="20" s="1"/>
  <c r="G74" i="20" s="1"/>
  <c r="F70" i="20"/>
  <c r="F72" i="20" s="1"/>
  <c r="F74" i="20" s="1"/>
  <c r="E70" i="20"/>
  <c r="E72" i="20" s="1"/>
  <c r="E74" i="20" s="1"/>
  <c r="D70" i="20"/>
  <c r="D72" i="20" s="1"/>
  <c r="D74" i="20" s="1"/>
  <c r="C70" i="20"/>
  <c r="C72" i="20" s="1"/>
  <c r="C74" i="20" s="1"/>
  <c r="B70" i="20"/>
  <c r="B72" i="20" s="1"/>
  <c r="B74" i="20" s="1"/>
  <c r="P58" i="20"/>
  <c r="P62" i="20" s="1"/>
  <c r="G58" i="20"/>
  <c r="G62" i="20" s="1"/>
  <c r="P57" i="20"/>
  <c r="P61" i="20" s="1"/>
  <c r="P56" i="20"/>
  <c r="P60" i="20" s="1"/>
  <c r="R47" i="20"/>
  <c r="R48" i="20" s="1"/>
  <c r="R21" i="20" s="1"/>
  <c r="R36" i="20" s="1"/>
  <c r="R50" i="20" s="1"/>
  <c r="P47" i="20"/>
  <c r="P48" i="20" s="1"/>
  <c r="P22" i="20" s="1"/>
  <c r="M47" i="20"/>
  <c r="M48" i="20" s="1"/>
  <c r="L47" i="20"/>
  <c r="L48" i="20" s="1"/>
  <c r="L21" i="20" s="1"/>
  <c r="K47" i="20"/>
  <c r="K48" i="20" s="1"/>
  <c r="K22" i="20" s="1"/>
  <c r="J47" i="20"/>
  <c r="J48" i="20" s="1"/>
  <c r="J18" i="20" s="1"/>
  <c r="H47" i="20"/>
  <c r="H48" i="20" s="1"/>
  <c r="H22" i="20" s="1"/>
  <c r="F47" i="20"/>
  <c r="F48" i="20" s="1"/>
  <c r="F15" i="20" s="1"/>
  <c r="B47" i="20"/>
  <c r="S46" i="20"/>
  <c r="S58" i="20" s="1"/>
  <c r="S62" i="20" s="1"/>
  <c r="Q46" i="20"/>
  <c r="Q58" i="20" s="1"/>
  <c r="Q62" i="20" s="1"/>
  <c r="N46" i="20"/>
  <c r="C46" i="20"/>
  <c r="S45" i="20"/>
  <c r="S57" i="20" s="1"/>
  <c r="S61" i="20" s="1"/>
  <c r="Q45" i="20"/>
  <c r="Q57" i="20" s="1"/>
  <c r="Q61" i="20" s="1"/>
  <c r="N45" i="20"/>
  <c r="G45" i="20"/>
  <c r="G57" i="20" s="1"/>
  <c r="G61" i="20" s="1"/>
  <c r="C45" i="20"/>
  <c r="S44" i="20"/>
  <c r="S56" i="20" s="1"/>
  <c r="S60" i="20" s="1"/>
  <c r="Q44" i="20"/>
  <c r="Q56" i="20" s="1"/>
  <c r="Q60" i="20" s="1"/>
  <c r="N44" i="20"/>
  <c r="G44" i="20"/>
  <c r="G56" i="20" s="1"/>
  <c r="E44" i="20"/>
  <c r="E47" i="20" s="1"/>
  <c r="D44" i="20"/>
  <c r="D47" i="20" s="1"/>
  <c r="C44" i="20"/>
  <c r="R26" i="20"/>
  <c r="R32" i="20" s="1"/>
  <c r="Q26" i="20"/>
  <c r="Q27" i="20" s="1"/>
  <c r="H20" i="20"/>
  <c r="H36" i="20" s="1"/>
  <c r="E20" i="20"/>
  <c r="E19" i="20"/>
  <c r="K18" i="20"/>
  <c r="E18" i="20"/>
  <c r="E15" i="20"/>
  <c r="S14" i="20"/>
  <c r="R14" i="20"/>
  <c r="Q14" i="20"/>
  <c r="P14" i="20"/>
  <c r="M14" i="20"/>
  <c r="L14" i="20"/>
  <c r="K14" i="20"/>
  <c r="J14" i="20"/>
  <c r="H14" i="20"/>
  <c r="G14" i="20"/>
  <c r="F14" i="20"/>
  <c r="C14" i="20"/>
  <c r="B14" i="20"/>
  <c r="N13" i="20"/>
  <c r="N14" i="20" s="1"/>
  <c r="E13" i="20"/>
  <c r="E14" i="20" s="1"/>
  <c r="D13" i="20"/>
  <c r="D14" i="20" s="1"/>
  <c r="S12" i="20"/>
  <c r="R12" i="20"/>
  <c r="Q12" i="20"/>
  <c r="P12" i="20"/>
  <c r="M12" i="20"/>
  <c r="L12" i="20"/>
  <c r="K12" i="20"/>
  <c r="J12" i="20"/>
  <c r="H12" i="20"/>
  <c r="G12" i="20"/>
  <c r="F12" i="20"/>
  <c r="D12" i="20"/>
  <c r="C12" i="20"/>
  <c r="B12" i="20"/>
  <c r="N11" i="20"/>
  <c r="N12" i="20" s="1"/>
  <c r="E11" i="20"/>
  <c r="E12" i="20" s="1"/>
  <c r="S10" i="20"/>
  <c r="R10" i="20"/>
  <c r="Q10" i="20"/>
  <c r="P10" i="20"/>
  <c r="M10" i="20"/>
  <c r="L10" i="20"/>
  <c r="K10" i="20"/>
  <c r="J10" i="20"/>
  <c r="H10" i="20"/>
  <c r="F10" i="20"/>
  <c r="C10" i="20"/>
  <c r="B10" i="20"/>
  <c r="N9" i="20"/>
  <c r="N10" i="20" s="1"/>
  <c r="G9" i="20"/>
  <c r="G10" i="20" s="1"/>
  <c r="E9" i="20"/>
  <c r="E10" i="20" s="1"/>
  <c r="C23" i="14"/>
  <c r="D23" i="14"/>
  <c r="E23" i="14"/>
  <c r="G23" i="14"/>
  <c r="H23" i="14"/>
  <c r="I23" i="14"/>
  <c r="K23" i="14"/>
  <c r="M23" i="14"/>
  <c r="N23" i="14"/>
  <c r="P23" i="14"/>
  <c r="Q23" i="14"/>
  <c r="S23" i="14"/>
  <c r="T23" i="14"/>
  <c r="U23" i="14"/>
  <c r="V23" i="14"/>
  <c r="E26" i="20" l="1"/>
  <c r="M22" i="20"/>
  <c r="M21" i="20"/>
  <c r="B48" i="20"/>
  <c r="B22" i="20" s="1"/>
  <c r="J22" i="20"/>
  <c r="J20" i="20"/>
  <c r="J26" i="20" s="1"/>
  <c r="J40" i="20"/>
  <c r="J23" i="20"/>
  <c r="J41" i="20"/>
  <c r="K23" i="20"/>
  <c r="K41" i="20"/>
  <c r="J42" i="20"/>
  <c r="L20" i="20"/>
  <c r="P23" i="20"/>
  <c r="L23" i="20"/>
  <c r="L42" i="20"/>
  <c r="F169" i="20"/>
  <c r="G169" i="20" s="1"/>
  <c r="M23" i="20"/>
  <c r="M18" i="20"/>
  <c r="L22" i="20"/>
  <c r="P20" i="20"/>
  <c r="M15" i="20"/>
  <c r="L15" i="20"/>
  <c r="L40" i="20"/>
  <c r="H41" i="20"/>
  <c r="C47" i="20"/>
  <c r="C41" i="20" s="1"/>
  <c r="P40" i="20"/>
  <c r="P21" i="20"/>
  <c r="K40" i="20"/>
  <c r="H50" i="20"/>
  <c r="P42" i="20"/>
  <c r="H42" i="20"/>
  <c r="L18" i="20"/>
  <c r="M41" i="20"/>
  <c r="R22" i="20"/>
  <c r="R23" i="20"/>
  <c r="F20" i="20"/>
  <c r="H40" i="20"/>
  <c r="F41" i="20"/>
  <c r="B42" i="20"/>
  <c r="R42" i="20"/>
  <c r="D9" i="20"/>
  <c r="D10" i="20" s="1"/>
  <c r="F18" i="20"/>
  <c r="F40" i="20"/>
  <c r="R41" i="20"/>
  <c r="B41" i="20"/>
  <c r="E32" i="20"/>
  <c r="B40" i="20"/>
  <c r="R40" i="20"/>
  <c r="P41" i="20"/>
  <c r="M42" i="20"/>
  <c r="F21" i="20"/>
  <c r="K21" i="20"/>
  <c r="K36" i="20" s="1"/>
  <c r="K50" i="20" s="1"/>
  <c r="F23" i="20"/>
  <c r="N47" i="20"/>
  <c r="N40" i="20" s="1"/>
  <c r="J21" i="20"/>
  <c r="F42" i="20"/>
  <c r="P15" i="20"/>
  <c r="P18" i="20"/>
  <c r="M20" i="20"/>
  <c r="F22" i="20"/>
  <c r="M40" i="20"/>
  <c r="L41" i="20"/>
  <c r="K42" i="20"/>
  <c r="D48" i="20"/>
  <c r="D15" i="20" s="1"/>
  <c r="D42" i="20"/>
  <c r="D41" i="20"/>
  <c r="D40" i="20"/>
  <c r="E48" i="20"/>
  <c r="E42" i="20"/>
  <c r="E41" i="20"/>
  <c r="E40" i="20"/>
  <c r="H26" i="20"/>
  <c r="K26" i="20"/>
  <c r="R27" i="20"/>
  <c r="G60" i="20"/>
  <c r="G63" i="20" s="1"/>
  <c r="Q63" i="20"/>
  <c r="S63" i="20"/>
  <c r="P63" i="20"/>
  <c r="P64" i="20" s="1"/>
  <c r="G47" i="20"/>
  <c r="Q47" i="20"/>
  <c r="S47" i="20"/>
  <c r="B18" i="20" l="1"/>
  <c r="B23" i="20"/>
  <c r="B21" i="20"/>
  <c r="B20" i="20"/>
  <c r="B15" i="20"/>
  <c r="J36" i="20"/>
  <c r="J50" i="20" s="1"/>
  <c r="L26" i="20"/>
  <c r="L27" i="20" s="1"/>
  <c r="L28" i="20" s="1"/>
  <c r="L29" i="20" s="1"/>
  <c r="L35" i="20" s="1"/>
  <c r="N42" i="20"/>
  <c r="N48" i="20"/>
  <c r="N23" i="20" s="1"/>
  <c r="M26" i="20"/>
  <c r="M32" i="20" s="1"/>
  <c r="C40" i="20"/>
  <c r="P26" i="20"/>
  <c r="P27" i="20" s="1"/>
  <c r="F26" i="20"/>
  <c r="F27" i="20" s="1"/>
  <c r="N41" i="20"/>
  <c r="C48" i="20"/>
  <c r="C15" i="20" s="1"/>
  <c r="L36" i="20"/>
  <c r="L50" i="20" s="1"/>
  <c r="C42" i="20"/>
  <c r="M36" i="20"/>
  <c r="M50" i="20" s="1"/>
  <c r="D22" i="20"/>
  <c r="D21" i="20"/>
  <c r="P36" i="20"/>
  <c r="P50" i="20" s="1"/>
  <c r="F36" i="20"/>
  <c r="F50" i="20" s="1"/>
  <c r="S48" i="20"/>
  <c r="S22" i="20" s="1"/>
  <c r="S42" i="20"/>
  <c r="S41" i="20"/>
  <c r="S40" i="20"/>
  <c r="Q48" i="20"/>
  <c r="Q64" i="20" s="1"/>
  <c r="Q15" i="20" s="1"/>
  <c r="Q42" i="20"/>
  <c r="Q41" i="20"/>
  <c r="Q40" i="20"/>
  <c r="G48" i="20"/>
  <c r="G64" i="20" s="1"/>
  <c r="G15" i="20" s="1"/>
  <c r="G42" i="20"/>
  <c r="G41" i="20"/>
  <c r="G40" i="20"/>
  <c r="R33" i="20"/>
  <c r="R28" i="20"/>
  <c r="K32" i="20"/>
  <c r="K27" i="20"/>
  <c r="J32" i="20"/>
  <c r="J27" i="20"/>
  <c r="H32" i="20"/>
  <c r="H27" i="20"/>
  <c r="E23" i="20"/>
  <c r="E22" i="20"/>
  <c r="E21" i="20"/>
  <c r="D23" i="20"/>
  <c r="D19" i="20"/>
  <c r="D18" i="20"/>
  <c r="D44" i="17"/>
  <c r="B26" i="20" l="1"/>
  <c r="B32" i="20" s="1"/>
  <c r="B36" i="20"/>
  <c r="B50" i="20" s="1"/>
  <c r="S64" i="20"/>
  <c r="S15" i="20" s="1"/>
  <c r="S23" i="20"/>
  <c r="N21" i="20"/>
  <c r="L32" i="20"/>
  <c r="L33" i="20"/>
  <c r="N22" i="20"/>
  <c r="N20" i="20"/>
  <c r="N18" i="20"/>
  <c r="N15" i="20"/>
  <c r="P32" i="20"/>
  <c r="M27" i="20"/>
  <c r="M28" i="20" s="1"/>
  <c r="C22" i="20"/>
  <c r="C23" i="20"/>
  <c r="C21" i="20"/>
  <c r="L34" i="20"/>
  <c r="L37" i="20" s="1"/>
  <c r="C20" i="20"/>
  <c r="F28" i="20"/>
  <c r="F34" i="20" s="1"/>
  <c r="F37" i="20" s="1"/>
  <c r="F33" i="20"/>
  <c r="F32" i="20"/>
  <c r="D26" i="20"/>
  <c r="D27" i="20" s="1"/>
  <c r="D28" i="20" s="1"/>
  <c r="D29" i="20" s="1"/>
  <c r="D35" i="20" s="1"/>
  <c r="P28" i="20"/>
  <c r="P33" i="20"/>
  <c r="C18" i="20"/>
  <c r="Q36" i="20"/>
  <c r="Q50" i="20" s="1"/>
  <c r="Q33" i="20"/>
  <c r="Q32" i="20"/>
  <c r="D36" i="20"/>
  <c r="D50" i="20" s="1"/>
  <c r="E27" i="20"/>
  <c r="E36" i="20"/>
  <c r="E50" i="20" s="1"/>
  <c r="H33" i="20"/>
  <c r="H28" i="20"/>
  <c r="J33" i="20"/>
  <c r="J28" i="20"/>
  <c r="K33" i="20"/>
  <c r="K28" i="20"/>
  <c r="R34" i="20"/>
  <c r="R29" i="20"/>
  <c r="R35" i="20" s="1"/>
  <c r="G23" i="20"/>
  <c r="G22" i="20"/>
  <c r="G21" i="20"/>
  <c r="G20" i="20"/>
  <c r="G18" i="20"/>
  <c r="Q23" i="20"/>
  <c r="Q22" i="20"/>
  <c r="Q28" i="20" s="1"/>
  <c r="S59" i="15"/>
  <c r="S63" i="15" s="1"/>
  <c r="S58" i="15"/>
  <c r="S62" i="15" s="1"/>
  <c r="S57" i="15"/>
  <c r="S61" i="15" s="1"/>
  <c r="Q59" i="15"/>
  <c r="Q63" i="15" s="1"/>
  <c r="Q58" i="15"/>
  <c r="Q62" i="15" s="1"/>
  <c r="Q57" i="15"/>
  <c r="Q61" i="15" s="1"/>
  <c r="B27" i="20" l="1"/>
  <c r="B33" i="20" s="1"/>
  <c r="M33" i="20"/>
  <c r="C26" i="20"/>
  <c r="N26" i="20"/>
  <c r="N27" i="20" s="1"/>
  <c r="N28" i="20" s="1"/>
  <c r="N34" i="20" s="1"/>
  <c r="N37" i="20" s="1"/>
  <c r="N36" i="20"/>
  <c r="N50" i="20" s="1"/>
  <c r="D34" i="20"/>
  <c r="D37" i="20" s="1"/>
  <c r="D32" i="20"/>
  <c r="D33" i="20"/>
  <c r="S26" i="20"/>
  <c r="S27" i="20" s="1"/>
  <c r="S28" i="20" s="1"/>
  <c r="F29" i="20"/>
  <c r="F35" i="20" s="1"/>
  <c r="S36" i="20"/>
  <c r="S50" i="20" s="1"/>
  <c r="C36" i="20"/>
  <c r="P34" i="20"/>
  <c r="P37" i="20" s="1"/>
  <c r="P29" i="20"/>
  <c r="P35" i="20" s="1"/>
  <c r="M34" i="20"/>
  <c r="M37" i="20" s="1"/>
  <c r="M29" i="20"/>
  <c r="M35" i="20" s="1"/>
  <c r="G26" i="20"/>
  <c r="G27" i="20" s="1"/>
  <c r="G28" i="20" s="1"/>
  <c r="G34" i="20" s="1"/>
  <c r="Q29" i="20"/>
  <c r="Q35" i="20" s="1"/>
  <c r="R37" i="20"/>
  <c r="K34" i="20"/>
  <c r="K29" i="20"/>
  <c r="K35" i="20" s="1"/>
  <c r="J34" i="20"/>
  <c r="J29" i="20"/>
  <c r="J35" i="20" s="1"/>
  <c r="H34" i="20"/>
  <c r="H29" i="20"/>
  <c r="H35" i="20" s="1"/>
  <c r="E28" i="20"/>
  <c r="E33" i="20"/>
  <c r="G36" i="20"/>
  <c r="G50" i="20" s="1"/>
  <c r="Q34" i="20"/>
  <c r="S64" i="15"/>
  <c r="Q64" i="15"/>
  <c r="P59" i="15"/>
  <c r="P63" i="15" s="1"/>
  <c r="P58" i="15"/>
  <c r="P62" i="15" s="1"/>
  <c r="P57" i="15"/>
  <c r="P61" i="15" s="1"/>
  <c r="C32" i="20" l="1"/>
  <c r="C50" i="20"/>
  <c r="B28" i="20"/>
  <c r="B34" i="20" s="1"/>
  <c r="B37" i="20" s="1"/>
  <c r="C27" i="20"/>
  <c r="N29" i="20"/>
  <c r="N35" i="20" s="1"/>
  <c r="N33" i="20"/>
  <c r="N32" i="20"/>
  <c r="S33" i="20"/>
  <c r="S32" i="20"/>
  <c r="S29" i="20"/>
  <c r="S35" i="20" s="1"/>
  <c r="S34" i="20"/>
  <c r="S37" i="20" s="1"/>
  <c r="G32" i="20"/>
  <c r="G33" i="20"/>
  <c r="G29" i="20"/>
  <c r="G35" i="20" s="1"/>
  <c r="Q37" i="20"/>
  <c r="G37" i="20"/>
  <c r="E29" i="20"/>
  <c r="E35" i="20" s="1"/>
  <c r="E34" i="20"/>
  <c r="H37" i="20"/>
  <c r="J37" i="20"/>
  <c r="K37" i="20"/>
  <c r="P64" i="15"/>
  <c r="C28" i="20" l="1"/>
  <c r="B29" i="20"/>
  <c r="B35" i="20" s="1"/>
  <c r="C33" i="20"/>
  <c r="C34" i="20"/>
  <c r="C37" i="20" s="1"/>
  <c r="C29" i="20"/>
  <c r="E37" i="20"/>
  <c r="C35" i="20" l="1"/>
  <c r="G73" i="20"/>
  <c r="B71" i="20"/>
  <c r="K75" i="20"/>
  <c r="F75" i="20"/>
  <c r="G75" i="20"/>
  <c r="S73" i="20"/>
  <c r="E75" i="20"/>
  <c r="K73" i="20"/>
  <c r="L75" i="20"/>
  <c r="S75" i="20"/>
  <c r="R75" i="20"/>
  <c r="Q75" i="20"/>
  <c r="P71" i="20"/>
  <c r="H75" i="20"/>
  <c r="N75" i="20"/>
  <c r="D75" i="20"/>
  <c r="J73" i="20"/>
  <c r="C75" i="20"/>
  <c r="H73" i="20"/>
  <c r="P75" i="20"/>
  <c r="B75" i="20"/>
  <c r="J75" i="20"/>
  <c r="M75" i="20"/>
  <c r="D71" i="20"/>
  <c r="M71" i="20"/>
  <c r="G71" i="20"/>
  <c r="K71" i="20"/>
  <c r="J71" i="20"/>
  <c r="Q71" i="20"/>
  <c r="H71" i="20"/>
  <c r="S71" i="20"/>
  <c r="N71" i="20"/>
  <c r="L71" i="20"/>
  <c r="E71" i="20"/>
  <c r="Q73" i="20"/>
  <c r="R71" i="20"/>
  <c r="C71" i="20"/>
  <c r="F71" i="20"/>
  <c r="E73" i="20"/>
  <c r="C73" i="20"/>
  <c r="B73" i="20"/>
  <c r="F73" i="20"/>
  <c r="L73" i="20"/>
  <c r="M73" i="20"/>
  <c r="P73" i="20"/>
  <c r="D73" i="20"/>
  <c r="N73" i="20"/>
  <c r="R73" i="20"/>
  <c r="G44" i="17" l="1"/>
  <c r="Q176" i="17" l="1"/>
  <c r="E174" i="17"/>
  <c r="Q173" i="17"/>
  <c r="P173" i="17"/>
  <c r="Q172" i="17"/>
  <c r="Q171" i="17"/>
  <c r="D169" i="17"/>
  <c r="C169" i="17"/>
  <c r="Q168" i="17"/>
  <c r="P168" i="17"/>
  <c r="D168" i="17"/>
  <c r="F168" i="17" s="1"/>
  <c r="Q167" i="17"/>
  <c r="Q166" i="17"/>
  <c r="R79" i="17"/>
  <c r="K79" i="17"/>
  <c r="J79" i="17"/>
  <c r="H79" i="17"/>
  <c r="S70" i="17"/>
  <c r="S72" i="17" s="1"/>
  <c r="S74" i="17" s="1"/>
  <c r="R70" i="17"/>
  <c r="R72" i="17" s="1"/>
  <c r="R74" i="17" s="1"/>
  <c r="Q70" i="17"/>
  <c r="Q72" i="17" s="1"/>
  <c r="Q74" i="17" s="1"/>
  <c r="P70" i="17"/>
  <c r="P72" i="17" s="1"/>
  <c r="P74" i="17" s="1"/>
  <c r="N70" i="17"/>
  <c r="N72" i="17" s="1"/>
  <c r="N74" i="17" s="1"/>
  <c r="M70" i="17"/>
  <c r="M72" i="17" s="1"/>
  <c r="M74" i="17" s="1"/>
  <c r="L70" i="17"/>
  <c r="L72" i="17" s="1"/>
  <c r="L74" i="17" s="1"/>
  <c r="K70" i="17"/>
  <c r="K72" i="17" s="1"/>
  <c r="K74" i="17" s="1"/>
  <c r="J70" i="17"/>
  <c r="J72" i="17" s="1"/>
  <c r="J74" i="17" s="1"/>
  <c r="H70" i="17"/>
  <c r="H72" i="17" s="1"/>
  <c r="H74" i="17" s="1"/>
  <c r="G70" i="17"/>
  <c r="G72" i="17" s="1"/>
  <c r="G74" i="17" s="1"/>
  <c r="F70" i="17"/>
  <c r="F72" i="17" s="1"/>
  <c r="F74" i="17" s="1"/>
  <c r="E70" i="17"/>
  <c r="E72" i="17" s="1"/>
  <c r="E74" i="17" s="1"/>
  <c r="D70" i="17"/>
  <c r="D72" i="17" s="1"/>
  <c r="D74" i="17" s="1"/>
  <c r="C70" i="17"/>
  <c r="C72" i="17" s="1"/>
  <c r="C74" i="17" s="1"/>
  <c r="B70" i="17"/>
  <c r="B72" i="17" s="1"/>
  <c r="B74" i="17" s="1"/>
  <c r="G58" i="17"/>
  <c r="G62" i="17" s="1"/>
  <c r="G57" i="17"/>
  <c r="G61" i="17" s="1"/>
  <c r="G56" i="17"/>
  <c r="D55" i="17"/>
  <c r="E11" i="17" s="1"/>
  <c r="E12" i="17" s="1"/>
  <c r="R47" i="17"/>
  <c r="R42" i="17" s="1"/>
  <c r="P47" i="17"/>
  <c r="P40" i="17" s="1"/>
  <c r="M47" i="17"/>
  <c r="M42" i="17" s="1"/>
  <c r="L47" i="17"/>
  <c r="L48" i="17" s="1"/>
  <c r="K47" i="17"/>
  <c r="K48" i="17" s="1"/>
  <c r="J47" i="17"/>
  <c r="J48" i="17" s="1"/>
  <c r="H47" i="17"/>
  <c r="H48" i="17" s="1"/>
  <c r="G47" i="17"/>
  <c r="G48" i="17" s="1"/>
  <c r="F47" i="17"/>
  <c r="F48" i="17" s="1"/>
  <c r="D47" i="17"/>
  <c r="D48" i="17" s="1"/>
  <c r="B47" i="17"/>
  <c r="S46" i="17"/>
  <c r="Q46" i="17"/>
  <c r="C46" i="17"/>
  <c r="S45" i="17"/>
  <c r="Q45" i="17"/>
  <c r="E45" i="17"/>
  <c r="C45" i="17"/>
  <c r="S44" i="17"/>
  <c r="Q44" i="17"/>
  <c r="N44" i="17"/>
  <c r="N47" i="17" s="1"/>
  <c r="E44" i="17"/>
  <c r="C44" i="17"/>
  <c r="Q26" i="17"/>
  <c r="Q27" i="17" s="1"/>
  <c r="K18" i="17"/>
  <c r="S14" i="17"/>
  <c r="R14" i="17"/>
  <c r="Q14" i="17"/>
  <c r="P14" i="17"/>
  <c r="N14" i="17"/>
  <c r="M14" i="17"/>
  <c r="L14" i="17"/>
  <c r="K14" i="17"/>
  <c r="J14" i="17"/>
  <c r="H14" i="17"/>
  <c r="G14" i="17"/>
  <c r="F14" i="17"/>
  <c r="C14" i="17"/>
  <c r="B14" i="17"/>
  <c r="S12" i="17"/>
  <c r="R12" i="17"/>
  <c r="Q12" i="17"/>
  <c r="P12" i="17"/>
  <c r="N12" i="17"/>
  <c r="M12" i="17"/>
  <c r="L12" i="17"/>
  <c r="K12" i="17"/>
  <c r="J12" i="17"/>
  <c r="H12" i="17"/>
  <c r="G12" i="17"/>
  <c r="F12" i="17"/>
  <c r="C12" i="17"/>
  <c r="B12" i="17"/>
  <c r="D12" i="17"/>
  <c r="S10" i="17"/>
  <c r="R10" i="17"/>
  <c r="Q10" i="17"/>
  <c r="P10" i="17"/>
  <c r="M10" i="17"/>
  <c r="L10" i="17"/>
  <c r="K10" i="17"/>
  <c r="J10" i="17"/>
  <c r="H10" i="17"/>
  <c r="F10" i="17"/>
  <c r="C10" i="17"/>
  <c r="B10" i="17"/>
  <c r="G9" i="17"/>
  <c r="G10" i="17" s="1"/>
  <c r="L13" i="4"/>
  <c r="D23" i="17" l="1"/>
  <c r="D18" i="17"/>
  <c r="D15" i="17"/>
  <c r="J13" i="4"/>
  <c r="O13" i="4"/>
  <c r="T13" i="4"/>
  <c r="R13" i="4"/>
  <c r="P13" i="4"/>
  <c r="U13" i="4"/>
  <c r="V13" i="4"/>
  <c r="B13" i="4"/>
  <c r="I13" i="4"/>
  <c r="D13" i="4"/>
  <c r="N13" i="4"/>
  <c r="C13" i="4"/>
  <c r="G13" i="4"/>
  <c r="H13" i="4"/>
  <c r="E13" i="4"/>
  <c r="M13" i="4"/>
  <c r="F13" i="4"/>
  <c r="Q13" i="4"/>
  <c r="B48" i="17"/>
  <c r="B22" i="17" s="1"/>
  <c r="F42" i="17"/>
  <c r="E13" i="17"/>
  <c r="E14" i="17" s="1"/>
  <c r="Q47" i="17"/>
  <c r="Q40" i="17" s="1"/>
  <c r="G42" i="17"/>
  <c r="G40" i="17"/>
  <c r="F41" i="17"/>
  <c r="L40" i="17"/>
  <c r="M40" i="17"/>
  <c r="F169" i="17"/>
  <c r="G169" i="17" s="1"/>
  <c r="F15" i="17"/>
  <c r="F20" i="17"/>
  <c r="E20" i="17"/>
  <c r="P41" i="17"/>
  <c r="R48" i="17"/>
  <c r="R23" i="17" s="1"/>
  <c r="E19" i="17"/>
  <c r="F40" i="17"/>
  <c r="M41" i="17"/>
  <c r="E47" i="17"/>
  <c r="E42" i="17" s="1"/>
  <c r="P48" i="17"/>
  <c r="P21" i="17" s="1"/>
  <c r="D42" i="17"/>
  <c r="N9" i="17"/>
  <c r="N10" i="17" s="1"/>
  <c r="D40" i="17"/>
  <c r="G41" i="17"/>
  <c r="M48" i="17"/>
  <c r="P42" i="17"/>
  <c r="E9" i="17"/>
  <c r="E10" i="17" s="1"/>
  <c r="D41" i="17"/>
  <c r="L21" i="17"/>
  <c r="L23" i="17"/>
  <c r="L15" i="17"/>
  <c r="L22" i="17"/>
  <c r="L18" i="17"/>
  <c r="L20" i="17"/>
  <c r="N48" i="17"/>
  <c r="N21" i="17" s="1"/>
  <c r="N41" i="17"/>
  <c r="N42" i="17"/>
  <c r="N40" i="17"/>
  <c r="K21" i="17"/>
  <c r="K36" i="17" s="1"/>
  <c r="K50" i="17" s="1"/>
  <c r="K23" i="17"/>
  <c r="K22" i="17"/>
  <c r="J21" i="17"/>
  <c r="J23" i="17"/>
  <c r="J22" i="17"/>
  <c r="J18" i="17"/>
  <c r="J20" i="17"/>
  <c r="H23" i="17"/>
  <c r="H22" i="17"/>
  <c r="H18" i="17"/>
  <c r="H20" i="17"/>
  <c r="H21" i="17"/>
  <c r="F21" i="17"/>
  <c r="F23" i="17"/>
  <c r="F22" i="17"/>
  <c r="F18" i="17"/>
  <c r="E15" i="17"/>
  <c r="D13" i="17"/>
  <c r="D14" i="17" s="1"/>
  <c r="D9" i="17"/>
  <c r="D10" i="17" s="1"/>
  <c r="C47" i="17"/>
  <c r="L41" i="17"/>
  <c r="L42" i="17"/>
  <c r="B40" i="17"/>
  <c r="K40" i="17"/>
  <c r="B41" i="17"/>
  <c r="K41" i="17"/>
  <c r="B42" i="17"/>
  <c r="K42" i="17"/>
  <c r="S47" i="17"/>
  <c r="S40" i="17" s="1"/>
  <c r="J40" i="17"/>
  <c r="J41" i="17"/>
  <c r="J42" i="17"/>
  <c r="E18" i="17"/>
  <c r="E26" i="17" s="1"/>
  <c r="H40" i="17"/>
  <c r="R40" i="17"/>
  <c r="H41" i="17"/>
  <c r="R41" i="17"/>
  <c r="H42" i="17"/>
  <c r="D21" i="17"/>
  <c r="G60" i="17"/>
  <c r="G63" i="17" s="1"/>
  <c r="G64" i="17" s="1"/>
  <c r="G15" i="17" s="1"/>
  <c r="D22" i="17"/>
  <c r="D19" i="17"/>
  <c r="G23" i="17"/>
  <c r="G22" i="17"/>
  <c r="G21" i="17"/>
  <c r="G20" i="17"/>
  <c r="G18" i="17"/>
  <c r="K26" i="17"/>
  <c r="M20" i="17" l="1"/>
  <c r="M21" i="17"/>
  <c r="B18" i="17"/>
  <c r="B20" i="17"/>
  <c r="B21" i="17"/>
  <c r="B15" i="17"/>
  <c r="B23" i="17"/>
  <c r="R18" i="17"/>
  <c r="Q42" i="17"/>
  <c r="Q41" i="17"/>
  <c r="Q48" i="17"/>
  <c r="Q22" i="17" s="1"/>
  <c r="Q28" i="17" s="1"/>
  <c r="Q29" i="17" s="1"/>
  <c r="R21" i="17"/>
  <c r="R20" i="17"/>
  <c r="R22" i="17"/>
  <c r="J26" i="17"/>
  <c r="J27" i="17" s="1"/>
  <c r="N20" i="17"/>
  <c r="N18" i="17"/>
  <c r="N15" i="17"/>
  <c r="N23" i="17"/>
  <c r="N22" i="17"/>
  <c r="G26" i="17"/>
  <c r="G27" i="17" s="1"/>
  <c r="G28" i="17" s="1"/>
  <c r="G34" i="17" s="1"/>
  <c r="L26" i="17"/>
  <c r="L32" i="17" s="1"/>
  <c r="E41" i="17"/>
  <c r="P18" i="17"/>
  <c r="L36" i="17"/>
  <c r="L50" i="17" s="1"/>
  <c r="F26" i="17"/>
  <c r="F27" i="17" s="1"/>
  <c r="F28" i="17" s="1"/>
  <c r="D26" i="17"/>
  <c r="D27" i="17" s="1"/>
  <c r="D28" i="17" s="1"/>
  <c r="D29" i="17" s="1"/>
  <c r="D35" i="17" s="1"/>
  <c r="H26" i="17"/>
  <c r="H32" i="17" s="1"/>
  <c r="E48" i="17"/>
  <c r="P23" i="17"/>
  <c r="P15" i="17"/>
  <c r="M23" i="17"/>
  <c r="M18" i="17"/>
  <c r="M26" i="17" s="1"/>
  <c r="M15" i="17"/>
  <c r="M22" i="17"/>
  <c r="S42" i="17"/>
  <c r="E40" i="17"/>
  <c r="P22" i="17"/>
  <c r="P20" i="17"/>
  <c r="E32" i="17"/>
  <c r="H36" i="17"/>
  <c r="H50" i="17" s="1"/>
  <c r="C48" i="17"/>
  <c r="C42" i="17"/>
  <c r="C40" i="17"/>
  <c r="S48" i="17"/>
  <c r="S23" i="17" s="1"/>
  <c r="S41" i="17"/>
  <c r="F36" i="17"/>
  <c r="F50" i="17" s="1"/>
  <c r="J36" i="17"/>
  <c r="J50" i="17" s="1"/>
  <c r="C41" i="17"/>
  <c r="K32" i="17"/>
  <c r="K27" i="17"/>
  <c r="G36" i="17"/>
  <c r="G50" i="17" s="1"/>
  <c r="D36" i="17"/>
  <c r="D50" i="17" s="1"/>
  <c r="B26" i="17" l="1"/>
  <c r="B27" i="17" s="1"/>
  <c r="B36" i="17"/>
  <c r="B50" i="17" s="1"/>
  <c r="R26" i="17"/>
  <c r="R32" i="17" s="1"/>
  <c r="R36" i="17"/>
  <c r="R50" i="17" s="1"/>
  <c r="Q15" i="17"/>
  <c r="Q35" i="17" s="1"/>
  <c r="N36" i="17"/>
  <c r="N50" i="17" s="1"/>
  <c r="J32" i="17"/>
  <c r="N26" i="17"/>
  <c r="N27" i="17" s="1"/>
  <c r="N33" i="17" s="1"/>
  <c r="G32" i="17"/>
  <c r="P26" i="17"/>
  <c r="P27" i="17" s="1"/>
  <c r="L27" i="17"/>
  <c r="L33" i="17" s="1"/>
  <c r="G29" i="17"/>
  <c r="G35" i="17" s="1"/>
  <c r="H27" i="17"/>
  <c r="H28" i="17" s="1"/>
  <c r="F32" i="17"/>
  <c r="D34" i="17"/>
  <c r="D37" i="17" s="1"/>
  <c r="D32" i="17"/>
  <c r="D33" i="17"/>
  <c r="G33" i="17"/>
  <c r="M32" i="17"/>
  <c r="M27" i="17"/>
  <c r="M28" i="17" s="1"/>
  <c r="P36" i="17"/>
  <c r="P50" i="17" s="1"/>
  <c r="F33" i="17"/>
  <c r="E23" i="17"/>
  <c r="E22" i="17"/>
  <c r="E21" i="17"/>
  <c r="M36" i="17"/>
  <c r="M50" i="17" s="1"/>
  <c r="C21" i="17"/>
  <c r="C20" i="17"/>
  <c r="C22" i="17"/>
  <c r="C23" i="17"/>
  <c r="C15" i="17"/>
  <c r="C18" i="17"/>
  <c r="F29" i="17"/>
  <c r="F35" i="17" s="1"/>
  <c r="F34" i="17"/>
  <c r="F37" i="17" s="1"/>
  <c r="S22" i="17"/>
  <c r="S15" i="17"/>
  <c r="G37" i="17"/>
  <c r="J33" i="17"/>
  <c r="J28" i="17"/>
  <c r="K33" i="17"/>
  <c r="K28" i="17"/>
  <c r="B32" i="17" l="1"/>
  <c r="R27" i="17"/>
  <c r="R28" i="17" s="1"/>
  <c r="R29" i="17" s="1"/>
  <c r="R35" i="17" s="1"/>
  <c r="Q34" i="17"/>
  <c r="Q37" i="17" s="1"/>
  <c r="Q33" i="17"/>
  <c r="Q32" i="17"/>
  <c r="Q36" i="17"/>
  <c r="Q50" i="17" s="1"/>
  <c r="N32" i="17"/>
  <c r="N28" i="17"/>
  <c r="N29" i="17" s="1"/>
  <c r="N35" i="17" s="1"/>
  <c r="P32" i="17"/>
  <c r="L28" i="17"/>
  <c r="L34" i="17" s="1"/>
  <c r="L37" i="17" s="1"/>
  <c r="H33" i="17"/>
  <c r="E36" i="17"/>
  <c r="E50" i="17" s="1"/>
  <c r="E27" i="17"/>
  <c r="M33" i="17"/>
  <c r="B28" i="17"/>
  <c r="B33" i="17"/>
  <c r="M34" i="17"/>
  <c r="M37" i="17" s="1"/>
  <c r="M29" i="17"/>
  <c r="M35" i="17" s="1"/>
  <c r="C26" i="17"/>
  <c r="P28" i="17"/>
  <c r="P33" i="17"/>
  <c r="S36" i="17"/>
  <c r="S50" i="17" s="1"/>
  <c r="C36" i="17"/>
  <c r="S26" i="17"/>
  <c r="S27" i="17" s="1"/>
  <c r="S28" i="17" s="1"/>
  <c r="S29" i="17" s="1"/>
  <c r="S35" i="17" s="1"/>
  <c r="K34" i="17"/>
  <c r="K29" i="17"/>
  <c r="K35" i="17" s="1"/>
  <c r="J34" i="17"/>
  <c r="J29" i="17"/>
  <c r="J35" i="17" s="1"/>
  <c r="H34" i="17"/>
  <c r="H29" i="17"/>
  <c r="H35" i="17" s="1"/>
  <c r="R34" i="17" l="1"/>
  <c r="R37" i="17" s="1"/>
  <c r="R33" i="17"/>
  <c r="N34" i="17"/>
  <c r="N37" i="17" s="1"/>
  <c r="L29" i="17"/>
  <c r="L35" i="17" s="1"/>
  <c r="E33" i="17"/>
  <c r="E28" i="17"/>
  <c r="B29" i="17"/>
  <c r="B34" i="17"/>
  <c r="B37" i="17" s="1"/>
  <c r="P29" i="17"/>
  <c r="P35" i="17" s="1"/>
  <c r="P34" i="17"/>
  <c r="P37" i="17" s="1"/>
  <c r="C27" i="17"/>
  <c r="C50" i="17"/>
  <c r="S32" i="17"/>
  <c r="S33" i="17"/>
  <c r="C32" i="17"/>
  <c r="S34" i="17"/>
  <c r="S37" i="17" s="1"/>
  <c r="H37" i="17"/>
  <c r="J37" i="17"/>
  <c r="K37" i="17"/>
  <c r="G59" i="15"/>
  <c r="G63" i="15" s="1"/>
  <c r="G58" i="15"/>
  <c r="G62" i="15" s="1"/>
  <c r="G57" i="15"/>
  <c r="G61" i="15" s="1"/>
  <c r="E29" i="17" l="1"/>
  <c r="E35" i="17" s="1"/>
  <c r="E34" i="17"/>
  <c r="E37" i="17" s="1"/>
  <c r="B35" i="17"/>
  <c r="C28" i="17"/>
  <c r="C33" i="17"/>
  <c r="G64" i="15"/>
  <c r="C29" i="17" l="1"/>
  <c r="C34" i="17"/>
  <c r="R80" i="15"/>
  <c r="K80" i="15"/>
  <c r="J80" i="15"/>
  <c r="C35" i="17" l="1"/>
  <c r="C37" i="17"/>
  <c r="S75" i="17"/>
  <c r="Q75" i="17"/>
  <c r="C75" i="17"/>
  <c r="R75" i="17"/>
  <c r="J75" i="17"/>
  <c r="E75" i="17"/>
  <c r="H75" i="17"/>
  <c r="B75" i="17"/>
  <c r="K75" i="17"/>
  <c r="P75" i="17"/>
  <c r="G75" i="17"/>
  <c r="N75" i="17"/>
  <c r="M75" i="17"/>
  <c r="L75" i="17"/>
  <c r="F75" i="17"/>
  <c r="D75" i="17"/>
  <c r="Q176" i="16"/>
  <c r="E174" i="16"/>
  <c r="Q173" i="16"/>
  <c r="P173" i="16"/>
  <c r="Q172" i="16"/>
  <c r="Q171" i="16"/>
  <c r="D169" i="16"/>
  <c r="C169" i="16"/>
  <c r="Q168" i="16"/>
  <c r="P168" i="16"/>
  <c r="D168" i="16"/>
  <c r="F168" i="16" s="1"/>
  <c r="Q167" i="16"/>
  <c r="Q166" i="16"/>
  <c r="S70" i="16"/>
  <c r="S72" i="16" s="1"/>
  <c r="S74" i="16" s="1"/>
  <c r="R70" i="16"/>
  <c r="R72" i="16" s="1"/>
  <c r="R74" i="16" s="1"/>
  <c r="Q70" i="16"/>
  <c r="Q72" i="16" s="1"/>
  <c r="Q74" i="16" s="1"/>
  <c r="P70" i="16"/>
  <c r="P72" i="16" s="1"/>
  <c r="P74" i="16" s="1"/>
  <c r="N70" i="16"/>
  <c r="N72" i="16" s="1"/>
  <c r="N74" i="16" s="1"/>
  <c r="M70" i="16"/>
  <c r="M72" i="16" s="1"/>
  <c r="M74" i="16" s="1"/>
  <c r="L70" i="16"/>
  <c r="L72" i="16" s="1"/>
  <c r="L74" i="16" s="1"/>
  <c r="K70" i="16"/>
  <c r="K72" i="16" s="1"/>
  <c r="K74" i="16" s="1"/>
  <c r="J70" i="16"/>
  <c r="J72" i="16" s="1"/>
  <c r="J74" i="16" s="1"/>
  <c r="H70" i="16"/>
  <c r="H72" i="16" s="1"/>
  <c r="H74" i="16" s="1"/>
  <c r="G70" i="16"/>
  <c r="G72" i="16" s="1"/>
  <c r="G74" i="16" s="1"/>
  <c r="F70" i="16"/>
  <c r="F72" i="16" s="1"/>
  <c r="F74" i="16" s="1"/>
  <c r="E70" i="16"/>
  <c r="E72" i="16" s="1"/>
  <c r="E74" i="16" s="1"/>
  <c r="D70" i="16"/>
  <c r="D72" i="16" s="1"/>
  <c r="D74" i="16" s="1"/>
  <c r="C70" i="16"/>
  <c r="C72" i="16" s="1"/>
  <c r="C74" i="16" s="1"/>
  <c r="B70" i="16"/>
  <c r="B72" i="16" s="1"/>
  <c r="B74" i="16" s="1"/>
  <c r="G60" i="16"/>
  <c r="G64" i="16" s="1"/>
  <c r="G59" i="16"/>
  <c r="G63" i="16" s="1"/>
  <c r="R47" i="16"/>
  <c r="R48" i="16" s="1"/>
  <c r="P47" i="16"/>
  <c r="P48" i="16" s="1"/>
  <c r="M47" i="16"/>
  <c r="M48" i="16" s="1"/>
  <c r="L47" i="16"/>
  <c r="L48" i="16" s="1"/>
  <c r="K47" i="16"/>
  <c r="K48" i="16" s="1"/>
  <c r="J47" i="16"/>
  <c r="J48" i="16" s="1"/>
  <c r="H47" i="16"/>
  <c r="H48" i="16" s="1"/>
  <c r="F47" i="16"/>
  <c r="F48" i="16" s="1"/>
  <c r="D47" i="16"/>
  <c r="D48" i="16" s="1"/>
  <c r="B47" i="16"/>
  <c r="S46" i="16"/>
  <c r="S47" i="16" s="1"/>
  <c r="Q46" i="16"/>
  <c r="N46" i="16"/>
  <c r="Q45" i="16"/>
  <c r="N45" i="16"/>
  <c r="N11" i="16" s="1"/>
  <c r="N12" i="16" s="1"/>
  <c r="C45" i="16"/>
  <c r="C47" i="16" s="1"/>
  <c r="Q44" i="16"/>
  <c r="N44" i="16"/>
  <c r="G44" i="16"/>
  <c r="G58" i="16" s="1"/>
  <c r="E44" i="16"/>
  <c r="Q26" i="16"/>
  <c r="Q27" i="16" s="1"/>
  <c r="E20" i="16"/>
  <c r="E19" i="16"/>
  <c r="K18" i="16"/>
  <c r="E18" i="16"/>
  <c r="E26" i="16" s="1"/>
  <c r="E15" i="16"/>
  <c r="S14" i="16"/>
  <c r="R14" i="16"/>
  <c r="Q14" i="16"/>
  <c r="P14" i="16"/>
  <c r="M14" i="16"/>
  <c r="L14" i="16"/>
  <c r="K14" i="16"/>
  <c r="J14" i="16"/>
  <c r="H14" i="16"/>
  <c r="G14" i="16"/>
  <c r="F14" i="16"/>
  <c r="C14" i="16"/>
  <c r="B14" i="16"/>
  <c r="E13" i="16"/>
  <c r="E14" i="16" s="1"/>
  <c r="D13" i="16"/>
  <c r="D14" i="16" s="1"/>
  <c r="S12" i="16"/>
  <c r="R12" i="16"/>
  <c r="Q12" i="16"/>
  <c r="P12" i="16"/>
  <c r="M12" i="16"/>
  <c r="L12" i="16"/>
  <c r="K12" i="16"/>
  <c r="J12" i="16"/>
  <c r="H12" i="16"/>
  <c r="G12" i="16"/>
  <c r="F12" i="16"/>
  <c r="D12" i="16"/>
  <c r="C12" i="16"/>
  <c r="B12" i="16"/>
  <c r="E11" i="16"/>
  <c r="E12" i="16" s="1"/>
  <c r="S10" i="16"/>
  <c r="R10" i="16"/>
  <c r="Q10" i="16"/>
  <c r="P10" i="16"/>
  <c r="M10" i="16"/>
  <c r="L10" i="16"/>
  <c r="K10" i="16"/>
  <c r="J10" i="16"/>
  <c r="H10" i="16"/>
  <c r="F10" i="16"/>
  <c r="C10" i="16"/>
  <c r="B10" i="16"/>
  <c r="G9" i="16"/>
  <c r="G10" i="16" s="1"/>
  <c r="E9" i="16"/>
  <c r="E10" i="16" s="1"/>
  <c r="D9" i="16"/>
  <c r="D10" i="16" s="1"/>
  <c r="D10" i="15"/>
  <c r="C47" i="15"/>
  <c r="C48" i="15" s="1"/>
  <c r="C15" i="15" s="1"/>
  <c r="Q177" i="15"/>
  <c r="E175" i="15"/>
  <c r="Q174" i="15"/>
  <c r="P174" i="15"/>
  <c r="Q173" i="15"/>
  <c r="Q172" i="15"/>
  <c r="D170" i="15"/>
  <c r="C170" i="15"/>
  <c r="Q169" i="15"/>
  <c r="P169" i="15"/>
  <c r="D169" i="15"/>
  <c r="F169" i="15" s="1"/>
  <c r="Q168" i="15"/>
  <c r="Q167" i="15"/>
  <c r="S71" i="15"/>
  <c r="S73" i="15" s="1"/>
  <c r="S75" i="15" s="1"/>
  <c r="R71" i="15"/>
  <c r="R73" i="15" s="1"/>
  <c r="R75" i="15" s="1"/>
  <c r="Q71" i="15"/>
  <c r="Q73" i="15" s="1"/>
  <c r="Q75" i="15" s="1"/>
  <c r="P71" i="15"/>
  <c r="P73" i="15" s="1"/>
  <c r="P75" i="15" s="1"/>
  <c r="N71" i="15"/>
  <c r="N73" i="15" s="1"/>
  <c r="N75" i="15" s="1"/>
  <c r="M71" i="15"/>
  <c r="M73" i="15" s="1"/>
  <c r="M75" i="15" s="1"/>
  <c r="L71" i="15"/>
  <c r="L73" i="15" s="1"/>
  <c r="L75" i="15" s="1"/>
  <c r="K71" i="15"/>
  <c r="K73" i="15" s="1"/>
  <c r="K75" i="15" s="1"/>
  <c r="J71" i="15"/>
  <c r="J73" i="15" s="1"/>
  <c r="J75" i="15" s="1"/>
  <c r="H71" i="15"/>
  <c r="H73" i="15" s="1"/>
  <c r="H75" i="15" s="1"/>
  <c r="G71" i="15"/>
  <c r="G73" i="15" s="1"/>
  <c r="G75" i="15" s="1"/>
  <c r="F71" i="15"/>
  <c r="F73" i="15" s="1"/>
  <c r="F75" i="15" s="1"/>
  <c r="E71" i="15"/>
  <c r="E73" i="15" s="1"/>
  <c r="E75" i="15" s="1"/>
  <c r="D71" i="15"/>
  <c r="D73" i="15" s="1"/>
  <c r="D75" i="15" s="1"/>
  <c r="C71" i="15"/>
  <c r="C73" i="15" s="1"/>
  <c r="C75" i="15" s="1"/>
  <c r="B71" i="15"/>
  <c r="B73" i="15" s="1"/>
  <c r="B75" i="15" s="1"/>
  <c r="R47" i="15"/>
  <c r="P47" i="15"/>
  <c r="P48" i="15" s="1"/>
  <c r="P22" i="15" s="1"/>
  <c r="M47" i="15"/>
  <c r="M48" i="15" s="1"/>
  <c r="M21" i="15" s="1"/>
  <c r="L47" i="15"/>
  <c r="K47" i="15"/>
  <c r="K48" i="15" s="1"/>
  <c r="K21" i="15" s="1"/>
  <c r="J47" i="15"/>
  <c r="J48" i="15" s="1"/>
  <c r="H47" i="15"/>
  <c r="H48" i="15" s="1"/>
  <c r="B47" i="15"/>
  <c r="Q26" i="15"/>
  <c r="Q27" i="15" s="1"/>
  <c r="S14" i="15"/>
  <c r="R14" i="15"/>
  <c r="Q14" i="15"/>
  <c r="P14" i="15"/>
  <c r="M14" i="15"/>
  <c r="L14" i="15"/>
  <c r="K14" i="15"/>
  <c r="J14" i="15"/>
  <c r="H14" i="15"/>
  <c r="D14" i="15"/>
  <c r="C14" i="15"/>
  <c r="B14" i="15"/>
  <c r="S12" i="15"/>
  <c r="R12" i="15"/>
  <c r="Q12" i="15"/>
  <c r="P12" i="15"/>
  <c r="M12" i="15"/>
  <c r="L12" i="15"/>
  <c r="K12" i="15"/>
  <c r="J12" i="15"/>
  <c r="H12" i="15"/>
  <c r="D12" i="15"/>
  <c r="C12" i="15"/>
  <c r="B12" i="15"/>
  <c r="S10" i="15"/>
  <c r="R10" i="15"/>
  <c r="Q10" i="15"/>
  <c r="P10" i="15"/>
  <c r="M10" i="15"/>
  <c r="L10" i="15"/>
  <c r="K10" i="15"/>
  <c r="J10" i="15"/>
  <c r="H10" i="15"/>
  <c r="C10" i="15"/>
  <c r="B10" i="15"/>
  <c r="L11" i="4"/>
  <c r="L15" i="4" s="1"/>
  <c r="L3" i="14" s="1"/>
  <c r="L6" i="14" s="1"/>
  <c r="L21" i="14" s="1"/>
  <c r="C20" i="14"/>
  <c r="D20" i="14"/>
  <c r="E20" i="14"/>
  <c r="G20" i="14"/>
  <c r="H20" i="14"/>
  <c r="I20" i="14"/>
  <c r="K20" i="14"/>
  <c r="M20" i="14"/>
  <c r="N20" i="14"/>
  <c r="P20" i="14"/>
  <c r="Q20" i="14"/>
  <c r="S20" i="14"/>
  <c r="T20" i="14"/>
  <c r="U20" i="14"/>
  <c r="V20" i="14"/>
  <c r="A65" i="11"/>
  <c r="S70" i="12"/>
  <c r="S72" i="12" s="1"/>
  <c r="S74" i="12" s="1"/>
  <c r="R70" i="12"/>
  <c r="R72" i="12" s="1"/>
  <c r="R74" i="12" s="1"/>
  <c r="Q70" i="12"/>
  <c r="Q72" i="12" s="1"/>
  <c r="Q74" i="12" s="1"/>
  <c r="P70" i="12"/>
  <c r="P72" i="12" s="1"/>
  <c r="P74" i="12" s="1"/>
  <c r="N70" i="12"/>
  <c r="N72" i="12" s="1"/>
  <c r="N74" i="12" s="1"/>
  <c r="M70" i="12"/>
  <c r="M72" i="12" s="1"/>
  <c r="M74" i="12" s="1"/>
  <c r="L70" i="12"/>
  <c r="L72" i="12" s="1"/>
  <c r="L74" i="12" s="1"/>
  <c r="K70" i="12"/>
  <c r="K72" i="12" s="1"/>
  <c r="K74" i="12" s="1"/>
  <c r="J70" i="12"/>
  <c r="J72" i="12" s="1"/>
  <c r="J74" i="12" s="1"/>
  <c r="H70" i="12"/>
  <c r="H72" i="12" s="1"/>
  <c r="H74" i="12" s="1"/>
  <c r="G70" i="12"/>
  <c r="G72" i="12" s="1"/>
  <c r="G74" i="12" s="1"/>
  <c r="F70" i="12"/>
  <c r="F72" i="12" s="1"/>
  <c r="F74" i="12" s="1"/>
  <c r="E70" i="12"/>
  <c r="E72" i="12" s="1"/>
  <c r="E74" i="12" s="1"/>
  <c r="D70" i="12"/>
  <c r="D72" i="12" s="1"/>
  <c r="D74" i="12" s="1"/>
  <c r="C70" i="12"/>
  <c r="C72" i="12" s="1"/>
  <c r="C74" i="12" s="1"/>
  <c r="B70" i="12"/>
  <c r="B72" i="12" s="1"/>
  <c r="B74" i="12" s="1"/>
  <c r="A40" i="11"/>
  <c r="A15" i="11"/>
  <c r="K18" i="12"/>
  <c r="G44" i="12"/>
  <c r="G58" i="12" s="1"/>
  <c r="G9" i="12"/>
  <c r="G59" i="12"/>
  <c r="G63" i="12" s="1"/>
  <c r="G60" i="12"/>
  <c r="G64" i="12" s="1"/>
  <c r="E15" i="12"/>
  <c r="E19" i="12"/>
  <c r="E46" i="12"/>
  <c r="E45" i="12"/>
  <c r="E44" i="12"/>
  <c r="E20" i="12"/>
  <c r="E18" i="12"/>
  <c r="E26" i="12" s="1"/>
  <c r="E13" i="12"/>
  <c r="E14" i="12" s="1"/>
  <c r="E11" i="12"/>
  <c r="E12" i="12" s="1"/>
  <c r="E9" i="12"/>
  <c r="E10" i="12" s="1"/>
  <c r="D13" i="12"/>
  <c r="D14" i="12" s="1"/>
  <c r="D44" i="12"/>
  <c r="Q12" i="12"/>
  <c r="Q44" i="12"/>
  <c r="Q46" i="12"/>
  <c r="Q45" i="12"/>
  <c r="N44" i="12"/>
  <c r="N45" i="12"/>
  <c r="N46" i="12"/>
  <c r="N13" i="12" s="1"/>
  <c r="N14" i="12" s="1"/>
  <c r="S46" i="12"/>
  <c r="C45" i="12"/>
  <c r="Q176" i="12"/>
  <c r="E174" i="12"/>
  <c r="Q173" i="12"/>
  <c r="P173" i="12"/>
  <c r="Q172" i="12"/>
  <c r="Q171" i="12"/>
  <c r="D169" i="12"/>
  <c r="C169" i="12"/>
  <c r="Q168" i="12"/>
  <c r="P168" i="12"/>
  <c r="D168" i="12"/>
  <c r="F168" i="12" s="1"/>
  <c r="Q167" i="12"/>
  <c r="Q166" i="12"/>
  <c r="R47" i="12"/>
  <c r="R41" i="12" s="1"/>
  <c r="P47" i="12"/>
  <c r="P48" i="12" s="1"/>
  <c r="M47" i="12"/>
  <c r="M48" i="12" s="1"/>
  <c r="L47" i="12"/>
  <c r="L42" i="12" s="1"/>
  <c r="K47" i="12"/>
  <c r="K42" i="12" s="1"/>
  <c r="J47" i="12"/>
  <c r="J42" i="12" s="1"/>
  <c r="H47" i="12"/>
  <c r="H48" i="12" s="1"/>
  <c r="H23" i="12" s="1"/>
  <c r="F47" i="12"/>
  <c r="F48" i="12" s="1"/>
  <c r="F21" i="12" s="1"/>
  <c r="B47" i="12"/>
  <c r="Q26" i="12"/>
  <c r="Q27" i="12" s="1"/>
  <c r="S14" i="12"/>
  <c r="R14" i="12"/>
  <c r="Q14" i="12"/>
  <c r="P14" i="12"/>
  <c r="M14" i="12"/>
  <c r="L14" i="12"/>
  <c r="K14" i="12"/>
  <c r="J14" i="12"/>
  <c r="H14" i="12"/>
  <c r="G14" i="12"/>
  <c r="F14" i="12"/>
  <c r="C14" i="12"/>
  <c r="B14" i="12"/>
  <c r="S12" i="12"/>
  <c r="R12" i="12"/>
  <c r="P12" i="12"/>
  <c r="M12" i="12"/>
  <c r="L12" i="12"/>
  <c r="K12" i="12"/>
  <c r="J12" i="12"/>
  <c r="H12" i="12"/>
  <c r="G12" i="12"/>
  <c r="F12" i="12"/>
  <c r="D12" i="12"/>
  <c r="C12" i="12"/>
  <c r="B12" i="12"/>
  <c r="S10" i="12"/>
  <c r="R10" i="12"/>
  <c r="Q10" i="12"/>
  <c r="P10" i="12"/>
  <c r="M10" i="12"/>
  <c r="L10" i="12"/>
  <c r="K10" i="12"/>
  <c r="J10" i="12"/>
  <c r="H10" i="12"/>
  <c r="F10" i="12"/>
  <c r="C10" i="12"/>
  <c r="B10" i="12"/>
  <c r="L35" i="4" l="1"/>
  <c r="M11" i="11" s="1"/>
  <c r="L34" i="4"/>
  <c r="L36" i="4"/>
  <c r="L33" i="4"/>
  <c r="L37" i="4"/>
  <c r="L51" i="4" s="1"/>
  <c r="L53" i="4" s="1"/>
  <c r="L8" i="14" s="1"/>
  <c r="F256" i="11" s="1"/>
  <c r="H256" i="11" s="1"/>
  <c r="M22" i="12"/>
  <c r="M21" i="12"/>
  <c r="J109" i="32"/>
  <c r="H91" i="29"/>
  <c r="H84" i="28"/>
  <c r="M20" i="16"/>
  <c r="O109" i="32"/>
  <c r="P109" i="32"/>
  <c r="M21" i="16"/>
  <c r="M91" i="29"/>
  <c r="M84" i="28"/>
  <c r="E80" i="27"/>
  <c r="F107" i="32"/>
  <c r="E89" i="29"/>
  <c r="E82" i="28"/>
  <c r="J82" i="27"/>
  <c r="L109" i="32"/>
  <c r="J91" i="29"/>
  <c r="J84" i="28"/>
  <c r="T109" i="32"/>
  <c r="P91" i="29"/>
  <c r="P84" i="28"/>
  <c r="E109" i="32"/>
  <c r="D91" i="29"/>
  <c r="D84" i="28"/>
  <c r="M109" i="32"/>
  <c r="K91" i="29"/>
  <c r="K84" i="28"/>
  <c r="R82" i="27"/>
  <c r="V109" i="32"/>
  <c r="R91" i="29"/>
  <c r="R84" i="28"/>
  <c r="G109" i="32"/>
  <c r="H109" i="32"/>
  <c r="F91" i="29"/>
  <c r="F84" i="28"/>
  <c r="L82" i="27"/>
  <c r="N109" i="32"/>
  <c r="L91" i="29"/>
  <c r="L84" i="28"/>
  <c r="V11" i="4"/>
  <c r="V15" i="4" s="1"/>
  <c r="F11" i="4"/>
  <c r="F15" i="4" s="1"/>
  <c r="G11" i="4"/>
  <c r="G15" i="4" s="1"/>
  <c r="H11" i="4"/>
  <c r="H15" i="4" s="1"/>
  <c r="I11" i="4"/>
  <c r="I15" i="4" s="1"/>
  <c r="J11" i="4"/>
  <c r="J15" i="4" s="1"/>
  <c r="O11" i="4"/>
  <c r="O15" i="4" s="1"/>
  <c r="B11" i="4"/>
  <c r="B15" i="4" s="1"/>
  <c r="U11" i="4"/>
  <c r="U15" i="4" s="1"/>
  <c r="C11" i="4"/>
  <c r="C15" i="4" s="1"/>
  <c r="P11" i="4"/>
  <c r="P15" i="4" s="1"/>
  <c r="E11" i="4"/>
  <c r="E15" i="4" s="1"/>
  <c r="D11" i="4"/>
  <c r="D15" i="4" s="1"/>
  <c r="Q11" i="4"/>
  <c r="Q15" i="4" s="1"/>
  <c r="M11" i="4"/>
  <c r="M15" i="4" s="1"/>
  <c r="T11" i="4"/>
  <c r="T15" i="4" s="1"/>
  <c r="N11" i="4"/>
  <c r="N15" i="4" s="1"/>
  <c r="R11" i="4"/>
  <c r="R15" i="4" s="1"/>
  <c r="A66" i="11"/>
  <c r="A16" i="11"/>
  <c r="B42" i="12"/>
  <c r="D47" i="12"/>
  <c r="D42" i="12" s="1"/>
  <c r="C47" i="12"/>
  <c r="C42" i="12" s="1"/>
  <c r="B48" i="16"/>
  <c r="B48" i="15"/>
  <c r="B20" i="15" s="1"/>
  <c r="E47" i="16"/>
  <c r="E40" i="16" s="1"/>
  <c r="N13" i="16"/>
  <c r="N14" i="16" s="1"/>
  <c r="N11" i="12"/>
  <c r="N12" i="12" s="1"/>
  <c r="A41" i="11"/>
  <c r="J20" i="16"/>
  <c r="J40" i="16"/>
  <c r="J41" i="16"/>
  <c r="J18" i="16"/>
  <c r="J42" i="16"/>
  <c r="L40" i="16"/>
  <c r="K40" i="16"/>
  <c r="Q47" i="16"/>
  <c r="Q40" i="16" s="1"/>
  <c r="L15" i="16"/>
  <c r="J23" i="16"/>
  <c r="L20" i="16"/>
  <c r="K41" i="16"/>
  <c r="E32" i="16"/>
  <c r="M15" i="16"/>
  <c r="L41" i="16"/>
  <c r="L23" i="16"/>
  <c r="M41" i="16"/>
  <c r="L18" i="16"/>
  <c r="P41" i="16"/>
  <c r="H18" i="16"/>
  <c r="H82" i="27"/>
  <c r="D19" i="16"/>
  <c r="D82" i="27"/>
  <c r="P20" i="16"/>
  <c r="P82" i="27"/>
  <c r="H40" i="16"/>
  <c r="M18" i="16"/>
  <c r="M26" i="16" s="1"/>
  <c r="M82" i="27"/>
  <c r="H41" i="16"/>
  <c r="F18" i="16"/>
  <c r="F82" i="27"/>
  <c r="K23" i="16"/>
  <c r="K82" i="27"/>
  <c r="P40" i="16"/>
  <c r="M42" i="16"/>
  <c r="L21" i="16"/>
  <c r="M40" i="16"/>
  <c r="B40" i="16"/>
  <c r="R40" i="16"/>
  <c r="P22" i="16"/>
  <c r="D40" i="16"/>
  <c r="B41" i="16"/>
  <c r="K42" i="16"/>
  <c r="D15" i="16"/>
  <c r="H20" i="16"/>
  <c r="H22" i="16"/>
  <c r="D22" i="16"/>
  <c r="P23" i="16"/>
  <c r="F40" i="16"/>
  <c r="H42" i="16"/>
  <c r="P18" i="16"/>
  <c r="L42" i="16"/>
  <c r="F82" i="22"/>
  <c r="F21" i="16"/>
  <c r="F81" i="20"/>
  <c r="F81" i="17"/>
  <c r="F22" i="16"/>
  <c r="H82" i="22"/>
  <c r="H81" i="20"/>
  <c r="H81" i="17"/>
  <c r="C71" i="17"/>
  <c r="M71" i="17"/>
  <c r="E71" i="17"/>
  <c r="R71" i="17"/>
  <c r="S71" i="17"/>
  <c r="B71" i="17"/>
  <c r="N71" i="17"/>
  <c r="D71" i="17"/>
  <c r="L71" i="17"/>
  <c r="J71" i="17"/>
  <c r="G71" i="17"/>
  <c r="K71" i="17"/>
  <c r="H71" i="17"/>
  <c r="F71" i="17"/>
  <c r="P71" i="17"/>
  <c r="Q71" i="17"/>
  <c r="F15" i="16"/>
  <c r="D41" i="16"/>
  <c r="R41" i="16"/>
  <c r="D21" i="16"/>
  <c r="D82" i="22"/>
  <c r="D81" i="20"/>
  <c r="D81" i="17"/>
  <c r="R82" i="22"/>
  <c r="R81" i="20"/>
  <c r="R18" i="16"/>
  <c r="R81" i="17"/>
  <c r="M73" i="17"/>
  <c r="K73" i="17"/>
  <c r="N73" i="17"/>
  <c r="R73" i="17"/>
  <c r="L73" i="17"/>
  <c r="C73" i="17"/>
  <c r="F73" i="17"/>
  <c r="B73" i="17"/>
  <c r="S73" i="17"/>
  <c r="D73" i="17"/>
  <c r="E73" i="17"/>
  <c r="H73" i="17"/>
  <c r="J73" i="17"/>
  <c r="Q73" i="17"/>
  <c r="G73" i="17"/>
  <c r="P73" i="17"/>
  <c r="P82" i="22"/>
  <c r="P81" i="20"/>
  <c r="P81" i="17"/>
  <c r="P21" i="16"/>
  <c r="D18" i="16"/>
  <c r="R21" i="16"/>
  <c r="H23" i="16"/>
  <c r="N47" i="16"/>
  <c r="N40" i="16" s="1"/>
  <c r="E80" i="22"/>
  <c r="E79" i="20"/>
  <c r="E79" i="17"/>
  <c r="E80" i="15"/>
  <c r="M82" i="22"/>
  <c r="M81" i="20"/>
  <c r="M81" i="17"/>
  <c r="M22" i="16"/>
  <c r="F23" i="16"/>
  <c r="P20" i="12"/>
  <c r="P22" i="12"/>
  <c r="L82" i="22"/>
  <c r="L81" i="20"/>
  <c r="L81" i="17"/>
  <c r="L22" i="16"/>
  <c r="P15" i="16"/>
  <c r="F20" i="16"/>
  <c r="H21" i="16"/>
  <c r="D23" i="16"/>
  <c r="R23" i="16"/>
  <c r="F42" i="16"/>
  <c r="K82" i="22"/>
  <c r="K21" i="16"/>
  <c r="K36" i="16" s="1"/>
  <c r="K50" i="16" s="1"/>
  <c r="K81" i="20"/>
  <c r="K81" i="17"/>
  <c r="K22" i="16"/>
  <c r="D42" i="16"/>
  <c r="R42" i="16"/>
  <c r="J82" i="22"/>
  <c r="J22" i="16"/>
  <c r="J21" i="16"/>
  <c r="J81" i="20"/>
  <c r="J81" i="17"/>
  <c r="N9" i="16"/>
  <c r="N10" i="16" s="1"/>
  <c r="R20" i="16"/>
  <c r="R22" i="16"/>
  <c r="M23" i="16"/>
  <c r="F41" i="16"/>
  <c r="B42" i="16"/>
  <c r="P42" i="16"/>
  <c r="J18" i="15"/>
  <c r="J21" i="15"/>
  <c r="J23" i="15"/>
  <c r="J20" i="15"/>
  <c r="J22" i="15"/>
  <c r="K36" i="15"/>
  <c r="K50" i="15" s="1"/>
  <c r="K52" i="15" s="1"/>
  <c r="K22" i="15"/>
  <c r="K23" i="15"/>
  <c r="C18" i="15"/>
  <c r="C21" i="15"/>
  <c r="C22" i="15"/>
  <c r="C20" i="15"/>
  <c r="C23" i="15"/>
  <c r="M18" i="15"/>
  <c r="M20" i="15"/>
  <c r="M23" i="15"/>
  <c r="M22" i="15"/>
  <c r="M65" i="15"/>
  <c r="M15" i="15" s="1"/>
  <c r="H22" i="15"/>
  <c r="H15" i="15"/>
  <c r="H80" i="15" s="1"/>
  <c r="H20" i="15"/>
  <c r="R48" i="15"/>
  <c r="L48" i="15"/>
  <c r="P65" i="15"/>
  <c r="P15" i="15" s="1"/>
  <c r="F82" i="15"/>
  <c r="D82" i="15"/>
  <c r="H42" i="15"/>
  <c r="H82" i="15"/>
  <c r="R42" i="15"/>
  <c r="P82" i="15"/>
  <c r="M82" i="15"/>
  <c r="K82" i="15"/>
  <c r="F15" i="12"/>
  <c r="N10" i="15"/>
  <c r="N14" i="15"/>
  <c r="N47" i="12"/>
  <c r="N48" i="12" s="1"/>
  <c r="N18" i="12" s="1"/>
  <c r="N9" i="12"/>
  <c r="N10" i="12" s="1"/>
  <c r="Q47" i="12"/>
  <c r="Q48" i="12" s="1"/>
  <c r="Q15" i="12" s="1"/>
  <c r="E32" i="12"/>
  <c r="E47" i="12"/>
  <c r="E48" i="12" s="1"/>
  <c r="E21" i="12" s="1"/>
  <c r="F169" i="16"/>
  <c r="G169" i="16" s="1"/>
  <c r="C48" i="16"/>
  <c r="C42" i="16"/>
  <c r="C41" i="16"/>
  <c r="C40" i="16"/>
  <c r="S48" i="16"/>
  <c r="S42" i="16"/>
  <c r="S41" i="16"/>
  <c r="S40" i="16"/>
  <c r="K26" i="16"/>
  <c r="G62" i="16"/>
  <c r="G47" i="16"/>
  <c r="M15" i="12"/>
  <c r="F169" i="12"/>
  <c r="G169" i="12" s="1"/>
  <c r="G47" i="12"/>
  <c r="G48" i="12" s="1"/>
  <c r="G62" i="12"/>
  <c r="R42" i="12"/>
  <c r="M23" i="12"/>
  <c r="F23" i="12"/>
  <c r="M20" i="12"/>
  <c r="D9" i="12"/>
  <c r="D10" i="12" s="1"/>
  <c r="G10" i="12"/>
  <c r="R48" i="12"/>
  <c r="R18" i="12" s="1"/>
  <c r="F22" i="12"/>
  <c r="M18" i="12"/>
  <c r="F20" i="12"/>
  <c r="F18" i="12"/>
  <c r="L41" i="15"/>
  <c r="N12" i="15"/>
  <c r="L42" i="15"/>
  <c r="L40" i="15"/>
  <c r="S47" i="15"/>
  <c r="S48" i="15" s="1"/>
  <c r="S23" i="15" s="1"/>
  <c r="N47" i="15"/>
  <c r="N48" i="15" s="1"/>
  <c r="F170" i="15"/>
  <c r="G170" i="15" s="1"/>
  <c r="P18" i="12"/>
  <c r="P40" i="12"/>
  <c r="P15" i="12"/>
  <c r="P23" i="12"/>
  <c r="P21" i="12"/>
  <c r="P42" i="15"/>
  <c r="P41" i="15"/>
  <c r="P40" i="15"/>
  <c r="K40" i="15"/>
  <c r="K42" i="15"/>
  <c r="K41" i="15"/>
  <c r="M40" i="15"/>
  <c r="M41" i="15"/>
  <c r="B41" i="15"/>
  <c r="B42" i="15"/>
  <c r="B40" i="15"/>
  <c r="M42" i="15"/>
  <c r="C40" i="15"/>
  <c r="C42" i="15"/>
  <c r="C41" i="15"/>
  <c r="Q47" i="15"/>
  <c r="Q48" i="15" s="1"/>
  <c r="Q22" i="15" s="1"/>
  <c r="K26" i="15"/>
  <c r="J40" i="15"/>
  <c r="J41" i="15"/>
  <c r="J42" i="15"/>
  <c r="H40" i="15"/>
  <c r="R40" i="15"/>
  <c r="H41" i="15"/>
  <c r="R41" i="15"/>
  <c r="H18" i="12"/>
  <c r="H20" i="12"/>
  <c r="H21" i="12"/>
  <c r="H22" i="12"/>
  <c r="K48" i="12"/>
  <c r="K21" i="12" s="1"/>
  <c r="M41" i="12"/>
  <c r="M40" i="12"/>
  <c r="L48" i="12"/>
  <c r="L22" i="12" s="1"/>
  <c r="J48" i="12"/>
  <c r="H40" i="12"/>
  <c r="H42" i="12"/>
  <c r="B48" i="12"/>
  <c r="B22" i="12" s="1"/>
  <c r="P41" i="12"/>
  <c r="P42" i="12"/>
  <c r="F40" i="12"/>
  <c r="H41" i="12"/>
  <c r="M42" i="12"/>
  <c r="F41" i="12"/>
  <c r="F42" i="12"/>
  <c r="R40" i="12"/>
  <c r="S47" i="12"/>
  <c r="S48" i="12" s="1"/>
  <c r="S23" i="12" s="1"/>
  <c r="L40" i="12"/>
  <c r="L41" i="12"/>
  <c r="K26" i="12"/>
  <c r="B40" i="12"/>
  <c r="K40" i="12"/>
  <c r="B41" i="12"/>
  <c r="K41" i="12"/>
  <c r="J40" i="12"/>
  <c r="J41" i="12"/>
  <c r="L38" i="4" l="1"/>
  <c r="L9" i="14" s="1"/>
  <c r="W109" i="32"/>
  <c r="S91" i="29"/>
  <c r="S84" i="28"/>
  <c r="C82" i="27"/>
  <c r="D109" i="32"/>
  <c r="C109" i="32"/>
  <c r="C91" i="29"/>
  <c r="C84" i="28"/>
  <c r="F80" i="27"/>
  <c r="G107" i="32"/>
  <c r="H107" i="32"/>
  <c r="F89" i="29"/>
  <c r="F82" i="28"/>
  <c r="L80" i="27"/>
  <c r="N107" i="32"/>
  <c r="L89" i="29"/>
  <c r="L82" i="28"/>
  <c r="M80" i="27"/>
  <c r="P107" i="32"/>
  <c r="O107" i="32"/>
  <c r="M89" i="29"/>
  <c r="M82" i="28"/>
  <c r="D79" i="17"/>
  <c r="E107" i="32"/>
  <c r="D89" i="29"/>
  <c r="D82" i="28"/>
  <c r="P80" i="27"/>
  <c r="T107" i="32"/>
  <c r="P89" i="29"/>
  <c r="P82" i="28"/>
  <c r="B23" i="16"/>
  <c r="B109" i="32"/>
  <c r="B91" i="29"/>
  <c r="B84" i="28"/>
  <c r="V33" i="4"/>
  <c r="V36" i="4"/>
  <c r="V37" i="4"/>
  <c r="V51" i="4" s="1"/>
  <c r="V53" i="4" s="1"/>
  <c r="V35" i="4"/>
  <c r="W11" i="11" s="1"/>
  <c r="V34" i="4"/>
  <c r="F35" i="4"/>
  <c r="G11" i="11" s="1"/>
  <c r="F33" i="4"/>
  <c r="F36" i="4"/>
  <c r="F37" i="4"/>
  <c r="F51" i="4" s="1"/>
  <c r="F53" i="4" s="1"/>
  <c r="F8" i="14" s="1"/>
  <c r="F250" i="11" s="1"/>
  <c r="F34" i="4"/>
  <c r="N37" i="4"/>
  <c r="N51" i="4" s="1"/>
  <c r="N53" i="4" s="1"/>
  <c r="N33" i="4"/>
  <c r="N36" i="4"/>
  <c r="N35" i="4"/>
  <c r="O11" i="11" s="1"/>
  <c r="N34" i="4"/>
  <c r="B35" i="4"/>
  <c r="C11" i="11" s="1"/>
  <c r="B37" i="4"/>
  <c r="B51" i="4" s="1"/>
  <c r="B53" i="4" s="1"/>
  <c r="B8" i="14" s="1"/>
  <c r="F246" i="11" s="1"/>
  <c r="H246" i="11" s="1"/>
  <c r="B33" i="4"/>
  <c r="B34" i="4"/>
  <c r="B36" i="4"/>
  <c r="R34" i="4"/>
  <c r="R33" i="4"/>
  <c r="R36" i="4"/>
  <c r="R37" i="4"/>
  <c r="R51" i="4" s="1"/>
  <c r="R53" i="4" s="1"/>
  <c r="R8" i="14" s="1"/>
  <c r="F262" i="11" s="1"/>
  <c r="R35" i="4"/>
  <c r="S11" i="11" s="1"/>
  <c r="M35" i="4"/>
  <c r="N11" i="11" s="1"/>
  <c r="M33" i="4"/>
  <c r="M37" i="4"/>
  <c r="M51" i="4" s="1"/>
  <c r="M53" i="4" s="1"/>
  <c r="M34" i="4"/>
  <c r="M36" i="4"/>
  <c r="G37" i="4"/>
  <c r="G51" i="4" s="1"/>
  <c r="G53" i="4" s="1"/>
  <c r="G35" i="4"/>
  <c r="H11" i="11" s="1"/>
  <c r="G33" i="4"/>
  <c r="G36" i="4"/>
  <c r="G34" i="4"/>
  <c r="I36" i="4"/>
  <c r="I34" i="4"/>
  <c r="I33" i="4"/>
  <c r="I37" i="4"/>
  <c r="I51" i="4" s="1"/>
  <c r="I53" i="4" s="1"/>
  <c r="I35" i="4"/>
  <c r="J11" i="11" s="1"/>
  <c r="O35" i="4"/>
  <c r="P11" i="11" s="1"/>
  <c r="O34" i="4"/>
  <c r="O37" i="4"/>
  <c r="O51" i="4" s="1"/>
  <c r="O53" i="4" s="1"/>
  <c r="O8" i="14" s="1"/>
  <c r="F259" i="11" s="1"/>
  <c r="H259" i="11" s="1"/>
  <c r="O36" i="4"/>
  <c r="O33" i="4"/>
  <c r="E36" i="4"/>
  <c r="E35" i="4"/>
  <c r="F11" i="11" s="1"/>
  <c r="E34" i="4"/>
  <c r="E37" i="4"/>
  <c r="E51" i="4" s="1"/>
  <c r="E53" i="4" s="1"/>
  <c r="E33" i="4"/>
  <c r="D36" i="4"/>
  <c r="D37" i="4"/>
  <c r="D51" i="4" s="1"/>
  <c r="D53" i="4" s="1"/>
  <c r="D33" i="4"/>
  <c r="D34" i="4"/>
  <c r="D35" i="4"/>
  <c r="E11" i="11" s="1"/>
  <c r="T36" i="4"/>
  <c r="T35" i="4"/>
  <c r="U11" i="11" s="1"/>
  <c r="T33" i="4"/>
  <c r="T34" i="4"/>
  <c r="T37" i="4"/>
  <c r="T51" i="4" s="1"/>
  <c r="T53" i="4" s="1"/>
  <c r="H33" i="4"/>
  <c r="H36" i="4"/>
  <c r="H35" i="4"/>
  <c r="I11" i="11" s="1"/>
  <c r="H34" i="4"/>
  <c r="H37" i="4"/>
  <c r="H51" i="4" s="1"/>
  <c r="H53" i="4" s="1"/>
  <c r="J33" i="4"/>
  <c r="J36" i="4"/>
  <c r="J35" i="4"/>
  <c r="K11" i="11" s="1"/>
  <c r="J34" i="4"/>
  <c r="J37" i="4"/>
  <c r="J51" i="4" s="1"/>
  <c r="J53" i="4" s="1"/>
  <c r="J8" i="14" s="1"/>
  <c r="F254" i="11" s="1"/>
  <c r="H254" i="11" s="1"/>
  <c r="U36" i="4"/>
  <c r="U33" i="4"/>
  <c r="U35" i="4"/>
  <c r="V11" i="11" s="1"/>
  <c r="U37" i="4"/>
  <c r="U51" i="4" s="1"/>
  <c r="U53" i="4" s="1"/>
  <c r="U34" i="4"/>
  <c r="C34" i="4"/>
  <c r="C35" i="4"/>
  <c r="D11" i="11" s="1"/>
  <c r="C33" i="4"/>
  <c r="C36" i="4"/>
  <c r="C37" i="4"/>
  <c r="C51" i="4" s="1"/>
  <c r="C53" i="4" s="1"/>
  <c r="Q36" i="4"/>
  <c r="Q37" i="4"/>
  <c r="Q51" i="4" s="1"/>
  <c r="Q53" i="4" s="1"/>
  <c r="Q34" i="4"/>
  <c r="Q33" i="4"/>
  <c r="Q35" i="4"/>
  <c r="R11" i="11" s="1"/>
  <c r="F3" i="14"/>
  <c r="F6" i="14" s="1"/>
  <c r="F21" i="14" s="1"/>
  <c r="R3" i="14"/>
  <c r="R6" i="14" s="1"/>
  <c r="R21" i="14" s="1"/>
  <c r="O3" i="14"/>
  <c r="O6" i="14" s="1"/>
  <c r="O21" i="14" s="1"/>
  <c r="B3" i="14"/>
  <c r="B6" i="14" s="1"/>
  <c r="B21" i="14" s="1"/>
  <c r="B18" i="15"/>
  <c r="D41" i="12"/>
  <c r="E48" i="16"/>
  <c r="E42" i="16"/>
  <c r="D40" i="12"/>
  <c r="B23" i="15"/>
  <c r="D48" i="12"/>
  <c r="D21" i="12" s="1"/>
  <c r="E41" i="16"/>
  <c r="B22" i="15"/>
  <c r="B15" i="15"/>
  <c r="B21" i="15"/>
  <c r="B81" i="20"/>
  <c r="B20" i="16"/>
  <c r="B81" i="17"/>
  <c r="B15" i="16"/>
  <c r="B22" i="16"/>
  <c r="B18" i="16"/>
  <c r="B82" i="22"/>
  <c r="B21" i="16"/>
  <c r="C48" i="12"/>
  <c r="C22" i="12" s="1"/>
  <c r="C40" i="12"/>
  <c r="C41" i="12"/>
  <c r="B82" i="27"/>
  <c r="A17" i="11"/>
  <c r="A67" i="11"/>
  <c r="A42" i="11"/>
  <c r="S82" i="27"/>
  <c r="S23" i="16"/>
  <c r="Q42" i="16"/>
  <c r="L79" i="20"/>
  <c r="Q48" i="16"/>
  <c r="J26" i="16"/>
  <c r="J27" i="16" s="1"/>
  <c r="L80" i="22"/>
  <c r="J36" i="16"/>
  <c r="J50" i="16" s="1"/>
  <c r="L79" i="17"/>
  <c r="Q41" i="16"/>
  <c r="F26" i="16"/>
  <c r="F32" i="16" s="1"/>
  <c r="P26" i="16"/>
  <c r="P27" i="16" s="1"/>
  <c r="L26" i="16"/>
  <c r="L27" i="16" s="1"/>
  <c r="L33" i="16" s="1"/>
  <c r="M32" i="16"/>
  <c r="L36" i="16"/>
  <c r="L50" i="16" s="1"/>
  <c r="M79" i="20"/>
  <c r="D26" i="16"/>
  <c r="D27" i="16" s="1"/>
  <c r="D28" i="16" s="1"/>
  <c r="M80" i="15"/>
  <c r="M79" i="17"/>
  <c r="M36" i="16"/>
  <c r="M50" i="16" s="1"/>
  <c r="N20" i="12"/>
  <c r="M26" i="12"/>
  <c r="M27" i="12" s="1"/>
  <c r="M80" i="22"/>
  <c r="E42" i="12"/>
  <c r="N15" i="12"/>
  <c r="D79" i="20"/>
  <c r="D80" i="27"/>
  <c r="P80" i="15"/>
  <c r="N21" i="12"/>
  <c r="J3" i="14"/>
  <c r="J6" i="14" s="1"/>
  <c r="J21" i="14" s="1"/>
  <c r="P36" i="16"/>
  <c r="P50" i="16" s="1"/>
  <c r="H36" i="16"/>
  <c r="H50" i="16" s="1"/>
  <c r="D80" i="15"/>
  <c r="N22" i="12"/>
  <c r="N40" i="12"/>
  <c r="D36" i="16"/>
  <c r="D50" i="16" s="1"/>
  <c r="D80" i="22"/>
  <c r="N42" i="12"/>
  <c r="N23" i="12" s="1"/>
  <c r="N41" i="12"/>
  <c r="Q33" i="12"/>
  <c r="Q32" i="12"/>
  <c r="G41" i="12"/>
  <c r="Q42" i="12"/>
  <c r="M27" i="16"/>
  <c r="M33" i="16" s="1"/>
  <c r="Q40" i="12"/>
  <c r="G40" i="12"/>
  <c r="Q41" i="12"/>
  <c r="H26" i="16"/>
  <c r="H27" i="16" s="1"/>
  <c r="G42" i="12"/>
  <c r="P80" i="22"/>
  <c r="P79" i="20"/>
  <c r="P79" i="17"/>
  <c r="F80" i="22"/>
  <c r="F79" i="20"/>
  <c r="F79" i="17"/>
  <c r="F80" i="15"/>
  <c r="J22" i="12"/>
  <c r="J21" i="12"/>
  <c r="C82" i="22"/>
  <c r="C81" i="20"/>
  <c r="C81" i="17"/>
  <c r="C22" i="16"/>
  <c r="R36" i="16"/>
  <c r="R50" i="16" s="1"/>
  <c r="E23" i="12"/>
  <c r="N48" i="16"/>
  <c r="F36" i="16"/>
  <c r="F50" i="16" s="1"/>
  <c r="E40" i="12"/>
  <c r="E41" i="12"/>
  <c r="Q36" i="12"/>
  <c r="Q50" i="12" s="1"/>
  <c r="N42" i="16"/>
  <c r="N41" i="16"/>
  <c r="E22" i="12"/>
  <c r="R26" i="16"/>
  <c r="R32" i="16" s="1"/>
  <c r="S22" i="12"/>
  <c r="S82" i="22"/>
  <c r="S81" i="20"/>
  <c r="S81" i="17"/>
  <c r="N23" i="15"/>
  <c r="N20" i="15"/>
  <c r="N21" i="15"/>
  <c r="N22" i="15"/>
  <c r="N18" i="15"/>
  <c r="S22" i="15"/>
  <c r="L23" i="15"/>
  <c r="L22" i="15"/>
  <c r="L18" i="15"/>
  <c r="L20" i="15"/>
  <c r="L15" i="15"/>
  <c r="L80" i="15" s="1"/>
  <c r="L21" i="15"/>
  <c r="R22" i="15"/>
  <c r="R21" i="15"/>
  <c r="R23" i="15"/>
  <c r="L82" i="15"/>
  <c r="S42" i="15"/>
  <c r="N15" i="15"/>
  <c r="J82" i="15"/>
  <c r="D33" i="15"/>
  <c r="D34" i="15"/>
  <c r="D37" i="15" s="1"/>
  <c r="D36" i="15"/>
  <c r="D32" i="15"/>
  <c r="D35" i="15"/>
  <c r="C82" i="15"/>
  <c r="B82" i="15"/>
  <c r="Q41" i="15"/>
  <c r="Q65" i="15"/>
  <c r="Q15" i="15" s="1"/>
  <c r="G65" i="15"/>
  <c r="G15" i="15" s="1"/>
  <c r="S40" i="15"/>
  <c r="S65" i="15"/>
  <c r="S15" i="15" s="1"/>
  <c r="R82" i="15"/>
  <c r="G48" i="16"/>
  <c r="G42" i="16"/>
  <c r="G41" i="16"/>
  <c r="G40" i="16"/>
  <c r="K32" i="16"/>
  <c r="K27" i="16"/>
  <c r="S22" i="16"/>
  <c r="S15" i="16"/>
  <c r="C23" i="16"/>
  <c r="C21" i="16"/>
  <c r="C20" i="16"/>
  <c r="C18" i="16"/>
  <c r="C15" i="16"/>
  <c r="Q22" i="12"/>
  <c r="Q28" i="12" s="1"/>
  <c r="Q29" i="12" s="1"/>
  <c r="Q35" i="12" s="1"/>
  <c r="G23" i="12"/>
  <c r="G18" i="12"/>
  <c r="G20" i="12"/>
  <c r="G21" i="12"/>
  <c r="G22" i="12"/>
  <c r="R20" i="12"/>
  <c r="R21" i="12"/>
  <c r="R22" i="12"/>
  <c r="R23" i="12"/>
  <c r="D23" i="12"/>
  <c r="L15" i="12"/>
  <c r="L18" i="12"/>
  <c r="L20" i="12"/>
  <c r="L21" i="12"/>
  <c r="L23" i="12"/>
  <c r="M36" i="12"/>
  <c r="M50" i="12" s="1"/>
  <c r="K36" i="12"/>
  <c r="K50" i="12" s="1"/>
  <c r="K22" i="12"/>
  <c r="K23" i="12"/>
  <c r="B15" i="12"/>
  <c r="B23" i="12"/>
  <c r="B18" i="12"/>
  <c r="B21" i="12"/>
  <c r="B20" i="12"/>
  <c r="S15" i="12"/>
  <c r="J18" i="12"/>
  <c r="J20" i="12"/>
  <c r="J23" i="12"/>
  <c r="S41" i="15"/>
  <c r="N42" i="15"/>
  <c r="N40" i="15"/>
  <c r="N41" i="15"/>
  <c r="K32" i="15"/>
  <c r="K27" i="15"/>
  <c r="Q42" i="15"/>
  <c r="M26" i="15"/>
  <c r="M27" i="15" s="1"/>
  <c r="Q40" i="15"/>
  <c r="M36" i="15"/>
  <c r="M50" i="15" s="1"/>
  <c r="M52" i="15" s="1"/>
  <c r="P26" i="15"/>
  <c r="P27" i="15" s="1"/>
  <c r="P28" i="15" s="1"/>
  <c r="P36" i="15"/>
  <c r="P50" i="15" s="1"/>
  <c r="P52" i="15" s="1"/>
  <c r="S41" i="12"/>
  <c r="S40" i="12"/>
  <c r="H36" i="12"/>
  <c r="H50" i="12" s="1"/>
  <c r="H26" i="12"/>
  <c r="G66" i="12"/>
  <c r="G15" i="12" s="1"/>
  <c r="F26" i="12"/>
  <c r="F27" i="12" s="1"/>
  <c r="F28" i="12" s="1"/>
  <c r="F29" i="12" s="1"/>
  <c r="F35" i="12" s="1"/>
  <c r="F36" i="12"/>
  <c r="F50" i="12" s="1"/>
  <c r="S42" i="12"/>
  <c r="K32" i="12"/>
  <c r="K27" i="12"/>
  <c r="P26" i="12"/>
  <c r="P36" i="12"/>
  <c r="P50" i="12" s="1"/>
  <c r="D9" i="10"/>
  <c r="D13" i="10"/>
  <c r="N46" i="10"/>
  <c r="N13" i="10" s="1"/>
  <c r="N45" i="10"/>
  <c r="N11" i="10" s="1"/>
  <c r="N44" i="10"/>
  <c r="N9" i="10" s="1"/>
  <c r="G9" i="1"/>
  <c r="G43" i="1"/>
  <c r="G55" i="1" s="1"/>
  <c r="G57" i="1"/>
  <c r="G61" i="1" s="1"/>
  <c r="G56" i="1"/>
  <c r="G60" i="1" s="1"/>
  <c r="G9" i="9"/>
  <c r="G43" i="9"/>
  <c r="G55" i="9" s="1"/>
  <c r="G57" i="9"/>
  <c r="G61" i="9" s="1"/>
  <c r="G56" i="9"/>
  <c r="G60" i="9" s="1"/>
  <c r="G9" i="10"/>
  <c r="G44" i="10"/>
  <c r="G58" i="10" s="1"/>
  <c r="G60" i="10"/>
  <c r="G64" i="10" s="1"/>
  <c r="G59" i="10"/>
  <c r="G63" i="10" s="1"/>
  <c r="E46" i="10"/>
  <c r="E45" i="10"/>
  <c r="E44" i="10"/>
  <c r="E20" i="10"/>
  <c r="E19" i="10"/>
  <c r="E18" i="10"/>
  <c r="E15" i="10"/>
  <c r="E13" i="10"/>
  <c r="E11" i="10"/>
  <c r="E9" i="10"/>
  <c r="S45" i="10"/>
  <c r="S46" i="10"/>
  <c r="Q48" i="10"/>
  <c r="Q22" i="10" s="1"/>
  <c r="Q46" i="10"/>
  <c r="Q45" i="10"/>
  <c r="Q44" i="10"/>
  <c r="V38" i="4" l="1"/>
  <c r="L24" i="14"/>
  <c r="E256" i="11"/>
  <c r="I256" i="11" s="1"/>
  <c r="B38" i="4"/>
  <c r="B9" i="14" s="1"/>
  <c r="H38" i="4"/>
  <c r="D38" i="4"/>
  <c r="E38" i="4"/>
  <c r="M38" i="4"/>
  <c r="N38" i="4"/>
  <c r="F38" i="4"/>
  <c r="F9" i="14" s="1"/>
  <c r="J38" i="4"/>
  <c r="J9" i="14" s="1"/>
  <c r="E254" i="11" s="1"/>
  <c r="I254" i="11" s="1"/>
  <c r="I38" i="4"/>
  <c r="G38" i="4"/>
  <c r="Q38" i="4"/>
  <c r="C38" i="4"/>
  <c r="U38" i="4"/>
  <c r="T38" i="4"/>
  <c r="O38" i="4"/>
  <c r="O9" i="14" s="1"/>
  <c r="R38" i="4"/>
  <c r="R9" i="14" s="1"/>
  <c r="S80" i="27"/>
  <c r="W107" i="32"/>
  <c r="S89" i="29"/>
  <c r="S82" i="28"/>
  <c r="D29" i="16"/>
  <c r="D35" i="16" s="1"/>
  <c r="E108" i="32"/>
  <c r="D90" i="29"/>
  <c r="D83" i="28"/>
  <c r="Q82" i="27"/>
  <c r="U109" i="32"/>
  <c r="Q91" i="29"/>
  <c r="Q84" i="28"/>
  <c r="B80" i="27"/>
  <c r="B107" i="32"/>
  <c r="B89" i="29"/>
  <c r="B82" i="28"/>
  <c r="E82" i="27"/>
  <c r="F109" i="32"/>
  <c r="E91" i="29"/>
  <c r="E84" i="28"/>
  <c r="E26" i="10"/>
  <c r="C80" i="27"/>
  <c r="C107" i="32"/>
  <c r="D107" i="32"/>
  <c r="C89" i="29"/>
  <c r="C82" i="28"/>
  <c r="G82" i="27"/>
  <c r="I109" i="32"/>
  <c r="G91" i="29"/>
  <c r="G84" i="28"/>
  <c r="N23" i="16"/>
  <c r="Q109" i="32"/>
  <c r="N91" i="29"/>
  <c r="N84" i="28"/>
  <c r="M28" i="15"/>
  <c r="D50" i="15"/>
  <c r="D52" i="15" s="1"/>
  <c r="D15" i="12"/>
  <c r="D18" i="12"/>
  <c r="B26" i="15"/>
  <c r="B32" i="15" s="1"/>
  <c r="D19" i="12"/>
  <c r="E81" i="20"/>
  <c r="E21" i="16"/>
  <c r="E27" i="16" s="1"/>
  <c r="E81" i="17"/>
  <c r="E22" i="16"/>
  <c r="E82" i="22"/>
  <c r="E82" i="15"/>
  <c r="E23" i="16"/>
  <c r="B36" i="15"/>
  <c r="B50" i="15" s="1"/>
  <c r="B52" i="15" s="1"/>
  <c r="D22" i="12"/>
  <c r="B79" i="20"/>
  <c r="B79" i="17"/>
  <c r="C23" i="12"/>
  <c r="C15" i="12"/>
  <c r="C21" i="12"/>
  <c r="C18" i="12"/>
  <c r="C20" i="12"/>
  <c r="B80" i="22"/>
  <c r="B80" i="15"/>
  <c r="B36" i="16"/>
  <c r="B50" i="16" s="1"/>
  <c r="B26" i="16"/>
  <c r="B27" i="16" s="1"/>
  <c r="B28" i="16" s="1"/>
  <c r="A18" i="11"/>
  <c r="A43" i="11"/>
  <c r="A68" i="11"/>
  <c r="M32" i="12"/>
  <c r="Q82" i="22"/>
  <c r="Q22" i="16"/>
  <c r="Q28" i="16" s="1"/>
  <c r="Q15" i="16"/>
  <c r="Q81" i="17"/>
  <c r="Q81" i="20"/>
  <c r="J32" i="16"/>
  <c r="F27" i="16"/>
  <c r="F33" i="16" s="1"/>
  <c r="P32" i="16"/>
  <c r="L32" i="16"/>
  <c r="L28" i="16"/>
  <c r="D80" i="20"/>
  <c r="D80" i="17"/>
  <c r="D32" i="16"/>
  <c r="D81" i="22"/>
  <c r="D34" i="16"/>
  <c r="D37" i="16" s="1"/>
  <c r="D81" i="27"/>
  <c r="D33" i="16"/>
  <c r="R27" i="16"/>
  <c r="R28" i="16" s="1"/>
  <c r="N82" i="15"/>
  <c r="N82" i="27"/>
  <c r="M28" i="16"/>
  <c r="N20" i="16"/>
  <c r="N18" i="16"/>
  <c r="H32" i="16"/>
  <c r="N15" i="16"/>
  <c r="N82" i="22"/>
  <c r="N81" i="20"/>
  <c r="N81" i="17"/>
  <c r="N21" i="16"/>
  <c r="N22" i="16"/>
  <c r="C80" i="22"/>
  <c r="C79" i="20"/>
  <c r="C79" i="17"/>
  <c r="C80" i="15"/>
  <c r="S26" i="16"/>
  <c r="S27" i="16" s="1"/>
  <c r="S33" i="16" s="1"/>
  <c r="S80" i="22"/>
  <c r="S79" i="20"/>
  <c r="S79" i="17"/>
  <c r="G82" i="22"/>
  <c r="G81" i="20"/>
  <c r="G81" i="17"/>
  <c r="P28" i="16"/>
  <c r="P33" i="16"/>
  <c r="C26" i="16"/>
  <c r="Q34" i="12"/>
  <c r="Q37" i="12" s="1"/>
  <c r="G82" i="15"/>
  <c r="L36" i="15"/>
  <c r="L50" i="15" s="1"/>
  <c r="L52" i="15" s="1"/>
  <c r="G34" i="15"/>
  <c r="G37" i="15" s="1"/>
  <c r="G36" i="15"/>
  <c r="G50" i="15" s="1"/>
  <c r="G52" i="15" s="1"/>
  <c r="G32" i="15"/>
  <c r="G35" i="15"/>
  <c r="G33" i="15"/>
  <c r="N36" i="15"/>
  <c r="N50" i="15" s="1"/>
  <c r="N52" i="15" s="1"/>
  <c r="L26" i="15"/>
  <c r="J26" i="15"/>
  <c r="J32" i="15" s="1"/>
  <c r="J36" i="15"/>
  <c r="J50" i="15" s="1"/>
  <c r="J52" i="15" s="1"/>
  <c r="P29" i="15"/>
  <c r="P35" i="15" s="1"/>
  <c r="S80" i="15"/>
  <c r="S82" i="15"/>
  <c r="Q82" i="15"/>
  <c r="S26" i="12"/>
  <c r="S27" i="12" s="1"/>
  <c r="S28" i="12" s="1"/>
  <c r="S29" i="12" s="1"/>
  <c r="C36" i="16"/>
  <c r="S36" i="16"/>
  <c r="S50" i="16" s="1"/>
  <c r="H33" i="16"/>
  <c r="H28" i="16"/>
  <c r="J33" i="16"/>
  <c r="J28" i="16"/>
  <c r="K33" i="16"/>
  <c r="K28" i="16"/>
  <c r="G66" i="16"/>
  <c r="G15" i="16" s="1"/>
  <c r="G23" i="16"/>
  <c r="G22" i="16"/>
  <c r="G21" i="16"/>
  <c r="G20" i="16"/>
  <c r="G18" i="16"/>
  <c r="R26" i="12"/>
  <c r="R32" i="12" s="1"/>
  <c r="R36" i="12"/>
  <c r="R50" i="12" s="1"/>
  <c r="B36" i="12"/>
  <c r="C26" i="15"/>
  <c r="N26" i="15"/>
  <c r="P32" i="15"/>
  <c r="P34" i="15"/>
  <c r="P33" i="15"/>
  <c r="P27" i="12"/>
  <c r="M33" i="15"/>
  <c r="H36" i="15"/>
  <c r="H50" i="15" s="1"/>
  <c r="H52" i="15" s="1"/>
  <c r="H26" i="15"/>
  <c r="S26" i="15"/>
  <c r="S27" i="15" s="1"/>
  <c r="S28" i="15" s="1"/>
  <c r="M32" i="15"/>
  <c r="C36" i="15"/>
  <c r="K33" i="15"/>
  <c r="K28" i="15"/>
  <c r="R36" i="15"/>
  <c r="R50" i="15" s="1"/>
  <c r="R52" i="15" s="1"/>
  <c r="R26" i="15"/>
  <c r="Q28" i="15"/>
  <c r="F33" i="12"/>
  <c r="J36" i="12"/>
  <c r="J50" i="12" s="1"/>
  <c r="J26" i="12"/>
  <c r="G36" i="12"/>
  <c r="G50" i="12" s="1"/>
  <c r="K33" i="12"/>
  <c r="K28" i="12"/>
  <c r="M33" i="12"/>
  <c r="M28" i="12"/>
  <c r="L36" i="12"/>
  <c r="L50" i="12" s="1"/>
  <c r="H32" i="12"/>
  <c r="H27" i="12"/>
  <c r="P32" i="12"/>
  <c r="E27" i="12"/>
  <c r="E36" i="12"/>
  <c r="E50" i="12" s="1"/>
  <c r="N26" i="12"/>
  <c r="N27" i="12" s="1"/>
  <c r="N28" i="12" s="1"/>
  <c r="N29" i="12" s="1"/>
  <c r="N35" i="12" s="1"/>
  <c r="F34" i="12"/>
  <c r="F37" i="12" s="1"/>
  <c r="N36" i="12"/>
  <c r="N50" i="12" s="1"/>
  <c r="B26" i="12"/>
  <c r="L26" i="12"/>
  <c r="L27" i="12" s="1"/>
  <c r="L28" i="12" s="1"/>
  <c r="L29" i="12" s="1"/>
  <c r="L35" i="12" s="1"/>
  <c r="F32" i="12"/>
  <c r="G26" i="12"/>
  <c r="G27" i="12" s="1"/>
  <c r="G28" i="12" s="1"/>
  <c r="G29" i="12" s="1"/>
  <c r="G35" i="12" s="1"/>
  <c r="G59" i="1"/>
  <c r="G59" i="9"/>
  <c r="G62" i="10"/>
  <c r="Q15" i="10"/>
  <c r="Q36" i="10" s="1"/>
  <c r="Q50" i="10" s="1"/>
  <c r="C32" i="15" l="1"/>
  <c r="L108" i="32"/>
  <c r="J90" i="29"/>
  <c r="J83" i="28"/>
  <c r="Q80" i="27"/>
  <c r="U107" i="32"/>
  <c r="Q89" i="29"/>
  <c r="Q82" i="28"/>
  <c r="C50" i="15"/>
  <c r="C52" i="15" s="1"/>
  <c r="I107" i="32"/>
  <c r="G89" i="29"/>
  <c r="G82" i="28"/>
  <c r="P81" i="27"/>
  <c r="T108" i="32"/>
  <c r="P90" i="29"/>
  <c r="P83" i="28"/>
  <c r="R81" i="27"/>
  <c r="V108" i="32"/>
  <c r="R90" i="29"/>
  <c r="R83" i="28"/>
  <c r="L81" i="27"/>
  <c r="N108" i="32"/>
  <c r="L90" i="29"/>
  <c r="L83" i="28"/>
  <c r="Q81" i="27"/>
  <c r="U108" i="32"/>
  <c r="Q90" i="29"/>
  <c r="Q83" i="28"/>
  <c r="M108" i="32"/>
  <c r="K90" i="29"/>
  <c r="K83" i="28"/>
  <c r="H81" i="27"/>
  <c r="J108" i="32"/>
  <c r="H90" i="29"/>
  <c r="H83" i="28"/>
  <c r="Q107" i="32"/>
  <c r="N89" i="29"/>
  <c r="N82" i="28"/>
  <c r="O108" i="32"/>
  <c r="P108" i="32"/>
  <c r="C32" i="16"/>
  <c r="B81" i="27"/>
  <c r="B108" i="32"/>
  <c r="B90" i="29"/>
  <c r="B83" i="28"/>
  <c r="J24" i="14"/>
  <c r="B24" i="14"/>
  <c r="E246" i="11"/>
  <c r="E262" i="11"/>
  <c r="R24" i="14"/>
  <c r="E250" i="11"/>
  <c r="F24" i="14"/>
  <c r="E259" i="11"/>
  <c r="I259" i="11" s="1"/>
  <c r="O24" i="14"/>
  <c r="M81" i="15"/>
  <c r="M90" i="29"/>
  <c r="M83" i="28"/>
  <c r="M34" i="15"/>
  <c r="M37" i="15" s="1"/>
  <c r="M29" i="15"/>
  <c r="D36" i="12"/>
  <c r="D50" i="12" s="1"/>
  <c r="B27" i="15"/>
  <c r="B33" i="15" s="1"/>
  <c r="D26" i="12"/>
  <c r="D27" i="12" s="1"/>
  <c r="E36" i="16"/>
  <c r="E50" i="16" s="1"/>
  <c r="C26" i="12"/>
  <c r="C36" i="12"/>
  <c r="B33" i="16"/>
  <c r="B32" i="16"/>
  <c r="A69" i="11"/>
  <c r="A19" i="11"/>
  <c r="A44" i="11"/>
  <c r="Q32" i="16"/>
  <c r="Q79" i="20"/>
  <c r="Q79" i="17"/>
  <c r="Q80" i="22"/>
  <c r="Q33" i="16"/>
  <c r="Q36" i="16"/>
  <c r="Q50" i="16" s="1"/>
  <c r="Q80" i="15"/>
  <c r="F28" i="16"/>
  <c r="L34" i="16"/>
  <c r="L37" i="16" s="1"/>
  <c r="L81" i="22"/>
  <c r="L80" i="20"/>
  <c r="L80" i="17"/>
  <c r="L29" i="16"/>
  <c r="L35" i="16" s="1"/>
  <c r="R27" i="12"/>
  <c r="R28" i="12" s="1"/>
  <c r="Q34" i="16"/>
  <c r="Q37" i="16" s="1"/>
  <c r="R81" i="22"/>
  <c r="Q29" i="16"/>
  <c r="Q35" i="16" s="1"/>
  <c r="R80" i="20"/>
  <c r="R80" i="17"/>
  <c r="R33" i="16"/>
  <c r="J27" i="15"/>
  <c r="J28" i="15" s="1"/>
  <c r="J81" i="15" s="1"/>
  <c r="S28" i="16"/>
  <c r="M80" i="17"/>
  <c r="J81" i="22"/>
  <c r="J81" i="27"/>
  <c r="K81" i="22"/>
  <c r="K81" i="27"/>
  <c r="M29" i="16"/>
  <c r="M35" i="16" s="1"/>
  <c r="M81" i="27"/>
  <c r="N79" i="17"/>
  <c r="N80" i="27"/>
  <c r="C27" i="15"/>
  <c r="G80" i="27"/>
  <c r="S32" i="16"/>
  <c r="M81" i="22"/>
  <c r="M34" i="16"/>
  <c r="M37" i="16" s="1"/>
  <c r="M80" i="20"/>
  <c r="G26" i="16"/>
  <c r="G32" i="16" s="1"/>
  <c r="N26" i="16"/>
  <c r="N27" i="16" s="1"/>
  <c r="N28" i="16" s="1"/>
  <c r="N80" i="15"/>
  <c r="N80" i="22"/>
  <c r="N36" i="16"/>
  <c r="N50" i="16" s="1"/>
  <c r="N79" i="20"/>
  <c r="P81" i="22"/>
  <c r="P80" i="20"/>
  <c r="P80" i="17"/>
  <c r="P34" i="16"/>
  <c r="P37" i="16" s="1"/>
  <c r="C27" i="16"/>
  <c r="Q81" i="22"/>
  <c r="Q80" i="20"/>
  <c r="Q80" i="17"/>
  <c r="K81" i="15"/>
  <c r="G80" i="22"/>
  <c r="G79" i="20"/>
  <c r="G79" i="17"/>
  <c r="C50" i="16"/>
  <c r="B29" i="16"/>
  <c r="B81" i="22"/>
  <c r="B80" i="20"/>
  <c r="B80" i="17"/>
  <c r="B34" i="16"/>
  <c r="B37" i="16" s="1"/>
  <c r="B50" i="12"/>
  <c r="H81" i="22"/>
  <c r="H80" i="20"/>
  <c r="H80" i="17"/>
  <c r="G80" i="15"/>
  <c r="P81" i="15"/>
  <c r="P29" i="16"/>
  <c r="P35" i="16" s="1"/>
  <c r="L27" i="15"/>
  <c r="L32" i="15"/>
  <c r="K80" i="20"/>
  <c r="K80" i="17"/>
  <c r="J80" i="20"/>
  <c r="J80" i="17"/>
  <c r="Q29" i="15"/>
  <c r="Q35" i="15" s="1"/>
  <c r="Q81" i="15"/>
  <c r="S29" i="15"/>
  <c r="S35" i="15" s="1"/>
  <c r="G36" i="16"/>
  <c r="G50" i="16" s="1"/>
  <c r="R34" i="16"/>
  <c r="R29" i="16"/>
  <c r="R35" i="16" s="1"/>
  <c r="K34" i="16"/>
  <c r="K29" i="16"/>
  <c r="K35" i="16" s="1"/>
  <c r="J34" i="16"/>
  <c r="J29" i="16"/>
  <c r="J35" i="16" s="1"/>
  <c r="H34" i="16"/>
  <c r="H29" i="16"/>
  <c r="H35" i="16" s="1"/>
  <c r="E28" i="16"/>
  <c r="F108" i="32" s="1"/>
  <c r="E33" i="16"/>
  <c r="B27" i="12"/>
  <c r="P37" i="15"/>
  <c r="N27" i="15"/>
  <c r="N32" i="15"/>
  <c r="S36" i="15"/>
  <c r="S50" i="15" s="1"/>
  <c r="S52" i="15" s="1"/>
  <c r="P28" i="12"/>
  <c r="P33" i="12"/>
  <c r="R32" i="15"/>
  <c r="R27" i="15"/>
  <c r="H32" i="15"/>
  <c r="H27" i="15"/>
  <c r="K34" i="15"/>
  <c r="K29" i="15"/>
  <c r="Q36" i="15"/>
  <c r="Q50" i="15" s="1"/>
  <c r="Q52" i="15" s="1"/>
  <c r="Q34" i="15"/>
  <c r="Q33" i="15"/>
  <c r="Q32" i="15"/>
  <c r="S34" i="15"/>
  <c r="S33" i="15"/>
  <c r="S32" i="15"/>
  <c r="L33" i="12"/>
  <c r="L34" i="12"/>
  <c r="L37" i="12" s="1"/>
  <c r="B32" i="12"/>
  <c r="S36" i="12"/>
  <c r="S50" i="12" s="1"/>
  <c r="S35" i="12"/>
  <c r="S34" i="12"/>
  <c r="S37" i="12" s="1"/>
  <c r="S33" i="12"/>
  <c r="S32" i="12"/>
  <c r="J32" i="12"/>
  <c r="J27" i="12"/>
  <c r="G33" i="12"/>
  <c r="H33" i="12"/>
  <c r="H28" i="12"/>
  <c r="K34" i="12"/>
  <c r="K37" i="12" s="1"/>
  <c r="K29" i="12"/>
  <c r="K35" i="12" s="1"/>
  <c r="N33" i="12"/>
  <c r="G32" i="12"/>
  <c r="N32" i="12"/>
  <c r="L32" i="12"/>
  <c r="G34" i="12"/>
  <c r="G37" i="12" s="1"/>
  <c r="E28" i="12"/>
  <c r="E33" i="12"/>
  <c r="M34" i="12"/>
  <c r="M37" i="12" s="1"/>
  <c r="M29" i="12"/>
  <c r="M35" i="12" s="1"/>
  <c r="N34" i="12"/>
  <c r="N37" i="12" s="1"/>
  <c r="K18" i="10"/>
  <c r="C45" i="10"/>
  <c r="Q173" i="10"/>
  <c r="E171" i="10"/>
  <c r="Q170" i="10"/>
  <c r="P170" i="10"/>
  <c r="Q169" i="10"/>
  <c r="Q168" i="10"/>
  <c r="D166" i="10"/>
  <c r="C166" i="10"/>
  <c r="Q165" i="10"/>
  <c r="P165" i="10"/>
  <c r="D165" i="10"/>
  <c r="F165" i="10" s="1"/>
  <c r="Q164" i="10"/>
  <c r="Q163" i="10"/>
  <c r="R47" i="10"/>
  <c r="R42" i="10" s="1"/>
  <c r="P47" i="10"/>
  <c r="P42" i="10" s="1"/>
  <c r="M47" i="10"/>
  <c r="M48" i="10" s="1"/>
  <c r="L47" i="10"/>
  <c r="L48" i="10" s="1"/>
  <c r="K47" i="10"/>
  <c r="K48" i="10" s="1"/>
  <c r="K23" i="10" s="1"/>
  <c r="J47" i="10"/>
  <c r="J48" i="10" s="1"/>
  <c r="H47" i="10"/>
  <c r="G47" i="10"/>
  <c r="G48" i="10" s="1"/>
  <c r="F47" i="10"/>
  <c r="F48" i="10" s="1"/>
  <c r="D47" i="10"/>
  <c r="D48" i="10" s="1"/>
  <c r="D21" i="10" s="1"/>
  <c r="B47" i="10"/>
  <c r="B48" i="10" s="1"/>
  <c r="N47" i="10"/>
  <c r="E47" i="10"/>
  <c r="Q26" i="10"/>
  <c r="Q27" i="10" s="1"/>
  <c r="S14" i="10"/>
  <c r="R14" i="10"/>
  <c r="Q14" i="10"/>
  <c r="P14" i="10"/>
  <c r="N14" i="10"/>
  <c r="M14" i="10"/>
  <c r="L14" i="10"/>
  <c r="K14" i="10"/>
  <c r="J14" i="10"/>
  <c r="H14" i="10"/>
  <c r="G14" i="10"/>
  <c r="F14" i="10"/>
  <c r="E14" i="10"/>
  <c r="D14" i="10"/>
  <c r="C14" i="10"/>
  <c r="B14" i="10"/>
  <c r="S12" i="10"/>
  <c r="R12" i="10"/>
  <c r="Q12" i="10"/>
  <c r="P12" i="10"/>
  <c r="N12" i="10"/>
  <c r="M12" i="10"/>
  <c r="L12" i="10"/>
  <c r="K12" i="10"/>
  <c r="J12" i="10"/>
  <c r="H12" i="10"/>
  <c r="G12" i="10"/>
  <c r="F12" i="10"/>
  <c r="D12" i="10"/>
  <c r="C12" i="10"/>
  <c r="B12" i="10"/>
  <c r="E12" i="10"/>
  <c r="S10" i="10"/>
  <c r="R10" i="10"/>
  <c r="Q10" i="10"/>
  <c r="P10" i="10"/>
  <c r="N10" i="10"/>
  <c r="M10" i="10"/>
  <c r="L10" i="10"/>
  <c r="K10" i="10"/>
  <c r="J10" i="10"/>
  <c r="H10" i="10"/>
  <c r="F10" i="10"/>
  <c r="C10" i="10"/>
  <c r="B10" i="10"/>
  <c r="G10" i="10"/>
  <c r="E10" i="10"/>
  <c r="D10" i="10"/>
  <c r="K18" i="9"/>
  <c r="N43" i="1"/>
  <c r="N45" i="9"/>
  <c r="N44" i="9"/>
  <c r="N43" i="9"/>
  <c r="C28" i="15" l="1"/>
  <c r="F81" i="27"/>
  <c r="G108" i="32"/>
  <c r="H108" i="32"/>
  <c r="F90" i="29"/>
  <c r="F83" i="28"/>
  <c r="M22" i="10"/>
  <c r="M21" i="10"/>
  <c r="Q108" i="32"/>
  <c r="N90" i="29"/>
  <c r="N83" i="28"/>
  <c r="C50" i="12"/>
  <c r="S29" i="16"/>
  <c r="S35" i="16" s="1"/>
  <c r="W108" i="32"/>
  <c r="S90" i="29"/>
  <c r="S83" i="28"/>
  <c r="C27" i="12"/>
  <c r="M35" i="15"/>
  <c r="E81" i="27"/>
  <c r="E90" i="29"/>
  <c r="E83" i="28"/>
  <c r="B28" i="15"/>
  <c r="B29" i="15" s="1"/>
  <c r="D32" i="12"/>
  <c r="C32" i="12"/>
  <c r="A45" i="11"/>
  <c r="A70" i="11"/>
  <c r="A20" i="11"/>
  <c r="S34" i="16"/>
  <c r="S37" i="16" s="1"/>
  <c r="F29" i="16"/>
  <c r="F35" i="16" s="1"/>
  <c r="F34" i="16"/>
  <c r="F37" i="16" s="1"/>
  <c r="F80" i="20"/>
  <c r="F80" i="17"/>
  <c r="F81" i="22"/>
  <c r="F81" i="15"/>
  <c r="C33" i="15"/>
  <c r="R33" i="12"/>
  <c r="S81" i="15"/>
  <c r="J33" i="15"/>
  <c r="S80" i="20"/>
  <c r="S80" i="17"/>
  <c r="S81" i="22"/>
  <c r="S81" i="27"/>
  <c r="N80" i="17"/>
  <c r="N81" i="27"/>
  <c r="N32" i="16"/>
  <c r="G27" i="16"/>
  <c r="N34" i="16"/>
  <c r="N37" i="16" s="1"/>
  <c r="N29" i="16"/>
  <c r="N35" i="16" s="1"/>
  <c r="N81" i="22"/>
  <c r="N80" i="20"/>
  <c r="N33" i="16"/>
  <c r="F20" i="10"/>
  <c r="F21" i="10"/>
  <c r="F22" i="10"/>
  <c r="C28" i="16"/>
  <c r="C33" i="16"/>
  <c r="B15" i="10"/>
  <c r="B21" i="10"/>
  <c r="F166" i="10"/>
  <c r="G166" i="10" s="1"/>
  <c r="E81" i="22"/>
  <c r="E80" i="20"/>
  <c r="E80" i="17"/>
  <c r="L15" i="10"/>
  <c r="L21" i="10"/>
  <c r="L22" i="10"/>
  <c r="B35" i="16"/>
  <c r="J18" i="10"/>
  <c r="J21" i="10"/>
  <c r="J22" i="10"/>
  <c r="E81" i="15"/>
  <c r="L28" i="15"/>
  <c r="L33" i="15"/>
  <c r="C34" i="15"/>
  <c r="K35" i="15"/>
  <c r="D33" i="12"/>
  <c r="D28" i="12"/>
  <c r="E29" i="16"/>
  <c r="E35" i="16" s="1"/>
  <c r="E34" i="16"/>
  <c r="H37" i="16"/>
  <c r="J37" i="16"/>
  <c r="K37" i="16"/>
  <c r="R37" i="16"/>
  <c r="H48" i="10"/>
  <c r="H22" i="10" s="1"/>
  <c r="L23" i="10"/>
  <c r="B28" i="12"/>
  <c r="B33" i="12"/>
  <c r="N28" i="15"/>
  <c r="N81" i="15" s="1"/>
  <c r="N33" i="15"/>
  <c r="C29" i="15"/>
  <c r="T4" i="14"/>
  <c r="P29" i="12"/>
  <c r="P35" i="12" s="1"/>
  <c r="P34" i="12"/>
  <c r="Q37" i="15"/>
  <c r="J34" i="15"/>
  <c r="J29" i="15"/>
  <c r="H33" i="15"/>
  <c r="H28" i="15"/>
  <c r="D81" i="15"/>
  <c r="K37" i="15"/>
  <c r="R33" i="15"/>
  <c r="R28" i="15"/>
  <c r="R81" i="15" s="1"/>
  <c r="S37" i="15"/>
  <c r="R34" i="12"/>
  <c r="R37" i="12" s="1"/>
  <c r="R29" i="12"/>
  <c r="R35" i="12" s="1"/>
  <c r="E29" i="12"/>
  <c r="E34" i="12"/>
  <c r="H29" i="12"/>
  <c r="H35" i="12" s="1"/>
  <c r="H34" i="12"/>
  <c r="H37" i="12" s="1"/>
  <c r="J33" i="12"/>
  <c r="J28" i="12"/>
  <c r="K22" i="10"/>
  <c r="K21" i="10"/>
  <c r="K36" i="10" s="1"/>
  <c r="K50" i="10" s="1"/>
  <c r="L18" i="10"/>
  <c r="G42" i="10"/>
  <c r="J40" i="10"/>
  <c r="F23" i="10"/>
  <c r="L20" i="10"/>
  <c r="H40" i="10"/>
  <c r="F18" i="10"/>
  <c r="G40" i="10"/>
  <c r="F15" i="10"/>
  <c r="B23" i="10"/>
  <c r="B18" i="10"/>
  <c r="B22" i="10"/>
  <c r="B20" i="10"/>
  <c r="D42" i="10"/>
  <c r="D40" i="10"/>
  <c r="K26" i="10"/>
  <c r="K32" i="10" s="1"/>
  <c r="J23" i="10"/>
  <c r="G18" i="10"/>
  <c r="G23" i="10"/>
  <c r="G22" i="10"/>
  <c r="G20" i="10"/>
  <c r="G21" i="10"/>
  <c r="J20" i="10"/>
  <c r="D22" i="10"/>
  <c r="D19" i="10"/>
  <c r="D18" i="10"/>
  <c r="D15" i="10"/>
  <c r="D23" i="10"/>
  <c r="C47" i="10"/>
  <c r="C41" i="10" s="1"/>
  <c r="G66" i="10"/>
  <c r="G15" i="10" s="1"/>
  <c r="M23" i="10"/>
  <c r="M20" i="10"/>
  <c r="M18" i="10"/>
  <c r="K40" i="10"/>
  <c r="H42" i="10"/>
  <c r="F40" i="10"/>
  <c r="F42" i="10"/>
  <c r="B40" i="10"/>
  <c r="B42" i="10"/>
  <c r="L41" i="10"/>
  <c r="K41" i="10"/>
  <c r="M41" i="10"/>
  <c r="H41" i="10"/>
  <c r="J41" i="10"/>
  <c r="G41" i="10"/>
  <c r="F41" i="10"/>
  <c r="D41" i="10"/>
  <c r="M42" i="10"/>
  <c r="B41" i="10"/>
  <c r="L42" i="10"/>
  <c r="M40" i="10"/>
  <c r="K42" i="10"/>
  <c r="L40" i="10"/>
  <c r="J42" i="10"/>
  <c r="E40" i="10"/>
  <c r="E48" i="10"/>
  <c r="E23" i="10" s="1"/>
  <c r="E32" i="10"/>
  <c r="N40" i="10"/>
  <c r="N42" i="10"/>
  <c r="N48" i="10"/>
  <c r="N41" i="10"/>
  <c r="E42" i="10"/>
  <c r="E41" i="10"/>
  <c r="R48" i="10"/>
  <c r="R18" i="10" s="1"/>
  <c r="P48" i="10"/>
  <c r="P22" i="10" s="1"/>
  <c r="S47" i="10"/>
  <c r="S42" i="10" s="1"/>
  <c r="R40" i="10"/>
  <c r="R41" i="10"/>
  <c r="P40" i="10"/>
  <c r="P41" i="10"/>
  <c r="D13" i="9"/>
  <c r="D9" i="9"/>
  <c r="D9" i="1"/>
  <c r="C44" i="9"/>
  <c r="H21" i="9"/>
  <c r="E45" i="1"/>
  <c r="E45" i="9"/>
  <c r="E44" i="1"/>
  <c r="E44" i="9"/>
  <c r="E43" i="1"/>
  <c r="E43" i="9"/>
  <c r="E20" i="9"/>
  <c r="E18" i="9"/>
  <c r="E15" i="9"/>
  <c r="E13" i="9"/>
  <c r="E11" i="9"/>
  <c r="E9" i="9"/>
  <c r="Q45" i="9"/>
  <c r="Q44" i="9"/>
  <c r="Q43" i="9"/>
  <c r="C28" i="12" l="1"/>
  <c r="C33" i="12"/>
  <c r="E26" i="9"/>
  <c r="D108" i="32"/>
  <c r="C108" i="32"/>
  <c r="C90" i="29"/>
  <c r="C83" i="28"/>
  <c r="B81" i="15"/>
  <c r="B34" i="15"/>
  <c r="B37" i="15" s="1"/>
  <c r="B35" i="15"/>
  <c r="A46" i="11"/>
  <c r="A71" i="11"/>
  <c r="A21" i="11"/>
  <c r="C81" i="15"/>
  <c r="C81" i="27"/>
  <c r="G28" i="16"/>
  <c r="G33" i="16"/>
  <c r="C29" i="16"/>
  <c r="C81" i="22"/>
  <c r="C80" i="20"/>
  <c r="C80" i="17"/>
  <c r="C34" i="16"/>
  <c r="F26" i="10"/>
  <c r="F27" i="10" s="1"/>
  <c r="F28" i="10" s="1"/>
  <c r="F29" i="10" s="1"/>
  <c r="L34" i="15"/>
  <c r="L29" i="15"/>
  <c r="L35" i="15" s="1"/>
  <c r="L81" i="15"/>
  <c r="C37" i="15"/>
  <c r="H81" i="15"/>
  <c r="J35" i="15"/>
  <c r="D29" i="12"/>
  <c r="D35" i="12" s="1"/>
  <c r="D34" i="12"/>
  <c r="D37" i="12" s="1"/>
  <c r="E37" i="16"/>
  <c r="H23" i="10"/>
  <c r="H21" i="10"/>
  <c r="H20" i="10"/>
  <c r="H18" i="10"/>
  <c r="G26" i="10"/>
  <c r="G27" i="10" s="1"/>
  <c r="B36" i="10"/>
  <c r="F36" i="10"/>
  <c r="F50" i="10" s="1"/>
  <c r="B29" i="12"/>
  <c r="B34" i="12"/>
  <c r="B37" i="12" s="1"/>
  <c r="C35" i="15"/>
  <c r="N29" i="15"/>
  <c r="N34" i="15"/>
  <c r="P37" i="12"/>
  <c r="E35" i="12"/>
  <c r="E37" i="12"/>
  <c r="J37" i="15"/>
  <c r="R34" i="15"/>
  <c r="R29" i="15"/>
  <c r="H34" i="15"/>
  <c r="H29" i="15"/>
  <c r="J34" i="12"/>
  <c r="J37" i="12" s="1"/>
  <c r="J29" i="12"/>
  <c r="J35" i="12" s="1"/>
  <c r="L36" i="10"/>
  <c r="L50" i="10" s="1"/>
  <c r="L26" i="10"/>
  <c r="L27" i="10" s="1"/>
  <c r="L28" i="10" s="1"/>
  <c r="L29" i="10" s="1"/>
  <c r="L35" i="10" s="1"/>
  <c r="D36" i="10"/>
  <c r="D50" i="10" s="1"/>
  <c r="D26" i="10"/>
  <c r="D32" i="10" s="1"/>
  <c r="G36" i="10"/>
  <c r="G50" i="10" s="1"/>
  <c r="M36" i="10"/>
  <c r="M50" i="10" s="1"/>
  <c r="J36" i="10"/>
  <c r="J50" i="10" s="1"/>
  <c r="C48" i="10"/>
  <c r="C22" i="10" s="1"/>
  <c r="C42" i="10"/>
  <c r="N3" i="14"/>
  <c r="R22" i="10"/>
  <c r="R23" i="10"/>
  <c r="R21" i="10"/>
  <c r="R20" i="10"/>
  <c r="R26" i="10" s="1"/>
  <c r="C40" i="10"/>
  <c r="K27" i="10"/>
  <c r="K33" i="10" s="1"/>
  <c r="P15" i="10"/>
  <c r="P21" i="10"/>
  <c r="P18" i="10"/>
  <c r="P20" i="10"/>
  <c r="P23" i="10"/>
  <c r="N18" i="10"/>
  <c r="N21" i="10"/>
  <c r="N22" i="10"/>
  <c r="N23" i="10"/>
  <c r="N20" i="10"/>
  <c r="N15" i="10"/>
  <c r="E21" i="10"/>
  <c r="E36" i="10" s="1"/>
  <c r="E50" i="10" s="1"/>
  <c r="E22" i="10"/>
  <c r="Q40" i="10"/>
  <c r="M26" i="10"/>
  <c r="J26" i="10"/>
  <c r="S41" i="10"/>
  <c r="S40" i="10"/>
  <c r="S48" i="10"/>
  <c r="Q28" i="10"/>
  <c r="Q29" i="10" s="1"/>
  <c r="Q41" i="10"/>
  <c r="Q42" i="10"/>
  <c r="B26" i="10"/>
  <c r="S45" i="9"/>
  <c r="Q170" i="9"/>
  <c r="E168" i="9"/>
  <c r="Q167" i="9"/>
  <c r="P167" i="9"/>
  <c r="Q166" i="9"/>
  <c r="Q165" i="9"/>
  <c r="D163" i="9"/>
  <c r="C163" i="9"/>
  <c r="Q162" i="9"/>
  <c r="P162" i="9"/>
  <c r="D162" i="9"/>
  <c r="F162" i="9" s="1"/>
  <c r="Q161" i="9"/>
  <c r="Q160" i="9"/>
  <c r="R46" i="9"/>
  <c r="Q46" i="9"/>
  <c r="P46" i="9"/>
  <c r="P47" i="9" s="1"/>
  <c r="N46" i="9"/>
  <c r="N47" i="9" s="1"/>
  <c r="M46" i="9"/>
  <c r="L46" i="9"/>
  <c r="K46" i="9"/>
  <c r="J46" i="9"/>
  <c r="J47" i="9" s="1"/>
  <c r="H46" i="9"/>
  <c r="F46" i="9"/>
  <c r="D46" i="9"/>
  <c r="D47" i="9" s="1"/>
  <c r="C46" i="9"/>
  <c r="B46" i="9"/>
  <c r="E46" i="9"/>
  <c r="E47" i="9" s="1"/>
  <c r="E22" i="9" s="1"/>
  <c r="G46" i="9"/>
  <c r="Q26" i="9"/>
  <c r="E32" i="9"/>
  <c r="K26" i="9"/>
  <c r="S14" i="9"/>
  <c r="R14" i="9"/>
  <c r="Q14" i="9"/>
  <c r="P14" i="9"/>
  <c r="N14" i="9"/>
  <c r="M14" i="9"/>
  <c r="L14" i="9"/>
  <c r="K14" i="9"/>
  <c r="J14" i="9"/>
  <c r="H14" i="9"/>
  <c r="F14" i="9"/>
  <c r="E14" i="9"/>
  <c r="G14" i="9"/>
  <c r="C14" i="9"/>
  <c r="B14" i="9"/>
  <c r="D14" i="9"/>
  <c r="S12" i="9"/>
  <c r="R12" i="9"/>
  <c r="Q12" i="9"/>
  <c r="P12" i="9"/>
  <c r="N12" i="9"/>
  <c r="M12" i="9"/>
  <c r="L12" i="9"/>
  <c r="K12" i="9"/>
  <c r="J12" i="9"/>
  <c r="H12" i="9"/>
  <c r="F12" i="9"/>
  <c r="G12" i="9"/>
  <c r="D12" i="9"/>
  <c r="C12" i="9"/>
  <c r="B12" i="9"/>
  <c r="E12" i="9"/>
  <c r="S10" i="9"/>
  <c r="R10" i="9"/>
  <c r="Q10" i="9"/>
  <c r="P10" i="9"/>
  <c r="N10" i="9"/>
  <c r="M10" i="9"/>
  <c r="L10" i="9"/>
  <c r="K10" i="9"/>
  <c r="J10" i="9"/>
  <c r="H10" i="9"/>
  <c r="F10" i="9"/>
  <c r="G10" i="9"/>
  <c r="C10" i="9"/>
  <c r="B10" i="9"/>
  <c r="E10" i="9"/>
  <c r="D10" i="9"/>
  <c r="T176" i="4"/>
  <c r="E174" i="4"/>
  <c r="T173" i="4"/>
  <c r="S173" i="4"/>
  <c r="T172" i="4"/>
  <c r="T171" i="4"/>
  <c r="D169" i="4"/>
  <c r="C169" i="4"/>
  <c r="T168" i="4"/>
  <c r="S168" i="4"/>
  <c r="D168" i="4"/>
  <c r="G168" i="4" s="1"/>
  <c r="T167" i="4"/>
  <c r="T166" i="4"/>
  <c r="C29" i="12" l="1"/>
  <c r="C34" i="12"/>
  <c r="C37" i="12" s="1"/>
  <c r="G81" i="27"/>
  <c r="I108" i="32"/>
  <c r="G90" i="29"/>
  <c r="G83" i="28"/>
  <c r="E3" i="14"/>
  <c r="D3" i="14"/>
  <c r="I3" i="14"/>
  <c r="A47" i="11"/>
  <c r="A22" i="11"/>
  <c r="A72" i="11"/>
  <c r="S23" i="10"/>
  <c r="S22" i="10"/>
  <c r="F34" i="10"/>
  <c r="F37" i="10" s="1"/>
  <c r="G32" i="10"/>
  <c r="F33" i="10"/>
  <c r="F32" i="10"/>
  <c r="G81" i="22"/>
  <c r="G34" i="16"/>
  <c r="G37" i="16" s="1"/>
  <c r="G80" i="20"/>
  <c r="G80" i="17"/>
  <c r="G29" i="16"/>
  <c r="G35" i="16" s="1"/>
  <c r="G81" i="15"/>
  <c r="D22" i="9"/>
  <c r="D21" i="9"/>
  <c r="B50" i="10"/>
  <c r="C35" i="16"/>
  <c r="C37" i="16"/>
  <c r="J21" i="9"/>
  <c r="J22" i="9"/>
  <c r="Q3" i="14"/>
  <c r="L37" i="15"/>
  <c r="C3" i="14"/>
  <c r="I76" i="15"/>
  <c r="F35" i="10"/>
  <c r="R35" i="15"/>
  <c r="N35" i="15"/>
  <c r="H35" i="15"/>
  <c r="B47" i="9"/>
  <c r="B22" i="9" s="1"/>
  <c r="N75" i="12"/>
  <c r="H26" i="10"/>
  <c r="H36" i="10"/>
  <c r="H50" i="10" s="1"/>
  <c r="S75" i="12"/>
  <c r="K75" i="12"/>
  <c r="D75" i="12"/>
  <c r="F75" i="12"/>
  <c r="H75" i="12"/>
  <c r="B35" i="12"/>
  <c r="B75" i="12"/>
  <c r="Q75" i="12"/>
  <c r="L75" i="12"/>
  <c r="G75" i="12"/>
  <c r="C75" i="12"/>
  <c r="R75" i="12"/>
  <c r="E75" i="12"/>
  <c r="J75" i="12"/>
  <c r="M75" i="12"/>
  <c r="P75" i="12"/>
  <c r="N37" i="15"/>
  <c r="R37" i="15"/>
  <c r="G76" i="15"/>
  <c r="G4" i="14"/>
  <c r="D4" i="14"/>
  <c r="M4" i="14"/>
  <c r="I4" i="14"/>
  <c r="N4" i="14"/>
  <c r="N6" i="14" s="1"/>
  <c r="N21" i="14" s="1"/>
  <c r="L73" i="12"/>
  <c r="C73" i="12"/>
  <c r="J73" i="12"/>
  <c r="M73" i="12"/>
  <c r="D73" i="12"/>
  <c r="N73" i="12"/>
  <c r="E73" i="12"/>
  <c r="S73" i="12"/>
  <c r="P73" i="12"/>
  <c r="F73" i="12"/>
  <c r="Q73" i="12"/>
  <c r="G73" i="12"/>
  <c r="R73" i="12"/>
  <c r="H73" i="12"/>
  <c r="K73" i="12"/>
  <c r="B73" i="12"/>
  <c r="D76" i="15"/>
  <c r="M76" i="15"/>
  <c r="P76" i="15"/>
  <c r="B76" i="15"/>
  <c r="F76" i="15"/>
  <c r="L76" i="15"/>
  <c r="C76" i="15"/>
  <c r="Q76" i="15"/>
  <c r="K76" i="15"/>
  <c r="S76" i="15"/>
  <c r="N76" i="15"/>
  <c r="R76" i="15"/>
  <c r="H37" i="15"/>
  <c r="H76" i="15"/>
  <c r="J76" i="15"/>
  <c r="E76" i="15"/>
  <c r="T8" i="14"/>
  <c r="F265" i="11" s="1"/>
  <c r="H265" i="11" s="1"/>
  <c r="T3" i="14"/>
  <c r="T6" i="14" s="1"/>
  <c r="T21" i="14" s="1"/>
  <c r="V8" i="14"/>
  <c r="F267" i="11" s="1"/>
  <c r="H267" i="11" s="1"/>
  <c r="V3" i="14"/>
  <c r="L32" i="10"/>
  <c r="L33" i="10"/>
  <c r="D27" i="10"/>
  <c r="D28" i="10" s="1"/>
  <c r="D29" i="10" s="1"/>
  <c r="D35" i="10" s="1"/>
  <c r="R36" i="10"/>
  <c r="R50" i="10" s="1"/>
  <c r="N36" i="10"/>
  <c r="N50" i="10" s="1"/>
  <c r="P36" i="10"/>
  <c r="P50" i="10" s="1"/>
  <c r="N8" i="14"/>
  <c r="F258" i="11" s="1"/>
  <c r="H258" i="11" s="1"/>
  <c r="C15" i="10"/>
  <c r="C18" i="10"/>
  <c r="C20" i="10"/>
  <c r="C21" i="10"/>
  <c r="C23" i="10"/>
  <c r="K28" i="10"/>
  <c r="K34" i="10" s="1"/>
  <c r="K37" i="10" s="1"/>
  <c r="E27" i="10"/>
  <c r="E28" i="10" s="1"/>
  <c r="S15" i="10"/>
  <c r="B27" i="10"/>
  <c r="U3" i="14"/>
  <c r="J32" i="10"/>
  <c r="J27" i="10"/>
  <c r="B32" i="10"/>
  <c r="L34" i="10"/>
  <c r="L37" i="10" s="1"/>
  <c r="G28" i="10"/>
  <c r="G33" i="10"/>
  <c r="Q35" i="10"/>
  <c r="Q34" i="10"/>
  <c r="Q37" i="10" s="1"/>
  <c r="Q33" i="10"/>
  <c r="Q32" i="10"/>
  <c r="M32" i="10"/>
  <c r="M27" i="10"/>
  <c r="R32" i="10"/>
  <c r="R27" i="10"/>
  <c r="N26" i="10"/>
  <c r="N27" i="10" s="1"/>
  <c r="N28" i="10" s="1"/>
  <c r="N29" i="10" s="1"/>
  <c r="N35" i="10" s="1"/>
  <c r="P26" i="10"/>
  <c r="P27" i="10" s="1"/>
  <c r="P28" i="10" s="1"/>
  <c r="J23" i="9"/>
  <c r="S46" i="9"/>
  <c r="S47" i="9" s="1"/>
  <c r="N22" i="9"/>
  <c r="N23" i="9"/>
  <c r="N20" i="9"/>
  <c r="N21" i="9"/>
  <c r="N15" i="9"/>
  <c r="N18" i="9"/>
  <c r="D23" i="9"/>
  <c r="D19" i="9"/>
  <c r="D15" i="9"/>
  <c r="D18" i="9"/>
  <c r="J18" i="9"/>
  <c r="J20" i="9"/>
  <c r="P23" i="9"/>
  <c r="P22" i="9"/>
  <c r="P20" i="9"/>
  <c r="P21" i="9"/>
  <c r="P15" i="9"/>
  <c r="P18" i="9"/>
  <c r="E21" i="9"/>
  <c r="E36" i="9" s="1"/>
  <c r="E23" i="9"/>
  <c r="G47" i="9"/>
  <c r="G63" i="9" s="1"/>
  <c r="G15" i="9" s="1"/>
  <c r="L40" i="9"/>
  <c r="L47" i="9"/>
  <c r="L22" i="9" s="1"/>
  <c r="K41" i="9"/>
  <c r="K47" i="9"/>
  <c r="H41" i="9"/>
  <c r="H47" i="9"/>
  <c r="R41" i="9"/>
  <c r="R47" i="9"/>
  <c r="F41" i="9"/>
  <c r="F47" i="9"/>
  <c r="Q41" i="9"/>
  <c r="Q47" i="9"/>
  <c r="C41" i="9"/>
  <c r="C47" i="9"/>
  <c r="C22" i="9" s="1"/>
  <c r="M47" i="9"/>
  <c r="Q39" i="9"/>
  <c r="N39" i="9"/>
  <c r="N41" i="9"/>
  <c r="N40" i="9"/>
  <c r="F163" i="9"/>
  <c r="G163" i="9" s="1"/>
  <c r="F39" i="9"/>
  <c r="G169" i="4"/>
  <c r="H169" i="4" s="1"/>
  <c r="Q40" i="9"/>
  <c r="F40" i="9"/>
  <c r="P40" i="9"/>
  <c r="P39" i="9"/>
  <c r="P41" i="9"/>
  <c r="E41" i="9"/>
  <c r="E40" i="9"/>
  <c r="E39" i="9"/>
  <c r="G41" i="9"/>
  <c r="G40" i="9"/>
  <c r="G39" i="9"/>
  <c r="K32" i="9"/>
  <c r="J39" i="9"/>
  <c r="J40" i="9"/>
  <c r="J41" i="9"/>
  <c r="C39" i="9"/>
  <c r="C40" i="9"/>
  <c r="L41" i="9"/>
  <c r="B39" i="9"/>
  <c r="B40" i="9"/>
  <c r="B41" i="9"/>
  <c r="H39" i="9"/>
  <c r="R39" i="9"/>
  <c r="H40" i="9"/>
  <c r="R40" i="9"/>
  <c r="D39" i="9"/>
  <c r="M39" i="9"/>
  <c r="D40" i="9"/>
  <c r="M40" i="9"/>
  <c r="D41" i="9"/>
  <c r="M41" i="9"/>
  <c r="L39" i="9"/>
  <c r="K39" i="9"/>
  <c r="K40" i="9"/>
  <c r="Q27" i="9"/>
  <c r="C35" i="12" l="1"/>
  <c r="Q71" i="12" s="1"/>
  <c r="M20" i="9"/>
  <c r="M21" i="9"/>
  <c r="A48" i="11"/>
  <c r="A23" i="11"/>
  <c r="A73" i="11"/>
  <c r="S23" i="9"/>
  <c r="S22" i="9"/>
  <c r="S71" i="12"/>
  <c r="S73" i="16"/>
  <c r="H75" i="16"/>
  <c r="Q75" i="16"/>
  <c r="C75" i="16"/>
  <c r="S75" i="16"/>
  <c r="G75" i="16"/>
  <c r="P75" i="16"/>
  <c r="N73" i="16"/>
  <c r="M73" i="16"/>
  <c r="M75" i="16"/>
  <c r="E73" i="16"/>
  <c r="F75" i="16"/>
  <c r="Q73" i="16"/>
  <c r="R75" i="16"/>
  <c r="D75" i="16"/>
  <c r="K75" i="16"/>
  <c r="E75" i="16"/>
  <c r="L75" i="16"/>
  <c r="J75" i="16"/>
  <c r="B75" i="16"/>
  <c r="N75" i="16"/>
  <c r="P73" i="16"/>
  <c r="H71" i="12"/>
  <c r="B73" i="16"/>
  <c r="C73" i="16"/>
  <c r="R71" i="12"/>
  <c r="D73" i="16"/>
  <c r="G71" i="12"/>
  <c r="L73" i="16"/>
  <c r="P36" i="9"/>
  <c r="F21" i="9"/>
  <c r="F22" i="9"/>
  <c r="B21" i="9"/>
  <c r="B15" i="9"/>
  <c r="J36" i="9"/>
  <c r="S26" i="10"/>
  <c r="S27" i="10" s="1"/>
  <c r="S33" i="10" s="1"/>
  <c r="H73" i="16"/>
  <c r="J73" i="16"/>
  <c r="K73" i="16"/>
  <c r="R73" i="16"/>
  <c r="G73" i="16"/>
  <c r="N36" i="9"/>
  <c r="B20" i="9"/>
  <c r="B23" i="9"/>
  <c r="B71" i="16"/>
  <c r="J71" i="16"/>
  <c r="Q71" i="16"/>
  <c r="D71" i="16"/>
  <c r="F71" i="16"/>
  <c r="K71" i="16"/>
  <c r="N71" i="16"/>
  <c r="C71" i="16"/>
  <c r="R71" i="16"/>
  <c r="L71" i="16"/>
  <c r="M71" i="16"/>
  <c r="G71" i="16"/>
  <c r="H71" i="16"/>
  <c r="E71" i="16"/>
  <c r="S71" i="16"/>
  <c r="P71" i="16"/>
  <c r="R23" i="9"/>
  <c r="R18" i="9"/>
  <c r="D36" i="9"/>
  <c r="B18" i="9"/>
  <c r="S36" i="10"/>
  <c r="S50" i="10" s="1"/>
  <c r="F73" i="16"/>
  <c r="E72" i="15"/>
  <c r="C72" i="15"/>
  <c r="P72" i="15"/>
  <c r="Q72" i="15"/>
  <c r="G72" i="15"/>
  <c r="M72" i="15"/>
  <c r="B72" i="15"/>
  <c r="H72" i="15"/>
  <c r="D72" i="15"/>
  <c r="K72" i="15"/>
  <c r="F72" i="15"/>
  <c r="J72" i="15"/>
  <c r="H74" i="15"/>
  <c r="N72" i="15"/>
  <c r="I74" i="15"/>
  <c r="S72" i="15"/>
  <c r="R72" i="15"/>
  <c r="L72" i="15"/>
  <c r="I72" i="15"/>
  <c r="H27" i="10"/>
  <c r="H32" i="10"/>
  <c r="B33" i="10"/>
  <c r="B74" i="15"/>
  <c r="E74" i="15"/>
  <c r="I6" i="14"/>
  <c r="I21" i="14" s="1"/>
  <c r="D6" i="14"/>
  <c r="D21" i="14" s="1"/>
  <c r="U4" i="14"/>
  <c r="U6" i="14" s="1"/>
  <c r="U21" i="14" s="1"/>
  <c r="Q4" i="14"/>
  <c r="Q6" i="14" s="1"/>
  <c r="Q21" i="14" s="1"/>
  <c r="P29" i="10"/>
  <c r="P35" i="10" s="1"/>
  <c r="E4" i="14"/>
  <c r="E6" i="14" s="1"/>
  <c r="J74" i="15"/>
  <c r="D74" i="15"/>
  <c r="M74" i="15"/>
  <c r="L74" i="15"/>
  <c r="C74" i="15"/>
  <c r="S74" i="15"/>
  <c r="P74" i="15"/>
  <c r="K74" i="15"/>
  <c r="N74" i="15"/>
  <c r="Q74" i="15"/>
  <c r="F74" i="15"/>
  <c r="G74" i="15"/>
  <c r="R74" i="15"/>
  <c r="H8" i="14"/>
  <c r="F252" i="11" s="1"/>
  <c r="H252" i="11" s="1"/>
  <c r="H3" i="14"/>
  <c r="P3" i="14"/>
  <c r="M8" i="14"/>
  <c r="F257" i="11" s="1"/>
  <c r="H257" i="11" s="1"/>
  <c r="M3" i="14"/>
  <c r="M6" i="14" s="1"/>
  <c r="M21" i="14" s="1"/>
  <c r="G8" i="14"/>
  <c r="G3" i="14"/>
  <c r="G6" i="14" s="1"/>
  <c r="G21" i="14" s="1"/>
  <c r="T9" i="14"/>
  <c r="E265" i="11" s="1"/>
  <c r="I265" i="11" s="1"/>
  <c r="N9" i="14"/>
  <c r="E258" i="11" s="1"/>
  <c r="I258" i="11" s="1"/>
  <c r="E33" i="10"/>
  <c r="C36" i="10"/>
  <c r="E8" i="14"/>
  <c r="F249" i="11" s="1"/>
  <c r="H249" i="11" s="1"/>
  <c r="D34" i="10"/>
  <c r="D37" i="10" s="1"/>
  <c r="D33" i="10"/>
  <c r="U8" i="14"/>
  <c r="F266" i="11" s="1"/>
  <c r="H266" i="11" s="1"/>
  <c r="K29" i="10"/>
  <c r="K35" i="10" s="1"/>
  <c r="Q8" i="14"/>
  <c r="F261" i="11" s="1"/>
  <c r="H261" i="11" s="1"/>
  <c r="I8" i="14"/>
  <c r="F253" i="11" s="1"/>
  <c r="H253" i="11" s="1"/>
  <c r="V4" i="14"/>
  <c r="V6" i="14" s="1"/>
  <c r="V21" i="14" s="1"/>
  <c r="B28" i="10"/>
  <c r="B34" i="10" s="1"/>
  <c r="C26" i="10"/>
  <c r="P32" i="10"/>
  <c r="P34" i="10"/>
  <c r="P37" i="10" s="1"/>
  <c r="P33" i="10"/>
  <c r="N32" i="10"/>
  <c r="G34" i="10"/>
  <c r="G37" i="10" s="1"/>
  <c r="G29" i="10"/>
  <c r="G35" i="10" s="1"/>
  <c r="M28" i="10"/>
  <c r="M33" i="10"/>
  <c r="N33" i="10"/>
  <c r="J33" i="10"/>
  <c r="J28" i="10"/>
  <c r="E34" i="10"/>
  <c r="E37" i="10" s="1"/>
  <c r="E29" i="10"/>
  <c r="R33" i="10"/>
  <c r="R28" i="10"/>
  <c r="N34" i="10"/>
  <c r="N37" i="10" s="1"/>
  <c r="K23" i="9"/>
  <c r="K22" i="9"/>
  <c r="K21" i="9"/>
  <c r="K36" i="9" s="1"/>
  <c r="L23" i="9"/>
  <c r="L20" i="9"/>
  <c r="L21" i="9"/>
  <c r="L15" i="9"/>
  <c r="L18" i="9"/>
  <c r="S39" i="9"/>
  <c r="S40" i="9"/>
  <c r="S41" i="9"/>
  <c r="N26" i="9"/>
  <c r="N32" i="9" s="1"/>
  <c r="D26" i="9"/>
  <c r="D27" i="9" s="1"/>
  <c r="C20" i="9"/>
  <c r="C18" i="9"/>
  <c r="C21" i="9"/>
  <c r="C15" i="9"/>
  <c r="C23" i="9"/>
  <c r="H20" i="9"/>
  <c r="H36" i="9" s="1"/>
  <c r="H22" i="9"/>
  <c r="R21" i="9"/>
  <c r="R22" i="9"/>
  <c r="R20" i="9"/>
  <c r="F23" i="9"/>
  <c r="F20" i="9"/>
  <c r="F15" i="9"/>
  <c r="F18" i="9"/>
  <c r="J26" i="9"/>
  <c r="J32" i="9" s="1"/>
  <c r="Q15" i="9"/>
  <c r="Q22" i="9"/>
  <c r="G22" i="9"/>
  <c r="G23" i="9"/>
  <c r="G20" i="9"/>
  <c r="G21" i="9"/>
  <c r="G18" i="9"/>
  <c r="M23" i="9"/>
  <c r="M18" i="9"/>
  <c r="P26" i="9"/>
  <c r="E27" i="9"/>
  <c r="J71" i="12" l="1"/>
  <c r="F71" i="12"/>
  <c r="K71" i="12"/>
  <c r="D71" i="12"/>
  <c r="N71" i="12"/>
  <c r="L71" i="12"/>
  <c r="E71" i="12"/>
  <c r="C71" i="12"/>
  <c r="M71" i="12"/>
  <c r="P71" i="12"/>
  <c r="B71" i="12"/>
  <c r="E21" i="14"/>
  <c r="D8" i="14"/>
  <c r="F248" i="11" s="1"/>
  <c r="H248" i="11" s="1"/>
  <c r="A49" i="11"/>
  <c r="A24" i="11"/>
  <c r="A74" i="11"/>
  <c r="S32" i="10"/>
  <c r="S28" i="10"/>
  <c r="S29" i="10" s="1"/>
  <c r="S35" i="10" s="1"/>
  <c r="B26" i="9"/>
  <c r="B27" i="9" s="1"/>
  <c r="M36" i="9"/>
  <c r="G36" i="9"/>
  <c r="C50" i="10"/>
  <c r="S36" i="9"/>
  <c r="S26" i="9"/>
  <c r="B36" i="9"/>
  <c r="F36" i="9"/>
  <c r="R36" i="9"/>
  <c r="L36" i="9"/>
  <c r="Q32" i="9"/>
  <c r="Q36" i="9"/>
  <c r="C36" i="9"/>
  <c r="T24" i="14"/>
  <c r="N24" i="14"/>
  <c r="H28" i="10"/>
  <c r="H33" i="10"/>
  <c r="C32" i="10"/>
  <c r="E35" i="10"/>
  <c r="M9" i="14"/>
  <c r="D9" i="14"/>
  <c r="E248" i="11" s="1"/>
  <c r="I248" i="11" s="1"/>
  <c r="U9" i="14"/>
  <c r="E266" i="11" s="1"/>
  <c r="I266" i="11" s="1"/>
  <c r="G9" i="14"/>
  <c r="Q9" i="14"/>
  <c r="E261" i="11" s="1"/>
  <c r="I261" i="11" s="1"/>
  <c r="I9" i="14"/>
  <c r="E9" i="14"/>
  <c r="B37" i="10"/>
  <c r="C8" i="14"/>
  <c r="F247" i="11" s="1"/>
  <c r="H247" i="11" s="1"/>
  <c r="B29" i="10"/>
  <c r="B35" i="10" s="1"/>
  <c r="C27" i="10"/>
  <c r="R34" i="10"/>
  <c r="R37" i="10" s="1"/>
  <c r="R29" i="10"/>
  <c r="R35" i="10" s="1"/>
  <c r="M29" i="10"/>
  <c r="M35" i="10" s="1"/>
  <c r="M34" i="10"/>
  <c r="M37" i="10" s="1"/>
  <c r="J34" i="10"/>
  <c r="J37" i="10" s="1"/>
  <c r="J29" i="10"/>
  <c r="K27" i="9"/>
  <c r="L26" i="9"/>
  <c r="L27" i="9" s="1"/>
  <c r="Q28" i="9"/>
  <c r="Q29" i="9" s="1"/>
  <c r="Q35" i="9" s="1"/>
  <c r="M26" i="9"/>
  <c r="M32" i="9" s="1"/>
  <c r="H26" i="9"/>
  <c r="H27" i="9" s="1"/>
  <c r="N27" i="9"/>
  <c r="D32" i="9"/>
  <c r="D28" i="9"/>
  <c r="D29" i="9" s="1"/>
  <c r="D35" i="9" s="1"/>
  <c r="D33" i="9"/>
  <c r="C26" i="9"/>
  <c r="R26" i="9"/>
  <c r="F26" i="9"/>
  <c r="F32" i="9" s="1"/>
  <c r="J27" i="9"/>
  <c r="J33" i="9" s="1"/>
  <c r="Q33" i="9"/>
  <c r="G26" i="9"/>
  <c r="G32" i="9" s="1"/>
  <c r="P32" i="9"/>
  <c r="P27" i="9"/>
  <c r="E33" i="9"/>
  <c r="E28" i="9"/>
  <c r="C32" i="9" l="1"/>
  <c r="F251" i="11"/>
  <c r="H251" i="11" s="1"/>
  <c r="E257" i="11"/>
  <c r="I257" i="11" s="1"/>
  <c r="E253" i="11"/>
  <c r="I253" i="11" s="1"/>
  <c r="E249" i="11"/>
  <c r="I249" i="11" s="1"/>
  <c r="A50" i="11"/>
  <c r="A25" i="11"/>
  <c r="A75" i="11"/>
  <c r="B32" i="9"/>
  <c r="S34" i="10"/>
  <c r="S37" i="10" s="1"/>
  <c r="S27" i="9"/>
  <c r="S32" i="9"/>
  <c r="U24" i="14"/>
  <c r="Q24" i="14"/>
  <c r="G24" i="14"/>
  <c r="J35" i="10"/>
  <c r="D24" i="14"/>
  <c r="I24" i="14"/>
  <c r="E24" i="14"/>
  <c r="M24" i="14"/>
  <c r="H34" i="10"/>
  <c r="H37" i="10" s="1"/>
  <c r="H29" i="10"/>
  <c r="H35" i="10" s="1"/>
  <c r="V9" i="14"/>
  <c r="E267" i="11" s="1"/>
  <c r="C28" i="10"/>
  <c r="C33" i="10"/>
  <c r="K28" i="9"/>
  <c r="K33" i="9"/>
  <c r="L32" i="9"/>
  <c r="L28" i="9"/>
  <c r="L33" i="9"/>
  <c r="M27" i="9"/>
  <c r="M28" i="9" s="1"/>
  <c r="Q34" i="9"/>
  <c r="H32" i="9"/>
  <c r="N28" i="9"/>
  <c r="N33" i="9"/>
  <c r="D34" i="9"/>
  <c r="C27" i="9"/>
  <c r="H28" i="9"/>
  <c r="H33" i="9"/>
  <c r="R32" i="9"/>
  <c r="R27" i="9"/>
  <c r="F27" i="9"/>
  <c r="F28" i="9" s="1"/>
  <c r="J28" i="9"/>
  <c r="J29" i="9" s="1"/>
  <c r="J35" i="9" s="1"/>
  <c r="B33" i="9"/>
  <c r="B28" i="9"/>
  <c r="G27" i="9"/>
  <c r="G33" i="9" s="1"/>
  <c r="P33" i="9"/>
  <c r="P28" i="9"/>
  <c r="E34" i="9"/>
  <c r="E29" i="9"/>
  <c r="E35" i="9" s="1"/>
  <c r="C33" i="9" l="1"/>
  <c r="A51" i="11"/>
  <c r="A26" i="11"/>
  <c r="A76" i="11"/>
  <c r="S33" i="9"/>
  <c r="S28" i="9"/>
  <c r="T28" i="10"/>
  <c r="V24" i="14"/>
  <c r="C29" i="10"/>
  <c r="C34" i="10"/>
  <c r="C37" i="10" s="1"/>
  <c r="C4" i="14"/>
  <c r="C6" i="14" s="1"/>
  <c r="C21" i="14" s="1"/>
  <c r="H4" i="14"/>
  <c r="H6" i="14" s="1"/>
  <c r="H21" i="14" s="1"/>
  <c r="K34" i="9"/>
  <c r="K29" i="9"/>
  <c r="K35" i="9" s="1"/>
  <c r="L29" i="9"/>
  <c r="L35" i="9" s="1"/>
  <c r="L34" i="9"/>
  <c r="M33" i="9"/>
  <c r="N29" i="9"/>
  <c r="N35" i="9" s="1"/>
  <c r="N34" i="9"/>
  <c r="C28" i="9"/>
  <c r="H29" i="9"/>
  <c r="H35" i="9" s="1"/>
  <c r="H34" i="9"/>
  <c r="R28" i="9"/>
  <c r="R33" i="9"/>
  <c r="F34" i="9"/>
  <c r="F29" i="9"/>
  <c r="F35" i="9" s="1"/>
  <c r="F33" i="9"/>
  <c r="J34" i="9"/>
  <c r="B34" i="9"/>
  <c r="B29" i="9"/>
  <c r="G28" i="9"/>
  <c r="G29" i="9" s="1"/>
  <c r="G35" i="9" s="1"/>
  <c r="M34" i="9"/>
  <c r="M29" i="9"/>
  <c r="M35" i="9" s="1"/>
  <c r="P34" i="9"/>
  <c r="P29" i="9"/>
  <c r="P35" i="9" s="1"/>
  <c r="C34" i="9" l="1"/>
  <c r="A77" i="11"/>
  <c r="A52" i="11"/>
  <c r="A27" i="11"/>
  <c r="T29" i="10"/>
  <c r="S29" i="9"/>
  <c r="S35" i="9" s="1"/>
  <c r="S34" i="9"/>
  <c r="C35" i="10"/>
  <c r="C29" i="9"/>
  <c r="R29" i="9"/>
  <c r="R35" i="9" s="1"/>
  <c r="R34" i="9"/>
  <c r="B35" i="9"/>
  <c r="G34" i="9"/>
  <c r="K18" i="1"/>
  <c r="K36" i="1" s="1"/>
  <c r="C35" i="9" l="1"/>
  <c r="A28" i="11"/>
  <c r="A78" i="11"/>
  <c r="A53" i="11"/>
  <c r="C9" i="14"/>
  <c r="H9" i="14"/>
  <c r="E252" i="11" s="1"/>
  <c r="I252" i="11" s="1"/>
  <c r="E168" i="1"/>
  <c r="E247" i="11" l="1"/>
  <c r="I247" i="11" s="1"/>
  <c r="E251" i="11"/>
  <c r="I251" i="11" s="1"/>
  <c r="A29" i="11"/>
  <c r="A54" i="11"/>
  <c r="A79" i="11"/>
  <c r="C24" i="14"/>
  <c r="H24" i="14"/>
  <c r="D13" i="1"/>
  <c r="D14" i="1" s="1"/>
  <c r="D10" i="1"/>
  <c r="D163" i="1"/>
  <c r="D162" i="1"/>
  <c r="F162" i="1" s="1"/>
  <c r="C163" i="1"/>
  <c r="E20" i="1"/>
  <c r="E18" i="1"/>
  <c r="S46" i="1"/>
  <c r="S39" i="1" s="1"/>
  <c r="R46" i="1"/>
  <c r="R39" i="1" s="1"/>
  <c r="Q46" i="1"/>
  <c r="Q40" i="1" s="1"/>
  <c r="P46" i="1"/>
  <c r="P40" i="1" s="1"/>
  <c r="N46" i="1"/>
  <c r="N40" i="1" s="1"/>
  <c r="M46" i="1"/>
  <c r="M47" i="1" s="1"/>
  <c r="M21" i="1" s="1"/>
  <c r="L46" i="1"/>
  <c r="L47" i="1" s="1"/>
  <c r="L22" i="1" s="1"/>
  <c r="K46" i="1"/>
  <c r="K40" i="1" s="1"/>
  <c r="J46" i="1"/>
  <c r="J47" i="1" s="1"/>
  <c r="H46" i="1"/>
  <c r="H40" i="1" s="1"/>
  <c r="F46" i="1"/>
  <c r="F39" i="1" s="1"/>
  <c r="G46" i="1"/>
  <c r="G41" i="1" s="1"/>
  <c r="B46" i="1"/>
  <c r="C46" i="1"/>
  <c r="C41" i="1" s="1"/>
  <c r="E46" i="1"/>
  <c r="D46" i="1"/>
  <c r="D40" i="1" s="1"/>
  <c r="E15" i="1"/>
  <c r="E13" i="1"/>
  <c r="E14" i="1" s="1"/>
  <c r="E11" i="1"/>
  <c r="E12" i="1" s="1"/>
  <c r="E9" i="1"/>
  <c r="E10" i="1" s="1"/>
  <c r="Q167" i="1"/>
  <c r="Q162" i="1"/>
  <c r="Q166" i="1"/>
  <c r="Q161" i="1"/>
  <c r="Q170" i="1"/>
  <c r="Q165" i="1"/>
  <c r="Q160" i="1"/>
  <c r="P162" i="1"/>
  <c r="P167" i="1"/>
  <c r="S14" i="1"/>
  <c r="S12" i="1"/>
  <c r="S10" i="1"/>
  <c r="R14" i="1"/>
  <c r="R12" i="1"/>
  <c r="R10" i="1"/>
  <c r="Q14" i="1"/>
  <c r="Q12" i="1"/>
  <c r="Q10" i="1"/>
  <c r="P14" i="1"/>
  <c r="P12" i="1"/>
  <c r="P10" i="1"/>
  <c r="N14" i="1"/>
  <c r="N12" i="1"/>
  <c r="N10" i="1"/>
  <c r="M14" i="1"/>
  <c r="M12" i="1"/>
  <c r="M10" i="1"/>
  <c r="L14" i="1"/>
  <c r="L12" i="1"/>
  <c r="L10" i="1"/>
  <c r="K14" i="1"/>
  <c r="K12" i="1"/>
  <c r="K10" i="1"/>
  <c r="J14" i="1"/>
  <c r="J12" i="1"/>
  <c r="J10" i="1"/>
  <c r="H14" i="1"/>
  <c r="H12" i="1"/>
  <c r="H10" i="1"/>
  <c r="F14" i="1"/>
  <c r="F12" i="1"/>
  <c r="F10" i="1"/>
  <c r="G14" i="1"/>
  <c r="G12" i="1"/>
  <c r="G10" i="1"/>
  <c r="D12" i="1"/>
  <c r="C14" i="1"/>
  <c r="C12" i="1"/>
  <c r="C10" i="1"/>
  <c r="B14" i="1"/>
  <c r="B12" i="1"/>
  <c r="B10" i="1"/>
  <c r="Q26" i="1"/>
  <c r="Q27" i="1" s="1"/>
  <c r="L26" i="1"/>
  <c r="L27" i="1" s="1"/>
  <c r="K26" i="1"/>
  <c r="K27" i="1" s="1"/>
  <c r="H26" i="1"/>
  <c r="H27" i="1" s="1"/>
  <c r="F26" i="1"/>
  <c r="G26" i="1"/>
  <c r="G27" i="1" s="1"/>
  <c r="C26" i="1"/>
  <c r="B26" i="1"/>
  <c r="E26" i="1" l="1"/>
  <c r="C27" i="1"/>
  <c r="A30" i="11"/>
  <c r="A31" i="11" s="1"/>
  <c r="A32" i="11" s="1"/>
  <c r="A33" i="11" s="1"/>
  <c r="A34" i="11" s="1"/>
  <c r="A80" i="11"/>
  <c r="A81" i="11" s="1"/>
  <c r="A82" i="11" s="1"/>
  <c r="A83" i="11" s="1"/>
  <c r="A84" i="11" s="1"/>
  <c r="A55" i="11"/>
  <c r="A56" i="11" s="1"/>
  <c r="A57" i="11" s="1"/>
  <c r="A58" i="11" s="1"/>
  <c r="A59" i="11" s="1"/>
  <c r="M18" i="1"/>
  <c r="M22" i="1"/>
  <c r="J21" i="1"/>
  <c r="J22" i="1"/>
  <c r="B41" i="1"/>
  <c r="E32" i="1"/>
  <c r="S41" i="1"/>
  <c r="J39" i="1"/>
  <c r="M41" i="1"/>
  <c r="R40" i="1"/>
  <c r="E39" i="1"/>
  <c r="E41" i="1"/>
  <c r="J40" i="1"/>
  <c r="J41" i="1"/>
  <c r="R47" i="1"/>
  <c r="R18" i="1" s="1"/>
  <c r="R41" i="1"/>
  <c r="J23" i="1"/>
  <c r="J20" i="1"/>
  <c r="M23" i="1"/>
  <c r="M20" i="1"/>
  <c r="E47" i="1"/>
  <c r="E22" i="1" s="1"/>
  <c r="E40" i="1"/>
  <c r="F163" i="1"/>
  <c r="G163" i="1" s="1"/>
  <c r="S47" i="1"/>
  <c r="S23" i="1" s="1"/>
  <c r="S40" i="1"/>
  <c r="Q47" i="1"/>
  <c r="P41" i="1"/>
  <c r="P39" i="1"/>
  <c r="P47" i="1"/>
  <c r="P15" i="1" s="1"/>
  <c r="N39" i="1"/>
  <c r="N47" i="1"/>
  <c r="N23" i="1" s="1"/>
  <c r="N41" i="1"/>
  <c r="M40" i="1"/>
  <c r="M39" i="1"/>
  <c r="L41" i="1"/>
  <c r="L40" i="1"/>
  <c r="L39" i="1"/>
  <c r="K41" i="1"/>
  <c r="K39" i="1"/>
  <c r="K47" i="1"/>
  <c r="C47" i="1"/>
  <c r="C22" i="1" s="1"/>
  <c r="C28" i="1" s="1"/>
  <c r="C39" i="1"/>
  <c r="C40" i="1"/>
  <c r="F47" i="1"/>
  <c r="F41" i="1"/>
  <c r="H41" i="1"/>
  <c r="H47" i="1"/>
  <c r="G40" i="1"/>
  <c r="G39" i="1"/>
  <c r="G47" i="1"/>
  <c r="G63" i="1" s="1"/>
  <c r="G15" i="1" s="1"/>
  <c r="C32" i="1"/>
  <c r="B39" i="1"/>
  <c r="B47" i="1"/>
  <c r="B22" i="1" s="1"/>
  <c r="B40" i="1"/>
  <c r="B32" i="1"/>
  <c r="D39" i="1"/>
  <c r="D47" i="1"/>
  <c r="D41" i="1"/>
  <c r="Q41" i="1"/>
  <c r="Q39" i="1"/>
  <c r="H39" i="1"/>
  <c r="F40" i="1"/>
  <c r="Q28" i="1"/>
  <c r="Q33" i="1"/>
  <c r="Q32" i="1"/>
  <c r="L28" i="1"/>
  <c r="L33" i="1"/>
  <c r="L32" i="1"/>
  <c r="K28" i="1"/>
  <c r="K33" i="1"/>
  <c r="K32" i="1"/>
  <c r="H28" i="1"/>
  <c r="H33" i="1"/>
  <c r="H32" i="1"/>
  <c r="F32" i="1"/>
  <c r="G28" i="1"/>
  <c r="C33" i="1"/>
  <c r="D22" i="1" l="1"/>
  <c r="D18" i="1"/>
  <c r="G33" i="1"/>
  <c r="G36" i="1"/>
  <c r="M36" i="1"/>
  <c r="F21" i="1"/>
  <c r="F22" i="1"/>
  <c r="R36" i="1"/>
  <c r="R26" i="1"/>
  <c r="S22" i="1"/>
  <c r="J26" i="1"/>
  <c r="J27" i="1" s="1"/>
  <c r="J28" i="1" s="1"/>
  <c r="J29" i="1" s="1"/>
  <c r="J35" i="1" s="1"/>
  <c r="J36" i="1"/>
  <c r="G32" i="1"/>
  <c r="N21" i="1"/>
  <c r="N22" i="1"/>
  <c r="N18" i="1"/>
  <c r="N20" i="1"/>
  <c r="B23" i="1"/>
  <c r="B21" i="1"/>
  <c r="B36" i="1" s="1"/>
  <c r="P18" i="1"/>
  <c r="P21" i="1"/>
  <c r="P22" i="1"/>
  <c r="P20" i="1"/>
  <c r="P23" i="1"/>
  <c r="E23" i="1"/>
  <c r="E21" i="1"/>
  <c r="M26" i="1"/>
  <c r="D19" i="1"/>
  <c r="D21" i="1"/>
  <c r="D23" i="1"/>
  <c r="D15" i="1"/>
  <c r="Q29" i="1"/>
  <c r="Q35" i="1" s="1"/>
  <c r="Q34" i="1"/>
  <c r="L29" i="1"/>
  <c r="L35" i="1" s="1"/>
  <c r="L34" i="1"/>
  <c r="K29" i="1"/>
  <c r="K35" i="1" s="1"/>
  <c r="K34" i="1"/>
  <c r="H29" i="1"/>
  <c r="H35" i="1" s="1"/>
  <c r="H34" i="1"/>
  <c r="G29" i="1"/>
  <c r="G35" i="1" s="1"/>
  <c r="G34" i="1"/>
  <c r="C29" i="1"/>
  <c r="C34" i="1"/>
  <c r="C35" i="1" l="1"/>
  <c r="J32" i="1"/>
  <c r="P36" i="1"/>
  <c r="S36" i="1"/>
  <c r="S26" i="1"/>
  <c r="N36" i="1"/>
  <c r="F36" i="1"/>
  <c r="F27" i="1"/>
  <c r="D36" i="1"/>
  <c r="R27" i="1"/>
  <c r="R32" i="1"/>
  <c r="E27" i="1"/>
  <c r="E28" i="1" s="1"/>
  <c r="E36" i="1"/>
  <c r="N26" i="1"/>
  <c r="J33" i="1"/>
  <c r="J34" i="1"/>
  <c r="P26" i="1"/>
  <c r="B27" i="1"/>
  <c r="M27" i="1"/>
  <c r="M32" i="1"/>
  <c r="D26" i="1"/>
  <c r="E33" i="1" l="1"/>
  <c r="F33" i="1"/>
  <c r="F28" i="1"/>
  <c r="S27" i="1"/>
  <c r="S32" i="1"/>
  <c r="R28" i="1"/>
  <c r="R33" i="1"/>
  <c r="P32" i="1"/>
  <c r="N27" i="1"/>
  <c r="N32" i="1"/>
  <c r="P27" i="1"/>
  <c r="D27" i="1"/>
  <c r="M33" i="1"/>
  <c r="M28" i="1"/>
  <c r="E34" i="1"/>
  <c r="E29" i="1"/>
  <c r="E35" i="1" s="1"/>
  <c r="B33" i="1"/>
  <c r="B28" i="1"/>
  <c r="D32" i="1"/>
  <c r="F29" i="1" l="1"/>
  <c r="F35" i="1" s="1"/>
  <c r="F34" i="1"/>
  <c r="S33" i="1"/>
  <c r="S28" i="1"/>
  <c r="R29" i="1"/>
  <c r="R35" i="1" s="1"/>
  <c r="R34" i="1"/>
  <c r="N33" i="1"/>
  <c r="N28" i="1"/>
  <c r="P33" i="1"/>
  <c r="P28" i="1"/>
  <c r="B34" i="1"/>
  <c r="B29" i="1"/>
  <c r="D28" i="1"/>
  <c r="D33" i="1"/>
  <c r="M34" i="1"/>
  <c r="M29" i="1"/>
  <c r="M35" i="1" s="1"/>
  <c r="S34" i="1" l="1"/>
  <c r="S29" i="1"/>
  <c r="S35" i="1" s="1"/>
  <c r="P29" i="1"/>
  <c r="N34" i="1"/>
  <c r="N29" i="1"/>
  <c r="N35" i="1" s="1"/>
  <c r="P34" i="1"/>
  <c r="D29" i="1"/>
  <c r="D34" i="1"/>
  <c r="B35" i="1"/>
  <c r="D35" i="1" l="1"/>
  <c r="P35" i="1"/>
  <c r="K46" i="4" l="1"/>
  <c r="K45" i="4"/>
  <c r="K47" i="4" l="1"/>
  <c r="K48" i="4" s="1"/>
  <c r="K49" i="4" s="1"/>
  <c r="K10" i="4"/>
  <c r="K9" i="4" s="1"/>
  <c r="K41" i="4" l="1"/>
  <c r="K43" i="4"/>
  <c r="K42" i="4"/>
  <c r="K12" i="4"/>
  <c r="K11" i="4" s="1"/>
  <c r="K14" i="4"/>
  <c r="K13" i="4" s="1"/>
  <c r="K15" i="4" l="1"/>
  <c r="K20" i="4"/>
  <c r="K18" i="4"/>
  <c r="K22" i="4"/>
  <c r="K21" i="4"/>
  <c r="K11" i="14"/>
  <c r="K5" i="14" s="1"/>
  <c r="K23" i="4"/>
  <c r="K27" i="4" l="1"/>
  <c r="K28" i="4" s="1"/>
  <c r="K37" i="4"/>
  <c r="K51" i="4" s="1"/>
  <c r="K53" i="4" s="1"/>
  <c r="K8" i="14" s="1"/>
  <c r="F255" i="11" s="1"/>
  <c r="H255" i="11" s="1"/>
  <c r="K3" i="14"/>
  <c r="K33" i="4" l="1"/>
  <c r="K29" i="4"/>
  <c r="K34" i="4"/>
  <c r="C228" i="11" l="1"/>
  <c r="K35" i="4"/>
  <c r="L11" i="11" s="1"/>
  <c r="K4" i="14"/>
  <c r="K6" i="14" s="1"/>
  <c r="K21" i="14" s="1"/>
  <c r="K30" i="4"/>
  <c r="K36" i="4" s="1"/>
  <c r="K38" i="4" l="1"/>
  <c r="K9" i="14" s="1"/>
  <c r="D255" i="11"/>
  <c r="C175" i="11"/>
  <c r="C202" i="11"/>
  <c r="K24" i="14" l="1"/>
  <c r="E255" i="11"/>
  <c r="I255" i="11" s="1"/>
  <c r="C149" i="11"/>
  <c r="C99" i="11"/>
  <c r="C124" i="11"/>
  <c r="P52" i="4" l="1"/>
  <c r="P21" i="4"/>
  <c r="P18" i="4"/>
  <c r="P11" i="14"/>
  <c r="P5" i="14" s="1"/>
  <c r="P23" i="4"/>
  <c r="P20" i="4" l="1"/>
  <c r="P27" i="4" s="1"/>
  <c r="P22" i="4"/>
  <c r="P37" i="4" l="1"/>
  <c r="P51" i="4" s="1"/>
  <c r="P53" i="4" s="1"/>
  <c r="P8" i="14" s="1"/>
  <c r="F260" i="11" s="1"/>
  <c r="H260" i="11" s="1"/>
  <c r="P28" i="4"/>
  <c r="P33" i="4"/>
  <c r="P29" i="4" l="1"/>
  <c r="P34" i="4"/>
  <c r="P30" i="4" l="1"/>
  <c r="P36" i="4" s="1"/>
  <c r="P35" i="4"/>
  <c r="Q11" i="11" s="1"/>
  <c r="P4" i="14"/>
  <c r="P6" i="14" s="1"/>
  <c r="P21" i="14" s="1"/>
  <c r="P38" i="4" l="1"/>
  <c r="P9" i="14" s="1"/>
  <c r="D260" i="11" l="1"/>
  <c r="E260" i="11"/>
  <c r="I260" i="11" s="1"/>
  <c r="P24" i="14"/>
  <c r="S14" i="4" l="1"/>
  <c r="S13" i="4" s="1"/>
  <c r="S45" i="4"/>
  <c r="S47" i="4"/>
  <c r="S10" i="4"/>
  <c r="S9" i="4" s="1"/>
  <c r="S12" i="4"/>
  <c r="S11" i="4" s="1"/>
  <c r="S46" i="4" l="1"/>
  <c r="S48" i="4" s="1"/>
  <c r="S42" i="4" l="1"/>
  <c r="S49" i="4"/>
  <c r="S43" i="4"/>
  <c r="S41" i="4"/>
  <c r="S22" i="4" l="1"/>
  <c r="C10" i="5"/>
  <c r="S18" i="4"/>
  <c r="C6" i="5"/>
  <c r="C14" i="5"/>
  <c r="S19" i="4"/>
  <c r="C7" i="5"/>
  <c r="S20" i="4"/>
  <c r="C8" i="5"/>
  <c r="S21" i="4"/>
  <c r="C9" i="5"/>
  <c r="S23" i="4"/>
  <c r="S11" i="14"/>
  <c r="S5" i="14" s="1"/>
  <c r="C11" i="5"/>
  <c r="S15" i="4"/>
  <c r="S37" i="4" l="1"/>
  <c r="S51" i="4" s="1"/>
  <c r="S53" i="4" s="1"/>
  <c r="S8" i="14" s="1"/>
  <c r="F264" i="11" s="1"/>
  <c r="H264" i="11" s="1"/>
  <c r="S3" i="14"/>
  <c r="C15" i="5"/>
  <c r="C20" i="5"/>
  <c r="S27" i="4"/>
  <c r="S28" i="4" s="1"/>
  <c r="S29" i="4" s="1"/>
  <c r="S30" i="4" l="1"/>
  <c r="S36" i="4" s="1"/>
  <c r="S4" i="14"/>
  <c r="S6" i="14" s="1"/>
  <c r="S21" i="14" s="1"/>
  <c r="S34" i="4"/>
  <c r="C23" i="5"/>
  <c r="C16" i="5"/>
  <c r="S35" i="4"/>
  <c r="T11" i="11" s="1"/>
  <c r="S33" i="4"/>
  <c r="C24" i="5" l="1"/>
  <c r="C17" i="5"/>
  <c r="S38" i="4"/>
  <c r="S9" i="14" s="1"/>
  <c r="E264" i="11" l="1"/>
  <c r="I264" i="11" s="1"/>
  <c r="S24" i="14"/>
  <c r="C236" i="11"/>
  <c r="P112" i="31"/>
  <c r="Q112" i="31"/>
  <c r="E112" i="31"/>
  <c r="V112" i="31"/>
  <c r="F112" i="31"/>
  <c r="C25" i="5"/>
  <c r="I112" i="31"/>
  <c r="D112" i="31"/>
  <c r="H112" i="31"/>
  <c r="J112" i="31"/>
  <c r="R112" i="31"/>
  <c r="O112" i="31"/>
  <c r="T112" i="31"/>
  <c r="B112" i="31"/>
  <c r="N112" i="31"/>
  <c r="C112" i="31"/>
  <c r="S112" i="31"/>
  <c r="K112" i="31"/>
  <c r="G112" i="31"/>
  <c r="M112" i="31"/>
  <c r="U112" i="31"/>
  <c r="C18" i="5"/>
  <c r="O108" i="31" l="1"/>
  <c r="H108" i="31"/>
  <c r="R108" i="31"/>
  <c r="C108" i="31"/>
  <c r="B108" i="31"/>
  <c r="P108" i="31"/>
  <c r="N108" i="31"/>
  <c r="U108" i="31"/>
  <c r="J108" i="31"/>
  <c r="G108" i="31"/>
  <c r="T108" i="31"/>
  <c r="K108" i="31"/>
  <c r="S108" i="31"/>
  <c r="D108" i="31"/>
  <c r="Q108" i="31"/>
  <c r="I108" i="31"/>
  <c r="V108" i="31"/>
  <c r="E108" i="31"/>
  <c r="F108" i="31"/>
  <c r="M108" i="31"/>
  <c r="C40" i="11"/>
  <c r="C46" i="11"/>
  <c r="C39" i="11"/>
  <c r="C54" i="11"/>
  <c r="C48" i="11"/>
  <c r="C44" i="11"/>
  <c r="C52" i="11"/>
  <c r="C49" i="11"/>
  <c r="C58" i="11"/>
  <c r="C47" i="11"/>
  <c r="C53" i="11"/>
  <c r="C51" i="11"/>
  <c r="C56" i="11"/>
  <c r="C55" i="11"/>
  <c r="C45" i="11"/>
  <c r="C50" i="11"/>
  <c r="C41" i="11"/>
  <c r="C57" i="11"/>
  <c r="C42" i="11"/>
  <c r="C43" i="11"/>
  <c r="C59" i="11"/>
  <c r="C183" i="11"/>
  <c r="D264" i="11"/>
  <c r="C210" i="11"/>
  <c r="F110" i="31"/>
  <c r="U110" i="31"/>
  <c r="T110" i="31"/>
  <c r="N110" i="31"/>
  <c r="G110" i="31"/>
  <c r="E110" i="31"/>
  <c r="I110" i="31"/>
  <c r="Q110" i="31"/>
  <c r="J110" i="31"/>
  <c r="C110" i="31"/>
  <c r="S110" i="31"/>
  <c r="R110" i="31"/>
  <c r="B110" i="31"/>
  <c r="O110" i="31"/>
  <c r="M110" i="31"/>
  <c r="P110" i="31"/>
  <c r="D110" i="31"/>
  <c r="H110" i="31"/>
  <c r="K110" i="31"/>
  <c r="V110" i="31"/>
  <c r="C15" i="11" l="1"/>
  <c r="B15" i="11" s="1"/>
  <c r="C82" i="11"/>
  <c r="C84" i="11"/>
  <c r="C66" i="11"/>
  <c r="C65" i="11"/>
  <c r="C68" i="11"/>
  <c r="C69" i="11"/>
  <c r="C78" i="11"/>
  <c r="C75" i="11"/>
  <c r="C74" i="11"/>
  <c r="C73" i="11"/>
  <c r="C83" i="11"/>
  <c r="C80" i="11"/>
  <c r="C77" i="11"/>
  <c r="C64" i="11"/>
  <c r="C81" i="11"/>
  <c r="C70" i="11"/>
  <c r="C76" i="11"/>
  <c r="C71" i="11"/>
  <c r="C79" i="11"/>
  <c r="C72" i="11"/>
  <c r="C67" i="11"/>
  <c r="B59" i="11"/>
  <c r="D59" i="11"/>
  <c r="B55" i="11"/>
  <c r="D55" i="11"/>
  <c r="B47" i="11"/>
  <c r="D47" i="11"/>
  <c r="B44" i="11"/>
  <c r="D44" i="11"/>
  <c r="B46" i="11"/>
  <c r="D46" i="11"/>
  <c r="D57" i="11"/>
  <c r="B57" i="11"/>
  <c r="D45" i="11"/>
  <c r="B45" i="11"/>
  <c r="D53" i="11"/>
  <c r="B53" i="11"/>
  <c r="D52" i="11"/>
  <c r="B52" i="11"/>
  <c r="D39" i="11"/>
  <c r="B39" i="11"/>
  <c r="C32" i="11"/>
  <c r="C26" i="11"/>
  <c r="C34" i="11"/>
  <c r="C17" i="11"/>
  <c r="C28" i="11"/>
  <c r="C31" i="11"/>
  <c r="C29" i="11"/>
  <c r="C21" i="11"/>
  <c r="C22" i="11"/>
  <c r="C25" i="11"/>
  <c r="C24" i="11"/>
  <c r="C20" i="11"/>
  <c r="C30" i="11"/>
  <c r="C16" i="11"/>
  <c r="C18" i="11"/>
  <c r="C19" i="11"/>
  <c r="C14" i="11"/>
  <c r="D14" i="11" s="1"/>
  <c r="C23" i="11"/>
  <c r="C27" i="11"/>
  <c r="C33" i="11"/>
  <c r="D33" i="11" s="1"/>
  <c r="D42" i="11"/>
  <c r="B42" i="11"/>
  <c r="D50" i="11"/>
  <c r="B50" i="11"/>
  <c r="B51" i="11"/>
  <c r="D51" i="11"/>
  <c r="D49" i="11"/>
  <c r="B49" i="11"/>
  <c r="B54" i="11"/>
  <c r="D54" i="11"/>
  <c r="C107" i="11"/>
  <c r="C132" i="11"/>
  <c r="C157" i="11"/>
  <c r="D43" i="11"/>
  <c r="B43" i="11"/>
  <c r="B41" i="11"/>
  <c r="D41" i="11"/>
  <c r="B56" i="11"/>
  <c r="D56" i="11"/>
  <c r="B58" i="11"/>
  <c r="D58" i="11"/>
  <c r="B48" i="11"/>
  <c r="D48" i="11"/>
  <c r="B40" i="11"/>
  <c r="D40" i="11"/>
  <c r="D20" i="11" l="1"/>
  <c r="B20" i="11"/>
  <c r="D26" i="11"/>
  <c r="B26" i="11"/>
  <c r="B73" i="11"/>
  <c r="D73" i="11"/>
  <c r="D27" i="11"/>
  <c r="B27" i="11"/>
  <c r="B18" i="11"/>
  <c r="D18" i="11"/>
  <c r="B24" i="11"/>
  <c r="D24" i="11"/>
  <c r="B22" i="11"/>
  <c r="D22" i="11"/>
  <c r="B28" i="11"/>
  <c r="D28" i="11"/>
  <c r="D32" i="11"/>
  <c r="B32" i="11"/>
  <c r="B72" i="11"/>
  <c r="D72" i="11"/>
  <c r="B70" i="11"/>
  <c r="D70" i="11"/>
  <c r="B80" i="11"/>
  <c r="D80" i="11"/>
  <c r="B74" i="11"/>
  <c r="D74" i="11"/>
  <c r="B68" i="11"/>
  <c r="D68" i="11"/>
  <c r="B82" i="11"/>
  <c r="D82" i="11"/>
  <c r="B33" i="11"/>
  <c r="D15" i="11"/>
  <c r="B67" i="11"/>
  <c r="D67" i="11"/>
  <c r="B76" i="11"/>
  <c r="D76" i="11"/>
  <c r="B84" i="11"/>
  <c r="D84" i="11"/>
  <c r="B14" i="11"/>
  <c r="B30" i="11"/>
  <c r="D30" i="11"/>
  <c r="B29" i="11"/>
  <c r="D29" i="11"/>
  <c r="B34" i="11"/>
  <c r="D34" i="11"/>
  <c r="B71" i="11"/>
  <c r="D71" i="11"/>
  <c r="B64" i="11"/>
  <c r="D64" i="11"/>
  <c r="B83" i="11"/>
  <c r="D83" i="11"/>
  <c r="B78" i="11"/>
  <c r="D78" i="11"/>
  <c r="B66" i="11"/>
  <c r="D66" i="11"/>
  <c r="D19" i="11"/>
  <c r="B19" i="11"/>
  <c r="D31" i="11"/>
  <c r="B31" i="11"/>
  <c r="B77" i="11"/>
  <c r="D77" i="11"/>
  <c r="B69" i="11"/>
  <c r="D69" i="11"/>
  <c r="B23" i="11"/>
  <c r="D23" i="11"/>
  <c r="D16" i="11"/>
  <c r="B16" i="11"/>
  <c r="B25" i="11"/>
  <c r="D25" i="11"/>
  <c r="D21" i="11"/>
  <c r="B21" i="11"/>
  <c r="D17" i="11"/>
  <c r="B17" i="11"/>
  <c r="B79" i="11"/>
  <c r="D79" i="11"/>
  <c r="D81" i="11"/>
  <c r="B81" i="11"/>
  <c r="B75" i="11"/>
  <c r="D75" i="11"/>
  <c r="B65" i="11"/>
  <c r="D65" i="11"/>
</calcChain>
</file>

<file path=xl/comments1.xml><?xml version="1.0" encoding="utf-8"?>
<comments xmlns="http://schemas.openxmlformats.org/spreadsheetml/2006/main">
  <authors>
    <author>mateerha</author>
    <author>Gregg Price</author>
    <author>Harry Mateer</author>
  </authors>
  <commentList>
    <comment ref="D9" authorId="0" shapeId="0">
      <text>
        <r>
          <rPr>
            <b/>
            <sz val="9"/>
            <color indexed="81"/>
            <rFont val="Tahoma"/>
            <family val="2"/>
          </rPr>
          <t>mateerha:</t>
        </r>
        <r>
          <rPr>
            <sz val="9"/>
            <color indexed="81"/>
            <rFont val="Tahoma"/>
            <family val="2"/>
          </rPr>
          <t xml:space="preserve">
Represents weighted average of all liquids (ex mining) and mining.  Includes NGLs</t>
        </r>
      </text>
    </comment>
    <comment ref="C15" authorId="1" shapeId="0">
      <text>
        <r>
          <rPr>
            <b/>
            <sz val="9"/>
            <color indexed="81"/>
            <rFont val="Tahoma"/>
            <family val="2"/>
          </rPr>
          <t>Gregg Price:</t>
        </r>
        <r>
          <rPr>
            <sz val="9"/>
            <color indexed="81"/>
            <rFont val="Tahoma"/>
            <family val="2"/>
          </rPr>
          <t xml:space="preserve">
I/S revenue includes revenues from tax barrels; estimated revenues from this arrangement are backed out here</t>
        </r>
      </text>
    </comment>
    <comment ref="D15" authorId="0" shapeId="0">
      <text>
        <r>
          <rPr>
            <b/>
            <sz val="9"/>
            <color indexed="81"/>
            <rFont val="Tahoma"/>
            <family val="2"/>
          </rPr>
          <t>mateerha:</t>
        </r>
        <r>
          <rPr>
            <sz val="9"/>
            <color indexed="81"/>
            <rFont val="Tahoma"/>
            <family val="2"/>
          </rPr>
          <t xml:space="preserve">
Not directly comparable to above hydrocarbon realizations because they are net of transportation and blending (adjusted in the sensitivity tab)</t>
        </r>
      </text>
    </comment>
    <comment ref="E15" authorId="1" shapeId="0">
      <text>
        <r>
          <rPr>
            <b/>
            <sz val="9"/>
            <color indexed="81"/>
            <rFont val="Tahoma"/>
            <family val="2"/>
          </rPr>
          <t>Gregg Price:</t>
        </r>
        <r>
          <rPr>
            <sz val="9"/>
            <color indexed="81"/>
            <rFont val="Tahoma"/>
            <family val="2"/>
          </rPr>
          <t xml:space="preserve">
Production and revenues only include continuing operations</t>
        </r>
      </text>
    </comment>
    <comment ref="B21" authorId="0" shapeId="0">
      <text>
        <r>
          <rPr>
            <b/>
            <sz val="9"/>
            <color indexed="81"/>
            <rFont val="Tahoma"/>
            <family val="2"/>
          </rPr>
          <t>mateerha:</t>
        </r>
        <r>
          <rPr>
            <sz val="9"/>
            <color indexed="81"/>
            <rFont val="Tahoma"/>
            <family val="2"/>
          </rPr>
          <t xml:space="preserve">
Excludes restructuring charges and WES G&amp;A</t>
        </r>
      </text>
    </comment>
    <comment ref="D21" authorId="1" shapeId="0">
      <text>
        <r>
          <rPr>
            <b/>
            <sz val="9"/>
            <color indexed="81"/>
            <rFont val="Tahoma"/>
            <family val="2"/>
          </rPr>
          <t>Gregg Price:</t>
        </r>
        <r>
          <rPr>
            <sz val="9"/>
            <color indexed="81"/>
            <rFont val="Tahoma"/>
            <family val="2"/>
          </rPr>
          <t xml:space="preserve">
Includes stock comp</t>
        </r>
      </text>
    </comment>
    <comment ref="H21" authorId="2" shapeId="0">
      <text>
        <r>
          <rPr>
            <b/>
            <sz val="8"/>
            <color indexed="81"/>
            <rFont val="Tahoma"/>
            <family val="2"/>
          </rPr>
          <t>Harry Mateer:</t>
        </r>
        <r>
          <rPr>
            <sz val="8"/>
            <color indexed="81"/>
            <rFont val="Tahoma"/>
            <family val="2"/>
          </rPr>
          <t xml:space="preserve">
Includes equity comp</t>
        </r>
      </text>
    </comment>
    <comment ref="I21" authorId="0" shapeId="0">
      <text>
        <r>
          <rPr>
            <b/>
            <sz val="9"/>
            <color indexed="81"/>
            <rFont val="Tahoma"/>
            <family val="2"/>
          </rPr>
          <t>mateerha:</t>
        </r>
        <r>
          <rPr>
            <sz val="9"/>
            <color indexed="81"/>
            <rFont val="Tahoma"/>
            <family val="2"/>
          </rPr>
          <t xml:space="preserve">
Includes stock comp</t>
        </r>
      </text>
    </comment>
    <comment ref="J21" authorId="0" shapeId="0">
      <text>
        <r>
          <rPr>
            <b/>
            <sz val="9"/>
            <color indexed="81"/>
            <rFont val="Tahoma"/>
            <family val="2"/>
          </rPr>
          <t>mateerha:</t>
        </r>
        <r>
          <rPr>
            <sz val="9"/>
            <color indexed="81"/>
            <rFont val="Tahoma"/>
            <family val="2"/>
          </rPr>
          <t xml:space="preserve">
Adjusted for capitalized</t>
        </r>
      </text>
    </comment>
    <comment ref="K21" authorId="1" shapeId="0">
      <text>
        <r>
          <rPr>
            <b/>
            <sz val="9"/>
            <color indexed="81"/>
            <rFont val="Tahoma"/>
            <family val="2"/>
          </rPr>
          <t>Gregg Price:</t>
        </r>
        <r>
          <rPr>
            <sz val="9"/>
            <color indexed="81"/>
            <rFont val="Tahoma"/>
            <family val="2"/>
          </rPr>
          <t xml:space="preserve">
SGA ex long term incentives + average cash settled stock comp</t>
        </r>
      </text>
    </comment>
    <comment ref="D22" authorId="1" shapeId="0">
      <text>
        <r>
          <rPr>
            <b/>
            <sz val="9"/>
            <color indexed="81"/>
            <rFont val="Tahoma"/>
            <family val="2"/>
          </rPr>
          <t>Gregg Price:</t>
        </r>
        <r>
          <rPr>
            <sz val="9"/>
            <color indexed="81"/>
            <rFont val="Tahoma"/>
            <family val="2"/>
          </rPr>
          <t xml:space="preserve">
Adds back capitalized interest</t>
        </r>
      </text>
    </comment>
    <comment ref="J22" authorId="0" shapeId="0">
      <text>
        <r>
          <rPr>
            <b/>
            <sz val="9"/>
            <color indexed="81"/>
            <rFont val="Tahoma"/>
            <family val="2"/>
          </rPr>
          <t>mateerha:</t>
        </r>
        <r>
          <rPr>
            <sz val="9"/>
            <color indexed="81"/>
            <rFont val="Tahoma"/>
            <family val="2"/>
          </rPr>
          <t xml:space="preserve">
Adjusted for capitalized</t>
        </r>
      </text>
    </comment>
    <comment ref="M22" authorId="1" shapeId="0">
      <text>
        <r>
          <rPr>
            <b/>
            <sz val="9"/>
            <color indexed="81"/>
            <rFont val="Tahoma"/>
            <family val="2"/>
          </rPr>
          <t>Gregg Price:</t>
        </r>
        <r>
          <rPr>
            <sz val="9"/>
            <color indexed="81"/>
            <rFont val="Tahoma"/>
            <family val="2"/>
          </rPr>
          <t xml:space="preserve">
Adds back capitalized interest, less interest attributed to midstream</t>
        </r>
      </text>
    </comment>
    <comment ref="N22" authorId="1" shapeId="0">
      <text>
        <r>
          <rPr>
            <b/>
            <sz val="9"/>
            <color indexed="81"/>
            <rFont val="Tahoma"/>
            <family val="2"/>
          </rPr>
          <t>Gregg Price:</t>
        </r>
        <r>
          <rPr>
            <sz val="9"/>
            <color indexed="81"/>
            <rFont val="Tahoma"/>
            <family val="2"/>
          </rPr>
          <t xml:space="preserve">
Terminated interest swap contracts recording a gain of $47mn)
</t>
        </r>
      </text>
    </comment>
    <comment ref="P22" authorId="2" shapeId="0">
      <text>
        <r>
          <rPr>
            <b/>
            <sz val="8"/>
            <color indexed="81"/>
            <rFont val="Tahoma"/>
            <family val="2"/>
          </rPr>
          <t>Harry Mateer:</t>
        </r>
        <r>
          <rPr>
            <sz val="8"/>
            <color indexed="81"/>
            <rFont val="Tahoma"/>
            <family val="2"/>
          </rPr>
          <t xml:space="preserve">
Gross interest, not net of capitalized</t>
        </r>
      </text>
    </comment>
    <comment ref="C44" authorId="1" shapeId="0">
      <text>
        <r>
          <rPr>
            <b/>
            <sz val="9"/>
            <color indexed="81"/>
            <rFont val="Tahoma"/>
            <family val="2"/>
          </rPr>
          <t>Gregg Price:</t>
        </r>
        <r>
          <rPr>
            <sz val="9"/>
            <color indexed="81"/>
            <rFont val="Tahoma"/>
            <family val="2"/>
          </rPr>
          <t xml:space="preserve">
Total gross production less tax barrels</t>
        </r>
      </text>
    </comment>
    <comment ref="B51" authorId="0" shapeId="0">
      <text>
        <r>
          <rPr>
            <b/>
            <sz val="9"/>
            <color indexed="81"/>
            <rFont val="Tahoma"/>
            <family val="2"/>
          </rPr>
          <t>mateerha:</t>
        </r>
        <r>
          <rPr>
            <sz val="9"/>
            <color indexed="81"/>
            <rFont val="Tahoma"/>
            <family val="2"/>
          </rPr>
          <t xml:space="preserve">
Reflects some debt reduction that already occurred.
</t>
        </r>
      </text>
    </comment>
    <comment ref="C51" authorId="0" shapeId="0">
      <text>
        <r>
          <rPr>
            <b/>
            <sz val="9"/>
            <color indexed="81"/>
            <rFont val="Tahoma"/>
            <family val="2"/>
          </rPr>
          <t>mateerha:</t>
        </r>
        <r>
          <rPr>
            <sz val="9"/>
            <color indexed="81"/>
            <rFont val="Tahoma"/>
            <family val="2"/>
          </rPr>
          <t xml:space="preserve">
Already paid down $150mn and intends to pay down $400mn maturity with cash.</t>
        </r>
      </text>
    </comment>
    <comment ref="D51" authorId="0" shapeId="0">
      <text>
        <r>
          <rPr>
            <b/>
            <sz val="9"/>
            <color indexed="81"/>
            <rFont val="Tahoma"/>
            <family val="2"/>
          </rPr>
          <t>mateerha:</t>
        </r>
        <r>
          <rPr>
            <sz val="9"/>
            <color indexed="81"/>
            <rFont val="Tahoma"/>
            <family val="2"/>
          </rPr>
          <t xml:space="preserve">
Reflects post-quarter debt reduction.</t>
        </r>
      </text>
    </comment>
    <comment ref="G51" authorId="0" shapeId="0">
      <text>
        <r>
          <rPr>
            <b/>
            <sz val="9"/>
            <color indexed="81"/>
            <rFont val="Tahoma"/>
            <family val="2"/>
          </rPr>
          <t>mateerha:</t>
        </r>
        <r>
          <rPr>
            <sz val="9"/>
            <color indexed="81"/>
            <rFont val="Tahoma"/>
            <family val="2"/>
          </rPr>
          <t xml:space="preserve">
Reflects management's $2.25bn of debt reduction already in 2018.</t>
        </r>
      </text>
    </comment>
    <comment ref="H51" authorId="0" shapeId="0">
      <text>
        <r>
          <rPr>
            <b/>
            <sz val="9"/>
            <color indexed="81"/>
            <rFont val="Tahoma"/>
            <family val="2"/>
          </rPr>
          <t>mateerha:</t>
        </r>
        <r>
          <rPr>
            <sz val="9"/>
            <color indexed="81"/>
            <rFont val="Tahoma"/>
            <family val="2"/>
          </rPr>
          <t xml:space="preserve">
Reflects post-quarter debt reduction.</t>
        </r>
      </text>
    </comment>
    <comment ref="L51" authorId="0" shapeId="0">
      <text>
        <r>
          <rPr>
            <b/>
            <sz val="9"/>
            <color indexed="81"/>
            <rFont val="Tahoma"/>
            <family val="2"/>
          </rPr>
          <t>mateerha:</t>
        </r>
        <r>
          <rPr>
            <sz val="9"/>
            <color indexed="81"/>
            <rFont val="Tahoma"/>
            <family val="2"/>
          </rPr>
          <t xml:space="preserve">
Reflects plan to pay down maturity with cash.</t>
        </r>
      </text>
    </comment>
    <comment ref="M51" authorId="0" shapeId="0">
      <text>
        <r>
          <rPr>
            <b/>
            <sz val="9"/>
            <color indexed="81"/>
            <rFont val="Tahoma"/>
            <family val="2"/>
          </rPr>
          <t>mateerha:</t>
        </r>
        <r>
          <rPr>
            <sz val="9"/>
            <color indexed="81"/>
            <rFont val="Tahoma"/>
            <family val="2"/>
          </rPr>
          <t xml:space="preserve">
Reflects 2018 debt reduction ($350mn call + incremental $150mn this year)</t>
        </r>
      </text>
    </comment>
    <comment ref="P51" authorId="0" shapeId="0">
      <text>
        <r>
          <rPr>
            <b/>
            <sz val="9"/>
            <color indexed="81"/>
            <rFont val="Tahoma"/>
            <family val="2"/>
          </rPr>
          <t>mateerha:</t>
        </r>
        <r>
          <rPr>
            <sz val="9"/>
            <color indexed="81"/>
            <rFont val="Tahoma"/>
            <family val="2"/>
          </rPr>
          <t xml:space="preserve">
Reflects 1/3 of planned debt reduction already completed.</t>
        </r>
      </text>
    </comment>
    <comment ref="Q51" authorId="0" shapeId="0">
      <text>
        <r>
          <rPr>
            <b/>
            <sz val="9"/>
            <color indexed="81"/>
            <rFont val="Tahoma"/>
            <family val="2"/>
          </rPr>
          <t>mateerha:</t>
        </r>
        <r>
          <rPr>
            <sz val="9"/>
            <color indexed="81"/>
            <rFont val="Tahoma"/>
            <family val="2"/>
          </rPr>
          <t xml:space="preserve">
Reflects post-quarter debt issuance (essentially adds $500mn of gross debt after adjusting for upcoming maturity)</t>
        </r>
      </text>
    </comment>
    <comment ref="R51" authorId="0" shapeId="0">
      <text>
        <r>
          <rPr>
            <b/>
            <sz val="9"/>
            <color indexed="81"/>
            <rFont val="Tahoma"/>
            <family val="2"/>
          </rPr>
          <t>mateerha:</t>
        </r>
        <r>
          <rPr>
            <sz val="9"/>
            <color indexed="81"/>
            <rFont val="Tahoma"/>
            <family val="2"/>
          </rPr>
          <t xml:space="preserve">
Reflects management's intention to pay down upcoming maturity.</t>
        </r>
      </text>
    </comment>
  </commentList>
</comments>
</file>

<file path=xl/comments10.xml><?xml version="1.0" encoding="utf-8"?>
<comments xmlns="http://schemas.openxmlformats.org/spreadsheetml/2006/main">
  <authors>
    <author>Harry Mateer</author>
  </authors>
  <commentList>
    <comment ref="P15" authorId="0" shapeId="0">
      <text>
        <r>
          <rPr>
            <b/>
            <sz val="8"/>
            <color indexed="81"/>
            <rFont val="Tahoma"/>
            <family val="2"/>
          </rPr>
          <t>Harry Mateer:</t>
        </r>
        <r>
          <rPr>
            <sz val="8"/>
            <color indexed="81"/>
            <rFont val="Tahoma"/>
            <family val="2"/>
          </rPr>
          <t xml:space="preserve">
Calculated by excluding equity investee production</t>
        </r>
      </text>
    </comment>
    <comment ref="H21" authorId="0" shapeId="0">
      <text>
        <r>
          <rPr>
            <b/>
            <sz val="8"/>
            <color indexed="81"/>
            <rFont val="Tahoma"/>
            <family val="2"/>
          </rPr>
          <t>Harry Mateer:</t>
        </r>
        <r>
          <rPr>
            <sz val="8"/>
            <color indexed="81"/>
            <rFont val="Tahoma"/>
            <family val="2"/>
          </rPr>
          <t xml:space="preserve">
Includes equity comp</t>
        </r>
      </text>
    </comment>
    <comment ref="P22" authorId="0" shapeId="0">
      <text>
        <r>
          <rPr>
            <b/>
            <sz val="8"/>
            <color indexed="81"/>
            <rFont val="Tahoma"/>
            <family val="2"/>
          </rPr>
          <t>Harry Mateer:</t>
        </r>
        <r>
          <rPr>
            <sz val="8"/>
            <color indexed="81"/>
            <rFont val="Tahoma"/>
            <family val="2"/>
          </rPr>
          <t xml:space="preserve">
Gross interest, not net of capitalized</t>
        </r>
      </text>
    </comment>
  </commentList>
</comments>
</file>

<file path=xl/comments11.xml><?xml version="1.0" encoding="utf-8"?>
<comments xmlns="http://schemas.openxmlformats.org/spreadsheetml/2006/main">
  <authors>
    <author>Harry Mateer</author>
  </authors>
  <commentList>
    <comment ref="H21" authorId="0" shapeId="0">
      <text>
        <r>
          <rPr>
            <b/>
            <sz val="8"/>
            <color indexed="81"/>
            <rFont val="Tahoma"/>
            <family val="2"/>
          </rPr>
          <t>Harry Mateer:</t>
        </r>
        <r>
          <rPr>
            <sz val="8"/>
            <color indexed="81"/>
            <rFont val="Tahoma"/>
            <family val="2"/>
          </rPr>
          <t xml:space="preserve">
Includes equity comp</t>
        </r>
      </text>
    </comment>
    <comment ref="P22" authorId="0" shapeId="0">
      <text>
        <r>
          <rPr>
            <b/>
            <sz val="8"/>
            <color indexed="81"/>
            <rFont val="Tahoma"/>
            <family val="2"/>
          </rPr>
          <t>Harry Mateer:</t>
        </r>
        <r>
          <rPr>
            <sz val="8"/>
            <color indexed="81"/>
            <rFont val="Tahoma"/>
            <family val="2"/>
          </rPr>
          <t xml:space="preserve">
Gross interest, not net of capitalized</t>
        </r>
      </text>
    </comment>
  </commentList>
</comments>
</file>

<file path=xl/comments2.xml><?xml version="1.0" encoding="utf-8"?>
<comments xmlns="http://schemas.openxmlformats.org/spreadsheetml/2006/main">
  <authors>
    <author>Gregg Price</author>
    <author>mateerha</author>
    <author>Harry Mateer</author>
  </authors>
  <commentList>
    <comment ref="E15" authorId="0" shapeId="0">
      <text>
        <r>
          <rPr>
            <b/>
            <sz val="9"/>
            <color indexed="81"/>
            <rFont val="Tahoma"/>
            <family val="2"/>
          </rPr>
          <t>Gregg Price:</t>
        </r>
        <r>
          <rPr>
            <sz val="9"/>
            <color indexed="81"/>
            <rFont val="Tahoma"/>
            <family val="2"/>
          </rPr>
          <t xml:space="preserve">
Production and revenues only include continuing operations</t>
        </r>
      </text>
    </comment>
    <comment ref="B21" authorId="1" shapeId="0">
      <text>
        <r>
          <rPr>
            <b/>
            <sz val="9"/>
            <color indexed="81"/>
            <rFont val="Tahoma"/>
            <family val="2"/>
          </rPr>
          <t>mateerha:</t>
        </r>
        <r>
          <rPr>
            <sz val="9"/>
            <color indexed="81"/>
            <rFont val="Tahoma"/>
            <family val="2"/>
          </rPr>
          <t xml:space="preserve">
Excludes restructuring charges and WES G&amp;A</t>
        </r>
      </text>
    </comment>
    <comment ref="D21" authorId="0" shapeId="0">
      <text>
        <r>
          <rPr>
            <b/>
            <sz val="9"/>
            <color indexed="81"/>
            <rFont val="Tahoma"/>
            <family val="2"/>
          </rPr>
          <t>Gregg Price:</t>
        </r>
        <r>
          <rPr>
            <sz val="9"/>
            <color indexed="81"/>
            <rFont val="Tahoma"/>
            <family val="2"/>
          </rPr>
          <t xml:space="preserve">
Includes stock comp</t>
        </r>
      </text>
    </comment>
    <comment ref="H21" authorId="2" shapeId="0">
      <text>
        <r>
          <rPr>
            <b/>
            <sz val="8"/>
            <color indexed="81"/>
            <rFont val="Tahoma"/>
            <family val="2"/>
          </rPr>
          <t>Harry Mateer:</t>
        </r>
        <r>
          <rPr>
            <sz val="8"/>
            <color indexed="81"/>
            <rFont val="Tahoma"/>
            <family val="2"/>
          </rPr>
          <t xml:space="preserve">
Includes equity comp</t>
        </r>
      </text>
    </comment>
    <comment ref="I21" authorId="1" shapeId="0">
      <text>
        <r>
          <rPr>
            <b/>
            <sz val="9"/>
            <color indexed="81"/>
            <rFont val="Tahoma"/>
            <family val="2"/>
          </rPr>
          <t>mateerha:</t>
        </r>
        <r>
          <rPr>
            <sz val="9"/>
            <color indexed="81"/>
            <rFont val="Tahoma"/>
            <family val="2"/>
          </rPr>
          <t xml:space="preserve">
Includes stock comp</t>
        </r>
      </text>
    </comment>
    <comment ref="J21" authorId="1" shapeId="0">
      <text>
        <r>
          <rPr>
            <b/>
            <sz val="9"/>
            <color indexed="81"/>
            <rFont val="Tahoma"/>
            <family val="2"/>
          </rPr>
          <t>mateerha:</t>
        </r>
        <r>
          <rPr>
            <sz val="9"/>
            <color indexed="81"/>
            <rFont val="Tahoma"/>
            <family val="2"/>
          </rPr>
          <t xml:space="preserve">
Adjusted for capitalized</t>
        </r>
      </text>
    </comment>
    <comment ref="K21" authorId="0" shapeId="0">
      <text>
        <r>
          <rPr>
            <b/>
            <sz val="9"/>
            <color indexed="81"/>
            <rFont val="Tahoma"/>
            <family val="2"/>
          </rPr>
          <t>Gregg Price:</t>
        </r>
        <r>
          <rPr>
            <sz val="9"/>
            <color indexed="81"/>
            <rFont val="Tahoma"/>
            <family val="2"/>
          </rPr>
          <t xml:space="preserve">
SGA ex long term incentives + average cash settled stock comp</t>
        </r>
      </text>
    </comment>
    <comment ref="D22" authorId="0" shapeId="0">
      <text>
        <r>
          <rPr>
            <b/>
            <sz val="9"/>
            <color indexed="81"/>
            <rFont val="Tahoma"/>
            <family val="2"/>
          </rPr>
          <t>Gregg Price:</t>
        </r>
        <r>
          <rPr>
            <sz val="9"/>
            <color indexed="81"/>
            <rFont val="Tahoma"/>
            <family val="2"/>
          </rPr>
          <t xml:space="preserve">
Adds back capitalized interest</t>
        </r>
      </text>
    </comment>
    <comment ref="J22" authorId="1" shapeId="0">
      <text>
        <r>
          <rPr>
            <b/>
            <sz val="9"/>
            <color indexed="81"/>
            <rFont val="Tahoma"/>
            <family val="2"/>
          </rPr>
          <t>mateerha:</t>
        </r>
        <r>
          <rPr>
            <sz val="9"/>
            <color indexed="81"/>
            <rFont val="Tahoma"/>
            <family val="2"/>
          </rPr>
          <t xml:space="preserve">
Adjusted for capitalized</t>
        </r>
      </text>
    </comment>
    <comment ref="M22" authorId="0" shapeId="0">
      <text>
        <r>
          <rPr>
            <b/>
            <sz val="9"/>
            <color indexed="81"/>
            <rFont val="Tahoma"/>
            <family val="2"/>
          </rPr>
          <t>Gregg Price:</t>
        </r>
        <r>
          <rPr>
            <sz val="9"/>
            <color indexed="81"/>
            <rFont val="Tahoma"/>
            <family val="2"/>
          </rPr>
          <t xml:space="preserve">
Adds back capitalized interest, less interest attributed to midstream</t>
        </r>
      </text>
    </comment>
    <comment ref="N22" authorId="0" shapeId="0">
      <text>
        <r>
          <rPr>
            <b/>
            <sz val="9"/>
            <color indexed="81"/>
            <rFont val="Tahoma"/>
            <family val="2"/>
          </rPr>
          <t>Gregg Price:</t>
        </r>
        <r>
          <rPr>
            <sz val="9"/>
            <color indexed="81"/>
            <rFont val="Tahoma"/>
            <family val="2"/>
          </rPr>
          <t xml:space="preserve">
Terminated interest swap contracts recording a gain of $47mn)
</t>
        </r>
      </text>
    </comment>
    <comment ref="P22" authorId="2" shapeId="0">
      <text>
        <r>
          <rPr>
            <b/>
            <sz val="8"/>
            <color indexed="81"/>
            <rFont val="Tahoma"/>
            <family val="2"/>
          </rPr>
          <t>Harry Mateer:</t>
        </r>
        <r>
          <rPr>
            <sz val="8"/>
            <color indexed="81"/>
            <rFont val="Tahoma"/>
            <family val="2"/>
          </rPr>
          <t xml:space="preserve">
Gross interest, not net of capitalized</t>
        </r>
      </text>
    </comment>
  </commentList>
</comments>
</file>

<file path=xl/comments3.xml><?xml version="1.0" encoding="utf-8"?>
<comments xmlns="http://schemas.openxmlformats.org/spreadsheetml/2006/main">
  <authors>
    <author>mateerha</author>
    <author>Harry Mateer</author>
    <author>Gregg Price</author>
  </authors>
  <commentList>
    <comment ref="B21" authorId="0" shapeId="0">
      <text>
        <r>
          <rPr>
            <b/>
            <sz val="9"/>
            <color indexed="81"/>
            <rFont val="Tahoma"/>
            <family val="2"/>
          </rPr>
          <t>mateerha:</t>
        </r>
        <r>
          <rPr>
            <sz val="9"/>
            <color indexed="81"/>
            <rFont val="Tahoma"/>
            <family val="2"/>
          </rPr>
          <t xml:space="preserve">
Excludes restructuring charges and WES G&amp;A</t>
        </r>
      </text>
    </comment>
    <comment ref="H21" authorId="1" shapeId="0">
      <text>
        <r>
          <rPr>
            <b/>
            <sz val="8"/>
            <color indexed="81"/>
            <rFont val="Tahoma"/>
            <family val="2"/>
          </rPr>
          <t>Harry Mateer:</t>
        </r>
        <r>
          <rPr>
            <sz val="8"/>
            <color indexed="81"/>
            <rFont val="Tahoma"/>
            <family val="2"/>
          </rPr>
          <t xml:space="preserve">
Includes equity comp</t>
        </r>
      </text>
    </comment>
    <comment ref="K21" authorId="2" shapeId="0">
      <text>
        <r>
          <rPr>
            <b/>
            <sz val="9"/>
            <color indexed="81"/>
            <rFont val="Tahoma"/>
            <family val="2"/>
          </rPr>
          <t>Gregg Price:</t>
        </r>
        <r>
          <rPr>
            <sz val="9"/>
            <color indexed="81"/>
            <rFont val="Tahoma"/>
            <family val="2"/>
          </rPr>
          <t xml:space="preserve">
SGA ex long term incentives + average cash settled stock comp</t>
        </r>
      </text>
    </comment>
    <comment ref="P22" authorId="1" shapeId="0">
      <text>
        <r>
          <rPr>
            <b/>
            <sz val="8"/>
            <color indexed="81"/>
            <rFont val="Tahoma"/>
            <family val="2"/>
          </rPr>
          <t>Harry Mateer:</t>
        </r>
        <r>
          <rPr>
            <sz val="8"/>
            <color indexed="81"/>
            <rFont val="Tahoma"/>
            <family val="2"/>
          </rPr>
          <t xml:space="preserve">
Gross interest, not net of capitalized</t>
        </r>
      </text>
    </comment>
    <comment ref="G51" authorId="0" shapeId="0">
      <text>
        <r>
          <rPr>
            <b/>
            <sz val="9"/>
            <color indexed="81"/>
            <rFont val="Tahoma"/>
            <family val="2"/>
          </rPr>
          <t>mateerha:</t>
        </r>
        <r>
          <rPr>
            <sz val="9"/>
            <color indexed="81"/>
            <rFont val="Tahoma"/>
            <family val="2"/>
          </rPr>
          <t xml:space="preserve">
Adjusted for post-quarter debt reduction.</t>
        </r>
      </text>
    </comment>
    <comment ref="N51" authorId="0" shapeId="0">
      <text>
        <r>
          <rPr>
            <b/>
            <sz val="9"/>
            <color indexed="81"/>
            <rFont val="Tahoma"/>
            <family val="2"/>
          </rPr>
          <t>mateerha:</t>
        </r>
        <r>
          <rPr>
            <sz val="9"/>
            <color indexed="81"/>
            <rFont val="Tahoma"/>
            <family val="2"/>
          </rPr>
          <t xml:space="preserve">
Adjusted for post-quarter debt reduction.</t>
        </r>
      </text>
    </comment>
  </commentList>
</comments>
</file>

<file path=xl/comments4.xml><?xml version="1.0" encoding="utf-8"?>
<comments xmlns="http://schemas.openxmlformats.org/spreadsheetml/2006/main">
  <authors>
    <author>mateerha</author>
    <author>Harry Mateer</author>
    <author>Gregg Price</author>
  </authors>
  <commentList>
    <comment ref="B21" authorId="0" shapeId="0">
      <text>
        <r>
          <rPr>
            <b/>
            <sz val="9"/>
            <color indexed="81"/>
            <rFont val="Tahoma"/>
            <family val="2"/>
          </rPr>
          <t>mateerha:</t>
        </r>
        <r>
          <rPr>
            <sz val="9"/>
            <color indexed="81"/>
            <rFont val="Tahoma"/>
            <family val="2"/>
          </rPr>
          <t xml:space="preserve">
Excludes restructuring charges and WES G&amp;A</t>
        </r>
      </text>
    </comment>
    <comment ref="H21" authorId="1" shapeId="0">
      <text>
        <r>
          <rPr>
            <b/>
            <sz val="8"/>
            <color indexed="81"/>
            <rFont val="Tahoma"/>
            <family val="2"/>
          </rPr>
          <t>Harry Mateer:</t>
        </r>
        <r>
          <rPr>
            <sz val="8"/>
            <color indexed="81"/>
            <rFont val="Tahoma"/>
            <family val="2"/>
          </rPr>
          <t xml:space="preserve">
Includes equity comp</t>
        </r>
      </text>
    </comment>
    <comment ref="K21" authorId="2" shapeId="0">
      <text>
        <r>
          <rPr>
            <b/>
            <sz val="9"/>
            <color indexed="81"/>
            <rFont val="Tahoma"/>
            <family val="2"/>
          </rPr>
          <t>Gregg Price:</t>
        </r>
        <r>
          <rPr>
            <sz val="9"/>
            <color indexed="81"/>
            <rFont val="Tahoma"/>
            <family val="2"/>
          </rPr>
          <t xml:space="preserve">
SGA adding back capitalized portion</t>
        </r>
      </text>
    </comment>
    <comment ref="P22" authorId="1" shapeId="0">
      <text>
        <r>
          <rPr>
            <b/>
            <sz val="8"/>
            <color indexed="81"/>
            <rFont val="Tahoma"/>
            <family val="2"/>
          </rPr>
          <t>Harry Mateer:</t>
        </r>
        <r>
          <rPr>
            <sz val="8"/>
            <color indexed="81"/>
            <rFont val="Tahoma"/>
            <family val="2"/>
          </rPr>
          <t xml:space="preserve">
Gross interest, not net of capitalized</t>
        </r>
      </text>
    </comment>
  </commentList>
</comments>
</file>

<file path=xl/comments5.xml><?xml version="1.0" encoding="utf-8"?>
<comments xmlns="http://schemas.openxmlformats.org/spreadsheetml/2006/main">
  <authors>
    <author>Gregg Price</author>
    <author>mateerha</author>
    <author>Harry Mateer</author>
  </authors>
  <commentList>
    <comment ref="C15" authorId="0" shapeId="0">
      <text>
        <r>
          <rPr>
            <b/>
            <sz val="9"/>
            <color indexed="81"/>
            <rFont val="Tahoma"/>
            <family val="2"/>
          </rPr>
          <t>Gregg Price:</t>
        </r>
        <r>
          <rPr>
            <sz val="9"/>
            <color indexed="81"/>
            <rFont val="Tahoma"/>
            <family val="2"/>
          </rPr>
          <t xml:space="preserve">
Removes the impact of egypt tax barrels</t>
        </r>
      </text>
    </comment>
    <comment ref="B21" authorId="1" shapeId="0">
      <text>
        <r>
          <rPr>
            <b/>
            <sz val="9"/>
            <color indexed="81"/>
            <rFont val="Tahoma"/>
            <family val="2"/>
          </rPr>
          <t>mateerha:</t>
        </r>
        <r>
          <rPr>
            <sz val="9"/>
            <color indexed="81"/>
            <rFont val="Tahoma"/>
            <family val="2"/>
          </rPr>
          <t xml:space="preserve">
Excludes restructuring charges and WES G&amp;A</t>
        </r>
      </text>
    </comment>
    <comment ref="F21" authorId="1" shapeId="0">
      <text>
        <r>
          <rPr>
            <b/>
            <sz val="9"/>
            <color indexed="81"/>
            <rFont val="Tahoma"/>
            <family val="2"/>
          </rPr>
          <t>mateerha:</t>
        </r>
        <r>
          <rPr>
            <sz val="9"/>
            <color indexed="81"/>
            <rFont val="Tahoma"/>
            <family val="2"/>
          </rPr>
          <t xml:space="preserve">
Includes stock comp</t>
        </r>
      </text>
    </comment>
    <comment ref="H21" authorId="2" shapeId="0">
      <text>
        <r>
          <rPr>
            <b/>
            <sz val="8"/>
            <color indexed="81"/>
            <rFont val="Tahoma"/>
            <family val="2"/>
          </rPr>
          <t>Harry Mateer:</t>
        </r>
        <r>
          <rPr>
            <sz val="8"/>
            <color indexed="81"/>
            <rFont val="Tahoma"/>
            <family val="2"/>
          </rPr>
          <t xml:space="preserve">
Includes equity comp</t>
        </r>
      </text>
    </comment>
    <comment ref="P22" authorId="2" shapeId="0">
      <text>
        <r>
          <rPr>
            <b/>
            <sz val="8"/>
            <color indexed="81"/>
            <rFont val="Tahoma"/>
            <family val="2"/>
          </rPr>
          <t>Harry Mateer:</t>
        </r>
        <r>
          <rPr>
            <sz val="8"/>
            <color indexed="81"/>
            <rFont val="Tahoma"/>
            <family val="2"/>
          </rPr>
          <t xml:space="preserve">
Gross interest, not net of capitalized</t>
        </r>
      </text>
    </comment>
  </commentList>
</comments>
</file>

<file path=xl/comments6.xml><?xml version="1.0" encoding="utf-8"?>
<comments xmlns="http://schemas.openxmlformats.org/spreadsheetml/2006/main">
  <authors>
    <author>Gregg Price</author>
    <author>Harry Mateer</author>
    <author>mateerha</author>
  </authors>
  <commentList>
    <comment ref="C15" authorId="0" shapeId="0">
      <text>
        <r>
          <rPr>
            <b/>
            <sz val="9"/>
            <color indexed="81"/>
            <rFont val="Tahoma"/>
            <family val="2"/>
          </rPr>
          <t>Gregg Price:</t>
        </r>
        <r>
          <rPr>
            <sz val="9"/>
            <color indexed="81"/>
            <rFont val="Tahoma"/>
            <family val="2"/>
          </rPr>
          <t xml:space="preserve">
Removes the impact of egypt tax barrels</t>
        </r>
      </text>
    </comment>
    <comment ref="P15" authorId="1" shapeId="0">
      <text>
        <r>
          <rPr>
            <b/>
            <sz val="8"/>
            <color indexed="81"/>
            <rFont val="Tahoma"/>
            <family val="2"/>
          </rPr>
          <t>Harry Mateer:</t>
        </r>
        <r>
          <rPr>
            <sz val="8"/>
            <color indexed="81"/>
            <rFont val="Tahoma"/>
            <family val="2"/>
          </rPr>
          <t xml:space="preserve">
Calculated by excluding equity investee production</t>
        </r>
      </text>
    </comment>
    <comment ref="B21" authorId="2" shapeId="0">
      <text>
        <r>
          <rPr>
            <b/>
            <sz val="9"/>
            <color indexed="81"/>
            <rFont val="Tahoma"/>
            <family val="2"/>
          </rPr>
          <t>mateerha:</t>
        </r>
        <r>
          <rPr>
            <sz val="9"/>
            <color indexed="81"/>
            <rFont val="Tahoma"/>
            <family val="2"/>
          </rPr>
          <t xml:space="preserve">
Excludes restructuring charges and WES G&amp;A</t>
        </r>
      </text>
    </comment>
    <comment ref="H21" authorId="1" shapeId="0">
      <text>
        <r>
          <rPr>
            <b/>
            <sz val="8"/>
            <color indexed="81"/>
            <rFont val="Tahoma"/>
            <family val="2"/>
          </rPr>
          <t>Harry Mateer:</t>
        </r>
        <r>
          <rPr>
            <sz val="8"/>
            <color indexed="81"/>
            <rFont val="Tahoma"/>
            <family val="2"/>
          </rPr>
          <t xml:space="preserve">
Includes equity comp</t>
        </r>
      </text>
    </comment>
    <comment ref="P22" authorId="1" shapeId="0">
      <text>
        <r>
          <rPr>
            <b/>
            <sz val="8"/>
            <color indexed="81"/>
            <rFont val="Tahoma"/>
            <family val="2"/>
          </rPr>
          <t>Harry Mateer:</t>
        </r>
        <r>
          <rPr>
            <sz val="8"/>
            <color indexed="81"/>
            <rFont val="Tahoma"/>
            <family val="2"/>
          </rPr>
          <t xml:space="preserve">
Gross interest, not net of capitalized</t>
        </r>
      </text>
    </comment>
  </commentList>
</comments>
</file>

<file path=xl/comments7.xml><?xml version="1.0" encoding="utf-8"?>
<comments xmlns="http://schemas.openxmlformats.org/spreadsheetml/2006/main">
  <authors>
    <author>Harry Mateer</author>
    <author>mateerha</author>
  </authors>
  <commentList>
    <comment ref="P15" authorId="0" shapeId="0">
      <text>
        <r>
          <rPr>
            <b/>
            <sz val="8"/>
            <color indexed="81"/>
            <rFont val="Tahoma"/>
            <family val="2"/>
          </rPr>
          <t>Harry Mateer:</t>
        </r>
        <r>
          <rPr>
            <sz val="8"/>
            <color indexed="81"/>
            <rFont val="Tahoma"/>
            <family val="2"/>
          </rPr>
          <t xml:space="preserve">
Calculated by excluding equity investee production</t>
        </r>
      </text>
    </comment>
    <comment ref="B21" authorId="1" shapeId="0">
      <text>
        <r>
          <rPr>
            <b/>
            <sz val="9"/>
            <color indexed="81"/>
            <rFont val="Tahoma"/>
            <family val="2"/>
          </rPr>
          <t>mateerha:</t>
        </r>
        <r>
          <rPr>
            <sz val="9"/>
            <color indexed="81"/>
            <rFont val="Tahoma"/>
            <family val="2"/>
          </rPr>
          <t xml:space="preserve">
Excludes restructuring charges and WES G&amp;A</t>
        </r>
      </text>
    </comment>
    <comment ref="H21" authorId="0" shapeId="0">
      <text>
        <r>
          <rPr>
            <b/>
            <sz val="8"/>
            <color indexed="81"/>
            <rFont val="Tahoma"/>
            <family val="2"/>
          </rPr>
          <t>Harry Mateer:</t>
        </r>
        <r>
          <rPr>
            <sz val="8"/>
            <color indexed="81"/>
            <rFont val="Tahoma"/>
            <family val="2"/>
          </rPr>
          <t xml:space="preserve">
Includes equity comp</t>
        </r>
      </text>
    </comment>
    <comment ref="P22" authorId="0" shapeId="0">
      <text>
        <r>
          <rPr>
            <b/>
            <sz val="8"/>
            <color indexed="81"/>
            <rFont val="Tahoma"/>
            <family val="2"/>
          </rPr>
          <t>Harry Mateer:</t>
        </r>
        <r>
          <rPr>
            <sz val="8"/>
            <color indexed="81"/>
            <rFont val="Tahoma"/>
            <family val="2"/>
          </rPr>
          <t xml:space="preserve">
Gross interest, not net of capitalized</t>
        </r>
      </text>
    </comment>
  </commentList>
</comments>
</file>

<file path=xl/comments8.xml><?xml version="1.0" encoding="utf-8"?>
<comments xmlns="http://schemas.openxmlformats.org/spreadsheetml/2006/main">
  <authors>
    <author>Harry Mateer</author>
    <author>mateerha</author>
  </authors>
  <commentList>
    <comment ref="P15" authorId="0" shapeId="0">
      <text>
        <r>
          <rPr>
            <b/>
            <sz val="8"/>
            <color indexed="81"/>
            <rFont val="Tahoma"/>
            <family val="2"/>
          </rPr>
          <t>Harry Mateer:</t>
        </r>
        <r>
          <rPr>
            <sz val="8"/>
            <color indexed="81"/>
            <rFont val="Tahoma"/>
            <family val="2"/>
          </rPr>
          <t xml:space="preserve">
Calculated by excluding equity investee production</t>
        </r>
      </text>
    </comment>
    <comment ref="B21" authorId="1" shapeId="0">
      <text>
        <r>
          <rPr>
            <b/>
            <sz val="9"/>
            <color indexed="81"/>
            <rFont val="Tahoma"/>
            <family val="2"/>
          </rPr>
          <t>mateerha:</t>
        </r>
        <r>
          <rPr>
            <sz val="9"/>
            <color indexed="81"/>
            <rFont val="Tahoma"/>
            <family val="2"/>
          </rPr>
          <t xml:space="preserve">
Excludes restructuring charges and WES G&amp;A</t>
        </r>
      </text>
    </comment>
    <comment ref="H21" authorId="0" shapeId="0">
      <text>
        <r>
          <rPr>
            <b/>
            <sz val="8"/>
            <color indexed="81"/>
            <rFont val="Tahoma"/>
            <family val="2"/>
          </rPr>
          <t>Harry Mateer:</t>
        </r>
        <r>
          <rPr>
            <sz val="8"/>
            <color indexed="81"/>
            <rFont val="Tahoma"/>
            <family val="2"/>
          </rPr>
          <t xml:space="preserve">
Includes equity comp</t>
        </r>
      </text>
    </comment>
    <comment ref="P22" authorId="0" shapeId="0">
      <text>
        <r>
          <rPr>
            <b/>
            <sz val="8"/>
            <color indexed="81"/>
            <rFont val="Tahoma"/>
            <family val="2"/>
          </rPr>
          <t>Harry Mateer:</t>
        </r>
        <r>
          <rPr>
            <sz val="8"/>
            <color indexed="81"/>
            <rFont val="Tahoma"/>
            <family val="2"/>
          </rPr>
          <t xml:space="preserve">
Gross interest, not net of capitalized</t>
        </r>
      </text>
    </comment>
  </commentList>
</comments>
</file>

<file path=xl/comments9.xml><?xml version="1.0" encoding="utf-8"?>
<comments xmlns="http://schemas.openxmlformats.org/spreadsheetml/2006/main">
  <authors>
    <author>Harry Mateer</author>
    <author>mateerha</author>
  </authors>
  <commentList>
    <comment ref="P15" authorId="0" shapeId="0">
      <text>
        <r>
          <rPr>
            <b/>
            <sz val="8"/>
            <color indexed="81"/>
            <rFont val="Tahoma"/>
            <family val="2"/>
          </rPr>
          <t>Harry Mateer:</t>
        </r>
        <r>
          <rPr>
            <sz val="8"/>
            <color indexed="81"/>
            <rFont val="Tahoma"/>
            <family val="2"/>
          </rPr>
          <t xml:space="preserve">
Calculated by excluding equity investee production</t>
        </r>
      </text>
    </comment>
    <comment ref="H21" authorId="0" shapeId="0">
      <text>
        <r>
          <rPr>
            <b/>
            <sz val="8"/>
            <color indexed="81"/>
            <rFont val="Tahoma"/>
            <family val="2"/>
          </rPr>
          <t>Harry Mateer:</t>
        </r>
        <r>
          <rPr>
            <sz val="8"/>
            <color indexed="81"/>
            <rFont val="Tahoma"/>
            <family val="2"/>
          </rPr>
          <t xml:space="preserve">
Includes equity comp</t>
        </r>
      </text>
    </comment>
    <comment ref="P22" authorId="0" shapeId="0">
      <text>
        <r>
          <rPr>
            <b/>
            <sz val="8"/>
            <color indexed="81"/>
            <rFont val="Tahoma"/>
            <family val="2"/>
          </rPr>
          <t>Harry Mateer:</t>
        </r>
        <r>
          <rPr>
            <sz val="8"/>
            <color indexed="81"/>
            <rFont val="Tahoma"/>
            <family val="2"/>
          </rPr>
          <t xml:space="preserve">
Gross interest, not net of capitalized</t>
        </r>
      </text>
    </comment>
    <comment ref="Q47" authorId="1" shapeId="0">
      <text>
        <r>
          <rPr>
            <b/>
            <sz val="9"/>
            <color indexed="81"/>
            <rFont val="Tahoma"/>
            <family val="2"/>
          </rPr>
          <t>mateerha:</t>
        </r>
        <r>
          <rPr>
            <sz val="9"/>
            <color indexed="81"/>
            <rFont val="Tahoma"/>
            <family val="2"/>
          </rPr>
          <t xml:space="preserve">
Hard-coded for sales, not production</t>
        </r>
      </text>
    </comment>
  </commentList>
</comments>
</file>

<file path=xl/sharedStrings.xml><?xml version="1.0" encoding="utf-8"?>
<sst xmlns="http://schemas.openxmlformats.org/spreadsheetml/2006/main" count="2603" uniqueCount="232">
  <si>
    <t>NGL ($/bbl)</t>
  </si>
  <si>
    <t>WTI ($/bbl)</t>
  </si>
  <si>
    <t>Henry Hub ($/mmbtu)</t>
  </si>
  <si>
    <t xml:space="preserve">   Differential</t>
  </si>
  <si>
    <t>Costs ($/boe)</t>
  </si>
  <si>
    <t>Unlevered well cash costs</t>
  </si>
  <si>
    <t>Unlevered corporate cash costs</t>
  </si>
  <si>
    <t>Total cash costs</t>
  </si>
  <si>
    <t>Total costs</t>
  </si>
  <si>
    <t>Aggregated costs ($/boe)</t>
  </si>
  <si>
    <t>Production taxes</t>
  </si>
  <si>
    <t>SG&amp;A</t>
  </si>
  <si>
    <t>Interest</t>
  </si>
  <si>
    <t>DD&amp;A</t>
  </si>
  <si>
    <t>Margins ($/boe)</t>
  </si>
  <si>
    <t>Company</t>
  </si>
  <si>
    <t>Ticker</t>
  </si>
  <si>
    <t>Anadarko</t>
  </si>
  <si>
    <t>Apache</t>
  </si>
  <si>
    <t>Canadian Natural</t>
  </si>
  <si>
    <t>ConocoPhillips</t>
  </si>
  <si>
    <t>Cenovus</t>
  </si>
  <si>
    <t>Cimarex</t>
  </si>
  <si>
    <t>Continental</t>
  </si>
  <si>
    <t>Devon</t>
  </si>
  <si>
    <t>Encana</t>
  </si>
  <si>
    <t>EOG Resources</t>
  </si>
  <si>
    <t>Hess</t>
  </si>
  <si>
    <t>Marathon</t>
  </si>
  <si>
    <t>Noble Energy</t>
  </si>
  <si>
    <t>Occidental</t>
  </si>
  <si>
    <t>Pioneer</t>
  </si>
  <si>
    <t>Southwestern</t>
  </si>
  <si>
    <t>APC</t>
  </si>
  <si>
    <t>APA</t>
  </si>
  <si>
    <t>CNQCN</t>
  </si>
  <si>
    <t>COP</t>
  </si>
  <si>
    <t>CVECN</t>
  </si>
  <si>
    <t>XEC</t>
  </si>
  <si>
    <t>CLR</t>
  </si>
  <si>
    <t>DVN</t>
  </si>
  <si>
    <t>ECACN</t>
  </si>
  <si>
    <t>EOG</t>
  </si>
  <si>
    <t>HES</t>
  </si>
  <si>
    <t>MRO</t>
  </si>
  <si>
    <t>NBL</t>
  </si>
  <si>
    <t>OXY</t>
  </si>
  <si>
    <t>PXD</t>
  </si>
  <si>
    <t>SWN</t>
  </si>
  <si>
    <t>Unhedged revenue ($/boe)</t>
  </si>
  <si>
    <t>Unhedged realized oil ($/bbl)</t>
  </si>
  <si>
    <t>Unhedged realized NGL ($/bbl)</t>
  </si>
  <si>
    <t>Unhedged realized gas ($/mmbtu)</t>
  </si>
  <si>
    <t>Production mix (%)</t>
  </si>
  <si>
    <t>Oil</t>
  </si>
  <si>
    <t>NGL</t>
  </si>
  <si>
    <t>Natural gas</t>
  </si>
  <si>
    <t>2Q15 Benchmarks</t>
  </si>
  <si>
    <t>N. Am</t>
  </si>
  <si>
    <t>Gas</t>
  </si>
  <si>
    <t>International</t>
  </si>
  <si>
    <t>OSM</t>
  </si>
  <si>
    <t>Oil (mbbl/day)</t>
  </si>
  <si>
    <t>NGL (mbbl/day)</t>
  </si>
  <si>
    <t>Natural gas (mmcf/day)</t>
  </si>
  <si>
    <t>Total (mboe/day)</t>
  </si>
  <si>
    <t>Total (mmboe)</t>
  </si>
  <si>
    <t>Unlevered well</t>
  </si>
  <si>
    <t>Unlevered corporate cash</t>
  </si>
  <si>
    <t>Total cash</t>
  </si>
  <si>
    <t>Total</t>
  </si>
  <si>
    <t>E&amp;P</t>
  </si>
  <si>
    <t>sales</t>
  </si>
  <si>
    <t>opex</t>
  </si>
  <si>
    <t>Royalties</t>
  </si>
  <si>
    <t>LOE/Opex + Transportation/Blending</t>
  </si>
  <si>
    <t>Source: Company reports, Barclays Research</t>
  </si>
  <si>
    <t>Benchmark inputs</t>
  </si>
  <si>
    <t>10y cash bid (G-spread)</t>
  </si>
  <si>
    <t>Margin ($/boe)</t>
  </si>
  <si>
    <t>10y Cash (bp)</t>
  </si>
  <si>
    <t>30y Cash (bp)</t>
  </si>
  <si>
    <t>5-6y Cash (bp)</t>
  </si>
  <si>
    <t>Notes: CNQCN and CVECN are converted to USD, with CNQCN realized prices presented before royalties.</t>
  </si>
  <si>
    <t>Simple Average</t>
  </si>
  <si>
    <t>Total costs (incl. DD&amp;A)</t>
  </si>
  <si>
    <t>Unhedged margins ($/boe)</t>
  </si>
  <si>
    <t>Continental Resources</t>
  </si>
  <si>
    <t>Canadian Natural Resources</t>
  </si>
  <si>
    <t>Pioneer Natural</t>
  </si>
  <si>
    <t>Southwestern Energy</t>
  </si>
  <si>
    <t>Hess Corporation</t>
  </si>
  <si>
    <t>Median</t>
  </si>
  <si>
    <t>3Q15 Benchmarks</t>
  </si>
  <si>
    <t>USD/CAD:</t>
  </si>
  <si>
    <t>5y CDS offer (bp)</t>
  </si>
  <si>
    <t>4Q15 Benchmarks</t>
  </si>
  <si>
    <t>Pre-interest cash margin/interest (x)</t>
  </si>
  <si>
    <t>Front end cash bid (G-spread)</t>
  </si>
  <si>
    <t>Devon Energy</t>
  </si>
  <si>
    <t>Marathon Oil Corporation</t>
  </si>
  <si>
    <t>Occidental Petroleum</t>
  </si>
  <si>
    <t>Interest Coverage (x)</t>
  </si>
  <si>
    <t>Sensitized</t>
  </si>
  <si>
    <t>EBITDAX ($/boe)</t>
  </si>
  <si>
    <t>Pre-interest cash coverage of interest (x)</t>
  </si>
  <si>
    <t>Annualized unhedged upstream EBITDAX ($mn)</t>
  </si>
  <si>
    <t>Interest coverage</t>
  </si>
  <si>
    <t>1Q16 Benchmarks</t>
  </si>
  <si>
    <t>Rank</t>
  </si>
  <si>
    <t>Total margin</t>
  </si>
  <si>
    <t>Cash margin</t>
  </si>
  <si>
    <t>Unhedged EBITDAX ($/boe)</t>
  </si>
  <si>
    <t>2Q15</t>
  </si>
  <si>
    <t>3Q15</t>
  </si>
  <si>
    <t>4Q15</t>
  </si>
  <si>
    <t>1Q16</t>
  </si>
  <si>
    <t>% chg</t>
  </si>
  <si>
    <t>Simple Average Aggregated Costs ($/boe)</t>
  </si>
  <si>
    <t>5y drill-bit F&amp;D</t>
  </si>
  <si>
    <t>Margin</t>
  </si>
  <si>
    <t>5y avg drill-bit F&amp;D</t>
  </si>
  <si>
    <t>Unhedged revenue @ strip ($/boe)</t>
  </si>
  <si>
    <t>Oil ($/bbl)</t>
  </si>
  <si>
    <t>Gas ($/mmbtu)</t>
  </si>
  <si>
    <t>DD&amp;A/F&amp;D</t>
  </si>
  <si>
    <t>2Q16 Benchmarks</t>
  </si>
  <si>
    <t>Notes: CNQCN and CVECN are converted to USD, with CNQCN realized prices presented before royalties.  COP includes only consolidated production.</t>
  </si>
  <si>
    <t>2Q16</t>
  </si>
  <si>
    <t>Total production (prior qtr)</t>
  </si>
  <si>
    <t>Unhedged revs (prior qtr)</t>
  </si>
  <si>
    <t>.</t>
  </si>
  <si>
    <t>Total costs (prior qtr)</t>
  </si>
  <si>
    <t>3Q16</t>
  </si>
  <si>
    <t>3Q16 Benchmarks</t>
  </si>
  <si>
    <t>4Q16 Benchmarks</t>
  </si>
  <si>
    <t>4Q16</t>
  </si>
  <si>
    <t>1Q17</t>
  </si>
  <si>
    <t>1Q17 Benchmarks</t>
  </si>
  <si>
    <t>Concho</t>
  </si>
  <si>
    <t>CXO</t>
  </si>
  <si>
    <t>Interest coverage (x)</t>
  </si>
  <si>
    <t>Debt/Annualized unhedged upstream EBITDAX (x)</t>
  </si>
  <si>
    <t>Period-end E&amp;P gross debt ($mn)</t>
  </si>
  <si>
    <t>Debt/LQA unhedged EBITDAX (x)</t>
  </si>
  <si>
    <t>Unhedged upstream EBITDAX</t>
  </si>
  <si>
    <t>EBITDAX</t>
  </si>
  <si>
    <t>Unlevered well costs</t>
  </si>
  <si>
    <t>Unlevered corporate costs</t>
  </si>
  <si>
    <t>Total operating costs</t>
  </si>
  <si>
    <t>Unlevered corporate</t>
  </si>
  <si>
    <t>Total operating</t>
  </si>
  <si>
    <t>E&amp;P gross debt/LQA unhedged EBITDA (x)</t>
  </si>
  <si>
    <t>2Q17</t>
  </si>
  <si>
    <t>2Q17 Benchmarks</t>
  </si>
  <si>
    <t>Realized px</t>
  </si>
  <si>
    <t>Harry Mateer</t>
  </si>
  <si>
    <t>harry.mateer@barclays.com</t>
  </si>
  <si>
    <t>BCI, US</t>
  </si>
  <si>
    <t>PLEASE SEE ANALYST CERTIFICATIONS AND IMPORTANT DISCLAIMERS ON THE LAST TAB</t>
  </si>
  <si>
    <t>12m Strip Interest Coverage (x)</t>
  </si>
  <si>
    <t>12m Strip LQA Leverage (x)</t>
  </si>
  <si>
    <t>Newfield</t>
  </si>
  <si>
    <t>NFX</t>
  </si>
  <si>
    <t>Noble</t>
  </si>
  <si>
    <t>Unlevered well/transportation cash costs</t>
  </si>
  <si>
    <t>3Q17 Benchmarks</t>
  </si>
  <si>
    <t>3Q17</t>
  </si>
  <si>
    <t>Newfield Exploration</t>
  </si>
  <si>
    <t>4Q17 Benchmarks</t>
  </si>
  <si>
    <t>4Q17</t>
  </si>
  <si>
    <t>Transportation and blending (US$/boe)</t>
  </si>
  <si>
    <t>Conoco- Phillips</t>
  </si>
  <si>
    <t>Southwest-ern</t>
  </si>
  <si>
    <t>Conoco-Phillips</t>
  </si>
  <si>
    <t>South-western</t>
  </si>
  <si>
    <t>1Q18 Benchmarks</t>
  </si>
  <si>
    <t>1Q18</t>
  </si>
  <si>
    <t>Light and NGL</t>
  </si>
  <si>
    <t>Pelican</t>
  </si>
  <si>
    <t>Primary Heavy</t>
  </si>
  <si>
    <t>Thermal</t>
  </si>
  <si>
    <t>North Sea</t>
  </si>
  <si>
    <t>Offshore Africa</t>
  </si>
  <si>
    <t>Prod'n</t>
  </si>
  <si>
    <t>Prices</t>
  </si>
  <si>
    <t>2Q18 Benchmarks</t>
  </si>
  <si>
    <t>EQT Corp</t>
  </si>
  <si>
    <t>EQT</t>
  </si>
  <si>
    <t>Antero</t>
  </si>
  <si>
    <t>AR</t>
  </si>
  <si>
    <t>Chesapeake</t>
  </si>
  <si>
    <t>CHK</t>
  </si>
  <si>
    <t>Murphy</t>
  </si>
  <si>
    <t>MUR</t>
  </si>
  <si>
    <t>EQT Corporation</t>
  </si>
  <si>
    <t>Murphy Oil</t>
  </si>
  <si>
    <t>30y cash bid (G-spread)</t>
  </si>
  <si>
    <t>2Q18</t>
  </si>
  <si>
    <t>Source for all charts: Company reports, Barclays Research</t>
  </si>
  <si>
    <t>Nov-06 Rate (CAD/USD)</t>
  </si>
  <si>
    <t>3Q18</t>
  </si>
  <si>
    <t>Sarah Du</t>
  </si>
  <si>
    <t>sarah.du@barclays.com</t>
  </si>
  <si>
    <t>Notes: We include stock-based compensation expense. Prior quarters before 2Q18 are not restated.</t>
  </si>
  <si>
    <t>Average USD/CAD</t>
  </si>
  <si>
    <t>4Q18</t>
  </si>
  <si>
    <t>Crude oil and condensate – dollars per barrel</t>
  </si>
  <si>
    <t>Net crude oil and condensate produced – barrels per day</t>
  </si>
  <si>
    <t>Natural gas liquids – dollars per barrel</t>
  </si>
  <si>
    <t>Natural gas – dollars per thousand cubic feet</t>
  </si>
  <si>
    <t>Net natural gas liquids – barrels per day</t>
  </si>
  <si>
    <t>Net natural gas - thousands of cubic feet per day</t>
  </si>
  <si>
    <t>Crude Oil and Condensate ($/Bbl)</t>
  </si>
  <si>
    <t>Natural Gas Liquids ($/Bbl)</t>
  </si>
  <si>
    <t>Natural Gas ($/Mcf)</t>
  </si>
  <si>
    <t>Crude Oil and Condensate (MBbl/d)</t>
  </si>
  <si>
    <t>Natural Gas (MMcf/d)</t>
  </si>
  <si>
    <t>Natural Gas Liquids (MBbl/d)</t>
  </si>
  <si>
    <t>4Q Average Rate (CAD/USD)</t>
  </si>
  <si>
    <t>+1 212 412 7903</t>
  </si>
  <si>
    <t>1Q19</t>
  </si>
  <si>
    <t>Tax Barrels</t>
  </si>
  <si>
    <t>Liquids</t>
  </si>
  <si>
    <t>2Q19</t>
  </si>
  <si>
    <t>+1 212 526 3594</t>
  </si>
  <si>
    <t>FANG</t>
  </si>
  <si>
    <t>Diamondback</t>
  </si>
  <si>
    <t>Diamondback Energy</t>
  </si>
  <si>
    <t>3Q19</t>
  </si>
  <si>
    <t/>
  </si>
  <si>
    <t xml:space="preserve">Notes: We include stock-based compensation expense.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</si>
</sst>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8" formatCode="&quot;$&quot;#,##0.00_);[Red]\(&quot;$&quot;#,##0.00\)"/>
    <numFmt numFmtId="42" formatCode="_(&quot;$&quot;* #,##0_);_(&quot;$&quot;* \(#,##0\);_(&quot;$&quot;* &quot;-&quot;_);_(@_)"/>
    <numFmt numFmtId="41" formatCode="_(* #,##0_);_(* \(#,##0\);_(* &quot;-&quot;_);_(@_)"/>
    <numFmt numFmtId="43" formatCode="_(* #,##0.00_);_(* \(#,##0.00\);_(* &quot;-&quot;??_);_(@_)"/>
    <numFmt numFmtId="164" formatCode="\£#,##0_);\(\£#,##0\)"/>
    <numFmt numFmtId="165" formatCode="&quot;$&quot;#,##0.0_);\(&quot;$&quot;#,##0.0\)"/>
    <numFmt numFmtId="166" formatCode="_([$€-2]* #,##0.00_);_([$€-2]* \(#,##0.00\);_([$€-2]* &quot;-&quot;??_)"/>
    <numFmt numFmtId="167" formatCode="0.0%"/>
    <numFmt numFmtId="168" formatCode="0.0\x"/>
    <numFmt numFmtId="169" formatCode="&quot;$&quot;#,##0.0_);[Red]\(&quot;$&quot;#,##0.0\)"/>
    <numFmt numFmtId="170" formatCode="_(* #,##0_);_(* \(#,##0\);_(* &quot;-&quot;??_);_(@_)"/>
    <numFmt numFmtId="171" formatCode="0_)"/>
    <numFmt numFmtId="172" formatCode="\¥#,##0_);\(\¥#,##0\)"/>
    <numFmt numFmtId="173" formatCode="#,##0.0_);\(#,##0.0\)"/>
    <numFmt numFmtId="174" formatCode="0.0"/>
  </numFmts>
  <fonts count="70">
    <font>
      <sz val="11"/>
      <color theme="1"/>
      <name val="Arial"/>
      <family val="2"/>
      <scheme val="minor"/>
    </font>
    <font>
      <sz val="8"/>
      <color indexed="81"/>
      <name val="Tahoma"/>
      <family val="2"/>
    </font>
    <font>
      <b/>
      <sz val="8"/>
      <color indexed="81"/>
      <name val="Tahoma"/>
      <family val="2"/>
    </font>
    <font>
      <sz val="8"/>
      <color rgb="FFFFFFFF"/>
      <name val="Expert Sans Extra Bold"/>
      <family val="2"/>
    </font>
    <font>
      <sz val="8"/>
      <color rgb="FF1E1E1E"/>
      <name val="Expert Sans Regular"/>
      <family val="2"/>
    </font>
    <font>
      <sz val="10"/>
      <name val="Arial"/>
      <family val="2"/>
    </font>
    <font>
      <sz val="10"/>
      <color indexed="8"/>
      <name val="MS Sans Serif"/>
      <family val="2"/>
    </font>
    <font>
      <sz val="10"/>
      <color indexed="8"/>
      <name val="Arial"/>
      <family val="2"/>
    </font>
    <font>
      <sz val="8"/>
      <name val="Times"/>
      <family val="1"/>
    </font>
    <font>
      <sz val="12"/>
      <name val="Arial"/>
      <family val="2"/>
    </font>
    <font>
      <sz val="10"/>
      <color indexed="8"/>
      <name val="Tms Rmn"/>
    </font>
    <font>
      <u val="singleAccounting"/>
      <sz val="10"/>
      <name val="Arial"/>
      <family val="2"/>
    </font>
    <font>
      <sz val="9"/>
      <name val="Tms Rmn"/>
    </font>
    <font>
      <sz val="8"/>
      <color indexed="12"/>
      <name val="Times New Roman"/>
      <family val="1"/>
    </font>
    <font>
      <sz val="10"/>
      <name val="Tms Rmn"/>
    </font>
    <font>
      <u val="doubleAccounting"/>
      <sz val="10"/>
      <name val="Arial"/>
      <family val="2"/>
    </font>
    <font>
      <sz val="8"/>
      <name val="Arial"/>
      <family val="2"/>
    </font>
    <font>
      <b/>
      <sz val="14"/>
      <name val="Times New Roman"/>
      <family val="1"/>
    </font>
    <font>
      <u/>
      <sz val="10"/>
      <name val="Arial"/>
      <family val="2"/>
    </font>
    <font>
      <i/>
      <sz val="6.5"/>
      <color indexed="10"/>
      <name val="Barclays"/>
    </font>
    <font>
      <sz val="7"/>
      <name val="Small Fonts"/>
      <family val="2"/>
    </font>
    <font>
      <sz val="10"/>
      <name val="Times New Roman"/>
      <family val="1"/>
    </font>
    <font>
      <b/>
      <sz val="10"/>
      <name val="Times New Roman"/>
      <family val="1"/>
    </font>
    <font>
      <sz val="9"/>
      <name val="Times New Roman"/>
      <family val="1"/>
    </font>
    <font>
      <b/>
      <sz val="11"/>
      <color indexed="39"/>
      <name val="Arial"/>
      <family val="2"/>
    </font>
    <font>
      <sz val="9"/>
      <color indexed="8"/>
      <name val="Arial"/>
      <family val="2"/>
    </font>
    <font>
      <b/>
      <sz val="10"/>
      <color indexed="39"/>
      <name val="Arial"/>
      <family val="2"/>
    </font>
    <font>
      <sz val="9"/>
      <color indexed="39"/>
      <name val="Arial"/>
      <family val="2"/>
    </font>
    <font>
      <b/>
      <sz val="10"/>
      <color indexed="10"/>
      <name val="Arial"/>
      <family val="2"/>
    </font>
    <font>
      <sz val="9"/>
      <color indexed="10"/>
      <name val="Arial"/>
      <family val="2"/>
    </font>
    <font>
      <b/>
      <sz val="10"/>
      <color indexed="33"/>
      <name val="Arial"/>
      <family val="2"/>
    </font>
    <font>
      <b/>
      <sz val="18"/>
      <name val="Times New Roman"/>
      <family val="1"/>
    </font>
    <font>
      <sz val="12"/>
      <name val="Times New Roman"/>
      <family val="1"/>
    </font>
    <font>
      <sz val="11"/>
      <name val="Arial"/>
      <family val="2"/>
    </font>
    <font>
      <b/>
      <u/>
      <sz val="8"/>
      <name val="Times New Roman"/>
      <family val="1"/>
    </font>
    <font>
      <sz val="8"/>
      <color theme="1"/>
      <name val="Expert Sans Regular"/>
      <family val="2"/>
    </font>
    <font>
      <sz val="9"/>
      <color theme="1"/>
      <name val="Expert Sans Regular"/>
      <family val="2"/>
    </font>
    <font>
      <sz val="9"/>
      <color indexed="81"/>
      <name val="Tahoma"/>
      <family val="2"/>
    </font>
    <font>
      <b/>
      <sz val="9"/>
      <color indexed="81"/>
      <name val="Tahoma"/>
      <family val="2"/>
    </font>
    <font>
      <sz val="11"/>
      <color theme="1"/>
      <name val="Arial"/>
      <family val="2"/>
      <scheme val="minor"/>
    </font>
    <font>
      <sz val="10"/>
      <name val="Arial"/>
      <family val="2"/>
    </font>
    <font>
      <sz val="10"/>
      <color theme="1"/>
      <name val="Arial"/>
      <family val="2"/>
    </font>
    <font>
      <b/>
      <sz val="10"/>
      <color theme="1"/>
      <name val="Arial"/>
      <family val="2"/>
    </font>
    <font>
      <sz val="10"/>
      <name val="Helv"/>
    </font>
    <font>
      <sz val="10"/>
      <name val="MS Sans Serif"/>
      <family val="2"/>
    </font>
    <font>
      <sz val="10"/>
      <name val="Courier"/>
      <family val="3"/>
    </font>
    <font>
      <sz val="8"/>
      <color rgb="FF1E1E1E"/>
      <name val="Expert Sans Regular"/>
      <family val="2"/>
    </font>
    <font>
      <sz val="10"/>
      <color indexed="63"/>
      <name val="Arial"/>
      <family val="2"/>
    </font>
    <font>
      <b/>
      <sz val="9"/>
      <color indexed="63"/>
      <name val="Arial"/>
      <family val="2"/>
    </font>
    <font>
      <sz val="28"/>
      <color rgb="FF00B0F0"/>
      <name val="Arial"/>
      <family val="2"/>
    </font>
    <font>
      <sz val="10"/>
      <color rgb="FF00B0F0"/>
      <name val="Arial"/>
      <family val="2"/>
    </font>
    <font>
      <sz val="9"/>
      <color indexed="63"/>
      <name val="Arial"/>
      <family val="2"/>
    </font>
    <font>
      <b/>
      <sz val="10"/>
      <color indexed="63"/>
      <name val="Arial"/>
      <family val="2"/>
    </font>
    <font>
      <sz val="12"/>
      <color indexed="63"/>
      <name val="Arial"/>
      <family val="2"/>
    </font>
    <font>
      <sz val="10"/>
      <color theme="1"/>
      <name val="Expert Sans Regular"/>
      <family val="2"/>
    </font>
    <font>
      <sz val="12"/>
      <color theme="1"/>
      <name val="Arial"/>
      <family val="2"/>
    </font>
    <font>
      <b/>
      <sz val="12"/>
      <color theme="1"/>
      <name val="Arial"/>
      <family val="2"/>
    </font>
    <font>
      <sz val="10"/>
      <color theme="1"/>
      <name val="Expert Sans Extra Bold"/>
      <family val="2"/>
    </font>
    <font>
      <sz val="10"/>
      <name val="Expert Sans Regular"/>
      <family val="2"/>
    </font>
    <font>
      <sz val="8"/>
      <color rgb="FF191919"/>
      <name val="Expert Sans Regular"/>
      <family val="2"/>
    </font>
    <font>
      <sz val="9"/>
      <color theme="1"/>
      <name val="Arial"/>
      <family val="2"/>
      <scheme val="minor"/>
    </font>
    <font>
      <sz val="11"/>
      <color rgb="FFFF0000"/>
      <name val="Arial"/>
      <family val="2"/>
      <scheme val="minor"/>
    </font>
    <font>
      <sz val="8"/>
      <color rgb="FFFF0000"/>
      <name val="Expert Sans Regular"/>
      <family val="2"/>
    </font>
    <font>
      <sz val="8"/>
      <color rgb="FFFFFFFF"/>
      <name val="Expert Sans Regular"/>
      <family val="2"/>
    </font>
    <font>
      <sz val="8"/>
      <name val="Expert Sans Regular"/>
      <family val="2"/>
    </font>
    <font>
      <b/>
      <sz val="8"/>
      <color theme="1"/>
      <name val="Expert Sans Regular"/>
      <family val="2"/>
    </font>
    <font>
      <u/>
      <sz val="8.5"/>
      <color theme="10"/>
      <name val="Arial"/>
      <family val="2"/>
    </font>
    <font>
      <b/>
      <sz val="8"/>
      <color rgb="FF007EB6"/>
      <name val="Source Sans Pro"/>
      <family val="2"/>
    </font>
    <font>
      <sz val="8"/>
      <color rgb="FF191919"/>
      <name val="Source Sans Pro"/>
      <family val="2"/>
    </font>
    <font>
      <sz val="10"/>
      <name val="Arial"/>
      <family val="2"/>
    </font>
  </fonts>
  <fills count="18">
    <fill>
      <patternFill patternType="none"/>
    </fill>
    <fill>
      <patternFill patternType="gray125"/>
    </fill>
    <fill>
      <patternFill patternType="solid">
        <fgColor theme="0"/>
        <bgColor indexed="64"/>
      </patternFill>
    </fill>
    <fill>
      <patternFill patternType="solid">
        <fgColor rgb="FF00AEEF"/>
        <bgColor indexed="64"/>
      </patternFill>
    </fill>
    <fill>
      <patternFill patternType="solid">
        <fgColor rgb="FFFFFFFF"/>
        <bgColor indexed="64"/>
      </patternFill>
    </fill>
    <fill>
      <patternFill patternType="solid">
        <fgColor theme="0" tint="-0.14999847407452621"/>
        <bgColor indexed="64"/>
      </patternFill>
    </fill>
    <fill>
      <patternFill patternType="lightGray">
        <fgColor indexed="15"/>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42"/>
        <bgColor indexed="64"/>
      </patternFill>
    </fill>
    <fill>
      <patternFill patternType="solid">
        <fgColor indexed="41"/>
        <bgColor indexed="64"/>
      </patternFill>
    </fill>
    <fill>
      <patternFill patternType="solid">
        <fgColor indexed="44"/>
        <bgColor indexed="64"/>
      </patternFill>
    </fill>
    <fill>
      <patternFill patternType="solid">
        <fgColor indexed="9"/>
        <bgColor indexed="64"/>
      </patternFill>
    </fill>
    <fill>
      <patternFill patternType="solid">
        <fgColor indexed="63"/>
        <bgColor indexed="64"/>
      </patternFill>
    </fill>
    <fill>
      <patternFill patternType="solid">
        <fgColor indexed="10"/>
        <bgColor indexed="64"/>
      </patternFill>
    </fill>
    <fill>
      <patternFill patternType="solid">
        <fgColor theme="9" tint="0.79998168889431442"/>
        <bgColor indexed="64"/>
      </patternFill>
    </fill>
    <fill>
      <patternFill patternType="solid">
        <fgColor theme="0" tint="-0.249977111117893"/>
        <bgColor indexed="64"/>
      </patternFill>
    </fill>
  </fills>
  <borders count="27">
    <border>
      <left/>
      <right/>
      <top/>
      <bottom/>
      <diagonal/>
    </border>
    <border>
      <left/>
      <right/>
      <top style="medium">
        <color rgb="FFFFFFFF"/>
      </top>
      <bottom style="medium">
        <color rgb="FFFFFFFF"/>
      </bottom>
      <diagonal/>
    </border>
    <border>
      <left/>
      <right/>
      <top/>
      <bottom style="thick">
        <color indexed="64"/>
      </bottom>
      <diagonal/>
    </border>
    <border>
      <left style="thin">
        <color indexed="64"/>
      </left>
      <right style="thin">
        <color indexed="64"/>
      </right>
      <top style="thin">
        <color indexed="64"/>
      </top>
      <bottom style="thin">
        <color indexed="64"/>
      </bottom>
      <diagonal/>
    </border>
    <border>
      <left/>
      <right/>
      <top/>
      <bottom style="medium">
        <color indexed="45"/>
      </bottom>
      <diagonal/>
    </border>
    <border>
      <left style="thin">
        <color indexed="64"/>
      </left>
      <right style="thin">
        <color indexed="64"/>
      </right>
      <top/>
      <bottom/>
      <diagonal/>
    </border>
    <border>
      <left/>
      <right/>
      <top/>
      <bottom style="thin">
        <color indexed="45"/>
      </bottom>
      <diagonal/>
    </border>
    <border>
      <left/>
      <right/>
      <top style="medium">
        <color indexed="45"/>
      </top>
      <bottom/>
      <diagonal/>
    </border>
    <border>
      <left/>
      <right/>
      <top/>
      <bottom style="double">
        <color indexed="45"/>
      </bottom>
      <diagonal/>
    </border>
    <border>
      <left/>
      <right/>
      <top style="medium">
        <color indexed="64"/>
      </top>
      <bottom style="thin">
        <color indexed="64"/>
      </bottom>
      <diagonal/>
    </border>
    <border>
      <left/>
      <right/>
      <top/>
      <bottom style="medium">
        <color rgb="FFFFFFF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27"/>
      </top>
      <bottom/>
      <diagonal/>
    </border>
    <border>
      <left/>
      <right/>
      <top style="thin">
        <color rgb="FFCCCCCC"/>
      </top>
      <bottom style="thin">
        <color rgb="FFCCCCCC"/>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rgb="FF007EB6"/>
      </top>
      <bottom style="thin">
        <color rgb="FFCCCCCC"/>
      </bottom>
      <diagonal/>
    </border>
  </borders>
  <cellStyleXfs count="70">
    <xf numFmtId="0" fontId="0" fillId="0" borderId="0"/>
    <xf numFmtId="0" fontId="5" fillId="0" borderId="0"/>
    <xf numFmtId="0" fontId="6" fillId="0" borderId="0" applyNumberFormat="0" applyFont="0" applyFill="0" applyBorder="0" applyAlignment="0" applyProtection="0"/>
    <xf numFmtId="0" fontId="5" fillId="0" borderId="0">
      <alignment horizontal="left" wrapText="1"/>
    </xf>
    <xf numFmtId="0" fontId="7" fillId="0" borderId="0">
      <alignment vertical="top"/>
    </xf>
    <xf numFmtId="0" fontId="8" fillId="0" borderId="0"/>
    <xf numFmtId="0" fontId="5"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164" fontId="11" fillId="0" borderId="0" applyFont="0" applyFill="0" applyBorder="0" applyAlignment="0" applyProtection="0"/>
    <xf numFmtId="165" fontId="12" fillId="6" borderId="0" applyNumberFormat="0" applyFont="0" applyBorder="0" applyAlignment="0">
      <alignment horizontal="left"/>
    </xf>
    <xf numFmtId="3" fontId="5" fillId="0" borderId="0" applyFont="0" applyFill="0" applyBorder="0" applyAlignment="0" applyProtection="0"/>
    <xf numFmtId="0" fontId="5" fillId="0" borderId="0" applyFont="0" applyFill="0" applyBorder="0" applyAlignment="0" applyProtection="0"/>
    <xf numFmtId="165" fontId="13" fillId="0" borderId="0"/>
    <xf numFmtId="14" fontId="14" fillId="0" borderId="0"/>
    <xf numFmtId="42" fontId="15" fillId="0" borderId="0" applyFill="0" applyBorder="0" applyAlignment="0" applyProtection="0"/>
    <xf numFmtId="166" fontId="5" fillId="0" borderId="0" applyFont="0" applyFill="0" applyBorder="0" applyAlignment="0" applyProtection="0"/>
    <xf numFmtId="2" fontId="5" fillId="0" borderId="0" applyFont="0" applyFill="0" applyBorder="0" applyAlignment="0" applyProtection="0"/>
    <xf numFmtId="38" fontId="16" fillId="7" borderId="0" applyNumberFormat="0" applyBorder="0" applyAlignment="0" applyProtection="0"/>
    <xf numFmtId="0" fontId="17" fillId="0" borderId="0" applyNumberFormat="0" applyFill="0" applyBorder="0" applyAlignment="0" applyProtection="0">
      <alignment horizontal="left"/>
    </xf>
    <xf numFmtId="0" fontId="5" fillId="0" borderId="2" applyNumberFormat="0" applyFill="0" applyBorder="0" applyAlignment="0" applyProtection="0">
      <alignment horizontal="left"/>
    </xf>
    <xf numFmtId="10" fontId="16" fillId="8" borderId="3" applyNumberFormat="0" applyBorder="0" applyAlignment="0" applyProtection="0"/>
    <xf numFmtId="167" fontId="18" fillId="9" borderId="0" applyNumberFormat="0" applyAlignment="0"/>
    <xf numFmtId="37" fontId="5" fillId="0" borderId="0" applyNumberFormat="0" applyFill="0" applyBorder="0" applyAlignment="0" applyProtection="0">
      <alignment horizontal="right"/>
    </xf>
    <xf numFmtId="168" fontId="5" fillId="0" borderId="0"/>
    <xf numFmtId="41" fontId="19" fillId="0" borderId="0" applyNumberFormat="0" applyFill="0" applyBorder="0">
      <alignment horizontal="right" vertical="center"/>
      <protection locked="0"/>
    </xf>
    <xf numFmtId="37" fontId="20" fillId="0" borderId="0"/>
    <xf numFmtId="169" fontId="21" fillId="0" borderId="0"/>
    <xf numFmtId="0" fontId="22" fillId="0" borderId="4" applyNumberFormat="0" applyAlignment="0" applyProtection="0"/>
    <xf numFmtId="0" fontId="21" fillId="10" borderId="0" applyNumberFormat="0" applyFont="0" applyBorder="0" applyAlignment="0" applyProtection="0"/>
    <xf numFmtId="0" fontId="16" fillId="11" borderId="5" applyNumberFormat="0" applyFont="0" applyBorder="0" applyAlignment="0" applyProtection="0">
      <alignment horizontal="center"/>
    </xf>
    <xf numFmtId="0" fontId="16" fillId="12" borderId="5" applyNumberFormat="0" applyFont="0" applyBorder="0" applyAlignment="0" applyProtection="0">
      <alignment horizontal="center"/>
    </xf>
    <xf numFmtId="0" fontId="21" fillId="0" borderId="6" applyNumberFormat="0" applyAlignment="0" applyProtection="0"/>
    <xf numFmtId="0" fontId="21" fillId="0" borderId="7" applyNumberFormat="0" applyAlignment="0" applyProtection="0"/>
    <xf numFmtId="0" fontId="22" fillId="0" borderId="8" applyNumberFormat="0" applyAlignment="0" applyProtection="0"/>
    <xf numFmtId="167" fontId="23" fillId="0" borderId="0"/>
    <xf numFmtId="10" fontId="5" fillId="0" borderId="0" applyFont="0" applyFill="0" applyBorder="0" applyAlignment="0" applyProtection="0"/>
    <xf numFmtId="0" fontId="14" fillId="0" borderId="9"/>
    <xf numFmtId="42" fontId="11" fillId="0" borderId="0" applyFill="0" applyBorder="0" applyAlignment="0" applyProtection="0"/>
    <xf numFmtId="0" fontId="5" fillId="0" borderId="0"/>
    <xf numFmtId="0" fontId="7" fillId="0" borderId="0">
      <alignment vertical="top"/>
    </xf>
    <xf numFmtId="0" fontId="24" fillId="13" borderId="0" applyNumberFormat="0" applyProtection="0">
      <alignment horizontal="center" vertical="center"/>
    </xf>
    <xf numFmtId="4" fontId="25" fillId="13" borderId="0" applyProtection="0">
      <alignment horizontal="center" vertical="top" wrapText="1"/>
    </xf>
    <xf numFmtId="0" fontId="26" fillId="13" borderId="0" applyNumberFormat="0" applyProtection="0">
      <alignment horizontal="center" vertical="center" wrapText="1"/>
    </xf>
    <xf numFmtId="4" fontId="27" fillId="13" borderId="0" applyProtection="0">
      <alignment horizontal="center" vertical="top" wrapText="1"/>
    </xf>
    <xf numFmtId="0" fontId="28" fillId="14" borderId="0" applyNumberFormat="0" applyProtection="0">
      <alignment horizontal="center" vertical="center" wrapText="1"/>
    </xf>
    <xf numFmtId="4" fontId="29" fillId="14" borderId="0" applyProtection="0">
      <alignment horizontal="center" vertical="top" wrapText="1"/>
    </xf>
    <xf numFmtId="0" fontId="30" fillId="13" borderId="0" applyNumberFormat="0" applyProtection="0">
      <alignment horizontal="center" vertical="center" wrapText="1"/>
    </xf>
    <xf numFmtId="4" fontId="25" fillId="15" borderId="0" applyProtection="0">
      <alignment horizontal="center" vertical="top" wrapText="1"/>
    </xf>
    <xf numFmtId="0" fontId="31" fillId="0" borderId="0"/>
    <xf numFmtId="170" fontId="21" fillId="0" borderId="0" applyNumberFormat="0" applyFont="0"/>
    <xf numFmtId="0" fontId="21" fillId="0" borderId="0" applyNumberFormat="0" applyFill="0" applyBorder="0" applyAlignment="0" applyProtection="0"/>
    <xf numFmtId="0" fontId="32" fillId="0" borderId="0" applyNumberFormat="0" applyFill="0" applyBorder="0" applyAlignment="0" applyProtection="0"/>
    <xf numFmtId="0" fontId="33" fillId="0" borderId="0" applyNumberFormat="0" applyBorder="0" applyAlignment="0"/>
    <xf numFmtId="171" fontId="34" fillId="0" borderId="0">
      <alignment horizontal="right"/>
      <protection locked="0"/>
    </xf>
    <xf numFmtId="172" fontId="11" fillId="0" borderId="0" applyFont="0" applyFill="0" applyBorder="0" applyAlignment="0" applyProtection="0"/>
    <xf numFmtId="0" fontId="40" fillId="0" borderId="0"/>
    <xf numFmtId="0" fontId="43" fillId="0" borderId="0"/>
    <xf numFmtId="40" fontId="44" fillId="0" borderId="0" applyFont="0" applyFill="0" applyBorder="0" applyAlignment="0" applyProtection="0"/>
    <xf numFmtId="8" fontId="44" fillId="0" borderId="0" applyFont="0" applyFill="0" applyBorder="0" applyAlignment="0" applyProtection="0"/>
    <xf numFmtId="0" fontId="45" fillId="0" borderId="0"/>
    <xf numFmtId="0" fontId="39" fillId="0" borderId="0"/>
    <xf numFmtId="0" fontId="39" fillId="0" borderId="0"/>
    <xf numFmtId="0" fontId="39" fillId="0" borderId="0"/>
    <xf numFmtId="9" fontId="44" fillId="0" borderId="0" applyFont="0" applyFill="0" applyBorder="0" applyAlignment="0" applyProtection="0"/>
    <xf numFmtId="0" fontId="5" fillId="0" borderId="0"/>
    <xf numFmtId="0" fontId="5" fillId="0" borderId="0"/>
    <xf numFmtId="43" fontId="39" fillId="0" borderId="0" applyFont="0" applyFill="0" applyBorder="0" applyAlignment="0" applyProtection="0"/>
    <xf numFmtId="0" fontId="66" fillId="0" borderId="0" applyNumberFormat="0" applyFill="0" applyBorder="0" applyAlignment="0" applyProtection="0">
      <alignment vertical="top"/>
      <protection locked="0"/>
    </xf>
    <xf numFmtId="0" fontId="69" fillId="0" borderId="0"/>
  </cellStyleXfs>
  <cellXfs count="287">
    <xf numFmtId="0" fontId="0" fillId="0" borderId="0" xfId="0"/>
    <xf numFmtId="0" fontId="0" fillId="2" borderId="0" xfId="0" applyFill="1"/>
    <xf numFmtId="0" fontId="0" fillId="2" borderId="0" xfId="0" applyFill="1" applyAlignment="1">
      <alignment horizontal="center"/>
    </xf>
    <xf numFmtId="0" fontId="0" fillId="2" borderId="0" xfId="0" applyFill="1" applyAlignment="1"/>
    <xf numFmtId="0" fontId="3" fillId="3" borderId="1" xfId="0" applyFont="1" applyFill="1" applyBorder="1" applyAlignment="1">
      <alignment vertical="center" wrapText="1"/>
    </xf>
    <xf numFmtId="0" fontId="3" fillId="3" borderId="1" xfId="0" applyFont="1" applyFill="1" applyBorder="1" applyAlignment="1">
      <alignment horizontal="center" vertical="center" wrapText="1"/>
    </xf>
    <xf numFmtId="0" fontId="4" fillId="4" borderId="0" xfId="0" applyFont="1" applyFill="1" applyAlignment="1">
      <alignment vertical="center"/>
    </xf>
    <xf numFmtId="0" fontId="4" fillId="4" borderId="0" xfId="0" applyFont="1" applyFill="1" applyAlignment="1">
      <alignment vertical="center" wrapText="1"/>
    </xf>
    <xf numFmtId="0" fontId="4" fillId="4" borderId="0" xfId="0" applyFont="1" applyFill="1" applyAlignment="1">
      <alignment horizontal="center" vertical="center" wrapText="1"/>
    </xf>
    <xf numFmtId="0" fontId="0" fillId="2" borderId="0" xfId="0" applyFill="1" applyAlignment="1">
      <alignment vertical="center" wrapText="1"/>
    </xf>
    <xf numFmtId="39" fontId="4" fillId="4" borderId="0" xfId="0" applyNumberFormat="1" applyFont="1" applyFill="1" applyAlignment="1">
      <alignment horizontal="center" vertical="center" wrapText="1"/>
    </xf>
    <xf numFmtId="0" fontId="4" fillId="4" borderId="0" xfId="0" applyFont="1" applyFill="1" applyAlignment="1">
      <alignment horizontal="left" vertical="center" wrapText="1"/>
    </xf>
    <xf numFmtId="37" fontId="4" fillId="4" borderId="0" xfId="0" applyNumberFormat="1" applyFont="1" applyFill="1" applyAlignment="1">
      <alignment horizontal="center" vertical="center" wrapText="1"/>
    </xf>
    <xf numFmtId="39" fontId="4" fillId="5" borderId="0" xfId="0" applyNumberFormat="1" applyFont="1" applyFill="1" applyAlignment="1">
      <alignment horizontal="center" vertical="center" wrapText="1"/>
    </xf>
    <xf numFmtId="0" fontId="0" fillId="2" borderId="0" xfId="0" applyFill="1" applyAlignment="1">
      <alignment horizontal="center" vertical="center" wrapText="1"/>
    </xf>
    <xf numFmtId="0" fontId="4" fillId="4" borderId="0" xfId="0" applyFont="1" applyFill="1" applyAlignment="1">
      <alignment horizontal="center" vertical="center"/>
    </xf>
    <xf numFmtId="0" fontId="4" fillId="4" borderId="0" xfId="0" applyFont="1" applyFill="1" applyAlignment="1">
      <alignment horizontal="left" vertical="center" wrapText="1"/>
    </xf>
    <xf numFmtId="0" fontId="4" fillId="4" borderId="0" xfId="0" applyFont="1" applyFill="1" applyAlignment="1">
      <alignment vertical="center" wrapText="1"/>
    </xf>
    <xf numFmtId="0" fontId="4" fillId="4" borderId="0" xfId="0" applyFont="1" applyFill="1" applyAlignment="1">
      <alignment horizontal="left" vertical="center" wrapText="1"/>
    </xf>
    <xf numFmtId="0" fontId="4" fillId="2" borderId="0" xfId="0" applyFont="1" applyFill="1" applyAlignment="1">
      <alignment horizontal="center" vertical="center" wrapText="1"/>
    </xf>
    <xf numFmtId="39" fontId="4" fillId="2" borderId="0" xfId="0" applyNumberFormat="1" applyFont="1" applyFill="1" applyAlignment="1">
      <alignment horizontal="center" vertical="center" wrapText="1"/>
    </xf>
    <xf numFmtId="37" fontId="4" fillId="2" borderId="0" xfId="0" applyNumberFormat="1" applyFont="1" applyFill="1" applyAlignment="1">
      <alignment horizontal="center" vertical="center" wrapText="1"/>
    </xf>
    <xf numFmtId="0" fontId="35" fillId="2" borderId="0" xfId="0" applyFont="1" applyFill="1" applyAlignment="1"/>
    <xf numFmtId="0" fontId="35" fillId="2" borderId="0" xfId="0" applyFont="1" applyFill="1" applyAlignment="1">
      <alignment horizontal="center"/>
    </xf>
    <xf numFmtId="0" fontId="4" fillId="4" borderId="0" xfId="0" applyFont="1" applyFill="1" applyAlignment="1">
      <alignment horizontal="left" vertical="center" wrapText="1"/>
    </xf>
    <xf numFmtId="0" fontId="3" fillId="3" borderId="10" xfId="0" applyFont="1" applyFill="1" applyBorder="1" applyAlignment="1">
      <alignment vertical="center" wrapText="1"/>
    </xf>
    <xf numFmtId="0" fontId="3" fillId="3" borderId="10" xfId="0" applyFont="1" applyFill="1" applyBorder="1" applyAlignment="1">
      <alignment horizontal="center" vertical="center" wrapText="1"/>
    </xf>
    <xf numFmtId="0" fontId="36" fillId="2" borderId="0" xfId="0" applyFont="1" applyFill="1"/>
    <xf numFmtId="0" fontId="4" fillId="4" borderId="0" xfId="0" applyFont="1" applyFill="1" applyAlignment="1">
      <alignment horizontal="left" vertical="center" wrapText="1"/>
    </xf>
    <xf numFmtId="0" fontId="4" fillId="4" borderId="0" xfId="0" applyFont="1" applyFill="1" applyAlignment="1">
      <alignment vertical="center" wrapText="1"/>
    </xf>
    <xf numFmtId="0" fontId="0" fillId="2" borderId="0" xfId="0" applyFill="1" applyAlignment="1">
      <alignment horizontal="center" vertical="center"/>
    </xf>
    <xf numFmtId="173" fontId="4" fillId="4" borderId="0" xfId="0" applyNumberFormat="1" applyFont="1" applyFill="1" applyAlignment="1">
      <alignment horizontal="center" vertical="center" wrapText="1"/>
    </xf>
    <xf numFmtId="0" fontId="4" fillId="2" borderId="0" xfId="0" applyFont="1" applyFill="1" applyAlignment="1">
      <alignment vertical="center" wrapText="1"/>
    </xf>
    <xf numFmtId="0" fontId="4" fillId="4" borderId="0" xfId="0" applyFont="1" applyFill="1" applyAlignment="1">
      <alignment vertical="center" wrapText="1"/>
    </xf>
    <xf numFmtId="0" fontId="4" fillId="4" borderId="0" xfId="0" applyFont="1" applyFill="1" applyAlignment="1">
      <alignment horizontal="left" vertical="center" wrapText="1"/>
    </xf>
    <xf numFmtId="0" fontId="4" fillId="4" borderId="0" xfId="0" applyFont="1" applyFill="1" applyAlignment="1">
      <alignment horizontal="left" vertical="center" wrapText="1"/>
    </xf>
    <xf numFmtId="0" fontId="4" fillId="4" borderId="0" xfId="0" applyFont="1" applyFill="1" applyAlignment="1">
      <alignment horizontal="left" vertical="center" wrapText="1"/>
    </xf>
    <xf numFmtId="0" fontId="4" fillId="4" borderId="0" xfId="0" applyFont="1" applyFill="1" applyAlignment="1">
      <alignment vertical="center" wrapText="1"/>
    </xf>
    <xf numFmtId="0" fontId="4" fillId="4" borderId="0" xfId="0" applyFont="1" applyFill="1" applyAlignment="1">
      <alignment horizontal="left" vertical="center" wrapText="1"/>
    </xf>
    <xf numFmtId="0" fontId="4" fillId="4" borderId="0" xfId="0" applyFont="1" applyFill="1" applyAlignment="1">
      <alignment vertical="center" wrapText="1"/>
    </xf>
    <xf numFmtId="0" fontId="4" fillId="4" borderId="0" xfId="0" applyFont="1" applyFill="1" applyAlignment="1">
      <alignment vertical="center" wrapText="1"/>
    </xf>
    <xf numFmtId="0" fontId="4" fillId="4" borderId="0" xfId="0" applyFont="1" applyFill="1" applyAlignment="1">
      <alignment horizontal="left"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4" fillId="4" borderId="0" xfId="0" applyFont="1" applyFill="1" applyAlignment="1">
      <alignment horizontal="left" vertical="center" wrapText="1"/>
    </xf>
    <xf numFmtId="0" fontId="0" fillId="0" borderId="0" xfId="0" applyAlignment="1">
      <alignment vertical="center" wrapText="1"/>
    </xf>
    <xf numFmtId="0" fontId="4" fillId="4" borderId="0" xfId="0" applyFont="1" applyFill="1" applyAlignment="1">
      <alignment vertical="center" wrapText="1"/>
    </xf>
    <xf numFmtId="0" fontId="4" fillId="4" borderId="10" xfId="0" applyFont="1" applyFill="1" applyBorder="1" applyAlignment="1">
      <alignment vertical="center" wrapText="1"/>
    </xf>
    <xf numFmtId="0" fontId="4" fillId="4" borderId="1" xfId="0" applyFont="1" applyFill="1" applyBorder="1" applyAlignment="1">
      <alignment vertical="center" wrapText="1"/>
    </xf>
    <xf numFmtId="0" fontId="3" fillId="3" borderId="1" xfId="0" applyFont="1" applyFill="1" applyBorder="1" applyAlignment="1">
      <alignment horizontal="center" vertical="center" wrapText="1"/>
    </xf>
    <xf numFmtId="0" fontId="4" fillId="4" borderId="0" xfId="0" applyFont="1" applyFill="1" applyAlignment="1">
      <alignment horizontal="left" vertical="center" wrapText="1"/>
    </xf>
    <xf numFmtId="0" fontId="4" fillId="4" borderId="0" xfId="0" applyFont="1" applyFill="1" applyAlignment="1">
      <alignment vertical="center" wrapText="1"/>
    </xf>
    <xf numFmtId="0" fontId="3" fillId="3" borderId="1" xfId="0" applyFont="1" applyFill="1" applyBorder="1" applyAlignment="1">
      <alignment horizontal="center" vertical="center" wrapText="1"/>
    </xf>
    <xf numFmtId="0" fontId="0" fillId="0" borderId="0" xfId="0" applyAlignment="1">
      <alignment vertical="center" wrapText="1"/>
    </xf>
    <xf numFmtId="0" fontId="4" fillId="4" borderId="0" xfId="0" applyFont="1" applyFill="1" applyAlignment="1">
      <alignment vertical="center" wrapText="1"/>
    </xf>
    <xf numFmtId="0" fontId="3" fillId="3" borderId="10" xfId="0" applyFont="1" applyFill="1" applyBorder="1" applyAlignment="1">
      <alignment horizontal="center" vertical="center" wrapText="1"/>
    </xf>
    <xf numFmtId="0" fontId="4" fillId="4" borderId="0" xfId="0" applyFont="1" applyFill="1" applyAlignment="1">
      <alignment horizontal="left" vertical="center" wrapText="1"/>
    </xf>
    <xf numFmtId="0" fontId="4" fillId="4" borderId="0" xfId="0" applyFont="1" applyFill="1" applyAlignment="1">
      <alignment vertical="center" wrapText="1"/>
    </xf>
    <xf numFmtId="2" fontId="35" fillId="2" borderId="0" xfId="0" applyNumberFormat="1" applyFont="1" applyFill="1" applyAlignment="1">
      <alignment horizontal="center"/>
    </xf>
    <xf numFmtId="0" fontId="3" fillId="3" borderId="10" xfId="0" applyFont="1" applyFill="1" applyBorder="1" applyAlignment="1">
      <alignment horizontal="center" vertical="center" wrapText="1"/>
    </xf>
    <xf numFmtId="0" fontId="4" fillId="4" borderId="0" xfId="0" applyFont="1" applyFill="1" applyAlignment="1">
      <alignment vertical="center" wrapText="1"/>
    </xf>
    <xf numFmtId="39" fontId="0" fillId="2" borderId="0" xfId="0" applyNumberFormat="1" applyFill="1" applyAlignment="1">
      <alignment horizontal="center"/>
    </xf>
    <xf numFmtId="37" fontId="0" fillId="2" borderId="0" xfId="0" applyNumberFormat="1" applyFill="1" applyAlignment="1">
      <alignment horizontal="center"/>
    </xf>
    <xf numFmtId="0" fontId="0" fillId="2" borderId="0" xfId="0" applyFill="1" applyAlignment="1">
      <alignment vertical="center"/>
    </xf>
    <xf numFmtId="3" fontId="4" fillId="4" borderId="0" xfId="0" applyNumberFormat="1" applyFont="1" applyFill="1" applyAlignment="1">
      <alignment horizontal="center" vertical="center" wrapText="1"/>
    </xf>
    <xf numFmtId="39" fontId="0" fillId="2" borderId="0" xfId="0" applyNumberFormat="1" applyFill="1" applyAlignment="1">
      <alignment vertical="center" wrapText="1"/>
    </xf>
    <xf numFmtId="0" fontId="4" fillId="4" borderId="0" xfId="0" applyFont="1" applyFill="1" applyAlignment="1">
      <alignment horizontal="left" vertical="center" wrapText="1"/>
    </xf>
    <xf numFmtId="0" fontId="4" fillId="4" borderId="0" xfId="0" applyFont="1" applyFill="1" applyAlignment="1">
      <alignment vertical="center" wrapText="1"/>
    </xf>
    <xf numFmtId="0" fontId="0" fillId="0" borderId="0" xfId="0" applyAlignment="1">
      <alignment vertical="center" wrapText="1"/>
    </xf>
    <xf numFmtId="0" fontId="3" fillId="3" borderId="10" xfId="0" applyFont="1" applyFill="1" applyBorder="1" applyAlignment="1">
      <alignment horizontal="center" vertical="center" wrapText="1"/>
    </xf>
    <xf numFmtId="0" fontId="4" fillId="4" borderId="0" xfId="0" applyFont="1" applyFill="1" applyAlignment="1">
      <alignment horizontal="left" vertical="center" wrapText="1"/>
    </xf>
    <xf numFmtId="0" fontId="4" fillId="4" borderId="0" xfId="0" applyFont="1" applyFill="1" applyAlignment="1">
      <alignment vertical="center" wrapText="1"/>
    </xf>
    <xf numFmtId="0" fontId="0" fillId="0" borderId="0" xfId="0" applyAlignment="1">
      <alignment vertical="center" wrapText="1"/>
    </xf>
    <xf numFmtId="0" fontId="4" fillId="4" borderId="0" xfId="0" applyFont="1" applyFill="1" applyAlignment="1">
      <alignment vertical="center" wrapText="1"/>
    </xf>
    <xf numFmtId="39" fontId="4" fillId="0" borderId="0" xfId="0" applyNumberFormat="1" applyFont="1" applyFill="1" applyAlignment="1">
      <alignment horizontal="center" vertical="center" wrapText="1"/>
    </xf>
    <xf numFmtId="0" fontId="4" fillId="4" borderId="0" xfId="0" applyFont="1" applyFill="1" applyAlignment="1">
      <alignment horizontal="left" vertical="center" wrapText="1"/>
    </xf>
    <xf numFmtId="0" fontId="4" fillId="4" borderId="0" xfId="0" applyFont="1" applyFill="1" applyAlignment="1">
      <alignment vertical="center" wrapText="1"/>
    </xf>
    <xf numFmtId="39" fontId="4" fillId="4" borderId="11" xfId="0" applyNumberFormat="1" applyFont="1" applyFill="1" applyBorder="1" applyAlignment="1">
      <alignment horizontal="center" vertical="center" wrapText="1"/>
    </xf>
    <xf numFmtId="39" fontId="4" fillId="4" borderId="12" xfId="0" applyNumberFormat="1" applyFont="1" applyFill="1" applyBorder="1" applyAlignment="1">
      <alignment horizontal="center" vertical="center" wrapText="1"/>
    </xf>
    <xf numFmtId="173" fontId="4" fillId="4" borderId="13" xfId="0" applyNumberFormat="1" applyFont="1" applyFill="1" applyBorder="1" applyAlignment="1">
      <alignment horizontal="center" vertical="center" wrapText="1"/>
    </xf>
    <xf numFmtId="0" fontId="4" fillId="4" borderId="0" xfId="0" applyFont="1" applyFill="1" applyBorder="1" applyAlignment="1">
      <alignment horizontal="center" vertical="center" wrapText="1"/>
    </xf>
    <xf numFmtId="0" fontId="4" fillId="4" borderId="0" xfId="0" applyFont="1" applyFill="1" applyAlignment="1">
      <alignment vertical="center" wrapText="1"/>
    </xf>
    <xf numFmtId="0" fontId="0" fillId="0" borderId="0" xfId="0" applyAlignment="1">
      <alignment vertical="center" wrapText="1"/>
    </xf>
    <xf numFmtId="0" fontId="4" fillId="4" borderId="0" xfId="0" applyFont="1" applyFill="1" applyAlignment="1">
      <alignment vertical="center" wrapText="1"/>
    </xf>
    <xf numFmtId="0" fontId="4" fillId="4" borderId="0" xfId="0" applyFont="1" applyFill="1" applyAlignment="1">
      <alignment vertical="center" wrapText="1"/>
    </xf>
    <xf numFmtId="0" fontId="3" fillId="3" borderId="1" xfId="0" applyFont="1" applyFill="1" applyBorder="1" applyAlignment="1">
      <alignment horizontal="center" vertical="center" wrapText="1"/>
    </xf>
    <xf numFmtId="0" fontId="4" fillId="4" borderId="0" xfId="0" applyFont="1" applyFill="1" applyAlignment="1">
      <alignment horizontal="left" vertical="center" wrapText="1"/>
    </xf>
    <xf numFmtId="0" fontId="4" fillId="4" borderId="0" xfId="0" applyFont="1" applyFill="1" applyAlignment="1">
      <alignment vertical="center" wrapText="1"/>
    </xf>
    <xf numFmtId="37" fontId="46" fillId="4" borderId="0" xfId="0" applyNumberFormat="1" applyFont="1" applyFill="1" applyAlignment="1">
      <alignment horizontal="center" vertical="center" wrapText="1"/>
    </xf>
    <xf numFmtId="0" fontId="4" fillId="4" borderId="0" xfId="0" applyFont="1" applyFill="1" applyAlignment="1">
      <alignment vertical="center" wrapText="1"/>
    </xf>
    <xf numFmtId="0" fontId="47" fillId="13" borderId="0" xfId="65" applyFont="1" applyFill="1"/>
    <xf numFmtId="0" fontId="47" fillId="7" borderId="0" xfId="65" applyFont="1" applyFill="1"/>
    <xf numFmtId="0" fontId="47" fillId="13" borderId="0" xfId="65" applyFont="1" applyFill="1" applyAlignment="1"/>
    <xf numFmtId="49" fontId="48" fillId="13" borderId="0" xfId="65" applyNumberFormat="1" applyFont="1" applyFill="1" applyAlignment="1">
      <alignment horizontal="left"/>
    </xf>
    <xf numFmtId="49" fontId="51" fillId="13" borderId="0" xfId="65" applyNumberFormat="1" applyFont="1" applyFill="1" applyAlignment="1">
      <alignment horizontal="left"/>
    </xf>
    <xf numFmtId="0" fontId="47" fillId="13" borderId="0" xfId="65" applyFont="1" applyFill="1" applyBorder="1" applyAlignment="1"/>
    <xf numFmtId="49" fontId="47" fillId="13" borderId="0" xfId="66" applyNumberFormat="1" applyFont="1" applyFill="1" applyBorder="1" applyAlignment="1"/>
    <xf numFmtId="0" fontId="51" fillId="13" borderId="0" xfId="65" applyFont="1" applyFill="1" applyAlignment="1">
      <alignment horizontal="left"/>
    </xf>
    <xf numFmtId="49" fontId="47" fillId="13" borderId="0" xfId="65" applyNumberFormat="1" applyFont="1" applyFill="1" applyBorder="1" applyAlignment="1"/>
    <xf numFmtId="49" fontId="52" fillId="13" borderId="0" xfId="65" applyNumberFormat="1" applyFont="1" applyFill="1" applyBorder="1" applyAlignment="1"/>
    <xf numFmtId="0" fontId="41" fillId="2" borderId="0" xfId="65" applyFont="1" applyFill="1"/>
    <xf numFmtId="49" fontId="41" fillId="2" borderId="0" xfId="65" applyNumberFormat="1" applyFont="1" applyFill="1" applyBorder="1" applyAlignment="1"/>
    <xf numFmtId="49" fontId="42" fillId="2" borderId="0" xfId="65" applyNumberFormat="1" applyFont="1" applyFill="1" applyBorder="1" applyAlignment="1"/>
    <xf numFmtId="0" fontId="53" fillId="13" borderId="0" xfId="65" applyFont="1" applyFill="1"/>
    <xf numFmtId="0" fontId="53" fillId="13" borderId="0" xfId="65" applyFont="1" applyFill="1" applyAlignment="1">
      <alignment vertical="top"/>
    </xf>
    <xf numFmtId="0" fontId="53" fillId="7" borderId="0" xfId="65" applyFont="1" applyFill="1"/>
    <xf numFmtId="0" fontId="55" fillId="2" borderId="0" xfId="65" applyFont="1" applyFill="1"/>
    <xf numFmtId="49" fontId="55" fillId="2" borderId="0" xfId="65" applyNumberFormat="1" applyFont="1" applyFill="1" applyBorder="1" applyAlignment="1"/>
    <xf numFmtId="49" fontId="56" fillId="2" borderId="0" xfId="65" applyNumberFormat="1" applyFont="1" applyFill="1" applyBorder="1" applyAlignment="1"/>
    <xf numFmtId="0" fontId="53" fillId="13" borderId="0" xfId="65" applyFont="1" applyFill="1" applyAlignment="1">
      <alignment horizontal="left"/>
    </xf>
    <xf numFmtId="0" fontId="47" fillId="2" borderId="0" xfId="65" applyFont="1" applyFill="1"/>
    <xf numFmtId="0" fontId="54" fillId="2" borderId="0" xfId="65" applyNumberFormat="1" applyFont="1" applyFill="1" applyAlignment="1">
      <alignment vertical="top" wrapText="1"/>
    </xf>
    <xf numFmtId="0" fontId="47" fillId="13" borderId="0" xfId="65" applyFont="1" applyFill="1" applyBorder="1"/>
    <xf numFmtId="0" fontId="47" fillId="13" borderId="14" xfId="65" applyFont="1" applyFill="1" applyBorder="1"/>
    <xf numFmtId="0" fontId="39" fillId="0" borderId="0" xfId="63"/>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4" fillId="4" borderId="0" xfId="0" applyFont="1" applyFill="1" applyAlignment="1">
      <alignment horizontal="left"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vertical="center" wrapText="1"/>
    </xf>
    <xf numFmtId="0" fontId="4" fillId="4" borderId="0" xfId="0" applyFont="1" applyFill="1" applyAlignment="1">
      <alignment horizontal="left" vertical="center" wrapText="1"/>
    </xf>
    <xf numFmtId="0" fontId="4" fillId="4" borderId="0" xfId="0" applyFont="1" applyFill="1" applyAlignment="1">
      <alignment vertical="center" wrapText="1"/>
    </xf>
    <xf numFmtId="0" fontId="3" fillId="3" borderId="1" xfId="0" applyFont="1" applyFill="1" applyBorder="1" applyAlignment="1">
      <alignment horizontal="center" vertical="center" wrapText="1"/>
    </xf>
    <xf numFmtId="0" fontId="4" fillId="16" borderId="0" xfId="0" applyFont="1" applyFill="1" applyAlignment="1">
      <alignment horizontal="center" vertical="center" wrapText="1"/>
    </xf>
    <xf numFmtId="0" fontId="35" fillId="16" borderId="0" xfId="0" applyFont="1" applyFill="1" applyAlignment="1">
      <alignment horizontal="center"/>
    </xf>
    <xf numFmtId="0" fontId="0" fillId="16" borderId="0" xfId="0" applyFill="1" applyAlignment="1">
      <alignment horizontal="center"/>
    </xf>
    <xf numFmtId="39" fontId="0" fillId="16" borderId="0" xfId="0" applyNumberFormat="1" applyFill="1" applyAlignment="1">
      <alignment horizontal="center"/>
    </xf>
    <xf numFmtId="37" fontId="0" fillId="16" borderId="0" xfId="0" applyNumberFormat="1" applyFill="1" applyAlignment="1">
      <alignment horizontal="center"/>
    </xf>
    <xf numFmtId="0" fontId="0" fillId="0" borderId="0" xfId="0" applyAlignment="1">
      <alignment vertical="center" wrapText="1"/>
    </xf>
    <xf numFmtId="0" fontId="4" fillId="4" borderId="0" xfId="0" applyFont="1" applyFill="1" applyAlignment="1">
      <alignment vertical="center" wrapText="1"/>
    </xf>
    <xf numFmtId="0" fontId="4" fillId="4" borderId="0" xfId="0" applyFont="1" applyFill="1" applyAlignment="1">
      <alignment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vertical="center" wrapText="1"/>
    </xf>
    <xf numFmtId="0" fontId="4" fillId="4" borderId="0" xfId="0" applyFont="1" applyFill="1" applyAlignment="1">
      <alignment horizontal="left" vertical="center" wrapText="1"/>
    </xf>
    <xf numFmtId="0" fontId="4" fillId="4" borderId="0" xfId="0" applyFont="1" applyFill="1" applyAlignment="1">
      <alignment vertical="center" wrapText="1"/>
    </xf>
    <xf numFmtId="2" fontId="4" fillId="4" borderId="0" xfId="0" applyNumberFormat="1" applyFont="1" applyFill="1" applyAlignment="1">
      <alignment horizontal="center" vertical="center" wrapText="1"/>
    </xf>
    <xf numFmtId="173" fontId="4" fillId="2" borderId="0" xfId="0" applyNumberFormat="1" applyFont="1" applyFill="1" applyAlignment="1">
      <alignment horizontal="center" vertical="center" wrapText="1"/>
    </xf>
    <xf numFmtId="0" fontId="4" fillId="4" borderId="0" xfId="0" applyFont="1" applyFill="1" applyAlignment="1">
      <alignment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5" fillId="2" borderId="0" xfId="0" applyFont="1" applyFill="1"/>
    <xf numFmtId="0" fontId="3" fillId="3" borderId="1" xfId="0" applyFont="1" applyFill="1" applyBorder="1" applyAlignment="1">
      <alignment horizontal="center" vertical="center" wrapText="1"/>
    </xf>
    <xf numFmtId="0" fontId="3" fillId="3" borderId="1" xfId="0" applyFont="1" applyFill="1" applyBorder="1" applyAlignment="1">
      <alignment vertical="center" wrapText="1"/>
    </xf>
    <xf numFmtId="0" fontId="4" fillId="4" borderId="0" xfId="0" applyFont="1" applyFill="1" applyAlignment="1">
      <alignment horizontal="left" vertical="center" wrapText="1"/>
    </xf>
    <xf numFmtId="0" fontId="4" fillId="4" borderId="0" xfId="0" applyFont="1" applyFill="1" applyAlignment="1">
      <alignment vertical="center" wrapText="1"/>
    </xf>
    <xf numFmtId="173" fontId="0" fillId="2" borderId="0" xfId="0" applyNumberFormat="1" applyFill="1" applyAlignment="1">
      <alignment horizontal="center"/>
    </xf>
    <xf numFmtId="3" fontId="0" fillId="2" borderId="0" xfId="0" applyNumberFormat="1" applyFill="1" applyAlignment="1">
      <alignment horizontal="center"/>
    </xf>
    <xf numFmtId="0" fontId="4" fillId="4" borderId="0" xfId="0" applyFont="1" applyFill="1" applyAlignment="1">
      <alignment vertical="center" wrapText="1"/>
    </xf>
    <xf numFmtId="0" fontId="4" fillId="4" borderId="0" xfId="0" applyFont="1" applyFill="1" applyBorder="1" applyAlignment="1">
      <alignment horizontal="center" vertical="center"/>
    </xf>
    <xf numFmtId="174" fontId="4" fillId="4" borderId="0" xfId="0" applyNumberFormat="1" applyFont="1" applyFill="1" applyBorder="1" applyAlignment="1">
      <alignment horizontal="center" vertical="center"/>
    </xf>
    <xf numFmtId="0" fontId="4" fillId="4" borderId="15" xfId="0" applyFont="1" applyFill="1" applyBorder="1" applyAlignment="1">
      <alignment horizontal="center" vertical="center" wrapText="1"/>
    </xf>
    <xf numFmtId="39" fontId="4" fillId="4" borderId="0" xfId="0" applyNumberFormat="1" applyFont="1" applyFill="1" applyBorder="1" applyAlignment="1">
      <alignment horizontal="center" vertical="center" wrapText="1"/>
    </xf>
    <xf numFmtId="0" fontId="3" fillId="3" borderId="1" xfId="0" applyFont="1" applyFill="1" applyBorder="1" applyAlignment="1">
      <alignment horizontal="center" vertical="center" wrapText="1"/>
    </xf>
    <xf numFmtId="0" fontId="4" fillId="4" borderId="0" xfId="0" applyFont="1" applyFill="1" applyAlignment="1">
      <alignment horizontal="left" vertical="center" wrapText="1"/>
    </xf>
    <xf numFmtId="0" fontId="0" fillId="0" borderId="0" xfId="0" applyAlignment="1">
      <alignment vertical="center" wrapText="1"/>
    </xf>
    <xf numFmtId="0" fontId="4" fillId="2" borderId="0" xfId="0" applyFont="1" applyFill="1" applyAlignment="1">
      <alignment vertical="center" wrapText="1"/>
    </xf>
    <xf numFmtId="0" fontId="4" fillId="4" borderId="0" xfId="0" applyFont="1" applyFill="1" applyAlignment="1">
      <alignment vertical="center" wrapText="1"/>
    </xf>
    <xf numFmtId="0" fontId="0" fillId="0" borderId="0" xfId="0" applyAlignment="1"/>
    <xf numFmtId="0" fontId="4" fillId="4" borderId="0" xfId="0" applyFont="1" applyFill="1" applyAlignment="1">
      <alignment horizontal="left" vertical="center"/>
    </xf>
    <xf numFmtId="39" fontId="4" fillId="2" borderId="0" xfId="0" applyNumberFormat="1" applyFont="1" applyFill="1" applyBorder="1" applyAlignment="1">
      <alignment horizontal="center" vertical="center" wrapText="1"/>
    </xf>
    <xf numFmtId="0" fontId="59" fillId="4" borderId="0" xfId="0" applyFont="1" applyFill="1" applyAlignment="1">
      <alignment horizontal="center" vertical="center" wrapText="1"/>
    </xf>
    <xf numFmtId="0" fontId="51" fillId="13" borderId="0" xfId="65" applyFont="1" applyFill="1" applyBorder="1" applyAlignment="1"/>
    <xf numFmtId="0" fontId="60" fillId="0" borderId="0" xfId="0" applyFont="1"/>
    <xf numFmtId="0" fontId="60" fillId="2" borderId="0" xfId="0" applyFont="1" applyFill="1"/>
    <xf numFmtId="0" fontId="3" fillId="3" borderId="1" xfId="0" applyFont="1" applyFill="1" applyBorder="1" applyAlignment="1">
      <alignment horizontal="center" vertical="center" wrapText="1"/>
    </xf>
    <xf numFmtId="0" fontId="3" fillId="3" borderId="1" xfId="0" applyFont="1" applyFill="1" applyBorder="1" applyAlignment="1">
      <alignment vertical="center" wrapText="1"/>
    </xf>
    <xf numFmtId="0" fontId="4" fillId="4" borderId="0" xfId="0" applyFont="1" applyFill="1" applyAlignment="1">
      <alignment horizontal="left" vertical="center" wrapText="1"/>
    </xf>
    <xf numFmtId="0" fontId="4" fillId="4" borderId="0" xfId="0" applyFont="1" applyFill="1" applyAlignment="1">
      <alignment vertical="center" wrapText="1"/>
    </xf>
    <xf numFmtId="39" fontId="4" fillId="17" borderId="0" xfId="0" applyNumberFormat="1" applyFont="1" applyFill="1" applyAlignment="1">
      <alignment horizontal="center"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vertical="center" wrapText="1"/>
    </xf>
    <xf numFmtId="0" fontId="4" fillId="4" borderId="0" xfId="0" applyFont="1" applyFill="1" applyAlignment="1">
      <alignment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vertical="center" wrapText="1"/>
    </xf>
    <xf numFmtId="0" fontId="4" fillId="4" borderId="0" xfId="0" applyFont="1" applyFill="1" applyAlignment="1">
      <alignment vertical="center" wrapText="1"/>
    </xf>
    <xf numFmtId="0" fontId="62" fillId="4" borderId="0" xfId="0" applyFont="1" applyFill="1" applyAlignment="1">
      <alignment horizontal="center" vertical="center" wrapText="1"/>
    </xf>
    <xf numFmtId="0" fontId="62" fillId="2" borderId="0" xfId="0" applyFont="1" applyFill="1" applyAlignment="1">
      <alignment horizontal="center" vertical="center" wrapText="1"/>
    </xf>
    <xf numFmtId="0" fontId="61" fillId="2" borderId="0" xfId="0" applyFont="1" applyFill="1" applyAlignment="1">
      <alignment vertical="center" wrapText="1"/>
    </xf>
    <xf numFmtId="0" fontId="63" fillId="3" borderId="10" xfId="0" applyFont="1" applyFill="1" applyBorder="1" applyAlignment="1">
      <alignment vertical="center"/>
    </xf>
    <xf numFmtId="0" fontId="63" fillId="3" borderId="10" xfId="0" applyFont="1" applyFill="1" applyBorder="1" applyAlignment="1">
      <alignment horizontal="center" vertical="center" wrapText="1"/>
    </xf>
    <xf numFmtId="37" fontId="4" fillId="0" borderId="0" xfId="0" applyNumberFormat="1" applyFont="1" applyFill="1" applyAlignment="1">
      <alignment horizontal="center" vertical="center" wrapText="1"/>
    </xf>
    <xf numFmtId="0" fontId="64" fillId="4" borderId="0" xfId="0" applyFont="1" applyFill="1" applyAlignment="1">
      <alignment horizontal="center" vertical="center" wrapText="1"/>
    </xf>
    <xf numFmtId="39" fontId="4" fillId="0" borderId="0" xfId="0" applyNumberFormat="1" applyFont="1" applyFill="1" applyBorder="1" applyAlignment="1">
      <alignment horizontal="center" vertical="center" wrapText="1"/>
    </xf>
    <xf numFmtId="0" fontId="4" fillId="4" borderId="24" xfId="0" applyFont="1" applyFill="1" applyBorder="1" applyAlignment="1">
      <alignment horizontal="center" vertical="center" wrapText="1"/>
    </xf>
    <xf numFmtId="39" fontId="4" fillId="4" borderId="25" xfId="0" applyNumberFormat="1" applyFont="1" applyFill="1" applyBorder="1" applyAlignment="1">
      <alignment horizontal="center" vertical="center" wrapText="1"/>
    </xf>
    <xf numFmtId="37" fontId="4" fillId="0" borderId="0" xfId="0" applyNumberFormat="1" applyFont="1" applyFill="1" applyAlignment="1">
      <alignment horizontal="center" vertical="center"/>
    </xf>
    <xf numFmtId="0" fontId="4" fillId="0" borderId="0" xfId="0" applyFont="1" applyFill="1" applyAlignment="1">
      <alignment horizontal="center" vertical="center" wrapText="1"/>
    </xf>
    <xf numFmtId="0" fontId="35" fillId="0" borderId="0" xfId="0" applyFont="1" applyFill="1" applyAlignment="1">
      <alignment horizontal="center"/>
    </xf>
    <xf numFmtId="0" fontId="4" fillId="0" borderId="15" xfId="0" applyFont="1" applyFill="1" applyBorder="1" applyAlignment="1">
      <alignment horizontal="center" vertical="center" wrapText="1"/>
    </xf>
    <xf numFmtId="0" fontId="4" fillId="0" borderId="0" xfId="0" applyFont="1" applyFill="1" applyBorder="1" applyAlignment="1">
      <alignment horizontal="center" vertical="center"/>
    </xf>
    <xf numFmtId="0" fontId="0" fillId="0" borderId="0" xfId="0" applyFill="1" applyAlignment="1">
      <alignment horizontal="center"/>
    </xf>
    <xf numFmtId="0" fontId="0" fillId="0" borderId="17" xfId="0" applyFill="1" applyBorder="1" applyAlignment="1">
      <alignment horizontal="center"/>
    </xf>
    <xf numFmtId="0" fontId="0" fillId="0" borderId="0" xfId="0" applyFill="1" applyBorder="1" applyAlignment="1">
      <alignment horizontal="center"/>
    </xf>
    <xf numFmtId="0" fontId="0" fillId="0" borderId="22" xfId="0" applyFill="1" applyBorder="1" applyAlignment="1">
      <alignment horizontal="center"/>
    </xf>
    <xf numFmtId="39" fontId="0" fillId="0" borderId="0" xfId="0" applyNumberFormat="1" applyFill="1" applyAlignment="1">
      <alignment horizontal="center"/>
    </xf>
    <xf numFmtId="37" fontId="0" fillId="0" borderId="0" xfId="0" applyNumberFormat="1" applyFill="1" applyAlignment="1">
      <alignment horizontal="center"/>
    </xf>
    <xf numFmtId="0" fontId="4" fillId="4" borderId="0" xfId="0" applyFont="1" applyFill="1" applyAlignment="1">
      <alignment vertical="center" wrapText="1"/>
    </xf>
    <xf numFmtId="4" fontId="4" fillId="2" borderId="0" xfId="0" applyNumberFormat="1" applyFont="1" applyFill="1" applyAlignment="1">
      <alignment horizontal="center" vertical="center" wrapText="1"/>
    </xf>
    <xf numFmtId="37" fontId="4" fillId="4" borderId="25" xfId="0" applyNumberFormat="1" applyFont="1" applyFill="1" applyBorder="1" applyAlignment="1">
      <alignment horizontal="center" vertical="center" wrapText="1"/>
    </xf>
    <xf numFmtId="0" fontId="4" fillId="4" borderId="0" xfId="0" applyFont="1" applyFill="1" applyAlignment="1">
      <alignment vertical="center" wrapText="1"/>
    </xf>
    <xf numFmtId="43" fontId="35" fillId="0" borderId="0" xfId="67" applyNumberFormat="1" applyFont="1" applyFill="1" applyAlignment="1">
      <alignment horizontal="center" vertical="center" wrapText="1"/>
    </xf>
    <xf numFmtId="43" fontId="35" fillId="0" borderId="0" xfId="67" applyNumberFormat="1" applyFont="1" applyFill="1" applyAlignment="1">
      <alignment vertical="center" wrapText="1"/>
    </xf>
    <xf numFmtId="43" fontId="35" fillId="0" borderId="0" xfId="67" applyNumberFormat="1" applyFont="1" applyFill="1" applyAlignment="1">
      <alignment horizontal="center"/>
    </xf>
    <xf numFmtId="43" fontId="65" fillId="0" borderId="0" xfId="67" applyNumberFormat="1" applyFont="1" applyFill="1" applyAlignment="1">
      <alignment vertical="center"/>
    </xf>
    <xf numFmtId="0" fontId="67" fillId="4" borderId="26" xfId="0" applyFont="1" applyFill="1" applyBorder="1" applyAlignment="1">
      <alignment vertical="center" wrapText="1"/>
    </xf>
    <xf numFmtId="0" fontId="67" fillId="4" borderId="26" xfId="0" applyFont="1" applyFill="1" applyBorder="1" applyAlignment="1">
      <alignment horizontal="center" vertical="center" wrapText="1"/>
    </xf>
    <xf numFmtId="0" fontId="68" fillId="4" borderId="0" xfId="0" applyFont="1" applyFill="1" applyAlignment="1">
      <alignment vertical="center" wrapText="1"/>
    </xf>
    <xf numFmtId="0" fontId="68" fillId="4" borderId="0" xfId="0" applyFont="1" applyFill="1" applyAlignment="1">
      <alignment horizontal="center" vertical="center" wrapText="1"/>
    </xf>
    <xf numFmtId="0" fontId="68" fillId="4" borderId="0" xfId="0" applyFont="1" applyFill="1" applyAlignment="1">
      <alignment horizontal="left" vertical="center" wrapText="1"/>
    </xf>
    <xf numFmtId="39" fontId="68" fillId="4" borderId="0" xfId="0" applyNumberFormat="1" applyFont="1" applyFill="1" applyAlignment="1">
      <alignment horizontal="center" vertical="center" wrapText="1"/>
    </xf>
    <xf numFmtId="173" fontId="68" fillId="4" borderId="0" xfId="0" applyNumberFormat="1" applyFont="1" applyFill="1" applyAlignment="1">
      <alignment horizontal="center" vertical="center" wrapText="1"/>
    </xf>
    <xf numFmtId="0" fontId="3" fillId="3" borderId="1" xfId="0" applyFont="1" applyFill="1" applyBorder="1" applyAlignment="1">
      <alignment horizontal="center" vertical="center" wrapText="1"/>
    </xf>
    <xf numFmtId="0" fontId="4" fillId="4" borderId="0" xfId="0" applyFont="1" applyFill="1" applyAlignment="1">
      <alignment vertical="center" wrapText="1"/>
    </xf>
    <xf numFmtId="0" fontId="3" fillId="3" borderId="1" xfId="0" applyFont="1" applyFill="1" applyBorder="1" applyAlignment="1">
      <alignment horizontal="center" vertical="center" wrapText="1"/>
    </xf>
    <xf numFmtId="0" fontId="4" fillId="0" borderId="0" xfId="0" applyFont="1" applyFill="1" applyAlignment="1">
      <alignment vertical="center"/>
    </xf>
    <xf numFmtId="0" fontId="0" fillId="0" borderId="0" xfId="0" applyFill="1" applyAlignment="1">
      <alignment vertical="center" wrapText="1"/>
    </xf>
    <xf numFmtId="0" fontId="4" fillId="0" borderId="0" xfId="0" applyFont="1" applyFill="1" applyAlignment="1">
      <alignment horizontal="left" vertical="center"/>
    </xf>
    <xf numFmtId="0" fontId="35" fillId="0" borderId="0" xfId="0" applyFont="1" applyFill="1" applyAlignment="1">
      <alignment vertical="center" wrapText="1"/>
    </xf>
    <xf numFmtId="43" fontId="65" fillId="0" borderId="0" xfId="67" applyNumberFormat="1" applyFont="1" applyFill="1" applyAlignment="1">
      <alignment horizontal="left"/>
    </xf>
    <xf numFmtId="0" fontId="65" fillId="0" borderId="0" xfId="0" applyFont="1" applyFill="1" applyAlignment="1">
      <alignment horizontal="center"/>
    </xf>
    <xf numFmtId="0" fontId="35" fillId="0" borderId="0" xfId="0" applyFont="1" applyFill="1"/>
    <xf numFmtId="0" fontId="35" fillId="0" borderId="0" xfId="0" applyFont="1" applyFill="1" applyAlignment="1">
      <alignment horizontal="center" vertical="center" wrapText="1"/>
    </xf>
    <xf numFmtId="174" fontId="4" fillId="0" borderId="0" xfId="0" applyNumberFormat="1" applyFont="1" applyFill="1" applyBorder="1" applyAlignment="1">
      <alignment horizontal="center" vertical="center"/>
    </xf>
    <xf numFmtId="2" fontId="4" fillId="0" borderId="0" xfId="0" applyNumberFormat="1" applyFont="1" applyFill="1" applyBorder="1" applyAlignment="1">
      <alignment horizontal="center" vertical="center"/>
    </xf>
    <xf numFmtId="43" fontId="65" fillId="0" borderId="0" xfId="67" applyNumberFormat="1" applyFont="1" applyFill="1" applyAlignment="1">
      <alignment horizontal="center"/>
    </xf>
    <xf numFmtId="0" fontId="0" fillId="0" borderId="17" xfId="0" applyFill="1" applyBorder="1"/>
    <xf numFmtId="0" fontId="0" fillId="0" borderId="18" xfId="0" applyFill="1" applyBorder="1" applyAlignment="1">
      <alignment horizontal="center"/>
    </xf>
    <xf numFmtId="0" fontId="0" fillId="0" borderId="20" xfId="0" applyFill="1" applyBorder="1" applyAlignment="1">
      <alignment horizontal="center"/>
    </xf>
    <xf numFmtId="0" fontId="0" fillId="0" borderId="23" xfId="0" applyFill="1" applyBorder="1" applyAlignment="1">
      <alignment horizontal="center"/>
    </xf>
    <xf numFmtId="0" fontId="3" fillId="3" borderId="1" xfId="0" applyFont="1" applyFill="1" applyBorder="1" applyAlignment="1">
      <alignment horizontal="center" vertical="center" wrapText="1"/>
    </xf>
    <xf numFmtId="0" fontId="4" fillId="4" borderId="0" xfId="0" applyFont="1" applyFill="1" applyAlignment="1">
      <alignment vertical="center" wrapText="1"/>
    </xf>
    <xf numFmtId="37" fontId="4" fillId="0" borderId="0" xfId="0" applyNumberFormat="1" applyFont="1" applyFill="1" applyBorder="1" applyAlignment="1">
      <alignment horizontal="center" vertical="center" wrapText="1"/>
    </xf>
    <xf numFmtId="0" fontId="4" fillId="0" borderId="0" xfId="0" applyFont="1" applyFill="1" applyBorder="1" applyAlignment="1">
      <alignment horizontal="center" vertical="center" wrapText="1"/>
    </xf>
    <xf numFmtId="0" fontId="35" fillId="0" borderId="0" xfId="0" applyFont="1" applyFill="1" applyBorder="1" applyAlignment="1">
      <alignment horizontal="center"/>
    </xf>
    <xf numFmtId="43" fontId="65" fillId="0" borderId="0" xfId="67" applyNumberFormat="1" applyFont="1" applyFill="1" applyBorder="1" applyAlignment="1">
      <alignment vertical="center"/>
    </xf>
    <xf numFmtId="43" fontId="35" fillId="0" borderId="0" xfId="67" applyNumberFormat="1" applyFont="1" applyFill="1" applyBorder="1" applyAlignment="1">
      <alignment horizontal="center" vertical="center" wrapText="1"/>
    </xf>
    <xf numFmtId="43" fontId="35" fillId="0" borderId="0" xfId="67" applyNumberFormat="1" applyFont="1" applyFill="1" applyBorder="1" applyAlignment="1">
      <alignment horizontal="center"/>
    </xf>
    <xf numFmtId="0" fontId="4" fillId="0" borderId="0" xfId="0" applyFont="1" applyFill="1" applyBorder="1" applyAlignment="1">
      <alignment vertical="center"/>
    </xf>
    <xf numFmtId="0" fontId="0" fillId="0" borderId="0" xfId="0" applyFill="1" applyBorder="1" applyAlignment="1">
      <alignment vertical="center" wrapText="1"/>
    </xf>
    <xf numFmtId="0" fontId="4" fillId="0" borderId="0" xfId="0" applyFont="1" applyFill="1" applyBorder="1" applyAlignment="1">
      <alignment horizontal="left" vertical="center"/>
    </xf>
    <xf numFmtId="39" fontId="0" fillId="0" borderId="0" xfId="0" applyNumberFormat="1" applyFill="1" applyBorder="1" applyAlignment="1">
      <alignment vertical="center" wrapText="1"/>
    </xf>
    <xf numFmtId="173" fontId="4" fillId="0" borderId="0" xfId="0" applyNumberFormat="1" applyFont="1" applyFill="1" applyBorder="1" applyAlignment="1">
      <alignment horizontal="center" vertical="center" wrapText="1"/>
    </xf>
    <xf numFmtId="0" fontId="35" fillId="0" borderId="0" xfId="0" applyFont="1" applyFill="1" applyBorder="1" applyAlignment="1">
      <alignment vertical="center" wrapText="1"/>
    </xf>
    <xf numFmtId="0" fontId="35" fillId="0" borderId="0" xfId="0" applyFont="1" applyFill="1" applyBorder="1" applyAlignment="1">
      <alignment vertical="center"/>
    </xf>
    <xf numFmtId="0" fontId="35" fillId="0" borderId="0" xfId="0" applyFont="1" applyFill="1" applyBorder="1" applyAlignment="1"/>
    <xf numFmtId="43" fontId="65" fillId="0" borderId="0" xfId="67" applyNumberFormat="1" applyFont="1" applyFill="1" applyBorder="1" applyAlignment="1">
      <alignment horizontal="left"/>
    </xf>
    <xf numFmtId="0" fontId="65" fillId="0" borderId="0" xfId="0" applyFont="1" applyFill="1" applyBorder="1" applyAlignment="1">
      <alignment horizontal="center"/>
    </xf>
    <xf numFmtId="0" fontId="35" fillId="0" borderId="0" xfId="0" applyFont="1" applyFill="1" applyBorder="1"/>
    <xf numFmtId="0" fontId="0" fillId="0" borderId="0" xfId="0" applyFill="1" applyBorder="1"/>
    <xf numFmtId="0" fontId="35" fillId="0" borderId="0" xfId="0" applyFont="1" applyFill="1" applyBorder="1" applyAlignment="1">
      <alignment horizontal="center" vertical="center" wrapText="1"/>
    </xf>
    <xf numFmtId="43" fontId="35" fillId="0" borderId="0" xfId="67" applyNumberFormat="1" applyFont="1" applyFill="1" applyBorder="1" applyAlignment="1">
      <alignment vertical="center" wrapText="1"/>
    </xf>
    <xf numFmtId="43" fontId="35" fillId="0" borderId="0" xfId="67" applyFont="1" applyFill="1" applyBorder="1" applyAlignment="1">
      <alignment horizontal="center"/>
    </xf>
    <xf numFmtId="43" fontId="65" fillId="0" borderId="0" xfId="67" applyNumberFormat="1" applyFont="1" applyFill="1" applyBorder="1" applyAlignment="1">
      <alignment horizontal="center"/>
    </xf>
    <xf numFmtId="0" fontId="3" fillId="3" borderId="1" xfId="0" applyFont="1" applyFill="1" applyBorder="1" applyAlignment="1">
      <alignment horizontal="center" vertical="center" wrapText="1"/>
    </xf>
    <xf numFmtId="0" fontId="4" fillId="4" borderId="0" xfId="0" applyFont="1" applyFill="1" applyAlignment="1">
      <alignment horizontal="left" vertical="center" wrapText="1"/>
    </xf>
    <xf numFmtId="0" fontId="0" fillId="0" borderId="0" xfId="0" applyAlignment="1">
      <alignment vertical="center" wrapText="1"/>
    </xf>
    <xf numFmtId="0" fontId="4" fillId="2" borderId="0" xfId="0" applyFont="1" applyFill="1" applyAlignment="1">
      <alignment vertical="center" wrapText="1"/>
    </xf>
    <xf numFmtId="0" fontId="4" fillId="4" borderId="0" xfId="0" applyFont="1" applyFill="1" applyAlignment="1">
      <alignment vertical="center" wrapText="1"/>
    </xf>
    <xf numFmtId="0" fontId="3" fillId="3" borderId="1" xfId="0" applyFont="1" applyFill="1" applyBorder="1" applyAlignment="1">
      <alignment horizontal="center" vertical="center" wrapText="1"/>
    </xf>
    <xf numFmtId="0" fontId="4" fillId="4" borderId="0" xfId="0" applyFont="1" applyFill="1" applyAlignment="1">
      <alignment vertical="center" wrapText="1"/>
    </xf>
    <xf numFmtId="173" fontId="4" fillId="0" borderId="0" xfId="0" applyNumberFormat="1" applyFont="1" applyFill="1" applyAlignment="1">
      <alignment horizontal="center" vertical="center" wrapText="1"/>
    </xf>
    <xf numFmtId="0" fontId="35" fillId="0" borderId="0" xfId="0" applyFont="1" applyFill="1" applyAlignment="1">
      <alignment vertical="center"/>
    </xf>
    <xf numFmtId="0" fontId="35" fillId="0" borderId="0" xfId="0" applyFont="1" applyFill="1" applyAlignment="1"/>
    <xf numFmtId="43" fontId="35" fillId="0" borderId="0" xfId="67" applyFont="1" applyFill="1" applyAlignment="1">
      <alignment horizontal="center"/>
    </xf>
    <xf numFmtId="0" fontId="0" fillId="0" borderId="0" xfId="0" applyFill="1"/>
    <xf numFmtId="0" fontId="0" fillId="0" borderId="16" xfId="0" applyFill="1" applyBorder="1"/>
    <xf numFmtId="0" fontId="0" fillId="0" borderId="19" xfId="0" applyFill="1" applyBorder="1"/>
    <xf numFmtId="0" fontId="0" fillId="0" borderId="21" xfId="0" applyFill="1" applyBorder="1"/>
    <xf numFmtId="2" fontId="35" fillId="0" borderId="0" xfId="0" applyNumberFormat="1" applyFont="1" applyFill="1" applyAlignment="1">
      <alignment horizontal="center"/>
    </xf>
    <xf numFmtId="173" fontId="35" fillId="0" borderId="0" xfId="0" applyNumberFormat="1" applyFont="1" applyFill="1" applyAlignment="1">
      <alignment vertical="center"/>
    </xf>
    <xf numFmtId="0" fontId="49" fillId="13" borderId="0" xfId="1" applyFont="1" applyFill="1" applyAlignment="1">
      <alignment horizontal="left" vertical="center" wrapText="1"/>
    </xf>
    <xf numFmtId="0" fontId="50" fillId="0" borderId="0" xfId="1" applyFont="1" applyAlignment="1">
      <alignment horizontal="left" vertical="center"/>
    </xf>
    <xf numFmtId="0" fontId="54" fillId="2" borderId="0" xfId="65" applyNumberFormat="1" applyFont="1" applyFill="1" applyAlignment="1">
      <alignment vertical="top" wrapText="1"/>
    </xf>
    <xf numFmtId="0" fontId="54" fillId="2" borderId="0" xfId="65" applyFont="1" applyFill="1" applyAlignment="1">
      <alignment wrapText="1"/>
    </xf>
    <xf numFmtId="0" fontId="57" fillId="2" borderId="0" xfId="65" applyNumberFormat="1" applyFont="1" applyFill="1" applyAlignment="1">
      <alignment vertical="top" wrapText="1"/>
    </xf>
    <xf numFmtId="0" fontId="58" fillId="0" borderId="0" xfId="65" applyFont="1" applyAlignment="1">
      <alignment vertical="top" wrapText="1"/>
    </xf>
    <xf numFmtId="0" fontId="3" fillId="3" borderId="1" xfId="0" applyFont="1" applyFill="1" applyBorder="1" applyAlignment="1">
      <alignment horizontal="center" vertical="center" wrapText="1"/>
    </xf>
    <xf numFmtId="0" fontId="4" fillId="4" borderId="0" xfId="0" applyFont="1" applyFill="1" applyAlignment="1">
      <alignment horizontal="left" vertical="center" wrapText="1"/>
    </xf>
    <xf numFmtId="0" fontId="0" fillId="0" borderId="0" xfId="0" applyAlignment="1">
      <alignment vertical="center" wrapText="1"/>
    </xf>
    <xf numFmtId="0" fontId="4" fillId="2" borderId="0" xfId="0" applyFont="1" applyFill="1" applyAlignment="1">
      <alignment vertical="center" wrapText="1"/>
    </xf>
    <xf numFmtId="0" fontId="4" fillId="4" borderId="0" xfId="0" applyFont="1" applyFill="1" applyAlignment="1">
      <alignment vertical="center" wrapText="1"/>
    </xf>
    <xf numFmtId="0" fontId="0" fillId="0" borderId="0" xfId="0" applyAlignment="1"/>
    <xf numFmtId="0" fontId="4" fillId="4" borderId="0" xfId="0" applyFont="1" applyFill="1" applyAlignment="1">
      <alignment horizontal="left" vertical="center"/>
    </xf>
    <xf numFmtId="0" fontId="4" fillId="4" borderId="0" xfId="0" applyFont="1" applyFill="1" applyAlignment="1">
      <alignment horizontal="left"/>
    </xf>
    <xf numFmtId="0" fontId="4" fillId="4" borderId="0" xfId="0" applyFont="1" applyFill="1" applyAlignment="1">
      <alignment horizontal="left" vertical="top" wrapText="1"/>
    </xf>
    <xf numFmtId="0" fontId="4" fillId="0" borderId="0" xfId="0" applyFont="1" applyFill="1" applyAlignment="1">
      <alignment horizontal="left" vertical="center" wrapText="1"/>
    </xf>
    <xf numFmtId="0" fontId="35" fillId="0" borderId="0" xfId="0" applyFont="1" applyFill="1" applyAlignment="1">
      <alignment vertical="center" wrapText="1"/>
    </xf>
  </cellXfs>
  <cellStyles count="70">
    <cellStyle name="******************************************" xfId="2"/>
    <cellStyle name="_Radio Shack" xfId="3"/>
    <cellStyle name="_SU DCF Analysis" xfId="57"/>
    <cellStyle name="_Wendy's" xfId="4"/>
    <cellStyle name="AFE" xfId="5"/>
    <cellStyle name="Arial 10" xfId="6"/>
    <cellStyle name="Arial 12" xfId="7"/>
    <cellStyle name="BLACK" xfId="8"/>
    <cellStyle name="British Pound" xfId="9"/>
    <cellStyle name="Case" xfId="10"/>
    <cellStyle name="Comma" xfId="67" builtinId="3"/>
    <cellStyle name="Comma 3" xfId="58"/>
    <cellStyle name="Comma0" xfId="11"/>
    <cellStyle name="Currency 2" xfId="59"/>
    <cellStyle name="Currency0" xfId="12"/>
    <cellStyle name="Currency1Blue" xfId="13"/>
    <cellStyle name="Date" xfId="14"/>
    <cellStyle name="Double Accounting" xfId="15"/>
    <cellStyle name="Euro" xfId="16"/>
    <cellStyle name="Fixed" xfId="17"/>
    <cellStyle name="Grey" xfId="18"/>
    <cellStyle name="Heading1" xfId="19"/>
    <cellStyle name="HeadingS" xfId="20"/>
    <cellStyle name="Hyperlink 2" xfId="68"/>
    <cellStyle name="Input [yellow]" xfId="21"/>
    <cellStyle name="Inputs" xfId="22"/>
    <cellStyle name="Linked" xfId="23"/>
    <cellStyle name="Multiples[1dp]" xfId="24"/>
    <cellStyle name="Names" xfId="25"/>
    <cellStyle name="no dec" xfId="26"/>
    <cellStyle name="Normal" xfId="0" builtinId="0"/>
    <cellStyle name="Normal - Style1" xfId="27"/>
    <cellStyle name="Normal 2" xfId="1"/>
    <cellStyle name="Normal 3" xfId="56"/>
    <cellStyle name="Normal 3 2" xfId="65"/>
    <cellStyle name="Normal 4" xfId="60"/>
    <cellStyle name="Normal 5" xfId="61"/>
    <cellStyle name="Normal 6" xfId="62"/>
    <cellStyle name="Normal 7" xfId="63"/>
    <cellStyle name="Normal 8" xfId="69"/>
    <cellStyle name="Normal_hsv-stocksheet" xfId="66"/>
    <cellStyle name="PB Table Heading" xfId="28"/>
    <cellStyle name="PB Table Highlight1" xfId="29"/>
    <cellStyle name="PB Table Highlight2" xfId="30"/>
    <cellStyle name="PB Table Highlight3" xfId="31"/>
    <cellStyle name="PB Table Standard Row" xfId="32"/>
    <cellStyle name="PB Table Subtotal Row" xfId="33"/>
    <cellStyle name="PB Table Total Row" xfId="34"/>
    <cellStyle name="Percent (1)" xfId="35"/>
    <cellStyle name="Percent [2]" xfId="36"/>
    <cellStyle name="Percent 2" xfId="64"/>
    <cellStyle name="ScotchRule" xfId="37"/>
    <cellStyle name="Single Accounting" xfId="38"/>
    <cellStyle name="Standaard_TELECOM" xfId="39"/>
    <cellStyle name="Style 1" xfId="40"/>
    <cellStyle name="Style 43" xfId="41"/>
    <cellStyle name="Style 64" xfId="42"/>
    <cellStyle name="Style 65" xfId="43"/>
    <cellStyle name="Style 66" xfId="44"/>
    <cellStyle name="Style 67" xfId="45"/>
    <cellStyle name="Style 68" xfId="46"/>
    <cellStyle name="Style 69" xfId="47"/>
    <cellStyle name="Style 74" xfId="48"/>
    <cellStyle name="Subtitle" xfId="49"/>
    <cellStyle name="summary info only" xfId="50"/>
    <cellStyle name="Times 10" xfId="51"/>
    <cellStyle name="Times 12" xfId="52"/>
    <cellStyle name="Times New Roman" xfId="53"/>
    <cellStyle name="Year" xfId="54"/>
    <cellStyle name="Yen" xfId="5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9"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9.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8.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7.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7.9443892750744923E-3"/>
          <c:y val="2.1621621621621651E-2"/>
          <c:w val="0.9900695134061569"/>
          <c:h val="0.97297297297297303"/>
        </c:manualLayout>
      </c:layout>
      <c:barChart>
        <c:barDir val="col"/>
        <c:grouping val="clustered"/>
        <c:varyColors val="0"/>
        <c:ser>
          <c:idx val="0"/>
          <c:order val="0"/>
          <c:spPr>
            <a:solidFill>
              <a:srgbClr val="00395C"/>
            </a:solidFill>
            <a:ln w="25400">
              <a:noFill/>
            </a:ln>
          </c:spPr>
          <c:invertIfNegative val="0"/>
          <c:cat>
            <c:strRef>
              <c:f>'Sensitivity flex'!$B$20:$V$20</c:f>
              <c:strCache>
                <c:ptCount val="21"/>
                <c:pt idx="0">
                  <c:v>AR</c:v>
                </c:pt>
                <c:pt idx="1">
                  <c:v>APA</c:v>
                </c:pt>
                <c:pt idx="2">
                  <c:v>CNQCN</c:v>
                </c:pt>
                <c:pt idx="3">
                  <c:v>CVECN</c:v>
                </c:pt>
                <c:pt idx="4">
                  <c:v>CHK</c:v>
                </c:pt>
                <c:pt idx="5">
                  <c:v>XEC</c:v>
                </c:pt>
                <c:pt idx="6">
                  <c:v>COP</c:v>
                </c:pt>
                <c:pt idx="7">
                  <c:v>CLR</c:v>
                </c:pt>
                <c:pt idx="8">
                  <c:v>CXO</c:v>
                </c:pt>
                <c:pt idx="9">
                  <c:v>DVN</c:v>
                </c:pt>
                <c:pt idx="10">
                  <c:v>FANG</c:v>
                </c:pt>
                <c:pt idx="11">
                  <c:v>ECACN</c:v>
                </c:pt>
                <c:pt idx="12">
                  <c:v>EOG</c:v>
                </c:pt>
                <c:pt idx="13">
                  <c:v>EQT</c:v>
                </c:pt>
                <c:pt idx="14">
                  <c:v>HES</c:v>
                </c:pt>
                <c:pt idx="15">
                  <c:v>MRO</c:v>
                </c:pt>
                <c:pt idx="16">
                  <c:v>MUR</c:v>
                </c:pt>
                <c:pt idx="17">
                  <c:v>NBL</c:v>
                </c:pt>
                <c:pt idx="18">
                  <c:v>OXY</c:v>
                </c:pt>
                <c:pt idx="19">
                  <c:v>PXD</c:v>
                </c:pt>
                <c:pt idx="20">
                  <c:v>SWN</c:v>
                </c:pt>
              </c:strCache>
            </c:strRef>
          </c:cat>
          <c:val>
            <c:numRef>
              <c:f>'Sensitivity flex'!$B$21:$V$21</c:f>
              <c:numCache>
                <c:formatCode>#,##0.00_);\(#,##0.00\)</c:formatCode>
                <c:ptCount val="21"/>
                <c:pt idx="0">
                  <c:v>-0.41268531816725762</c:v>
                </c:pt>
                <c:pt idx="1">
                  <c:v>0.5170448353881909</c:v>
                </c:pt>
                <c:pt idx="2">
                  <c:v>11.514157515408201</c:v>
                </c:pt>
                <c:pt idx="3">
                  <c:v>10.336316420480479</c:v>
                </c:pt>
                <c:pt idx="4">
                  <c:v>-5.4593922738978975</c:v>
                </c:pt>
                <c:pt idx="5">
                  <c:v>5.6369828451406754</c:v>
                </c:pt>
                <c:pt idx="6">
                  <c:v>16.945312658207691</c:v>
                </c:pt>
                <c:pt idx="7">
                  <c:v>6.9922920016301955</c:v>
                </c:pt>
                <c:pt idx="8">
                  <c:v>6.5518533105863348</c:v>
                </c:pt>
                <c:pt idx="9">
                  <c:v>3.6875237223493542</c:v>
                </c:pt>
                <c:pt idx="10">
                  <c:v>14.255282470374196</c:v>
                </c:pt>
                <c:pt idx="11">
                  <c:v>4.6062189794310129</c:v>
                </c:pt>
                <c:pt idx="12">
                  <c:v>11.785024637739062</c:v>
                </c:pt>
                <c:pt idx="13">
                  <c:v>-2.0121718721278938</c:v>
                </c:pt>
                <c:pt idx="14">
                  <c:v>0.21359459019822324</c:v>
                </c:pt>
                <c:pt idx="15">
                  <c:v>3.1521677721420147</c:v>
                </c:pt>
                <c:pt idx="16">
                  <c:v>10.66257673916185</c:v>
                </c:pt>
                <c:pt idx="17">
                  <c:v>-0.64896217560920277</c:v>
                </c:pt>
                <c:pt idx="18">
                  <c:v>2.7554264246517572</c:v>
                </c:pt>
                <c:pt idx="19">
                  <c:v>12.299542391414796</c:v>
                </c:pt>
                <c:pt idx="20">
                  <c:v>0.4961041984354857</c:v>
                </c:pt>
              </c:numCache>
            </c:numRef>
          </c:val>
          <c:extLst>
            <c:ext xmlns:c16="http://schemas.microsoft.com/office/drawing/2014/chart" uri="{C3380CC4-5D6E-409C-BE32-E72D297353CC}">
              <c16:uniqueId val="{00000000-EFC2-4F63-9751-48431A6814E8}"/>
            </c:ext>
          </c:extLst>
        </c:ser>
        <c:dLbls>
          <c:showLegendKey val="0"/>
          <c:showVal val="0"/>
          <c:showCatName val="0"/>
          <c:showSerName val="0"/>
          <c:showPercent val="0"/>
          <c:showBubbleSize val="0"/>
        </c:dLbls>
        <c:gapWidth val="150"/>
        <c:axId val="1085620608"/>
        <c:axId val="1085622912"/>
      </c:barChart>
      <c:catAx>
        <c:axId val="1085620608"/>
        <c:scaling>
          <c:orientation val="minMax"/>
        </c:scaling>
        <c:delete val="0"/>
        <c:axPos val="b"/>
        <c:numFmt formatCode="General" sourceLinked="0"/>
        <c:majorTickMark val="out"/>
        <c:minorTickMark val="none"/>
        <c:tickLblPos val="low"/>
        <c:spPr>
          <a:ln w="12700">
            <a:solidFill>
              <a:srgbClr val="1E1E1E"/>
            </a:solidFill>
            <a:prstDash val="solid"/>
          </a:ln>
        </c:spPr>
        <c:txPr>
          <a:bodyPr/>
          <a:lstStyle/>
          <a:p>
            <a:pPr>
              <a:defRPr sz="800" b="0" i="0" u="none">
                <a:solidFill>
                  <a:srgbClr val="1E1E1E"/>
                </a:solidFill>
              </a:defRPr>
            </a:pPr>
            <a:endParaRPr lang="en-US"/>
          </a:p>
        </c:txPr>
        <c:crossAx val="1085622912"/>
        <c:crosses val="autoZero"/>
        <c:auto val="1"/>
        <c:lblAlgn val="ctr"/>
        <c:lblOffset val="100"/>
        <c:noMultiLvlLbl val="0"/>
      </c:catAx>
      <c:valAx>
        <c:axId val="1085622912"/>
        <c:scaling>
          <c:orientation val="minMax"/>
        </c:scaling>
        <c:delete val="0"/>
        <c:axPos val="l"/>
        <c:numFmt formatCode="#,##0.00" sourceLinked="0"/>
        <c:majorTickMark val="out"/>
        <c:minorTickMark val="none"/>
        <c:tickLblPos val="nextTo"/>
        <c:spPr>
          <a:ln w="12700">
            <a:solidFill>
              <a:srgbClr val="1E1E1E"/>
            </a:solidFill>
            <a:prstDash val="solid"/>
          </a:ln>
        </c:spPr>
        <c:txPr>
          <a:bodyPr/>
          <a:lstStyle/>
          <a:p>
            <a:pPr>
              <a:defRPr sz="800" b="0" i="0" u="none">
                <a:solidFill>
                  <a:srgbClr val="1E1E1E"/>
                </a:solidFill>
              </a:defRPr>
            </a:pPr>
            <a:endParaRPr lang="en-US"/>
          </a:p>
        </c:txPr>
        <c:crossAx val="1085620608"/>
        <c:crosses val="autoZero"/>
        <c:crossBetween val="between"/>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800">
          <a:solidFill>
            <a:srgbClr val="1E1E1E"/>
          </a:solidFill>
          <a:latin typeface="Expert Sans Regular"/>
          <a:ea typeface="Expert Sans Regular"/>
          <a:cs typeface="Expert Sans Regular"/>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1.1126564673157707E-2"/>
          <c:y val="2.272727272727449E-2"/>
          <c:w val="0.98609179415855364"/>
          <c:h val="0.97159090909090906"/>
        </c:manualLayout>
      </c:layout>
      <c:scatterChart>
        <c:scatterStyle val="lineMarker"/>
        <c:varyColors val="0"/>
        <c:ser>
          <c:idx val="0"/>
          <c:order val="0"/>
          <c:spPr>
            <a:ln w="28575">
              <a:noFill/>
            </a:ln>
          </c:spPr>
          <c:marker>
            <c:symbol val="diamond"/>
            <c:size val="6"/>
          </c:marker>
          <c:dLbls>
            <c:dLbl>
              <c:idx val="0"/>
              <c:layout>
                <c:manualLayout>
                  <c:x val="-8.0721978427090016E-2"/>
                  <c:y val="-1.602136181575434E-2"/>
                </c:manualLayout>
              </c:layout>
              <c:tx>
                <c:strRef>
                  <c:f>'Relative Value'!$B$114</c:f>
                  <c:strCache>
                    <c:ptCount val="1"/>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{12253075-EEDA-4ABF-8C92-9B01A4A4D052}</c15:txfldGUID>
                      <c15:f>'Relative Value'!$B$114</c15:f>
                      <c15:dlblFieldTableCache>
                        <c:ptCount val="1"/>
                      </c15:dlblFieldTableCache>
                    </c15:dlblFTEntry>
                  </c15:dlblFieldTable>
                  <c15:showDataLabelsRange val="0"/>
                </c:ext>
                <c:ext xmlns:c16="http://schemas.microsoft.com/office/drawing/2014/chart" uri="{C3380CC4-5D6E-409C-BE32-E72D297353CC}">
                  <c16:uniqueId val="{00000000-DE85-4CC0-BE41-767081B094FD}"/>
                </c:ext>
              </c:extLst>
            </c:dLbl>
            <c:dLbl>
              <c:idx val="1"/>
              <c:tx>
                <c:strRef>
                  <c:f>'Relative Value'!$B$115</c:f>
                  <c:strCache>
                    <c:ptCount val="1"/>
                    <c:pt idx="0">
                      <c:v>AR</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{A3D98BC4-D6CB-4503-9F04-E08CD4669E71}</c15:txfldGUID>
                      <c15:f>'Relative Value'!$B$115</c15:f>
                      <c15:dlblFieldTableCache>
                        <c:ptCount val="1"/>
                        <c:pt idx="0">
                          <c:v>AR</c:v>
                        </c:pt>
                      </c15:dlblFieldTableCache>
                    </c15:dlblFTEntry>
                  </c15:dlblFieldTable>
                  <c15:showDataLabelsRange val="0"/>
                </c:ext>
                <c:ext xmlns:c16="http://schemas.microsoft.com/office/drawing/2014/chart" uri="{C3380CC4-5D6E-409C-BE32-E72D297353CC}">
                  <c16:uniqueId val="{00000001-DE85-4CC0-BE41-767081B094FD}"/>
                </c:ext>
              </c:extLst>
            </c:dLbl>
            <c:dLbl>
              <c:idx val="2"/>
              <c:layout/>
              <c:tx>
                <c:strRef>
                  <c:f>'Relative Value'!$B$116</c:f>
                  <c:strCache>
                    <c:ptCount val="1"/>
                    <c:pt idx="0">
                      <c:v>APA</c:v>
                    </c:pt>
                  </c:strCache>
                </c:strRef>
              </c:tx>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{099D8C2B-1526-4F01-BDDB-0222ED69B6AD}</c15:txfldGUID>
                      <c15:f>'Relative Value'!$B$116</c15:f>
                      <c15:dlblFieldTableCache>
                        <c:ptCount val="1"/>
                        <c:pt idx="0">
                          <c:v>APA</c:v>
                        </c:pt>
                      </c15:dlblFieldTableCache>
                    </c15:dlblFTEntry>
                  </c15:dlblFieldTable>
                  <c15:showDataLabelsRange val="0"/>
                </c:ext>
                <c:ext xmlns:c16="http://schemas.microsoft.com/office/drawing/2014/chart" uri="{C3380CC4-5D6E-409C-BE32-E72D297353CC}">
                  <c16:uniqueId val="{00000002-DE85-4CC0-BE41-767081B094FD}"/>
                </c:ext>
              </c:extLst>
            </c:dLbl>
            <c:dLbl>
              <c:idx val="3"/>
              <c:layout/>
              <c:tx>
                <c:strRef>
                  <c:f>'Relative Value'!$B$117</c:f>
                  <c:strCache>
                    <c:ptCount val="1"/>
                    <c:pt idx="0">
                      <c:v>CNQCN</c:v>
                    </c:pt>
                  </c:strCache>
                </c:strRef>
              </c:tx>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{BDD5AB40-2EE1-44EE-A0F7-BDC77BD5855D}</c15:txfldGUID>
                      <c15:f>'Relative Value'!$B$117</c15:f>
                      <c15:dlblFieldTableCache>
                        <c:ptCount val="1"/>
                        <c:pt idx="0">
                          <c:v>CNQCN</c:v>
                        </c:pt>
                      </c15:dlblFieldTableCache>
                    </c15:dlblFTEntry>
                  </c15:dlblFieldTable>
                  <c15:showDataLabelsRange val="0"/>
                </c:ext>
                <c:ext xmlns:c16="http://schemas.microsoft.com/office/drawing/2014/chart" uri="{C3380CC4-5D6E-409C-BE32-E72D297353CC}">
                  <c16:uniqueId val="{00000003-DE85-4CC0-BE41-767081B094FD}"/>
                </c:ext>
              </c:extLst>
            </c:dLbl>
            <c:dLbl>
              <c:idx val="4"/>
              <c:layout/>
              <c:tx>
                <c:strRef>
                  <c:f>'Relative Value'!$B$118</c:f>
                  <c:strCache>
                    <c:ptCount val="1"/>
                    <c:pt idx="0">
                      <c:v>CVECN</c:v>
                    </c:pt>
                  </c:strCache>
                </c:strRef>
              </c:tx>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{0A192BEB-3916-4E30-AE5A-053D8B05D129}</c15:txfldGUID>
                      <c15:f>'Relative Value'!$B$118</c15:f>
                      <c15:dlblFieldTableCache>
                        <c:ptCount val="1"/>
                        <c:pt idx="0">
                          <c:v>CVECN</c:v>
                        </c:pt>
                      </c15:dlblFieldTableCache>
                    </c15:dlblFTEntry>
                  </c15:dlblFieldTable>
                  <c15:showDataLabelsRange val="0"/>
                </c:ext>
                <c:ext xmlns:c16="http://schemas.microsoft.com/office/drawing/2014/chart" uri="{C3380CC4-5D6E-409C-BE32-E72D297353CC}">
                  <c16:uniqueId val="{00000004-DE85-4CC0-BE41-767081B094FD}"/>
                </c:ext>
              </c:extLst>
            </c:dLbl>
            <c:dLbl>
              <c:idx val="5"/>
              <c:tx>
                <c:strRef>
                  <c:f>'Relative Value'!$B$119</c:f>
                  <c:strCache>
                    <c:ptCount val="1"/>
                    <c:pt idx="0">
                      <c:v>CHK</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{FB0C8B74-263C-4A40-8E20-04AE2EF1BF5C}</c15:txfldGUID>
                      <c15:f>'Relative Value'!$B$119</c15:f>
                      <c15:dlblFieldTableCache>
                        <c:ptCount val="1"/>
                        <c:pt idx="0">
                          <c:v>CHK</c:v>
                        </c:pt>
                      </c15:dlblFieldTableCache>
                    </c15:dlblFTEntry>
                  </c15:dlblFieldTable>
                  <c15:showDataLabelsRange val="0"/>
                </c:ext>
                <c:ext xmlns:c16="http://schemas.microsoft.com/office/drawing/2014/chart" uri="{C3380CC4-5D6E-409C-BE32-E72D297353CC}">
                  <c16:uniqueId val="{00000005-DE85-4CC0-BE41-767081B094FD}"/>
                </c:ext>
              </c:extLst>
            </c:dLbl>
            <c:dLbl>
              <c:idx val="6"/>
              <c:tx>
                <c:strRef>
                  <c:f>'Relative Value'!$B$120</c:f>
                  <c:strCache>
                    <c:ptCount val="1"/>
                    <c:pt idx="0">
                      <c:v>XEC</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{1836B2BB-2F40-4E28-BEEB-D152E8AC2125}</c15:txfldGUID>
                      <c15:f>'Relative Value'!$B$120</c15:f>
                      <c15:dlblFieldTableCache>
                        <c:ptCount val="1"/>
                        <c:pt idx="0">
                          <c:v>XEC</c:v>
                        </c:pt>
                      </c15:dlblFieldTableCache>
                    </c15:dlblFTEntry>
                  </c15:dlblFieldTable>
                  <c15:showDataLabelsRange val="0"/>
                </c:ext>
                <c:ext xmlns:c16="http://schemas.microsoft.com/office/drawing/2014/chart" uri="{C3380CC4-5D6E-409C-BE32-E72D297353CC}">
                  <c16:uniqueId val="{00000006-DE85-4CC0-BE41-767081B094FD}"/>
                </c:ext>
              </c:extLst>
            </c:dLbl>
            <c:dLbl>
              <c:idx val="7"/>
              <c:layout/>
              <c:tx>
                <c:strRef>
                  <c:f>'Relative Value'!$B$121</c:f>
                  <c:strCache>
                    <c:ptCount val="1"/>
                    <c:pt idx="0">
                      <c:v>COP</c:v>
                    </c:pt>
                  </c:strCache>
                </c:strRef>
              </c:tx>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{FAE1B240-F738-4E60-B2E1-8BCB103A0E23}</c15:txfldGUID>
                      <c15:f>'Relative Value'!$B$121</c15:f>
                      <c15:dlblFieldTableCache>
                        <c:ptCount val="1"/>
                        <c:pt idx="0">
                          <c:v>COP</c:v>
                        </c:pt>
                      </c15:dlblFieldTableCache>
                    </c15:dlblFTEntry>
                  </c15:dlblFieldTable>
                  <c15:showDataLabelsRange val="0"/>
                </c:ext>
                <c:ext xmlns:c16="http://schemas.microsoft.com/office/drawing/2014/chart" uri="{C3380CC4-5D6E-409C-BE32-E72D297353CC}">
                  <c16:uniqueId val="{00000007-DE85-4CC0-BE41-767081B094FD}"/>
                </c:ext>
              </c:extLst>
            </c:dLbl>
            <c:dLbl>
              <c:idx val="8"/>
              <c:layout/>
              <c:tx>
                <c:strRef>
                  <c:f>'Relative Value'!$B$122</c:f>
                  <c:strCache>
                    <c:ptCount val="1"/>
                    <c:pt idx="0">
                      <c:v>CLR</c:v>
                    </c:pt>
                  </c:strCache>
                </c:strRef>
              </c:tx>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{C19E004A-215A-4D00-846B-91F1F7AD4074}</c15:txfldGUID>
                      <c15:f>'Relative Value'!$B$122</c15:f>
                      <c15:dlblFieldTableCache>
                        <c:ptCount val="1"/>
                        <c:pt idx="0">
                          <c:v>CLR</c:v>
                        </c:pt>
                      </c15:dlblFieldTableCache>
                    </c15:dlblFTEntry>
                  </c15:dlblFieldTable>
                  <c15:showDataLabelsRange val="0"/>
                </c:ext>
                <c:ext xmlns:c16="http://schemas.microsoft.com/office/drawing/2014/chart" uri="{C3380CC4-5D6E-409C-BE32-E72D297353CC}">
                  <c16:uniqueId val="{00000008-DE85-4CC0-BE41-767081B094FD}"/>
                </c:ext>
              </c:extLst>
            </c:dLbl>
            <c:dLbl>
              <c:idx val="9"/>
              <c:layout/>
              <c:tx>
                <c:strRef>
                  <c:f>'Relative Value'!$B$123</c:f>
                  <c:strCache>
                    <c:ptCount val="1"/>
                    <c:pt idx="0">
                      <c:v>CXO</c:v>
                    </c:pt>
                  </c:strCache>
                </c:strRef>
              </c:tx>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{C24FCBD0-7A5C-43B2-84A4-ABDCC5EFCD14}</c15:txfldGUID>
                      <c15:f>'Relative Value'!$B$123</c15:f>
                      <c15:dlblFieldTableCache>
                        <c:ptCount val="1"/>
                        <c:pt idx="0">
                          <c:v>CXO</c:v>
                        </c:pt>
                      </c15:dlblFieldTableCache>
                    </c15:dlblFTEntry>
                  </c15:dlblFieldTable>
                  <c15:showDataLabelsRange val="0"/>
                </c:ext>
                <c:ext xmlns:c16="http://schemas.microsoft.com/office/drawing/2014/chart" uri="{C3380CC4-5D6E-409C-BE32-E72D297353CC}">
                  <c16:uniqueId val="{00000009-DE85-4CC0-BE41-767081B094FD}"/>
                </c:ext>
              </c:extLst>
            </c:dLbl>
            <c:dLbl>
              <c:idx val="10"/>
              <c:layout/>
              <c:tx>
                <c:strRef>
                  <c:f>'Relative Value'!$B$124</c:f>
                  <c:strCache>
                    <c:ptCount val="1"/>
                    <c:pt idx="0">
                      <c:v>DVN</c:v>
                    </c:pt>
                  </c:strCache>
                </c:strRef>
              </c:tx>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{4BA6D1A5-6AB8-406F-AB18-5C07C2363528}</c15:txfldGUID>
                      <c15:f>'Relative Value'!$B$124</c15:f>
                      <c15:dlblFieldTableCache>
                        <c:ptCount val="1"/>
                        <c:pt idx="0">
                          <c:v>DVN</c:v>
                        </c:pt>
                      </c15:dlblFieldTableCache>
                    </c15:dlblFTEntry>
                  </c15:dlblFieldTable>
                  <c15:showDataLabelsRange val="0"/>
                </c:ext>
                <c:ext xmlns:c16="http://schemas.microsoft.com/office/drawing/2014/chart" uri="{C3380CC4-5D6E-409C-BE32-E72D297353CC}">
                  <c16:uniqueId val="{0000000A-DE85-4CC0-BE41-767081B094FD}"/>
                </c:ext>
              </c:extLst>
            </c:dLbl>
            <c:dLbl>
              <c:idx val="11"/>
              <c:tx>
                <c:strRef>
                  <c:f>'Relative Value'!$B$125</c:f>
                  <c:strCache>
                    <c:ptCount val="1"/>
                    <c:pt idx="0">
                      <c:v>FANG</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{4DA9FE43-58F4-4F5D-B94C-6E24FAE44F02}</c15:txfldGUID>
                      <c15:f>'Relative Value'!$B$125</c15:f>
                      <c15:dlblFieldTableCache>
                        <c:ptCount val="1"/>
                        <c:pt idx="0">
                          <c:v>FANG</c:v>
                        </c:pt>
                      </c15:dlblFieldTableCache>
                    </c15:dlblFTEntry>
                  </c15:dlblFieldTable>
                  <c15:showDataLabelsRange val="0"/>
                </c:ext>
                <c:ext xmlns:c16="http://schemas.microsoft.com/office/drawing/2014/chart" uri="{C3380CC4-5D6E-409C-BE32-E72D297353CC}">
                  <c16:uniqueId val="{0000000B-DE85-4CC0-BE41-767081B094FD}"/>
                </c:ext>
              </c:extLst>
            </c:dLbl>
            <c:dLbl>
              <c:idx val="12"/>
              <c:layout/>
              <c:tx>
                <c:strRef>
                  <c:f>'Relative Value'!$B$126</c:f>
                  <c:strCache>
                    <c:ptCount val="1"/>
                    <c:pt idx="0">
                      <c:v>ECACN</c:v>
                    </c:pt>
                  </c:strCache>
                </c:strRef>
              </c:tx>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{BF43CC0F-68A1-4E5F-BA51-36492728540E}</c15:txfldGUID>
                      <c15:f>'Relative Value'!$B$126</c15:f>
                      <c15:dlblFieldTableCache>
                        <c:ptCount val="1"/>
                        <c:pt idx="0">
                          <c:v>ECACN</c:v>
                        </c:pt>
                      </c15:dlblFieldTableCache>
                    </c15:dlblFTEntry>
                  </c15:dlblFieldTable>
                  <c15:showDataLabelsRange val="0"/>
                </c:ext>
                <c:ext xmlns:c16="http://schemas.microsoft.com/office/drawing/2014/chart" uri="{C3380CC4-5D6E-409C-BE32-E72D297353CC}">
                  <c16:uniqueId val="{0000000C-DE85-4CC0-BE41-767081B094FD}"/>
                </c:ext>
              </c:extLst>
            </c:dLbl>
            <c:dLbl>
              <c:idx val="13"/>
              <c:layout/>
              <c:tx>
                <c:strRef>
                  <c:f>'Relative Value'!$B$127</c:f>
                  <c:strCache>
                    <c:ptCount val="1"/>
                    <c:pt idx="0">
                      <c:v>EOG</c:v>
                    </c:pt>
                  </c:strCache>
                </c:strRef>
              </c:tx>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{3559B9E4-BAB7-4AAB-AAE3-8B6BC4FD568E}</c15:txfldGUID>
                      <c15:f>'Relative Value'!$B$127</c15:f>
                      <c15:dlblFieldTableCache>
                        <c:ptCount val="1"/>
                        <c:pt idx="0">
                          <c:v>EOG</c:v>
                        </c:pt>
                      </c15:dlblFieldTableCache>
                    </c15:dlblFTEntry>
                  </c15:dlblFieldTable>
                  <c15:showDataLabelsRange val="0"/>
                </c:ext>
                <c:ext xmlns:c16="http://schemas.microsoft.com/office/drawing/2014/chart" uri="{C3380CC4-5D6E-409C-BE32-E72D297353CC}">
                  <c16:uniqueId val="{0000000D-DE85-4CC0-BE41-767081B094FD}"/>
                </c:ext>
              </c:extLst>
            </c:dLbl>
            <c:dLbl>
              <c:idx val="14"/>
              <c:tx>
                <c:strRef>
                  <c:f>'Relative Value'!$B$128</c:f>
                  <c:strCache>
                    <c:ptCount val="1"/>
                    <c:pt idx="0">
                      <c:v>EQT</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{F6FD6615-7DB3-4FD4-B961-D0473387B8D9}</c15:txfldGUID>
                      <c15:f>'Relative Value'!$B$128</c15:f>
                      <c15:dlblFieldTableCache>
                        <c:ptCount val="1"/>
                        <c:pt idx="0">
                          <c:v>EQT</c:v>
                        </c:pt>
                      </c15:dlblFieldTableCache>
                    </c15:dlblFTEntry>
                  </c15:dlblFieldTable>
                  <c15:showDataLabelsRange val="0"/>
                </c:ext>
                <c:ext xmlns:c16="http://schemas.microsoft.com/office/drawing/2014/chart" uri="{C3380CC4-5D6E-409C-BE32-E72D297353CC}">
                  <c16:uniqueId val="{0000000E-DE85-4CC0-BE41-767081B094FD}"/>
                </c:ext>
              </c:extLst>
            </c:dLbl>
            <c:dLbl>
              <c:idx val="15"/>
              <c:layout>
                <c:manualLayout>
                  <c:x val="-2.5051096170389999E-2"/>
                  <c:y val="6.3744183965640661E-2"/>
                </c:manualLayout>
              </c:layout>
              <c:tx>
                <c:strRef>
                  <c:f>'Relative Value'!$B$129</c:f>
                  <c:strCache>
                    <c:ptCount val="1"/>
                    <c:pt idx="0">
                      <c:v>HES</c:v>
                    </c:pt>
                  </c:strCache>
                </c:strRef>
              </c:tx>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{37CDC64B-2CB8-4032-8DE1-62860CA632E0}</c15:txfldGUID>
                      <c15:f>'Relative Value'!$B$129</c15:f>
                      <c15:dlblFieldTableCache>
                        <c:ptCount val="1"/>
                        <c:pt idx="0">
                          <c:v>HES</c:v>
                        </c:pt>
                      </c15:dlblFieldTableCache>
                    </c15:dlblFTEntry>
                  </c15:dlblFieldTable>
                  <c15:showDataLabelsRange val="0"/>
                </c:ext>
                <c:ext xmlns:c16="http://schemas.microsoft.com/office/drawing/2014/chart" uri="{C3380CC4-5D6E-409C-BE32-E72D297353CC}">
                  <c16:uniqueId val="{0000000F-DE85-4CC0-BE41-767081B094FD}"/>
                </c:ext>
              </c:extLst>
            </c:dLbl>
            <c:dLbl>
              <c:idx val="16"/>
              <c:layout/>
              <c:tx>
                <c:strRef>
                  <c:f>'Relative Value'!$B$130</c:f>
                  <c:strCache>
                    <c:ptCount val="1"/>
                    <c:pt idx="0">
                      <c:v>MRO</c:v>
                    </c:pt>
                  </c:strCache>
                </c:strRef>
              </c:tx>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{50C97B4F-0B7C-4762-8CC4-8871ECF70F93}</c15:txfldGUID>
                      <c15:f>'Relative Value'!$B$130</c15:f>
                      <c15:dlblFieldTableCache>
                        <c:ptCount val="1"/>
                        <c:pt idx="0">
                          <c:v>MRO</c:v>
                        </c:pt>
                      </c15:dlblFieldTableCache>
                    </c15:dlblFTEntry>
                  </c15:dlblFieldTable>
                  <c15:showDataLabelsRange val="0"/>
                </c:ext>
                <c:ext xmlns:c16="http://schemas.microsoft.com/office/drawing/2014/chart" uri="{C3380CC4-5D6E-409C-BE32-E72D297353CC}">
                  <c16:uniqueId val="{00000010-DE85-4CC0-BE41-767081B094FD}"/>
                </c:ext>
              </c:extLst>
            </c:dLbl>
            <c:dLbl>
              <c:idx val="17"/>
              <c:tx>
                <c:strRef>
                  <c:f>'Relative Value'!$B$131</c:f>
                  <c:strCache>
                    <c:ptCount val="1"/>
                    <c:pt idx="0">
                      <c:v>MUR</c:v>
                    </c:pt>
                  </c:strCache>
                </c:strRef>
              </c:tx>
              <c:spPr/>
              <c:txPr>
                <a:bodyPr/>
                <a:lstStyle/>
                <a:p>
                  <a:pPr>
                    <a:defRPr sz="800" b="0" i="0">
                      <a:solidFill>
                        <a:srgbClr val="333333"/>
                      </a:solidFill>
                      <a:latin typeface="Expert Sans Regular"/>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{1159CA2B-DD89-4011-B918-4BDBD5261D63}</c15:txfldGUID>
                      <c15:f>'Relative Value'!$B$131</c15:f>
                      <c15:dlblFieldTableCache>
                        <c:ptCount val="1"/>
                        <c:pt idx="0">
                          <c:v>MUR</c:v>
                        </c:pt>
                      </c15:dlblFieldTableCache>
                    </c15:dlblFTEntry>
                  </c15:dlblFieldTable>
                  <c15:showDataLabelsRange val="0"/>
                </c:ext>
                <c:ext xmlns:c16="http://schemas.microsoft.com/office/drawing/2014/chart" uri="{C3380CC4-5D6E-409C-BE32-E72D297353CC}">
                  <c16:uniqueId val="{00000011-DE85-4CC0-BE41-767081B094FD}"/>
                </c:ext>
              </c:extLst>
            </c:dLbl>
            <c:dLbl>
              <c:idx val="18"/>
              <c:layout>
                <c:manualLayout>
                  <c:x val="-5.288796102992345E-2"/>
                  <c:y val="3.9772727272727224E-2"/>
                </c:manualLayout>
              </c:layout>
              <c:tx>
                <c:strRef>
                  <c:f>'Relative Value'!$B$132</c:f>
                  <c:strCache>
                    <c:ptCount val="1"/>
                    <c:pt idx="0">
                      <c:v>NBL</c:v>
                    </c:pt>
                  </c:strCache>
                </c:strRef>
              </c:tx>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{8D23F7ED-08F8-4D15-9CF7-7B5C18212482}</c15:txfldGUID>
                      <c15:f>'Relative Value'!$B$132</c15:f>
                      <c15:dlblFieldTableCache>
                        <c:ptCount val="1"/>
                        <c:pt idx="0">
                          <c:v>NBL</c:v>
                        </c:pt>
                      </c15:dlblFieldTableCache>
                    </c15:dlblFTEntry>
                  </c15:dlblFieldTable>
                  <c15:showDataLabelsRange val="0"/>
                </c:ext>
                <c:ext xmlns:c16="http://schemas.microsoft.com/office/drawing/2014/chart" uri="{C3380CC4-5D6E-409C-BE32-E72D297353CC}">
                  <c16:uniqueId val="{00000012-DE85-4CC0-BE41-767081B094FD}"/>
                </c:ext>
              </c:extLst>
            </c:dLbl>
            <c:dLbl>
              <c:idx val="19"/>
              <c:layout>
                <c:manualLayout>
                  <c:x val="-8.3507306889352817E-2"/>
                  <c:y val="1.7045454545454492E-2"/>
                </c:manualLayout>
              </c:layout>
              <c:tx>
                <c:strRef>
                  <c:f>'Relative Value'!$B$133</c:f>
                  <c:strCache>
                    <c:ptCount val="1"/>
                    <c:pt idx="0">
                      <c:v>OXY</c:v>
                    </c:pt>
                  </c:strCache>
                </c:strRef>
              </c:tx>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{0D850C2A-4B0C-42FA-9C0A-682F53CEEDF3}</c15:txfldGUID>
                      <c15:f>'Relative Value'!$B$133</c15:f>
                      <c15:dlblFieldTableCache>
                        <c:ptCount val="1"/>
                        <c:pt idx="0">
                          <c:v>OXY</c:v>
                        </c:pt>
                      </c15:dlblFieldTableCache>
                    </c15:dlblFTEntry>
                  </c15:dlblFieldTable>
                  <c15:showDataLabelsRange val="0"/>
                </c:ext>
                <c:ext xmlns:c16="http://schemas.microsoft.com/office/drawing/2014/chart" uri="{C3380CC4-5D6E-409C-BE32-E72D297353CC}">
                  <c16:uniqueId val="{00000013-DE85-4CC0-BE41-767081B094FD}"/>
                </c:ext>
              </c:extLst>
            </c:dLbl>
            <c:dLbl>
              <c:idx val="20"/>
              <c:tx>
                <c:strRef>
                  <c:f>'Relative Value'!$B$134</c:f>
                  <c:strCache>
                    <c:ptCount val="1"/>
                    <c:pt idx="0">
                      <c:v>PXD</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{39ED9A57-71B5-41F2-A99C-BC9F870BB281}</c15:txfldGUID>
                      <c15:f>'Relative Value'!$B$134</c15:f>
                      <c15:dlblFieldTableCache>
                        <c:ptCount val="1"/>
                        <c:pt idx="0">
                          <c:v>PXD</c:v>
                        </c:pt>
                      </c15:dlblFieldTableCache>
                    </c15:dlblFTEntry>
                  </c15:dlblFieldTable>
                  <c15:showDataLabelsRange val="0"/>
                </c:ext>
                <c:ext xmlns:c16="http://schemas.microsoft.com/office/drawing/2014/chart" uri="{C3380CC4-5D6E-409C-BE32-E72D297353CC}">
                  <c16:uniqueId val="{00000014-DE85-4CC0-BE41-767081B094FD}"/>
                </c:ext>
              </c:extLst>
            </c:dLbl>
            <c:dLbl>
              <c:idx val="21"/>
              <c:tx>
                <c:strRef>
                  <c:f>'Relative Value'!$B$135</c:f>
                  <c:strCache>
                    <c:ptCount val="1"/>
                    <c:pt idx="0">
                      <c:v>SWN</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{A5573FEA-E133-4E9F-B813-AEE5A4B1DB24}</c15:txfldGUID>
                      <c15:f>'Relative Value'!$B$135</c15:f>
                      <c15:dlblFieldTableCache>
                        <c:ptCount val="1"/>
                        <c:pt idx="0">
                          <c:v>SWN</c:v>
                        </c:pt>
                      </c15:dlblFieldTableCache>
                    </c15:dlblFTEntry>
                  </c15:dlblFieldTable>
                  <c15:showDataLabelsRange val="0"/>
                </c:ext>
                <c:ext xmlns:c16="http://schemas.microsoft.com/office/drawing/2014/chart" uri="{C3380CC4-5D6E-409C-BE32-E72D297353CC}">
                  <c16:uniqueId val="{00000015-DE85-4CC0-BE41-767081B094FD}"/>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'Relative Value'!$C$114:$C$135</c:f>
              <c:numCache>
                <c:formatCode>#,##0.00_);\(#,##0.00\)</c:formatCode>
                <c:ptCount val="22"/>
                <c:pt idx="2">
                  <c:v>-0.16961049228208935</c:v>
                </c:pt>
                <c:pt idx="3">
                  <c:v>10.96881853537618</c:v>
                </c:pt>
                <c:pt idx="4">
                  <c:v>7.7416257874999701</c:v>
                </c:pt>
                <c:pt idx="6">
                  <c:v>3.9436110068949581</c:v>
                </c:pt>
                <c:pt idx="7">
                  <c:v>16.638337923678211</c:v>
                </c:pt>
                <c:pt idx="8">
                  <c:v>7.1719210884905564</c:v>
                </c:pt>
                <c:pt idx="9">
                  <c:v>6.7814041636713576</c:v>
                </c:pt>
                <c:pt idx="10">
                  <c:v>2.1059471141622161</c:v>
                </c:pt>
                <c:pt idx="11">
                  <c:v>13.521517462799459</c:v>
                </c:pt>
                <c:pt idx="12">
                  <c:v>2.976146145978305</c:v>
                </c:pt>
                <c:pt idx="13">
                  <c:v>11.016102609182077</c:v>
                </c:pt>
                <c:pt idx="15">
                  <c:v>-0.58497943438756295</c:v>
                </c:pt>
                <c:pt idx="16">
                  <c:v>2.5191267027430513</c:v>
                </c:pt>
                <c:pt idx="18">
                  <c:v>-2.2670040142477532</c:v>
                </c:pt>
                <c:pt idx="19">
                  <c:v>1.9544188070266628</c:v>
                </c:pt>
                <c:pt idx="20">
                  <c:v>11.323393232861676</c:v>
                </c:pt>
              </c:numCache>
            </c:numRef>
          </c:xVal>
          <c:yVal>
            <c:numRef>
              <c:f>'Relative Value'!$D$114:$D$135</c:f>
              <c:numCache>
                <c:formatCode>#,##0_);\(#,##0\)</c:formatCode>
                <c:ptCount val="22"/>
                <c:pt idx="2">
                  <c:v>307.18600957700306</c:v>
                </c:pt>
                <c:pt idx="3">
                  <c:v>177.16574630390033</c:v>
                </c:pt>
                <c:pt idx="4">
                  <c:v>238.68276426283495</c:v>
                </c:pt>
                <c:pt idx="6">
                  <c:v>0</c:v>
                </c:pt>
                <c:pt idx="7">
                  <c:v>132.12811198767977</c:v>
                </c:pt>
                <c:pt idx="8">
                  <c:v>278.20756002190313</c:v>
                </c:pt>
                <c:pt idx="9">
                  <c:v>194.29819924435404</c:v>
                </c:pt>
                <c:pt idx="10">
                  <c:v>187.91129408898058</c:v>
                </c:pt>
                <c:pt idx="11">
                  <c:v>0</c:v>
                </c:pt>
                <c:pt idx="12">
                  <c:v>311.48053490759787</c:v>
                </c:pt>
                <c:pt idx="13">
                  <c:v>149.55317771936939</c:v>
                </c:pt>
                <c:pt idx="15">
                  <c:v>258.60137436276591</c:v>
                </c:pt>
                <c:pt idx="16">
                  <c:v>228.5199145106096</c:v>
                </c:pt>
                <c:pt idx="18">
                  <c:v>220.36942759205877</c:v>
                </c:pt>
                <c:pt idx="19">
                  <c:v>212.71205908008372</c:v>
                </c:pt>
                <c:pt idx="20">
                  <c:v>0</c:v>
                </c:pt>
              </c:numCache>
            </c:numRef>
          </c:yVal>
          <c:smooth val="0"/>
          <c:extLst>
            <c:ext xmlns:c16="http://schemas.microsoft.com/office/drawing/2014/chart" uri="{C3380CC4-5D6E-409C-BE32-E72D297353CC}">
              <c16:uniqueId val="{00000016-DE85-4CC0-BE41-767081B094FD}"/>
            </c:ext>
          </c:extLst>
        </c:ser>
        <c:dLbls>
          <c:showLegendKey val="0"/>
          <c:showVal val="0"/>
          <c:showCatName val="0"/>
          <c:showSerName val="0"/>
          <c:showPercent val="0"/>
          <c:showBubbleSize val="0"/>
        </c:dLbls>
        <c:axId val="1343053184"/>
        <c:axId val="1343059072"/>
      </c:scatterChart>
      <c:valAx>
        <c:axId val="1343053184"/>
        <c:scaling>
          <c:orientation val="minMax"/>
        </c:scaling>
        <c:delete val="0"/>
        <c:axPos val="b"/>
        <c:numFmt formatCode="#,##0.00_);\(#,##0.00\)" sourceLinked="1"/>
        <c:majorTickMark val="out"/>
        <c:minorTickMark val="none"/>
        <c:tickLblPos val="low"/>
        <c:spPr>
          <a:ln w="12700">
            <a:solidFill>
              <a:srgbClr val="1E1E1E"/>
            </a:solidFill>
            <a:prstDash val="solid"/>
          </a:ln>
        </c:spPr>
        <c:txPr>
          <a:bodyPr/>
          <a:lstStyle/>
          <a:p>
            <a:pPr>
              <a:defRPr sz="800" b="0" i="0" u="none">
                <a:solidFill>
                  <a:srgbClr val="1E1E1E"/>
                </a:solidFill>
              </a:defRPr>
            </a:pPr>
            <a:endParaRPr lang="en-US"/>
          </a:p>
        </c:txPr>
        <c:crossAx val="1343059072"/>
        <c:crosses val="autoZero"/>
        <c:crossBetween val="midCat"/>
      </c:valAx>
      <c:valAx>
        <c:axId val="1343059072"/>
        <c:scaling>
          <c:orientation val="minMax"/>
          <c:min val="50"/>
        </c:scaling>
        <c:delete val="0"/>
        <c:axPos val="l"/>
        <c:numFmt formatCode="#,##0" sourceLinked="0"/>
        <c:majorTickMark val="out"/>
        <c:minorTickMark val="none"/>
        <c:tickLblPos val="low"/>
        <c:spPr>
          <a:ln w="12700">
            <a:solidFill>
              <a:srgbClr val="1E1E1E"/>
            </a:solidFill>
            <a:prstDash val="solid"/>
          </a:ln>
        </c:spPr>
        <c:txPr>
          <a:bodyPr/>
          <a:lstStyle/>
          <a:p>
            <a:pPr>
              <a:defRPr sz="800" b="0" i="0" u="none">
                <a:solidFill>
                  <a:srgbClr val="1E1E1E"/>
                </a:solidFill>
              </a:defRPr>
            </a:pPr>
            <a:endParaRPr lang="en-US"/>
          </a:p>
        </c:txPr>
        <c:crossAx val="1343053184"/>
        <c:crossesAt val="-15"/>
        <c:crossBetween val="midCat"/>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800">
          <a:solidFill>
            <a:srgbClr val="1E1E1E"/>
          </a:solidFill>
          <a:latin typeface="Expert Sans Regular"/>
          <a:ea typeface="Expert Sans Regular"/>
          <a:cs typeface="Expert Sans Regular"/>
        </a:defRPr>
      </a:pPr>
      <a:endParaRPr lang="en-US"/>
    </a:p>
  </c:txPr>
  <c:printSettings>
    <c:headerFooter/>
    <c:pageMargins b="0.75000000000001465" l="0.70000000000000062" r="0.70000000000000062" t="0.75000000000001465" header="0.30000000000000032" footer="0.30000000000000032"/>
    <c:pageSetup paperSize="8"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1.1126564673157707E-2"/>
          <c:y val="2.272727272727449E-2"/>
          <c:w val="0.98609179415855364"/>
          <c:h val="0.97159090909090906"/>
        </c:manualLayout>
      </c:layout>
      <c:scatterChart>
        <c:scatterStyle val="lineMarker"/>
        <c:varyColors val="0"/>
        <c:ser>
          <c:idx val="0"/>
          <c:order val="0"/>
          <c:spPr>
            <a:ln w="28575">
              <a:noFill/>
            </a:ln>
          </c:spPr>
          <c:marker>
            <c:symbol val="diamond"/>
            <c:size val="6"/>
          </c:marker>
          <c:dLbls>
            <c:dLbl>
              <c:idx val="0"/>
              <c:layout>
                <c:manualLayout>
                  <c:x val="-8.9072527919547173E-2"/>
                  <c:y val="-5.3404539385847804E-3"/>
                </c:manualLayout>
              </c:layout>
              <c:tx>
                <c:strRef>
                  <c:f>'Relative Value'!$B$89</c:f>
                  <c:strCache>
                    <c:ptCount val="1"/>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{B4C69F7F-99D6-4322-ABE4-21F8A2B195A6}</c15:txfldGUID>
                      <c15:f>'Relative Value'!$B$89</c15:f>
                      <c15:dlblFieldTableCache>
                        <c:ptCount val="1"/>
                      </c15:dlblFieldTableCache>
                    </c15:dlblFTEntry>
                  </c15:dlblFieldTable>
                  <c15:showDataLabelsRange val="0"/>
                </c:ext>
                <c:ext xmlns:c16="http://schemas.microsoft.com/office/drawing/2014/chart" uri="{C3380CC4-5D6E-409C-BE32-E72D297353CC}">
                  <c16:uniqueId val="{00000000-85EE-4BA6-B7F2-38DFEFB2EB81}"/>
                </c:ext>
              </c:extLst>
            </c:dLbl>
            <c:dLbl>
              <c:idx val="1"/>
              <c:tx>
                <c:strRef>
                  <c:f>'Relative Value'!$B$90</c:f>
                  <c:strCache>
                    <c:ptCount val="1"/>
                    <c:pt idx="0">
                      <c:v>AR</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{2CC8FB58-EE62-4655-9888-9FEF252D8F7B}</c15:txfldGUID>
                      <c15:f>'Relative Value'!$B$90</c15:f>
                      <c15:dlblFieldTableCache>
                        <c:ptCount val="1"/>
                        <c:pt idx="0">
                          <c:v>AR</c:v>
                        </c:pt>
                      </c15:dlblFieldTableCache>
                    </c15:dlblFTEntry>
                  </c15:dlblFieldTable>
                  <c15:showDataLabelsRange val="0"/>
                </c:ext>
                <c:ext xmlns:c16="http://schemas.microsoft.com/office/drawing/2014/chart" uri="{C3380CC4-5D6E-409C-BE32-E72D297353CC}">
                  <c16:uniqueId val="{00000001-85EE-4BA6-B7F2-38DFEFB2EB81}"/>
                </c:ext>
              </c:extLst>
            </c:dLbl>
            <c:dLbl>
              <c:idx val="2"/>
              <c:layout/>
              <c:tx>
                <c:strRef>
                  <c:f>'Relative Value'!$B$91</c:f>
                  <c:strCache>
                    <c:ptCount val="1"/>
                    <c:pt idx="0">
                      <c:v>APA</c:v>
                    </c:pt>
                  </c:strCache>
                </c:strRef>
              </c:tx>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{C675A6A8-FBBC-4232-8006-4484F7BE70E3}</c15:txfldGUID>
                      <c15:f>'Relative Value'!$B$91</c15:f>
                      <c15:dlblFieldTableCache>
                        <c:ptCount val="1"/>
                        <c:pt idx="0">
                          <c:v>APA</c:v>
                        </c:pt>
                      </c15:dlblFieldTableCache>
                    </c15:dlblFTEntry>
                  </c15:dlblFieldTable>
                  <c15:showDataLabelsRange val="0"/>
                </c:ext>
                <c:ext xmlns:c16="http://schemas.microsoft.com/office/drawing/2014/chart" uri="{C3380CC4-5D6E-409C-BE32-E72D297353CC}">
                  <c16:uniqueId val="{00000002-85EE-4BA6-B7F2-38DFEFB2EB81}"/>
                </c:ext>
              </c:extLst>
            </c:dLbl>
            <c:dLbl>
              <c:idx val="3"/>
              <c:layout>
                <c:manualLayout>
                  <c:x val="-0.12525824238686353"/>
                  <c:y val="-4.2723631508678472E-2"/>
                </c:manualLayout>
              </c:layout>
              <c:tx>
                <c:strRef>
                  <c:f>'Relative Value'!$B$92</c:f>
                  <c:strCache>
                    <c:ptCount val="1"/>
                    <c:pt idx="0">
                      <c:v>CNQCN</c:v>
                    </c:pt>
                  </c:strCache>
                </c:strRef>
              </c:tx>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{3716AC9A-B189-4AC6-BFCB-27D2CDAA45E1}</c15:txfldGUID>
                      <c15:f>'Relative Value'!$B$92</c15:f>
                      <c15:dlblFieldTableCache>
                        <c:ptCount val="1"/>
                        <c:pt idx="0">
                          <c:v>CNQCN</c:v>
                        </c:pt>
                      </c15:dlblFieldTableCache>
                    </c15:dlblFTEntry>
                  </c15:dlblFieldTable>
                  <c15:showDataLabelsRange val="0"/>
                </c:ext>
                <c:ext xmlns:c16="http://schemas.microsoft.com/office/drawing/2014/chart" uri="{C3380CC4-5D6E-409C-BE32-E72D297353CC}">
                  <c16:uniqueId val="{00000003-85EE-4BA6-B7F2-38DFEFB2EB81}"/>
                </c:ext>
              </c:extLst>
            </c:dLbl>
            <c:dLbl>
              <c:idx val="4"/>
              <c:layout/>
              <c:tx>
                <c:strRef>
                  <c:f>'Relative Value'!$B$93</c:f>
                  <c:strCache>
                    <c:ptCount val="1"/>
                    <c:pt idx="0">
                      <c:v>CVECN</c:v>
                    </c:pt>
                  </c:strCache>
                </c:strRef>
              </c:tx>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{9A1CA56A-24B1-42E2-BD6F-E5C1E90C0E9A}</c15:txfldGUID>
                      <c15:f>'Relative Value'!$B$93</c15:f>
                      <c15:dlblFieldTableCache>
                        <c:ptCount val="1"/>
                        <c:pt idx="0">
                          <c:v>CVECN</c:v>
                        </c:pt>
                      </c15:dlblFieldTableCache>
                    </c15:dlblFTEntry>
                  </c15:dlblFieldTable>
                  <c15:showDataLabelsRange val="0"/>
                </c:ext>
                <c:ext xmlns:c16="http://schemas.microsoft.com/office/drawing/2014/chart" uri="{C3380CC4-5D6E-409C-BE32-E72D297353CC}">
                  <c16:uniqueId val="{00000004-85EE-4BA6-B7F2-38DFEFB2EB81}"/>
                </c:ext>
              </c:extLst>
            </c:dLbl>
            <c:dLbl>
              <c:idx val="5"/>
              <c:tx>
                <c:strRef>
                  <c:f>'Relative Value'!$B$94</c:f>
                  <c:strCache>
                    <c:ptCount val="1"/>
                    <c:pt idx="0">
                      <c:v>CHK</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{9779A265-D2E1-45C6-9B1F-F5B00A354026}</c15:txfldGUID>
                      <c15:f>'Relative Value'!$B$94</c15:f>
                      <c15:dlblFieldTableCache>
                        <c:ptCount val="1"/>
                        <c:pt idx="0">
                          <c:v>CHK</c:v>
                        </c:pt>
                      </c15:dlblFieldTableCache>
                    </c15:dlblFTEntry>
                  </c15:dlblFieldTable>
                  <c15:showDataLabelsRange val="0"/>
                </c:ext>
                <c:ext xmlns:c16="http://schemas.microsoft.com/office/drawing/2014/chart" uri="{C3380CC4-5D6E-409C-BE32-E72D297353CC}">
                  <c16:uniqueId val="{00000005-85EE-4BA6-B7F2-38DFEFB2EB81}"/>
                </c:ext>
              </c:extLst>
            </c:dLbl>
            <c:dLbl>
              <c:idx val="6"/>
              <c:layout/>
              <c:tx>
                <c:strRef>
                  <c:f>'Relative Value'!$B$95</c:f>
                  <c:strCache>
                    <c:ptCount val="1"/>
                    <c:pt idx="0">
                      <c:v>XEC</c:v>
                    </c:pt>
                  </c:strCache>
                </c:strRef>
              </c:tx>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{79DAFA54-3B2D-46FB-8458-977B3A399038}</c15:txfldGUID>
                      <c15:f>'Relative Value'!$B$95</c15:f>
                      <c15:dlblFieldTableCache>
                        <c:ptCount val="1"/>
                        <c:pt idx="0">
                          <c:v>XEC</c:v>
                        </c:pt>
                      </c15:dlblFieldTableCache>
                    </c15:dlblFTEntry>
                  </c15:dlblFieldTable>
                  <c15:showDataLabelsRange val="0"/>
                </c:ext>
                <c:ext xmlns:c16="http://schemas.microsoft.com/office/drawing/2014/chart" uri="{C3380CC4-5D6E-409C-BE32-E72D297353CC}">
                  <c16:uniqueId val="{00000006-85EE-4BA6-B7F2-38DFEFB2EB81}"/>
                </c:ext>
              </c:extLst>
            </c:dLbl>
            <c:dLbl>
              <c:idx val="7"/>
              <c:layout/>
              <c:tx>
                <c:strRef>
                  <c:f>'Relative Value'!$B$96</c:f>
                  <c:strCache>
                    <c:ptCount val="1"/>
                    <c:pt idx="0">
                      <c:v>COP</c:v>
                    </c:pt>
                  </c:strCache>
                </c:strRef>
              </c:tx>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{50A55622-CE94-4453-A9D7-8299394A7C3A}</c15:txfldGUID>
                      <c15:f>'Relative Value'!$B$96</c15:f>
                      <c15:dlblFieldTableCache>
                        <c:ptCount val="1"/>
                        <c:pt idx="0">
                          <c:v>COP</c:v>
                        </c:pt>
                      </c15:dlblFieldTableCache>
                    </c15:dlblFTEntry>
                  </c15:dlblFieldTable>
                  <c15:showDataLabelsRange val="0"/>
                </c:ext>
                <c:ext xmlns:c16="http://schemas.microsoft.com/office/drawing/2014/chart" uri="{C3380CC4-5D6E-409C-BE32-E72D297353CC}">
                  <c16:uniqueId val="{00000007-85EE-4BA6-B7F2-38DFEFB2EB81}"/>
                </c:ext>
              </c:extLst>
            </c:dLbl>
            <c:dLbl>
              <c:idx val="8"/>
              <c:layout/>
              <c:tx>
                <c:strRef>
                  <c:f>'Relative Value'!$B$97</c:f>
                  <c:strCache>
                    <c:ptCount val="1"/>
                    <c:pt idx="0">
                      <c:v>CLR</c:v>
                    </c:pt>
                  </c:strCache>
                </c:strRef>
              </c:tx>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{F8E348D2-2666-4F99-8327-9AF986B6EAF1}</c15:txfldGUID>
                      <c15:f>'Relative Value'!$B$97</c15:f>
                      <c15:dlblFieldTableCache>
                        <c:ptCount val="1"/>
                        <c:pt idx="0">
                          <c:v>CLR</c:v>
                        </c:pt>
                      </c15:dlblFieldTableCache>
                    </c15:dlblFTEntry>
                  </c15:dlblFieldTable>
                  <c15:showDataLabelsRange val="0"/>
                </c:ext>
                <c:ext xmlns:c16="http://schemas.microsoft.com/office/drawing/2014/chart" uri="{C3380CC4-5D6E-409C-BE32-E72D297353CC}">
                  <c16:uniqueId val="{00000008-85EE-4BA6-B7F2-38DFEFB2EB81}"/>
                </c:ext>
              </c:extLst>
            </c:dLbl>
            <c:dLbl>
              <c:idx val="9"/>
              <c:layout>
                <c:manualLayout>
                  <c:x val="-2.7835164974858551E-2"/>
                  <c:y val="5.8744993324432594E-2"/>
                </c:manualLayout>
              </c:layout>
              <c:tx>
                <c:strRef>
                  <c:f>'Relative Value'!$B$98</c:f>
                  <c:strCache>
                    <c:ptCount val="1"/>
                    <c:pt idx="0">
                      <c:v>CXO</c:v>
                    </c:pt>
                  </c:strCache>
                </c:strRef>
              </c:tx>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{52B5BC77-1D5D-4F21-B567-9C62289AB489}</c15:txfldGUID>
                      <c15:f>'Relative Value'!$B$98</c15:f>
                      <c15:dlblFieldTableCache>
                        <c:ptCount val="1"/>
                        <c:pt idx="0">
                          <c:v>CXO</c:v>
                        </c:pt>
                      </c15:dlblFieldTableCache>
                    </c15:dlblFTEntry>
                  </c15:dlblFieldTable>
                  <c15:showDataLabelsRange val="0"/>
                </c:ext>
                <c:ext xmlns:c16="http://schemas.microsoft.com/office/drawing/2014/chart" uri="{C3380CC4-5D6E-409C-BE32-E72D297353CC}">
                  <c16:uniqueId val="{00000009-85EE-4BA6-B7F2-38DFEFB2EB81}"/>
                </c:ext>
              </c:extLst>
            </c:dLbl>
            <c:dLbl>
              <c:idx val="10"/>
              <c:layout/>
              <c:tx>
                <c:strRef>
                  <c:f>'Relative Value'!$B$99</c:f>
                  <c:strCache>
                    <c:ptCount val="1"/>
                    <c:pt idx="0">
                      <c:v>DVN</c:v>
                    </c:pt>
                  </c:strCache>
                </c:strRef>
              </c:tx>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{760E8222-1848-473B-A334-364BCB3BAAB3}</c15:txfldGUID>
                      <c15:f>'Relative Value'!$B$99</c15:f>
                      <c15:dlblFieldTableCache>
                        <c:ptCount val="1"/>
                        <c:pt idx="0">
                          <c:v>DVN</c:v>
                        </c:pt>
                      </c15:dlblFieldTableCache>
                    </c15:dlblFTEntry>
                  </c15:dlblFieldTable>
                  <c15:showDataLabelsRange val="0"/>
                </c:ext>
                <c:ext xmlns:c16="http://schemas.microsoft.com/office/drawing/2014/chart" uri="{C3380CC4-5D6E-409C-BE32-E72D297353CC}">
                  <c16:uniqueId val="{0000000A-85EE-4BA6-B7F2-38DFEFB2EB81}"/>
                </c:ext>
              </c:extLst>
            </c:dLbl>
            <c:dLbl>
              <c:idx val="11"/>
              <c:layout/>
              <c:tx>
                <c:strRef>
                  <c:f>'Relative Value'!$B$100</c:f>
                  <c:strCache>
                    <c:ptCount val="1"/>
                    <c:pt idx="0">
                      <c:v>FANG</c:v>
                    </c:pt>
                  </c:strCache>
                </c:strRef>
              </c:tx>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{CEABB337-08D2-4199-9AC5-074B12C8C8A2}</c15:txfldGUID>
                      <c15:f>'Relative Value'!$B$100</c15:f>
                      <c15:dlblFieldTableCache>
                        <c:ptCount val="1"/>
                        <c:pt idx="0">
                          <c:v>FANG</c:v>
                        </c:pt>
                      </c15:dlblFieldTableCache>
                    </c15:dlblFTEntry>
                  </c15:dlblFieldTable>
                  <c15:showDataLabelsRange val="0"/>
                </c:ext>
                <c:ext xmlns:c16="http://schemas.microsoft.com/office/drawing/2014/chart" uri="{C3380CC4-5D6E-409C-BE32-E72D297353CC}">
                  <c16:uniqueId val="{0000000B-85EE-4BA6-B7F2-38DFEFB2EB81}"/>
                </c:ext>
              </c:extLst>
            </c:dLbl>
            <c:dLbl>
              <c:idx val="12"/>
              <c:layout/>
              <c:tx>
                <c:strRef>
                  <c:f>'Relative Value'!$B$101</c:f>
                  <c:strCache>
                    <c:ptCount val="1"/>
                    <c:pt idx="0">
                      <c:v>ECACN</c:v>
                    </c:pt>
                  </c:strCache>
                </c:strRef>
              </c:tx>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{C70DE7F6-A307-4FE7-BC07-8C59AF111625}</c15:txfldGUID>
                      <c15:f>'Relative Value'!$B$101</c15:f>
                      <c15:dlblFieldTableCache>
                        <c:ptCount val="1"/>
                        <c:pt idx="0">
                          <c:v>ECACN</c:v>
                        </c:pt>
                      </c15:dlblFieldTableCache>
                    </c15:dlblFTEntry>
                  </c15:dlblFieldTable>
                  <c15:showDataLabelsRange val="0"/>
                </c:ext>
                <c:ext xmlns:c16="http://schemas.microsoft.com/office/drawing/2014/chart" uri="{C3380CC4-5D6E-409C-BE32-E72D297353CC}">
                  <c16:uniqueId val="{0000000C-85EE-4BA6-B7F2-38DFEFB2EB81}"/>
                </c:ext>
              </c:extLst>
            </c:dLbl>
            <c:dLbl>
              <c:idx val="13"/>
              <c:layout/>
              <c:tx>
                <c:strRef>
                  <c:f>'Relative Value'!$B$102</c:f>
                  <c:strCache>
                    <c:ptCount val="1"/>
                    <c:pt idx="0">
                      <c:v>EOG</c:v>
                    </c:pt>
                  </c:strCache>
                </c:strRef>
              </c:tx>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{CFF51090-C6CB-4CC9-920F-348F66C7CFF5}</c15:txfldGUID>
                      <c15:f>'Relative Value'!$B$102</c15:f>
                      <c15:dlblFieldTableCache>
                        <c:ptCount val="1"/>
                        <c:pt idx="0">
                          <c:v>EOG</c:v>
                        </c:pt>
                      </c15:dlblFieldTableCache>
                    </c15:dlblFTEntry>
                  </c15:dlblFieldTable>
                  <c15:showDataLabelsRange val="0"/>
                </c:ext>
                <c:ext xmlns:c16="http://schemas.microsoft.com/office/drawing/2014/chart" uri="{C3380CC4-5D6E-409C-BE32-E72D297353CC}">
                  <c16:uniqueId val="{0000000D-85EE-4BA6-B7F2-38DFEFB2EB81}"/>
                </c:ext>
              </c:extLst>
            </c:dLbl>
            <c:dLbl>
              <c:idx val="14"/>
              <c:tx>
                <c:strRef>
                  <c:f>'Relative Value'!$B$103</c:f>
                  <c:strCache>
                    <c:ptCount val="1"/>
                    <c:pt idx="0">
                      <c:v>EQT</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{660310D2-F70A-4E0C-B56B-1DE3408439CF}</c15:txfldGUID>
                      <c15:f>'Relative Value'!$B$103</c15:f>
                      <c15:dlblFieldTableCache>
                        <c:ptCount val="1"/>
                        <c:pt idx="0">
                          <c:v>EQT</c:v>
                        </c:pt>
                      </c15:dlblFieldTableCache>
                    </c15:dlblFTEntry>
                  </c15:dlblFieldTable>
                  <c15:showDataLabelsRange val="0"/>
                </c:ext>
                <c:ext xmlns:c16="http://schemas.microsoft.com/office/drawing/2014/chart" uri="{C3380CC4-5D6E-409C-BE32-E72D297353CC}">
                  <c16:uniqueId val="{0000000E-85EE-4BA6-B7F2-38DFEFB2EB81}"/>
                </c:ext>
              </c:extLst>
            </c:dLbl>
            <c:dLbl>
              <c:idx val="15"/>
              <c:layout>
                <c:manualLayout>
                  <c:x val="-2.7834453887418561E-2"/>
                  <c:y val="5.3404539385847702E-2"/>
                </c:manualLayout>
              </c:layout>
              <c:tx>
                <c:strRef>
                  <c:f>'Relative Value'!$B$104</c:f>
                  <c:strCache>
                    <c:ptCount val="1"/>
                    <c:pt idx="0">
                      <c:v>HES</c:v>
                    </c:pt>
                  </c:strCache>
                </c:strRef>
              </c:tx>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{2F36A46F-F469-4448-9188-2C82F88BFFDF}</c15:txfldGUID>
                      <c15:f>'Relative Value'!$B$104</c15:f>
                      <c15:dlblFieldTableCache>
                        <c:ptCount val="1"/>
                        <c:pt idx="0">
                          <c:v>HES</c:v>
                        </c:pt>
                      </c15:dlblFieldTableCache>
                    </c15:dlblFTEntry>
                  </c15:dlblFieldTable>
                  <c15:showDataLabelsRange val="0"/>
                </c:ext>
                <c:ext xmlns:c16="http://schemas.microsoft.com/office/drawing/2014/chart" uri="{C3380CC4-5D6E-409C-BE32-E72D297353CC}">
                  <c16:uniqueId val="{0000000F-85EE-4BA6-B7F2-38DFEFB2EB81}"/>
                </c:ext>
              </c:extLst>
            </c:dLbl>
            <c:dLbl>
              <c:idx val="16"/>
              <c:layout/>
              <c:tx>
                <c:strRef>
                  <c:f>'Relative Value'!$B$105</c:f>
                  <c:strCache>
                    <c:ptCount val="1"/>
                    <c:pt idx="0">
                      <c:v>MRO</c:v>
                    </c:pt>
                  </c:strCache>
                </c:strRef>
              </c:tx>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{88AA28E6-69ED-4735-BFA6-8C82BCAF8399}</c15:txfldGUID>
                      <c15:f>'Relative Value'!$B$105</c15:f>
                      <c15:dlblFieldTableCache>
                        <c:ptCount val="1"/>
                        <c:pt idx="0">
                          <c:v>MRO</c:v>
                        </c:pt>
                      </c15:dlblFieldTableCache>
                    </c15:dlblFTEntry>
                  </c15:dlblFieldTable>
                  <c15:showDataLabelsRange val="0"/>
                </c:ext>
                <c:ext xmlns:c16="http://schemas.microsoft.com/office/drawing/2014/chart" uri="{C3380CC4-5D6E-409C-BE32-E72D297353CC}">
                  <c16:uniqueId val="{00000010-85EE-4BA6-B7F2-38DFEFB2EB81}"/>
                </c:ext>
              </c:extLst>
            </c:dLbl>
            <c:dLbl>
              <c:idx val="17"/>
              <c:tx>
                <c:strRef>
                  <c:f>'Relative Value'!$B$106</c:f>
                  <c:strCache>
                    <c:ptCount val="1"/>
                    <c:pt idx="0">
                      <c:v>MUR</c:v>
                    </c:pt>
                  </c:strCache>
                </c:strRef>
              </c:tx>
              <c:spPr/>
              <c:txPr>
                <a:bodyPr/>
                <a:lstStyle/>
                <a:p>
                  <a:pPr>
                    <a:defRPr sz="800" b="0" i="0">
                      <a:solidFill>
                        <a:srgbClr val="333333"/>
                      </a:solidFill>
                      <a:latin typeface="Expert Sans Regular"/>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{549ED610-AAD8-4607-973F-63F3BF804CF1}</c15:txfldGUID>
                      <c15:f>'Relative Value'!$B$106</c15:f>
                      <c15:dlblFieldTableCache>
                        <c:ptCount val="1"/>
                        <c:pt idx="0">
                          <c:v>MUR</c:v>
                        </c:pt>
                      </c15:dlblFieldTableCache>
                    </c15:dlblFTEntry>
                  </c15:dlblFieldTable>
                  <c15:showDataLabelsRange val="0"/>
                </c:ext>
                <c:ext xmlns:c16="http://schemas.microsoft.com/office/drawing/2014/chart" uri="{C3380CC4-5D6E-409C-BE32-E72D297353CC}">
                  <c16:uniqueId val="{00000011-85EE-4BA6-B7F2-38DFEFB2EB81}"/>
                </c:ext>
              </c:extLst>
            </c:dLbl>
            <c:dLbl>
              <c:idx val="18"/>
              <c:layout>
                <c:manualLayout>
                  <c:x val="-5.5671537926235214E-2"/>
                  <c:y val="8.0106809078771699E-2"/>
                </c:manualLayout>
              </c:layout>
              <c:tx>
                <c:strRef>
                  <c:f>'Relative Value'!$B$107</c:f>
                  <c:strCache>
                    <c:ptCount val="1"/>
                    <c:pt idx="0">
                      <c:v>NBL</c:v>
                    </c:pt>
                  </c:strCache>
                </c:strRef>
              </c:tx>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{728499E2-A420-4C35-A29A-495014279B3B}</c15:txfldGUID>
                      <c15:f>'Relative Value'!$B$107</c15:f>
                      <c15:dlblFieldTableCache>
                        <c:ptCount val="1"/>
                        <c:pt idx="0">
                          <c:v>NBL</c:v>
                        </c:pt>
                      </c15:dlblFieldTableCache>
                    </c15:dlblFTEntry>
                  </c15:dlblFieldTable>
                  <c15:showDataLabelsRange val="0"/>
                </c:ext>
                <c:ext xmlns:c16="http://schemas.microsoft.com/office/drawing/2014/chart" uri="{C3380CC4-5D6E-409C-BE32-E72D297353CC}">
                  <c16:uniqueId val="{00000012-85EE-4BA6-B7F2-38DFEFB2EB81}"/>
                </c:ext>
              </c:extLst>
            </c:dLbl>
            <c:dLbl>
              <c:idx val="19"/>
              <c:layout/>
              <c:tx>
                <c:strRef>
                  <c:f>'Relative Value'!$B$108</c:f>
                  <c:strCache>
                    <c:ptCount val="1"/>
                    <c:pt idx="0">
                      <c:v>OXY</c:v>
                    </c:pt>
                  </c:strCache>
                </c:strRef>
              </c:tx>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{F05AAC4B-55A3-4AD6-A6C0-E7A8B816103C}</c15:txfldGUID>
                      <c15:f>'Relative Value'!$B$108</c15:f>
                      <c15:dlblFieldTableCache>
                        <c:ptCount val="1"/>
                        <c:pt idx="0">
                          <c:v>OXY</c:v>
                        </c:pt>
                      </c15:dlblFieldTableCache>
                    </c15:dlblFTEntry>
                  </c15:dlblFieldTable>
                  <c15:showDataLabelsRange val="0"/>
                </c:ext>
                <c:ext xmlns:c16="http://schemas.microsoft.com/office/drawing/2014/chart" uri="{C3380CC4-5D6E-409C-BE32-E72D297353CC}">
                  <c16:uniqueId val="{00000013-85EE-4BA6-B7F2-38DFEFB2EB81}"/>
                </c:ext>
              </c:extLst>
            </c:dLbl>
            <c:dLbl>
              <c:idx val="20"/>
              <c:layout/>
              <c:tx>
                <c:strRef>
                  <c:f>'Relative Value'!$B$109</c:f>
                  <c:strCache>
                    <c:ptCount val="1"/>
                    <c:pt idx="0">
                      <c:v>PXD</c:v>
                    </c:pt>
                  </c:strCache>
                </c:strRef>
              </c:tx>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{ABC9645C-2802-4196-9441-EA5C0BFE1362}</c15:txfldGUID>
                      <c15:f>'Relative Value'!$B$109</c15:f>
                      <c15:dlblFieldTableCache>
                        <c:ptCount val="1"/>
                        <c:pt idx="0">
                          <c:v>PXD</c:v>
                        </c:pt>
                      </c15:dlblFieldTableCache>
                    </c15:dlblFTEntry>
                  </c15:dlblFieldTable>
                  <c15:showDataLabelsRange val="0"/>
                </c:ext>
                <c:ext xmlns:c16="http://schemas.microsoft.com/office/drawing/2014/chart" uri="{C3380CC4-5D6E-409C-BE32-E72D297353CC}">
                  <c16:uniqueId val="{00000014-85EE-4BA6-B7F2-38DFEFB2EB81}"/>
                </c:ext>
              </c:extLst>
            </c:dLbl>
            <c:dLbl>
              <c:idx val="21"/>
              <c:tx>
                <c:strRef>
                  <c:f>'Relative Value'!$B$110</c:f>
                  <c:strCache>
                    <c:ptCount val="1"/>
                    <c:pt idx="0">
                      <c:v>SWN</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{A2145AB0-D8B4-49FA-B2F6-892509E5B2E3}</c15:txfldGUID>
                      <c15:f>'Relative Value'!$B$110</c15:f>
                      <c15:dlblFieldTableCache>
                        <c:ptCount val="1"/>
                        <c:pt idx="0">
                          <c:v>SWN</c:v>
                        </c:pt>
                      </c15:dlblFieldTableCache>
                    </c15:dlblFTEntry>
                  </c15:dlblFieldTable>
                  <c15:showDataLabelsRange val="0"/>
                </c:ext>
                <c:ext xmlns:c16="http://schemas.microsoft.com/office/drawing/2014/chart" uri="{C3380CC4-5D6E-409C-BE32-E72D297353CC}">
                  <c16:uniqueId val="{00000015-85EE-4BA6-B7F2-38DFEFB2EB8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'Relative Value'!$C$89:$C$110</c:f>
              <c:numCache>
                <c:formatCode>#,##0.00_);\(#,##0.00\)</c:formatCode>
                <c:ptCount val="22"/>
                <c:pt idx="2">
                  <c:v>-0.16961049228208935</c:v>
                </c:pt>
                <c:pt idx="3">
                  <c:v>10.96881853537618</c:v>
                </c:pt>
                <c:pt idx="4">
                  <c:v>7.7416257874999701</c:v>
                </c:pt>
                <c:pt idx="6">
                  <c:v>3.9436110068949581</c:v>
                </c:pt>
                <c:pt idx="7">
                  <c:v>16.638337923678211</c:v>
                </c:pt>
                <c:pt idx="8">
                  <c:v>7.1719210884905564</c:v>
                </c:pt>
                <c:pt idx="9">
                  <c:v>6.7814041636713576</c:v>
                </c:pt>
                <c:pt idx="10">
                  <c:v>2.1059471141622161</c:v>
                </c:pt>
                <c:pt idx="11">
                  <c:v>13.521517462799459</c:v>
                </c:pt>
                <c:pt idx="12">
                  <c:v>2.976146145978305</c:v>
                </c:pt>
                <c:pt idx="13">
                  <c:v>11.016102609182077</c:v>
                </c:pt>
                <c:pt idx="15">
                  <c:v>-0.58497943438756295</c:v>
                </c:pt>
                <c:pt idx="16">
                  <c:v>2.5191267027430513</c:v>
                </c:pt>
                <c:pt idx="18">
                  <c:v>-2.2670040142477532</c:v>
                </c:pt>
                <c:pt idx="19">
                  <c:v>1.9544188070266628</c:v>
                </c:pt>
                <c:pt idx="20">
                  <c:v>11.323393232861676</c:v>
                </c:pt>
              </c:numCache>
            </c:numRef>
          </c:xVal>
          <c:yVal>
            <c:numRef>
              <c:f>'Relative Value'!$D$89:$D$110</c:f>
              <c:numCache>
                <c:formatCode>#,##0_);\(#,##0\)</c:formatCode>
                <c:ptCount val="22"/>
                <c:pt idx="2">
                  <c:v>245.95618414041209</c:v>
                </c:pt>
                <c:pt idx="3">
                  <c:v>129.84803217821732</c:v>
                </c:pt>
                <c:pt idx="4">
                  <c:v>177.01453184518471</c:v>
                </c:pt>
                <c:pt idx="6">
                  <c:v>216.71581685868401</c:v>
                </c:pt>
                <c:pt idx="7">
                  <c:v>75.399391917808771</c:v>
                </c:pt>
                <c:pt idx="8">
                  <c:v>219.17749548154609</c:v>
                </c:pt>
                <c:pt idx="9">
                  <c:v>152.45070965796384</c:v>
                </c:pt>
                <c:pt idx="10">
                  <c:v>78.5673720547926</c:v>
                </c:pt>
                <c:pt idx="11">
                  <c:v>235.91893022785831</c:v>
                </c:pt>
                <c:pt idx="12">
                  <c:v>229.49554438355975</c:v>
                </c:pt>
                <c:pt idx="13">
                  <c:v>74.241928095891254</c:v>
                </c:pt>
                <c:pt idx="15">
                  <c:v>178.50419750674854</c:v>
                </c:pt>
                <c:pt idx="16">
                  <c:v>164.66107203420134</c:v>
                </c:pt>
                <c:pt idx="18">
                  <c:v>157.24649696669758</c:v>
                </c:pt>
                <c:pt idx="19">
                  <c:v>162.4804749144929</c:v>
                </c:pt>
                <c:pt idx="20">
                  <c:v>104.30100767123096</c:v>
                </c:pt>
              </c:numCache>
            </c:numRef>
          </c:yVal>
          <c:smooth val="0"/>
          <c:extLst>
            <c:ext xmlns:c16="http://schemas.microsoft.com/office/drawing/2014/chart" uri="{C3380CC4-5D6E-409C-BE32-E72D297353CC}">
              <c16:uniqueId val="{00000016-85EE-4BA6-B7F2-38DFEFB2EB81}"/>
            </c:ext>
          </c:extLst>
        </c:ser>
        <c:dLbls>
          <c:showLegendKey val="0"/>
          <c:showVal val="0"/>
          <c:showCatName val="0"/>
          <c:showSerName val="0"/>
          <c:showPercent val="0"/>
          <c:showBubbleSize val="0"/>
        </c:dLbls>
        <c:axId val="1343083264"/>
        <c:axId val="1343084800"/>
      </c:scatterChart>
      <c:valAx>
        <c:axId val="1343083264"/>
        <c:scaling>
          <c:orientation val="minMax"/>
        </c:scaling>
        <c:delete val="0"/>
        <c:axPos val="b"/>
        <c:numFmt formatCode="#,##0.00_);\(#,##0.00\)" sourceLinked="1"/>
        <c:majorTickMark val="out"/>
        <c:minorTickMark val="none"/>
        <c:tickLblPos val="nextTo"/>
        <c:spPr>
          <a:ln w="12700">
            <a:solidFill>
              <a:srgbClr val="1E1E1E"/>
            </a:solidFill>
            <a:prstDash val="solid"/>
          </a:ln>
        </c:spPr>
        <c:txPr>
          <a:bodyPr/>
          <a:lstStyle/>
          <a:p>
            <a:pPr>
              <a:defRPr sz="800" b="0" i="0" u="none">
                <a:solidFill>
                  <a:srgbClr val="1E1E1E"/>
                </a:solidFill>
              </a:defRPr>
            </a:pPr>
            <a:endParaRPr lang="en-US"/>
          </a:p>
        </c:txPr>
        <c:crossAx val="1343084800"/>
        <c:crosses val="autoZero"/>
        <c:crossBetween val="midCat"/>
      </c:valAx>
      <c:valAx>
        <c:axId val="1343084800"/>
        <c:scaling>
          <c:orientation val="minMax"/>
          <c:min val="50"/>
        </c:scaling>
        <c:delete val="0"/>
        <c:axPos val="l"/>
        <c:numFmt formatCode="#,##0" sourceLinked="0"/>
        <c:majorTickMark val="in"/>
        <c:minorTickMark val="none"/>
        <c:tickLblPos val="low"/>
        <c:spPr>
          <a:ln w="12700">
            <a:solidFill>
              <a:srgbClr val="1E1E1E"/>
            </a:solidFill>
            <a:prstDash val="solid"/>
          </a:ln>
        </c:spPr>
        <c:txPr>
          <a:bodyPr/>
          <a:lstStyle/>
          <a:p>
            <a:pPr>
              <a:defRPr sz="800" b="0" i="0" u="none">
                <a:solidFill>
                  <a:srgbClr val="1E1E1E"/>
                </a:solidFill>
              </a:defRPr>
            </a:pPr>
            <a:endParaRPr lang="en-US"/>
          </a:p>
        </c:txPr>
        <c:crossAx val="1343083264"/>
        <c:crossesAt val="-15"/>
        <c:crossBetween val="midCat"/>
        <c:majorUnit val="50"/>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800">
          <a:solidFill>
            <a:srgbClr val="1E1E1E"/>
          </a:solidFill>
          <a:latin typeface="Expert Sans Regular"/>
          <a:ea typeface="Expert Sans Regular"/>
          <a:cs typeface="Expert Sans Regular"/>
        </a:defRPr>
      </a:pPr>
      <a:endParaRPr lang="en-US"/>
    </a:p>
  </c:txPr>
  <c:printSettings>
    <c:headerFooter/>
    <c:pageMargins b="0.75000000000001465" l="0.70000000000000062" r="0.70000000000000062" t="0.75000000000001465" header="0.30000000000000032" footer="0.30000000000000032"/>
    <c:pageSetup paperSize="8"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92511236524617E-2"/>
          <c:y val="4.6994078064437415E-2"/>
          <c:w val="0.87282822479808275"/>
          <c:h val="0.86570288964177577"/>
        </c:manualLayout>
      </c:layout>
      <c:scatterChart>
        <c:scatterStyle val="lineMarker"/>
        <c:varyColors val="0"/>
        <c:ser>
          <c:idx val="0"/>
          <c:order val="0"/>
          <c:spPr>
            <a:ln w="28575">
              <a:noFill/>
            </a:ln>
          </c:spPr>
          <c:marker>
            <c:symbol val="diamond"/>
            <c:size val="6"/>
          </c:marker>
          <c:dLbls>
            <c:dLbl>
              <c:idx val="0"/>
              <c:tx>
                <c:strRef>
                  <c:f>'Relative Value'!$G$245</c:f>
                  <c:strCache>
                    <c:ptCount val="1"/>
                  </c:strCache>
                </c:strRef>
              </c:tx>
              <c:spPr>
                <a:noFill/>
                <a:ln>
                  <a:noFill/>
                </a:ln>
                <a:effectLst/>
              </c:spPr>
              <c:txPr>
                <a:bodyPr wrap="square" lIns="38100" tIns="19050" rIns="38100" bIns="19050" anchor="ctr">
                  <a:spAutoFit/>
                </a:bodyPr>
                <a:lstStyle/>
                <a:p>
                  <a:pPr>
                    <a:defRPr sz="800" b="0" i="0">
                      <a:solidFill>
                        <a:srgbClr val="333333"/>
                      </a:solidFill>
                      <a:latin typeface="Expert Sans Regular" panose="020B0503030103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{88556C8F-C20E-476E-A330-62466DAFFD64}</c15:txfldGUID>
                      <c15:f>'Relative Value'!$G$245</c15:f>
                      <c15:dlblFieldTableCache>
                        <c:ptCount val="1"/>
                      </c15:dlblFieldTableCache>
                    </c15:dlblFTEntry>
                  </c15:dlblFieldTable>
                  <c15:showDataLabelsRange val="0"/>
                </c:ext>
                <c:ext xmlns:c16="http://schemas.microsoft.com/office/drawing/2014/chart" uri="{C3380CC4-5D6E-409C-BE32-E72D297353CC}">
                  <c16:uniqueId val="{00000000-BC32-41AC-8D76-37A5B1C36462}"/>
                </c:ext>
              </c:extLst>
            </c:dLbl>
            <c:dLbl>
              <c:idx val="1"/>
              <c:tx>
                <c:strRef>
                  <c:f>'Relative Value'!$G$246</c:f>
                  <c:strCache>
                    <c:ptCount val="1"/>
                    <c:pt idx="0">
                      <c:v>AR</c:v>
                    </c:pt>
                  </c:strCache>
                </c:strRef>
              </c:tx>
              <c:spPr>
                <a:noFill/>
                <a:ln>
                  <a:noFill/>
                </a:ln>
                <a:effectLst/>
              </c:spPr>
              <c:txPr>
                <a:bodyPr wrap="square" lIns="38100" tIns="19050" rIns="38100" bIns="19050" anchor="ctr">
                  <a:spAutoFit/>
                </a:bodyPr>
                <a:lstStyle/>
                <a:p>
                  <a:pPr>
                    <a:defRPr sz="800" b="0" i="0">
                      <a:solidFill>
                        <a:srgbClr val="333333"/>
                      </a:solidFill>
                      <a:latin typeface="Expert Sans Regular" panose="020B0503030103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{A0510292-409D-4749-89E2-A850620DC59C}</c15:txfldGUID>
                      <c15:f>'Relative Value'!$G$246</c15:f>
                      <c15:dlblFieldTableCache>
                        <c:ptCount val="1"/>
                        <c:pt idx="0">
                          <c:v>AR</c:v>
                        </c:pt>
                      </c15:dlblFieldTableCache>
                    </c15:dlblFTEntry>
                  </c15:dlblFieldTable>
                  <c15:showDataLabelsRange val="0"/>
                </c:ext>
                <c:ext xmlns:c16="http://schemas.microsoft.com/office/drawing/2014/chart" uri="{C3380CC4-5D6E-409C-BE32-E72D297353CC}">
                  <c16:uniqueId val="{00000001-BC32-41AC-8D76-37A5B1C36462}"/>
                </c:ext>
              </c:extLst>
            </c:dLbl>
            <c:dLbl>
              <c:idx val="2"/>
              <c:layout>
                <c:manualLayout>
                  <c:x val="-2.8612303290414906E-2"/>
                  <c:y val="-4.7675804529201428E-2"/>
                </c:manualLayout>
              </c:layout>
              <c:tx>
                <c:strRef>
                  <c:f>'Relative Value'!$G$247</c:f>
                  <c:strCache>
                    <c:ptCount val="1"/>
                    <c:pt idx="0">
                      <c:v>APA</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{CDD4D139-0A5A-4690-ACEC-053B90160768}</c15:txfldGUID>
                      <c15:f>'Relative Value'!$G$247</c15:f>
                      <c15:dlblFieldTableCache>
                        <c:ptCount val="1"/>
                        <c:pt idx="0">
                          <c:v>APA</c:v>
                        </c:pt>
                      </c15:dlblFieldTableCache>
                    </c15:dlblFTEntry>
                  </c15:dlblFieldTable>
                  <c15:showDataLabelsRange val="0"/>
                </c:ext>
                <c:ext xmlns:c16="http://schemas.microsoft.com/office/drawing/2014/chart" uri="{C3380CC4-5D6E-409C-BE32-E72D297353CC}">
                  <c16:uniqueId val="{00000002-BC32-41AC-8D76-37A5B1C36462}"/>
                </c:ext>
              </c:extLst>
            </c:dLbl>
            <c:dLbl>
              <c:idx val="3"/>
              <c:layout/>
              <c:tx>
                <c:strRef>
                  <c:f>'Relative Value'!$G$248</c:f>
                  <c:strCache>
                    <c:ptCount val="1"/>
                    <c:pt idx="0">
                      <c:v>CNQCN</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{3DB0FAA5-9C3E-4F95-A941-77859EF967CC}</c15:txfldGUID>
                      <c15:f>'Relative Value'!$G$248</c15:f>
                      <c15:dlblFieldTableCache>
                        <c:ptCount val="1"/>
                        <c:pt idx="0">
                          <c:v>CNQCN</c:v>
                        </c:pt>
                      </c15:dlblFieldTableCache>
                    </c15:dlblFTEntry>
                  </c15:dlblFieldTable>
                  <c15:showDataLabelsRange val="0"/>
                </c:ext>
                <c:ext xmlns:c16="http://schemas.microsoft.com/office/drawing/2014/chart" uri="{C3380CC4-5D6E-409C-BE32-E72D297353CC}">
                  <c16:uniqueId val="{00000003-BC32-41AC-8D76-37A5B1C36462}"/>
                </c:ext>
              </c:extLst>
            </c:dLbl>
            <c:dLbl>
              <c:idx val="4"/>
              <c:layout>
                <c:manualLayout>
                  <c:x val="-8.5836909871244635E-3"/>
                  <c:y val="-2.8605482717520857E-2"/>
                </c:manualLayout>
              </c:layout>
              <c:tx>
                <c:strRef>
                  <c:f>'Relative Value'!$G$249</c:f>
                  <c:strCache>
                    <c:ptCount val="1"/>
                    <c:pt idx="0">
                      <c:v>CVECN</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{DF9A19C8-FC73-4E6E-880D-EC820092C920}</c15:txfldGUID>
                      <c15:f>'Relative Value'!$G$249</c15:f>
                      <c15:dlblFieldTableCache>
                        <c:ptCount val="1"/>
                        <c:pt idx="0">
                          <c:v>CVECN</c:v>
                        </c:pt>
                      </c15:dlblFieldTableCache>
                    </c15:dlblFTEntry>
                  </c15:dlblFieldTable>
                  <c15:showDataLabelsRange val="0"/>
                </c:ext>
                <c:ext xmlns:c16="http://schemas.microsoft.com/office/drawing/2014/chart" uri="{C3380CC4-5D6E-409C-BE32-E72D297353CC}">
                  <c16:uniqueId val="{00000004-BC32-41AC-8D76-37A5B1C36462}"/>
                </c:ext>
              </c:extLst>
            </c:dLbl>
            <c:dLbl>
              <c:idx val="5"/>
              <c:tx>
                <c:strRef>
                  <c:f>'Relative Value'!$G$250</c:f>
                  <c:strCache>
                    <c:ptCount val="1"/>
                  </c:strCache>
                </c:strRef>
              </c:tx>
              <c:spPr>
                <a:noFill/>
                <a:ln>
                  <a:noFill/>
                </a:ln>
                <a:effectLst/>
              </c:spPr>
              <c:txPr>
                <a:bodyPr wrap="square" lIns="38100" tIns="19050" rIns="38100" bIns="19050" anchor="ctr">
                  <a:spAutoFit/>
                </a:bodyPr>
                <a:lstStyle/>
                <a:p>
                  <a:pPr>
                    <a:defRPr sz="800" b="0" i="0">
                      <a:solidFill>
                        <a:srgbClr val="333333"/>
                      </a:solidFill>
                      <a:latin typeface="Expert Sans Regular" panose="020B0503030103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{F7E3C319-EAED-4961-98C1-7C0127416EFD}</c15:txfldGUID>
                      <c15:f>'Relative Value'!$G$250</c15:f>
                      <c15:dlblFieldTableCache>
                        <c:ptCount val="1"/>
                      </c15:dlblFieldTableCache>
                    </c15:dlblFTEntry>
                  </c15:dlblFieldTable>
                  <c15:showDataLabelsRange val="0"/>
                </c:ext>
                <c:ext xmlns:c16="http://schemas.microsoft.com/office/drawing/2014/chart" uri="{C3380CC4-5D6E-409C-BE32-E72D297353CC}">
                  <c16:uniqueId val="{00000005-BC32-41AC-8D76-37A5B1C36462}"/>
                </c:ext>
              </c:extLst>
            </c:dLbl>
            <c:dLbl>
              <c:idx val="6"/>
              <c:layout/>
              <c:tx>
                <c:strRef>
                  <c:f>'Relative Value'!$G$251</c:f>
                  <c:strCache>
                    <c:ptCount val="1"/>
                    <c:pt idx="0">
                      <c:v>XEC</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{7FACE05A-5535-420A-AB9A-B1D3D4DF230E}</c15:txfldGUID>
                      <c15:f>'Relative Value'!$G$251</c15:f>
                      <c15:dlblFieldTableCache>
                        <c:ptCount val="1"/>
                        <c:pt idx="0">
                          <c:v>XEC</c:v>
                        </c:pt>
                      </c15:dlblFieldTableCache>
                    </c15:dlblFTEntry>
                  </c15:dlblFieldTable>
                  <c15:showDataLabelsRange val="0"/>
                </c:ext>
                <c:ext xmlns:c16="http://schemas.microsoft.com/office/drawing/2014/chart" uri="{C3380CC4-5D6E-409C-BE32-E72D297353CC}">
                  <c16:uniqueId val="{00000006-BC32-41AC-8D76-37A5B1C36462}"/>
                </c:ext>
              </c:extLst>
            </c:dLbl>
            <c:dLbl>
              <c:idx val="7"/>
              <c:layout/>
              <c:tx>
                <c:strRef>
                  <c:f>'Relative Value'!$G$252</c:f>
                  <c:strCache>
                    <c:ptCount val="1"/>
                    <c:pt idx="0">
                      <c:v>COP</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{EE0089CE-5D81-4752-9E3C-5161E92B9E58}</c15:txfldGUID>
                      <c15:f>'Relative Value'!$G$252</c15:f>
                      <c15:dlblFieldTableCache>
                        <c:ptCount val="1"/>
                        <c:pt idx="0">
                          <c:v>COP</c:v>
                        </c:pt>
                      </c15:dlblFieldTableCache>
                    </c15:dlblFTEntry>
                  </c15:dlblFieldTable>
                  <c15:showDataLabelsRange val="0"/>
                </c:ext>
                <c:ext xmlns:c16="http://schemas.microsoft.com/office/drawing/2014/chart" uri="{C3380CC4-5D6E-409C-BE32-E72D297353CC}">
                  <c16:uniqueId val="{00000007-BC32-41AC-8D76-37A5B1C36462}"/>
                </c:ext>
              </c:extLst>
            </c:dLbl>
            <c:dLbl>
              <c:idx val="8"/>
              <c:layout>
                <c:manualLayout>
                  <c:x val="-8.5836909871244635E-3"/>
                  <c:y val="-2.8605482717520857E-2"/>
                </c:manualLayout>
              </c:layout>
              <c:tx>
                <c:strRef>
                  <c:f>'Relative Value'!$G$253</c:f>
                  <c:strCache>
                    <c:ptCount val="1"/>
                    <c:pt idx="0">
                      <c:v>CLR</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{7F9AF467-07A6-4BE7-93EE-E54B7AEFBC62}</c15:txfldGUID>
                      <c15:f>'Relative Value'!$G$253</c15:f>
                      <c15:dlblFieldTableCache>
                        <c:ptCount val="1"/>
                        <c:pt idx="0">
                          <c:v>CLR</c:v>
                        </c:pt>
                      </c15:dlblFieldTableCache>
                    </c15:dlblFTEntry>
                  </c15:dlblFieldTable>
                  <c15:showDataLabelsRange val="0"/>
                </c:ext>
                <c:ext xmlns:c16="http://schemas.microsoft.com/office/drawing/2014/chart" uri="{C3380CC4-5D6E-409C-BE32-E72D297353CC}">
                  <c16:uniqueId val="{00000008-BC32-41AC-8D76-37A5B1C36462}"/>
                </c:ext>
              </c:extLst>
            </c:dLbl>
            <c:dLbl>
              <c:idx val="9"/>
              <c:layout/>
              <c:tx>
                <c:strRef>
                  <c:f>'Relative Value'!$G$254</c:f>
                  <c:strCache>
                    <c:ptCount val="1"/>
                    <c:pt idx="0">
                      <c:v>CXO</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{53A822FD-0E42-4336-BC75-D1CDF42C37F3}</c15:txfldGUID>
                      <c15:f>'Relative Value'!$G$254</c15:f>
                      <c15:dlblFieldTableCache>
                        <c:ptCount val="1"/>
                        <c:pt idx="0">
                          <c:v>CXO</c:v>
                        </c:pt>
                      </c15:dlblFieldTableCache>
                    </c15:dlblFTEntry>
                  </c15:dlblFieldTable>
                  <c15:showDataLabelsRange val="0"/>
                </c:ext>
                <c:ext xmlns:c16="http://schemas.microsoft.com/office/drawing/2014/chart" uri="{C3380CC4-5D6E-409C-BE32-E72D297353CC}">
                  <c16:uniqueId val="{00000009-BC32-41AC-8D76-37A5B1C36462}"/>
                </c:ext>
              </c:extLst>
            </c:dLbl>
            <c:dLbl>
              <c:idx val="10"/>
              <c:layout/>
              <c:tx>
                <c:strRef>
                  <c:f>'Relative Value'!$G$255</c:f>
                  <c:strCache>
                    <c:ptCount val="1"/>
                    <c:pt idx="0">
                      <c:v>DVN</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{5D3A5EAB-C1FC-45FB-B7BB-D0382C7904EB}</c15:txfldGUID>
                      <c15:f>'Relative Value'!$G$255</c15:f>
                      <c15:dlblFieldTableCache>
                        <c:ptCount val="1"/>
                        <c:pt idx="0">
                          <c:v>DVN</c:v>
                        </c:pt>
                      </c15:dlblFieldTableCache>
                    </c15:dlblFTEntry>
                  </c15:dlblFieldTable>
                  <c15:showDataLabelsRange val="0"/>
                </c:ext>
                <c:ext xmlns:c16="http://schemas.microsoft.com/office/drawing/2014/chart" uri="{C3380CC4-5D6E-409C-BE32-E72D297353CC}">
                  <c16:uniqueId val="{0000000A-BC32-41AC-8D76-37A5B1C36462}"/>
                </c:ext>
              </c:extLst>
            </c:dLbl>
            <c:dLbl>
              <c:idx val="11"/>
              <c:layout/>
              <c:tx>
                <c:strRef>
                  <c:f>'Relative Value'!$G$256</c:f>
                  <c:strCache>
                    <c:ptCount val="1"/>
                    <c:pt idx="0">
                      <c:v>FANG</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{730224FE-53E0-4783-AB79-1930EE35D07C}</c15:txfldGUID>
                      <c15:f>'Relative Value'!$G$256</c15:f>
                      <c15:dlblFieldTableCache>
                        <c:ptCount val="1"/>
                        <c:pt idx="0">
                          <c:v>FANG</c:v>
                        </c:pt>
                      </c15:dlblFieldTableCache>
                    </c15:dlblFTEntry>
                  </c15:dlblFieldTable>
                  <c15:showDataLabelsRange val="0"/>
                </c:ext>
                <c:ext xmlns:c16="http://schemas.microsoft.com/office/drawing/2014/chart" uri="{C3380CC4-5D6E-409C-BE32-E72D297353CC}">
                  <c16:uniqueId val="{0000000B-BC32-41AC-8D76-37A5B1C36462}"/>
                </c:ext>
              </c:extLst>
            </c:dLbl>
            <c:dLbl>
              <c:idx val="12"/>
              <c:layout>
                <c:manualLayout>
                  <c:x val="-0.12017167381974252"/>
                  <c:y val="1.4302741358760385E-2"/>
                </c:manualLayout>
              </c:layout>
              <c:tx>
                <c:strRef>
                  <c:f>'Relative Value'!$G$257</c:f>
                  <c:strCache>
                    <c:ptCount val="1"/>
                    <c:pt idx="0">
                      <c:v>ECACN</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{DC12FD62-F63D-4820-8E6A-0DF96B69002D}</c15:txfldGUID>
                      <c15:f>'Relative Value'!$G$257</c15:f>
                      <c15:dlblFieldTableCache>
                        <c:ptCount val="1"/>
                        <c:pt idx="0">
                          <c:v>ECACN</c:v>
                        </c:pt>
                      </c15:dlblFieldTableCache>
                    </c15:dlblFTEntry>
                  </c15:dlblFieldTable>
                  <c15:showDataLabelsRange val="0"/>
                </c:ext>
                <c:ext xmlns:c16="http://schemas.microsoft.com/office/drawing/2014/chart" uri="{C3380CC4-5D6E-409C-BE32-E72D297353CC}">
                  <c16:uniqueId val="{0000000C-BC32-41AC-8D76-37A5B1C36462}"/>
                </c:ext>
              </c:extLst>
            </c:dLbl>
            <c:dLbl>
              <c:idx val="13"/>
              <c:layout/>
              <c:tx>
                <c:strRef>
                  <c:f>'Relative Value'!$G$258</c:f>
                  <c:strCache>
                    <c:ptCount val="1"/>
                    <c:pt idx="0">
                      <c:v>EOG</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{62FDD05F-8D27-4944-BA3A-B6325FC4CE1F}</c15:txfldGUID>
                      <c15:f>'Relative Value'!$G$258</c15:f>
                      <c15:dlblFieldTableCache>
                        <c:ptCount val="1"/>
                        <c:pt idx="0">
                          <c:v>EOG</c:v>
                        </c:pt>
                      </c15:dlblFieldTableCache>
                    </c15:dlblFTEntry>
                  </c15:dlblFieldTable>
                  <c15:showDataLabelsRange val="0"/>
                </c:ext>
                <c:ext xmlns:c16="http://schemas.microsoft.com/office/drawing/2014/chart" uri="{C3380CC4-5D6E-409C-BE32-E72D297353CC}">
                  <c16:uniqueId val="{0000000D-BC32-41AC-8D76-37A5B1C36462}"/>
                </c:ext>
              </c:extLst>
            </c:dLbl>
            <c:dLbl>
              <c:idx val="14"/>
              <c:tx>
                <c:strRef>
                  <c:f>'Relative Value'!$G$259</c:f>
                  <c:strCache>
                    <c:ptCount val="1"/>
                    <c:pt idx="0">
                      <c:v>EQT</c:v>
                    </c:pt>
                  </c:strCache>
                </c:strRef>
              </c:tx>
              <c:spPr>
                <a:noFill/>
                <a:ln>
                  <a:noFill/>
                </a:ln>
                <a:effectLst/>
              </c:spPr>
              <c:txPr>
                <a:bodyPr wrap="square" lIns="38100" tIns="19050" rIns="38100" bIns="19050" anchor="ctr">
                  <a:spAutoFit/>
                </a:bodyPr>
                <a:lstStyle/>
                <a:p>
                  <a:pPr>
                    <a:defRPr sz="800" b="0" i="0">
                      <a:solidFill>
                        <a:srgbClr val="333333"/>
                      </a:solidFill>
                      <a:latin typeface="Expert Sans Regular" panose="020B0503030103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{2CDAFF5D-CFB1-41C6-B628-CABC29571127}</c15:txfldGUID>
                      <c15:f>'Relative Value'!$G$259</c15:f>
                      <c15:dlblFieldTableCache>
                        <c:ptCount val="1"/>
                        <c:pt idx="0">
                          <c:v>EQT</c:v>
                        </c:pt>
                      </c15:dlblFieldTableCache>
                    </c15:dlblFTEntry>
                  </c15:dlblFieldTable>
                  <c15:showDataLabelsRange val="0"/>
                </c:ext>
                <c:ext xmlns:c16="http://schemas.microsoft.com/office/drawing/2014/chart" uri="{C3380CC4-5D6E-409C-BE32-E72D297353CC}">
                  <c16:uniqueId val="{0000000E-BC32-41AC-8D76-37A5B1C36462}"/>
                </c:ext>
              </c:extLst>
            </c:dLbl>
            <c:dLbl>
              <c:idx val="15"/>
              <c:layout>
                <c:manualLayout>
                  <c:x val="-7.7253218884120178E-2"/>
                  <c:y val="-5.2443384982121574E-2"/>
                </c:manualLayout>
              </c:layout>
              <c:tx>
                <c:strRef>
                  <c:f>'Relative Value'!$G$260</c:f>
                  <c:strCache>
                    <c:ptCount val="1"/>
                    <c:pt idx="0">
                      <c:v>HES</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{62528CDD-A6F8-4E56-B5B8-8170EC8A70D2}</c15:txfldGUID>
                      <c15:f>'Relative Value'!$G$260</c15:f>
                      <c15:dlblFieldTableCache>
                        <c:ptCount val="1"/>
                        <c:pt idx="0">
                          <c:v>HES</c:v>
                        </c:pt>
                      </c15:dlblFieldTableCache>
                    </c15:dlblFTEntry>
                  </c15:dlblFieldTable>
                  <c15:showDataLabelsRange val="0"/>
                </c:ext>
                <c:ext xmlns:c16="http://schemas.microsoft.com/office/drawing/2014/chart" uri="{C3380CC4-5D6E-409C-BE32-E72D297353CC}">
                  <c16:uniqueId val="{0000000F-BC32-41AC-8D76-37A5B1C36462}"/>
                </c:ext>
              </c:extLst>
            </c:dLbl>
            <c:dLbl>
              <c:idx val="16"/>
              <c:layout/>
              <c:tx>
                <c:strRef>
                  <c:f>'Relative Value'!$G$261</c:f>
                  <c:strCache>
                    <c:ptCount val="1"/>
                    <c:pt idx="0">
                      <c:v>MRO</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{14B659A5-AD5C-4533-B8F2-B93C9627E849}</c15:txfldGUID>
                      <c15:f>'Relative Value'!$G$261</c15:f>
                      <c15:dlblFieldTableCache>
                        <c:ptCount val="1"/>
                        <c:pt idx="0">
                          <c:v>MRO</c:v>
                        </c:pt>
                      </c15:dlblFieldTableCache>
                    </c15:dlblFTEntry>
                  </c15:dlblFieldTable>
                  <c15:showDataLabelsRange val="0"/>
                </c:ext>
                <c:ext xmlns:c16="http://schemas.microsoft.com/office/drawing/2014/chart" uri="{C3380CC4-5D6E-409C-BE32-E72D297353CC}">
                  <c16:uniqueId val="{00000010-BC32-41AC-8D76-37A5B1C36462}"/>
                </c:ext>
              </c:extLst>
            </c:dLbl>
            <c:dLbl>
              <c:idx val="17"/>
              <c:tx>
                <c:strRef>
                  <c:f>'Relative Value'!$G$262</c:f>
                  <c:strCache>
                    <c:ptCount val="1"/>
                  </c:strCache>
                </c:strRef>
              </c:tx>
              <c:spPr>
                <a:noFill/>
                <a:ln>
                  <a:noFill/>
                </a:ln>
                <a:effectLst/>
              </c:spPr>
              <c:txPr>
                <a:bodyPr wrap="square" lIns="38100" tIns="19050" rIns="38100" bIns="19050" anchor="ctr">
                  <a:spAutoFit/>
                </a:bodyPr>
                <a:lstStyle/>
                <a:p>
                  <a:pPr>
                    <a:defRPr sz="800" b="0" i="0">
                      <a:solidFill>
                        <a:srgbClr val="333333"/>
                      </a:solidFill>
                      <a:latin typeface="Expert Sans Regular" panose="020B0503030103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{EF49702B-6FD5-400D-BE58-B578F17CB75A}</c15:txfldGUID>
                      <c15:f>'Relative Value'!$G$262</c15:f>
                      <c15:dlblFieldTableCache>
                        <c:ptCount val="1"/>
                      </c15:dlblFieldTableCache>
                    </c15:dlblFTEntry>
                  </c15:dlblFieldTable>
                  <c15:showDataLabelsRange val="0"/>
                </c:ext>
                <c:ext xmlns:c16="http://schemas.microsoft.com/office/drawing/2014/chart" uri="{C3380CC4-5D6E-409C-BE32-E72D297353CC}">
                  <c16:uniqueId val="{00000011-BC32-41AC-8D76-37A5B1C36462}"/>
                </c:ext>
              </c:extLst>
            </c:dLbl>
            <c:dLbl>
              <c:idx val="18"/>
              <c:tx>
                <c:strRef>
                  <c:f>'Relative Value'!$G$263</c:f>
                  <c:strCache>
                    <c:ptCount val="1"/>
                  </c:strCache>
                </c:strRef>
              </c:tx>
              <c:spPr>
                <a:noFill/>
                <a:ln>
                  <a:noFill/>
                </a:ln>
                <a:effectLst/>
              </c:spPr>
              <c:txPr>
                <a:bodyPr wrap="square" lIns="38100" tIns="19050" rIns="38100" bIns="19050" anchor="ctr">
                  <a:spAutoFit/>
                </a:bodyPr>
                <a:lstStyle/>
                <a:p>
                  <a:pPr>
                    <a:defRPr sz="800" b="0" i="0">
                      <a:solidFill>
                        <a:srgbClr val="333333"/>
                      </a:solidFill>
                      <a:latin typeface="Expert Sans Regular" panose="020B0503030103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{60E1AB66-D130-453E-B74A-484308146FE8}</c15:txfldGUID>
                      <c15:f>'Relative Value'!$G$263</c15:f>
                      <c15:dlblFieldTableCache>
                        <c:ptCount val="1"/>
                      </c15:dlblFieldTableCache>
                    </c15:dlblFTEntry>
                  </c15:dlblFieldTable>
                  <c15:showDataLabelsRange val="0"/>
                </c:ext>
                <c:ext xmlns:c16="http://schemas.microsoft.com/office/drawing/2014/chart" uri="{C3380CC4-5D6E-409C-BE32-E72D297353CC}">
                  <c16:uniqueId val="{00000012-BC32-41AC-8D76-37A5B1C36462}"/>
                </c:ext>
              </c:extLst>
            </c:dLbl>
            <c:dLbl>
              <c:idx val="19"/>
              <c:layout>
                <c:manualLayout>
                  <c:x val="-1.1444921316165977E-2"/>
                  <c:y val="9.5351609058402856E-3"/>
                </c:manualLayout>
              </c:layout>
              <c:tx>
                <c:strRef>
                  <c:f>'Relative Value'!$G$264</c:f>
                  <c:strCache>
                    <c:ptCount val="1"/>
                    <c:pt idx="0">
                      <c:v>NBL</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{61FA6F92-0834-40AC-90A4-D52BF9A9E6B1}</c15:txfldGUID>
                      <c15:f>'Relative Value'!$G$264</c15:f>
                      <c15:dlblFieldTableCache>
                        <c:ptCount val="1"/>
                        <c:pt idx="0">
                          <c:v>NBL</c:v>
                        </c:pt>
                      </c15:dlblFieldTableCache>
                    </c15:dlblFTEntry>
                  </c15:dlblFieldTable>
                  <c15:showDataLabelsRange val="0"/>
                </c:ext>
                <c:ext xmlns:c16="http://schemas.microsoft.com/office/drawing/2014/chart" uri="{C3380CC4-5D6E-409C-BE32-E72D297353CC}">
                  <c16:uniqueId val="{00000013-BC32-41AC-8D76-37A5B1C36462}"/>
                </c:ext>
              </c:extLst>
            </c:dLbl>
            <c:dLbl>
              <c:idx val="20"/>
              <c:layout>
                <c:manualLayout>
                  <c:x val="-6.0085836909871244E-2"/>
                  <c:y val="4.7675804529201428E-2"/>
                </c:manualLayout>
              </c:layout>
              <c:tx>
                <c:strRef>
                  <c:f>'Relative Value'!$G$265</c:f>
                  <c:strCache>
                    <c:ptCount val="1"/>
                    <c:pt idx="0">
                      <c:v>OXY</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{B49AE436-FAC8-41B1-81E6-B129DEC5D39F}</c15:txfldGUID>
                      <c15:f>'Relative Value'!$G$265</c15:f>
                      <c15:dlblFieldTableCache>
                        <c:ptCount val="1"/>
                        <c:pt idx="0">
                          <c:v>OXY</c:v>
                        </c:pt>
                      </c15:dlblFieldTableCache>
                    </c15:dlblFTEntry>
                  </c15:dlblFieldTable>
                  <c15:showDataLabelsRange val="0"/>
                </c:ext>
                <c:ext xmlns:c16="http://schemas.microsoft.com/office/drawing/2014/chart" uri="{C3380CC4-5D6E-409C-BE32-E72D297353CC}">
                  <c16:uniqueId val="{00000014-BC32-41AC-8D76-37A5B1C36462}"/>
                </c:ext>
              </c:extLst>
            </c:dLbl>
            <c:dLbl>
              <c:idx val="21"/>
              <c:layout/>
              <c:tx>
                <c:strRef>
                  <c:f>'Relative Value'!$G$266</c:f>
                  <c:strCache>
                    <c:ptCount val="1"/>
                    <c:pt idx="0">
                      <c:v>PXD</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{1FFC0548-D683-43D1-A4C7-8B8AFB2DC5A8}</c15:txfldGUID>
                      <c15:f>'Relative Value'!$G$266</c15:f>
                      <c15:dlblFieldTableCache>
                        <c:ptCount val="1"/>
                        <c:pt idx="0">
                          <c:v>PXD</c:v>
                        </c:pt>
                      </c15:dlblFieldTableCache>
                    </c15:dlblFTEntry>
                  </c15:dlblFieldTable>
                  <c15:showDataLabelsRange val="0"/>
                </c:ext>
                <c:ext xmlns:c16="http://schemas.microsoft.com/office/drawing/2014/chart" uri="{C3380CC4-5D6E-409C-BE32-E72D297353CC}">
                  <c16:uniqueId val="{00000000-7A7D-4F64-931F-7B2BDDCFF2D3}"/>
                </c:ext>
              </c:extLst>
            </c:dLbl>
            <c:dLbl>
              <c:idx val="22"/>
              <c:tx>
                <c:strRef>
                  <c:f>'Relative Value'!$G$267</c:f>
                  <c:strCache>
                    <c:ptCount val="1"/>
                    <c:pt idx="0">
                      <c:v>SWN</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{8C22877B-E95E-4BAB-BF34-DA2A7005E621}</c15:txfldGUID>
                      <c15:f>'Relative Value'!$G$267</c15:f>
                      <c15:dlblFieldTableCache>
                        <c:ptCount val="1"/>
                        <c:pt idx="0">
                          <c:v>SWN</c:v>
                        </c:pt>
                      </c15:dlblFieldTableCache>
                    </c15:dlblFTEntry>
                  </c15:dlblFieldTable>
                  <c15:showDataLabelsRange val="0"/>
                </c:ext>
                <c:ext xmlns:c16="http://schemas.microsoft.com/office/drawing/2014/chart" uri="{C3380CC4-5D6E-409C-BE32-E72D297353CC}">
                  <c16:uniqueId val="{00000001-7A7D-4F64-931F-7B2BDDCFF2D3}"/>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'Relative Value'!$I$245:$I$267</c:f>
              <c:numCache>
                <c:formatCode>#,##0.0_);\(#,##0.0\)</c:formatCode>
                <c:ptCount val="23"/>
                <c:pt idx="2">
                  <c:v>7.8347967423551417</c:v>
                </c:pt>
                <c:pt idx="3">
                  <c:v>14.276653062427711</c:v>
                </c:pt>
                <c:pt idx="4">
                  <c:v>11.639347860967698</c:v>
                </c:pt>
                <c:pt idx="6">
                  <c:v>16.328394818026521</c:v>
                </c:pt>
                <c:pt idx="7">
                  <c:v>21.080281782608694</c:v>
                </c:pt>
                <c:pt idx="8">
                  <c:v>11.24829201821119</c:v>
                </c:pt>
                <c:pt idx="9">
                  <c:v>15.930337406956523</c:v>
                </c:pt>
                <c:pt idx="10">
                  <c:v>10.117171800000001</c:v>
                </c:pt>
                <c:pt idx="11">
                  <c:v>20.176654395859643</c:v>
                </c:pt>
                <c:pt idx="12">
                  <c:v>9.0242047892255943</c:v>
                </c:pt>
                <c:pt idx="13">
                  <c:v>47.897813114588587</c:v>
                </c:pt>
                <c:pt idx="14">
                  <c:v>6.5184791548764371</c:v>
                </c:pt>
                <c:pt idx="15">
                  <c:v>7.8417032533333346</c:v>
                </c:pt>
                <c:pt idx="16">
                  <c:v>12.654345187499995</c:v>
                </c:pt>
                <c:pt idx="19">
                  <c:v>7.2630703544769402</c:v>
                </c:pt>
                <c:pt idx="20">
                  <c:v>5.5469160769903771</c:v>
                </c:pt>
                <c:pt idx="21">
                  <c:v>29.350655140137924</c:v>
                </c:pt>
              </c:numCache>
            </c:numRef>
          </c:xVal>
          <c:yVal>
            <c:numRef>
              <c:f>'Relative Value'!$J$245:$J$267</c:f>
              <c:numCache>
                <c:formatCode>#,##0_);\(#,##0\)</c:formatCode>
                <c:ptCount val="23"/>
                <c:pt idx="2">
                  <c:v>245.95618414041209</c:v>
                </c:pt>
                <c:pt idx="3">
                  <c:v>129.84803217821732</c:v>
                </c:pt>
                <c:pt idx="4">
                  <c:v>177.01453184518471</c:v>
                </c:pt>
                <c:pt idx="6">
                  <c:v>216.71581685868401</c:v>
                </c:pt>
                <c:pt idx="7">
                  <c:v>75.399391917808771</c:v>
                </c:pt>
                <c:pt idx="8">
                  <c:v>219.17749548154609</c:v>
                </c:pt>
                <c:pt idx="9">
                  <c:v>152.45070965796384</c:v>
                </c:pt>
                <c:pt idx="10">
                  <c:v>78.5673720547926</c:v>
                </c:pt>
                <c:pt idx="11">
                  <c:v>235.91893022785831</c:v>
                </c:pt>
                <c:pt idx="12">
                  <c:v>229.49554438355975</c:v>
                </c:pt>
                <c:pt idx="13">
                  <c:v>74.241928095891254</c:v>
                </c:pt>
                <c:pt idx="14">
                  <c:v>406.29099314131213</c:v>
                </c:pt>
                <c:pt idx="15">
                  <c:v>178.50419750674854</c:v>
                </c:pt>
                <c:pt idx="16">
                  <c:v>164.66107203420134</c:v>
                </c:pt>
                <c:pt idx="19">
                  <c:v>157.24649696669758</c:v>
                </c:pt>
                <c:pt idx="20">
                  <c:v>162.4804749144929</c:v>
                </c:pt>
                <c:pt idx="21">
                  <c:v>104.30100767123096</c:v>
                </c:pt>
              </c:numCache>
            </c:numRef>
          </c:yVal>
          <c:smooth val="0"/>
          <c:extLst>
            <c:ext xmlns:c16="http://schemas.microsoft.com/office/drawing/2014/chart" uri="{C3380CC4-5D6E-409C-BE32-E72D297353CC}">
              <c16:uniqueId val="{00000015-BC32-41AC-8D76-37A5B1C36462}"/>
            </c:ext>
          </c:extLst>
        </c:ser>
        <c:dLbls>
          <c:showLegendKey val="0"/>
          <c:showVal val="0"/>
          <c:showCatName val="0"/>
          <c:showSerName val="0"/>
          <c:showPercent val="0"/>
          <c:showBubbleSize val="0"/>
        </c:dLbls>
        <c:axId val="1343441920"/>
        <c:axId val="1343443712"/>
      </c:scatterChart>
      <c:valAx>
        <c:axId val="1343441920"/>
        <c:scaling>
          <c:orientation val="minMax"/>
        </c:scaling>
        <c:delete val="0"/>
        <c:axPos val="b"/>
        <c:numFmt formatCode="#,##0.0_);\(#,##0.0\)" sourceLinked="1"/>
        <c:majorTickMark val="out"/>
        <c:minorTickMark val="none"/>
        <c:tickLblPos val="nextTo"/>
        <c:spPr>
          <a:ln w="12700">
            <a:solidFill>
              <a:srgbClr val="1E1E1E"/>
            </a:solidFill>
            <a:prstDash val="solid"/>
          </a:ln>
        </c:spPr>
        <c:txPr>
          <a:bodyPr/>
          <a:lstStyle/>
          <a:p>
            <a:pPr>
              <a:defRPr sz="800" b="0" i="0" u="none">
                <a:solidFill>
                  <a:srgbClr val="1E1E1E"/>
                </a:solidFill>
              </a:defRPr>
            </a:pPr>
            <a:endParaRPr lang="en-US"/>
          </a:p>
        </c:txPr>
        <c:crossAx val="1343443712"/>
        <c:crosses val="autoZero"/>
        <c:crossBetween val="midCat"/>
      </c:valAx>
      <c:valAx>
        <c:axId val="1343443712"/>
        <c:scaling>
          <c:orientation val="minMax"/>
          <c:max val="350"/>
        </c:scaling>
        <c:delete val="0"/>
        <c:axPos val="l"/>
        <c:numFmt formatCode="#,##0" sourceLinked="0"/>
        <c:majorTickMark val="out"/>
        <c:minorTickMark val="none"/>
        <c:tickLblPos val="nextTo"/>
        <c:spPr>
          <a:ln w="12700">
            <a:solidFill>
              <a:srgbClr val="1E1E1E"/>
            </a:solidFill>
            <a:prstDash val="solid"/>
          </a:ln>
        </c:spPr>
        <c:txPr>
          <a:bodyPr/>
          <a:lstStyle/>
          <a:p>
            <a:pPr>
              <a:defRPr sz="800" b="0" i="0" u="none">
                <a:solidFill>
                  <a:srgbClr val="1E1E1E"/>
                </a:solidFill>
              </a:defRPr>
            </a:pPr>
            <a:endParaRPr lang="en-US"/>
          </a:p>
        </c:txPr>
        <c:crossAx val="1343441920"/>
        <c:crossesAt val="-5"/>
        <c:crossBetween val="midCat"/>
        <c:majorUnit val="50"/>
      </c:valAx>
      <c:spPr>
        <a:solidFill>
          <a:srgbClr val="FFFFFF"/>
        </a:solidFill>
        <a:ln w="25400">
          <a:noFill/>
        </a:ln>
      </c:spPr>
    </c:plotArea>
    <c:plotVisOnly val="1"/>
    <c:dispBlanksAs val="gap"/>
    <c:showDLblsOverMax val="0"/>
  </c:chart>
  <c:spPr>
    <a:solidFill>
      <a:srgbClr val="FFFFFF"/>
    </a:solidFill>
    <a:ln w="25400">
      <a:noFill/>
    </a:ln>
  </c:spPr>
  <c:txPr>
    <a:bodyPr/>
    <a:lstStyle/>
    <a:p>
      <a:pPr>
        <a:defRPr sz="800">
          <a:solidFill>
            <a:srgbClr val="1E1E1E"/>
          </a:solidFill>
          <a:latin typeface="Expert Sans Regular"/>
          <a:ea typeface="Expert Sans Regular"/>
          <a:cs typeface="Expert Sans Regular"/>
        </a:defRPr>
      </a:pPr>
      <a:endParaRPr lang="en-US"/>
    </a:p>
  </c:txPr>
  <c:printSettings>
    <c:headerFooter/>
    <c:pageMargins b="0.75000000000001465" l="0.70000000000000062" r="0.70000000000000062" t="0.75000000000001465" header="0.30000000000000032" footer="0.30000000000000032"/>
    <c:pageSetup paperSize="8"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92511236524617E-2"/>
          <c:y val="4.6994078064437415E-2"/>
          <c:w val="0.87282822479808309"/>
          <c:h val="0.865702889641776"/>
        </c:manualLayout>
      </c:layout>
      <c:scatterChart>
        <c:scatterStyle val="lineMarker"/>
        <c:varyColors val="0"/>
        <c:ser>
          <c:idx val="0"/>
          <c:order val="0"/>
          <c:spPr>
            <a:ln w="28575">
              <a:noFill/>
            </a:ln>
          </c:spPr>
          <c:marker>
            <c:symbol val="diamond"/>
            <c:size val="6"/>
          </c:marker>
          <c:dLbls>
            <c:dLbl>
              <c:idx val="0"/>
              <c:tx>
                <c:strRef>
                  <c:f>'Relative Value'!$G$245</c:f>
                  <c:strCache>
                    <c:ptCount val="1"/>
                  </c:strCache>
                </c:strRef>
              </c:tx>
              <c:spPr>
                <a:noFill/>
                <a:ln>
                  <a:noFill/>
                </a:ln>
                <a:effectLst/>
              </c:spPr>
              <c:txPr>
                <a:bodyPr wrap="square" lIns="38100" tIns="19050" rIns="38100" bIns="19050" anchor="ctr">
                  <a:spAutoFit/>
                </a:bodyPr>
                <a:lstStyle/>
                <a:p>
                  <a:pPr>
                    <a:defRPr sz="800" b="0" i="0">
                      <a:solidFill>
                        <a:srgbClr val="333333"/>
                      </a:solidFill>
                      <a:latin typeface="Expert Sans Regular" panose="020B0503030103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{39B1077F-6A83-4BA9-A420-B53CE0769901}</c15:txfldGUID>
                      <c15:f>'Relative Value'!$G$245</c15:f>
                      <c15:dlblFieldTableCache>
                        <c:ptCount val="1"/>
                      </c15:dlblFieldTableCache>
                    </c15:dlblFTEntry>
                  </c15:dlblFieldTable>
                  <c15:showDataLabelsRange val="0"/>
                </c:ext>
                <c:ext xmlns:c16="http://schemas.microsoft.com/office/drawing/2014/chart" uri="{C3380CC4-5D6E-409C-BE32-E72D297353CC}">
                  <c16:uniqueId val="{00000000-1FCD-4D9A-9D96-3D4339A00318}"/>
                </c:ext>
              </c:extLst>
            </c:dLbl>
            <c:dLbl>
              <c:idx val="1"/>
              <c:tx>
                <c:strRef>
                  <c:f>'Relative Value'!$G$246</c:f>
                  <c:strCache>
                    <c:ptCount val="1"/>
                    <c:pt idx="0">
                      <c:v>AR</c:v>
                    </c:pt>
                  </c:strCache>
                </c:strRef>
              </c:tx>
              <c:spPr>
                <a:noFill/>
                <a:ln>
                  <a:noFill/>
                </a:ln>
                <a:effectLst/>
              </c:spPr>
              <c:txPr>
                <a:bodyPr wrap="square" lIns="38100" tIns="19050" rIns="38100" bIns="19050" anchor="ctr">
                  <a:spAutoFit/>
                </a:bodyPr>
                <a:lstStyle/>
                <a:p>
                  <a:pPr>
                    <a:defRPr sz="800" b="0" i="0">
                      <a:solidFill>
                        <a:srgbClr val="333333"/>
                      </a:solidFill>
                      <a:latin typeface="Expert Sans Regular" panose="020B0503030103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{8FB5FD81-B8B3-448A-BB60-5476D28F80DC}</c15:txfldGUID>
                      <c15:f>'Relative Value'!$G$246</c15:f>
                      <c15:dlblFieldTableCache>
                        <c:ptCount val="1"/>
                        <c:pt idx="0">
                          <c:v>AR</c:v>
                        </c:pt>
                      </c15:dlblFieldTableCache>
                    </c15:dlblFTEntry>
                  </c15:dlblFieldTable>
                  <c15:showDataLabelsRange val="0"/>
                </c:ext>
                <c:ext xmlns:c16="http://schemas.microsoft.com/office/drawing/2014/chart" uri="{C3380CC4-5D6E-409C-BE32-E72D297353CC}">
                  <c16:uniqueId val="{00000001-1FCD-4D9A-9D96-3D4339A00318}"/>
                </c:ext>
              </c:extLst>
            </c:dLbl>
            <c:dLbl>
              <c:idx val="2"/>
              <c:layout>
                <c:manualLayout>
                  <c:x val="-8.2975679542203154E-2"/>
                  <c:y val="2.8605482717520857E-2"/>
                </c:manualLayout>
              </c:layout>
              <c:tx>
                <c:strRef>
                  <c:f>'Relative Value'!$G$247</c:f>
                  <c:strCache>
                    <c:ptCount val="1"/>
                    <c:pt idx="0">
                      <c:v>APA</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{BEAC302F-34A1-438F-A323-714B7360542F}</c15:txfldGUID>
                      <c15:f>'Relative Value'!$G$247</c15:f>
                      <c15:dlblFieldTableCache>
                        <c:ptCount val="1"/>
                        <c:pt idx="0">
                          <c:v>APA</c:v>
                        </c:pt>
                      </c15:dlblFieldTableCache>
                    </c15:dlblFTEntry>
                  </c15:dlblFieldTable>
                  <c15:showDataLabelsRange val="0"/>
                </c:ext>
                <c:ext xmlns:c16="http://schemas.microsoft.com/office/drawing/2014/chart" uri="{C3380CC4-5D6E-409C-BE32-E72D297353CC}">
                  <c16:uniqueId val="{00000002-1FCD-4D9A-9D96-3D4339A00318}"/>
                </c:ext>
              </c:extLst>
            </c:dLbl>
            <c:dLbl>
              <c:idx val="3"/>
              <c:layout/>
              <c:tx>
                <c:strRef>
                  <c:f>'Relative Value'!$G$248</c:f>
                  <c:strCache>
                    <c:ptCount val="1"/>
                    <c:pt idx="0">
                      <c:v>CNQCN</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{7ED7BB96-6685-4164-81DE-AD2D925E70E5}</c15:txfldGUID>
                      <c15:f>'Relative Value'!$G$248</c15:f>
                      <c15:dlblFieldTableCache>
                        <c:ptCount val="1"/>
                        <c:pt idx="0">
                          <c:v>CNQCN</c:v>
                        </c:pt>
                      </c15:dlblFieldTableCache>
                    </c15:dlblFTEntry>
                  </c15:dlblFieldTable>
                  <c15:showDataLabelsRange val="0"/>
                </c:ext>
                <c:ext xmlns:c16="http://schemas.microsoft.com/office/drawing/2014/chart" uri="{C3380CC4-5D6E-409C-BE32-E72D297353CC}">
                  <c16:uniqueId val="{00000003-1FCD-4D9A-9D96-3D4339A00318}"/>
                </c:ext>
              </c:extLst>
            </c:dLbl>
            <c:dLbl>
              <c:idx val="4"/>
              <c:layout/>
              <c:tx>
                <c:strRef>
                  <c:f>'Relative Value'!$G$249</c:f>
                  <c:strCache>
                    <c:ptCount val="1"/>
                    <c:pt idx="0">
                      <c:v>CVECN</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{96A3D20B-37D3-4F37-9B96-5472C6C5FC4A}</c15:txfldGUID>
                      <c15:f>'Relative Value'!$G$249</c15:f>
                      <c15:dlblFieldTableCache>
                        <c:ptCount val="1"/>
                        <c:pt idx="0">
                          <c:v>CVECN</c:v>
                        </c:pt>
                      </c15:dlblFieldTableCache>
                    </c15:dlblFTEntry>
                  </c15:dlblFieldTable>
                  <c15:showDataLabelsRange val="0"/>
                </c:ext>
                <c:ext xmlns:c16="http://schemas.microsoft.com/office/drawing/2014/chart" uri="{C3380CC4-5D6E-409C-BE32-E72D297353CC}">
                  <c16:uniqueId val="{00000004-1FCD-4D9A-9D96-3D4339A00318}"/>
                </c:ext>
              </c:extLst>
            </c:dLbl>
            <c:dLbl>
              <c:idx val="5"/>
              <c:tx>
                <c:strRef>
                  <c:f>'Relative Value'!$G$250</c:f>
                  <c:strCache>
                    <c:ptCount val="1"/>
                  </c:strCache>
                </c:strRef>
              </c:tx>
              <c:spPr>
                <a:noFill/>
                <a:ln>
                  <a:noFill/>
                </a:ln>
                <a:effectLst/>
              </c:spPr>
              <c:txPr>
                <a:bodyPr wrap="square" lIns="38100" tIns="19050" rIns="38100" bIns="19050" anchor="ctr">
                  <a:spAutoFit/>
                </a:bodyPr>
                <a:lstStyle/>
                <a:p>
                  <a:pPr>
                    <a:defRPr sz="800" b="0" i="0">
                      <a:solidFill>
                        <a:srgbClr val="333333"/>
                      </a:solidFill>
                      <a:latin typeface="Expert Sans Regular" panose="020B0503030103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{15CFC4F3-3C77-4E30-979D-7EC3818149BA}</c15:txfldGUID>
                      <c15:f>'Relative Value'!$G$250</c15:f>
                      <c15:dlblFieldTableCache>
                        <c:ptCount val="1"/>
                      </c15:dlblFieldTableCache>
                    </c15:dlblFTEntry>
                  </c15:dlblFieldTable>
                  <c15:showDataLabelsRange val="0"/>
                </c:ext>
                <c:ext xmlns:c16="http://schemas.microsoft.com/office/drawing/2014/chart" uri="{C3380CC4-5D6E-409C-BE32-E72D297353CC}">
                  <c16:uniqueId val="{00000005-1FCD-4D9A-9D96-3D4339A00318}"/>
                </c:ext>
              </c:extLst>
            </c:dLbl>
            <c:dLbl>
              <c:idx val="6"/>
              <c:tx>
                <c:strRef>
                  <c:f>'Relative Value'!$G$251</c:f>
                  <c:strCache>
                    <c:ptCount val="1"/>
                    <c:pt idx="0">
                      <c:v>XEC</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{47310AD1-8CCC-478A-99D0-EC3176B22FB2}</c15:txfldGUID>
                      <c15:f>'Relative Value'!$G$251</c15:f>
                      <c15:dlblFieldTableCache>
                        <c:ptCount val="1"/>
                        <c:pt idx="0">
                          <c:v>XEC</c:v>
                        </c:pt>
                      </c15:dlblFieldTableCache>
                    </c15:dlblFTEntry>
                  </c15:dlblFieldTable>
                  <c15:showDataLabelsRange val="0"/>
                </c:ext>
                <c:ext xmlns:c16="http://schemas.microsoft.com/office/drawing/2014/chart" uri="{C3380CC4-5D6E-409C-BE32-E72D297353CC}">
                  <c16:uniqueId val="{00000006-1FCD-4D9A-9D96-3D4339A00318}"/>
                </c:ext>
              </c:extLst>
            </c:dLbl>
            <c:dLbl>
              <c:idx val="7"/>
              <c:layout/>
              <c:tx>
                <c:strRef>
                  <c:f>'Relative Value'!$G$252</c:f>
                  <c:strCache>
                    <c:ptCount val="1"/>
                    <c:pt idx="0">
                      <c:v>COP</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{6391BA40-614E-4805-B488-D62DAF67A312}</c15:txfldGUID>
                      <c15:f>'Relative Value'!$G$252</c15:f>
                      <c15:dlblFieldTableCache>
                        <c:ptCount val="1"/>
                        <c:pt idx="0">
                          <c:v>COP</c:v>
                        </c:pt>
                      </c15:dlblFieldTableCache>
                    </c15:dlblFTEntry>
                  </c15:dlblFieldTable>
                  <c15:showDataLabelsRange val="0"/>
                </c:ext>
                <c:ext xmlns:c16="http://schemas.microsoft.com/office/drawing/2014/chart" uri="{C3380CC4-5D6E-409C-BE32-E72D297353CC}">
                  <c16:uniqueId val="{00000007-1FCD-4D9A-9D96-3D4339A00318}"/>
                </c:ext>
              </c:extLst>
            </c:dLbl>
            <c:dLbl>
              <c:idx val="8"/>
              <c:layout/>
              <c:tx>
                <c:strRef>
                  <c:f>'Relative Value'!$G$253</c:f>
                  <c:strCache>
                    <c:ptCount val="1"/>
                    <c:pt idx="0">
                      <c:v>CLR</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{F2575AD0-1E95-4A43-AC92-9338D7C8C12E}</c15:txfldGUID>
                      <c15:f>'Relative Value'!$G$253</c15:f>
                      <c15:dlblFieldTableCache>
                        <c:ptCount val="1"/>
                        <c:pt idx="0">
                          <c:v>CLR</c:v>
                        </c:pt>
                      </c15:dlblFieldTableCache>
                    </c15:dlblFTEntry>
                  </c15:dlblFieldTable>
                  <c15:showDataLabelsRange val="0"/>
                </c:ext>
                <c:ext xmlns:c16="http://schemas.microsoft.com/office/drawing/2014/chart" uri="{C3380CC4-5D6E-409C-BE32-E72D297353CC}">
                  <c16:uniqueId val="{00000008-1FCD-4D9A-9D96-3D4339A00318}"/>
                </c:ext>
              </c:extLst>
            </c:dLbl>
            <c:dLbl>
              <c:idx val="9"/>
              <c:layout/>
              <c:tx>
                <c:strRef>
                  <c:f>'Relative Value'!$G$254</c:f>
                  <c:strCache>
                    <c:ptCount val="1"/>
                    <c:pt idx="0">
                      <c:v>CXO</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{6A71B3DD-8F0B-4654-AC0B-1CAC43810DA6}</c15:txfldGUID>
                      <c15:f>'Relative Value'!$G$254</c15:f>
                      <c15:dlblFieldTableCache>
                        <c:ptCount val="1"/>
                        <c:pt idx="0">
                          <c:v>CXO</c:v>
                        </c:pt>
                      </c15:dlblFieldTableCache>
                    </c15:dlblFTEntry>
                  </c15:dlblFieldTable>
                  <c15:showDataLabelsRange val="0"/>
                </c:ext>
                <c:ext xmlns:c16="http://schemas.microsoft.com/office/drawing/2014/chart" uri="{C3380CC4-5D6E-409C-BE32-E72D297353CC}">
                  <c16:uniqueId val="{00000009-1FCD-4D9A-9D96-3D4339A00318}"/>
                </c:ext>
              </c:extLst>
            </c:dLbl>
            <c:dLbl>
              <c:idx val="10"/>
              <c:layout/>
              <c:tx>
                <c:strRef>
                  <c:f>'Relative Value'!$G$255</c:f>
                  <c:strCache>
                    <c:ptCount val="1"/>
                    <c:pt idx="0">
                      <c:v>DVN</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{FA0608E2-D4FD-4C26-94AF-EF4790F1928F}</c15:txfldGUID>
                      <c15:f>'Relative Value'!$G$255</c15:f>
                      <c15:dlblFieldTableCache>
                        <c:ptCount val="1"/>
                        <c:pt idx="0">
                          <c:v>DVN</c:v>
                        </c:pt>
                      </c15:dlblFieldTableCache>
                    </c15:dlblFTEntry>
                  </c15:dlblFieldTable>
                  <c15:showDataLabelsRange val="0"/>
                </c:ext>
                <c:ext xmlns:c16="http://schemas.microsoft.com/office/drawing/2014/chart" uri="{C3380CC4-5D6E-409C-BE32-E72D297353CC}">
                  <c16:uniqueId val="{0000000A-1FCD-4D9A-9D96-3D4339A00318}"/>
                </c:ext>
              </c:extLst>
            </c:dLbl>
            <c:dLbl>
              <c:idx val="11"/>
              <c:tx>
                <c:strRef>
                  <c:f>'Relative Value'!$G$256</c:f>
                  <c:strCache>
                    <c:ptCount val="1"/>
                    <c:pt idx="0">
                      <c:v>FANG</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{6E4E9122-BB5D-47A9-B6D7-619B38892455}</c15:txfldGUID>
                      <c15:f>'Relative Value'!$G$256</c15:f>
                      <c15:dlblFieldTableCache>
                        <c:ptCount val="1"/>
                        <c:pt idx="0">
                          <c:v>FANG</c:v>
                        </c:pt>
                      </c15:dlblFieldTableCache>
                    </c15:dlblFTEntry>
                  </c15:dlblFieldTable>
                  <c15:showDataLabelsRange val="0"/>
                </c:ext>
                <c:ext xmlns:c16="http://schemas.microsoft.com/office/drawing/2014/chart" uri="{C3380CC4-5D6E-409C-BE32-E72D297353CC}">
                  <c16:uniqueId val="{0000000B-1FCD-4D9A-9D96-3D4339A00318}"/>
                </c:ext>
              </c:extLst>
            </c:dLbl>
            <c:dLbl>
              <c:idx val="12"/>
              <c:layout/>
              <c:tx>
                <c:strRef>
                  <c:f>'Relative Value'!$G$257</c:f>
                  <c:strCache>
                    <c:ptCount val="1"/>
                    <c:pt idx="0">
                      <c:v>ECACN</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{9DAC6F4D-AF1C-4A7A-932C-3904DA584D27}</c15:txfldGUID>
                      <c15:f>'Relative Value'!$G$257</c15:f>
                      <c15:dlblFieldTableCache>
                        <c:ptCount val="1"/>
                        <c:pt idx="0">
                          <c:v>ECACN</c:v>
                        </c:pt>
                      </c15:dlblFieldTableCache>
                    </c15:dlblFTEntry>
                  </c15:dlblFieldTable>
                  <c15:showDataLabelsRange val="0"/>
                </c:ext>
                <c:ext xmlns:c16="http://schemas.microsoft.com/office/drawing/2014/chart" uri="{C3380CC4-5D6E-409C-BE32-E72D297353CC}">
                  <c16:uniqueId val="{0000000C-1FCD-4D9A-9D96-3D4339A00318}"/>
                </c:ext>
              </c:extLst>
            </c:dLbl>
            <c:dLbl>
              <c:idx val="13"/>
              <c:layout/>
              <c:tx>
                <c:strRef>
                  <c:f>'Relative Value'!$G$258</c:f>
                  <c:strCache>
                    <c:ptCount val="1"/>
                    <c:pt idx="0">
                      <c:v>EOG</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{E93B14AE-DABA-494D-B8E2-AB1078BF6058}</c15:txfldGUID>
                      <c15:f>'Relative Value'!$G$258</c15:f>
                      <c15:dlblFieldTableCache>
                        <c:ptCount val="1"/>
                        <c:pt idx="0">
                          <c:v>EOG</c:v>
                        </c:pt>
                      </c15:dlblFieldTableCache>
                    </c15:dlblFTEntry>
                  </c15:dlblFieldTable>
                  <c15:showDataLabelsRange val="0"/>
                </c:ext>
                <c:ext xmlns:c16="http://schemas.microsoft.com/office/drawing/2014/chart" uri="{C3380CC4-5D6E-409C-BE32-E72D297353CC}">
                  <c16:uniqueId val="{0000000D-1FCD-4D9A-9D96-3D4339A00318}"/>
                </c:ext>
              </c:extLst>
            </c:dLbl>
            <c:dLbl>
              <c:idx val="14"/>
              <c:tx>
                <c:strRef>
                  <c:f>'Relative Value'!$G$259</c:f>
                  <c:strCache>
                    <c:ptCount val="1"/>
                    <c:pt idx="0">
                      <c:v>EQT</c:v>
                    </c:pt>
                  </c:strCache>
                </c:strRef>
              </c:tx>
              <c:spPr>
                <a:noFill/>
                <a:ln>
                  <a:noFill/>
                </a:ln>
                <a:effectLst/>
              </c:spPr>
              <c:txPr>
                <a:bodyPr wrap="square" lIns="38100" tIns="19050" rIns="38100" bIns="19050" anchor="ctr">
                  <a:spAutoFit/>
                </a:bodyPr>
                <a:lstStyle/>
                <a:p>
                  <a:pPr>
                    <a:defRPr sz="800" b="0" i="0">
                      <a:solidFill>
                        <a:srgbClr val="333333"/>
                      </a:solidFill>
                      <a:latin typeface="Expert Sans Regular" panose="020B0503030103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{08508CD0-C5FD-425C-9714-9EAEDC1FAF43}</c15:txfldGUID>
                      <c15:f>'Relative Value'!$G$259</c15:f>
                      <c15:dlblFieldTableCache>
                        <c:ptCount val="1"/>
                        <c:pt idx="0">
                          <c:v>EQT</c:v>
                        </c:pt>
                      </c15:dlblFieldTableCache>
                    </c15:dlblFTEntry>
                  </c15:dlblFieldTable>
                  <c15:showDataLabelsRange val="0"/>
                </c:ext>
                <c:ext xmlns:c16="http://schemas.microsoft.com/office/drawing/2014/chart" uri="{C3380CC4-5D6E-409C-BE32-E72D297353CC}">
                  <c16:uniqueId val="{0000000E-1FCD-4D9A-9D96-3D4339A00318}"/>
                </c:ext>
              </c:extLst>
            </c:dLbl>
            <c:dLbl>
              <c:idx val="15"/>
              <c:layout/>
              <c:tx>
                <c:strRef>
                  <c:f>'Relative Value'!$G$260</c:f>
                  <c:strCache>
                    <c:ptCount val="1"/>
                    <c:pt idx="0">
                      <c:v>HES</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{88886F89-50BA-42C7-91C3-0D93376F3671}</c15:txfldGUID>
                      <c15:f>'Relative Value'!$G$260</c15:f>
                      <c15:dlblFieldTableCache>
                        <c:ptCount val="1"/>
                        <c:pt idx="0">
                          <c:v>HES</c:v>
                        </c:pt>
                      </c15:dlblFieldTableCache>
                    </c15:dlblFTEntry>
                  </c15:dlblFieldTable>
                  <c15:showDataLabelsRange val="0"/>
                </c:ext>
                <c:ext xmlns:c16="http://schemas.microsoft.com/office/drawing/2014/chart" uri="{C3380CC4-5D6E-409C-BE32-E72D297353CC}">
                  <c16:uniqueId val="{0000000F-1FCD-4D9A-9D96-3D4339A00318}"/>
                </c:ext>
              </c:extLst>
            </c:dLbl>
            <c:dLbl>
              <c:idx val="16"/>
              <c:layout/>
              <c:tx>
                <c:strRef>
                  <c:f>'Relative Value'!$G$261</c:f>
                  <c:strCache>
                    <c:ptCount val="1"/>
                    <c:pt idx="0">
                      <c:v>MRO</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{07897471-4663-4C9A-872E-264A06F8651B}</c15:txfldGUID>
                      <c15:f>'Relative Value'!$G$261</c15:f>
                      <c15:dlblFieldTableCache>
                        <c:ptCount val="1"/>
                        <c:pt idx="0">
                          <c:v>MRO</c:v>
                        </c:pt>
                      </c15:dlblFieldTableCache>
                    </c15:dlblFTEntry>
                  </c15:dlblFieldTable>
                  <c15:showDataLabelsRange val="0"/>
                </c:ext>
                <c:ext xmlns:c16="http://schemas.microsoft.com/office/drawing/2014/chart" uri="{C3380CC4-5D6E-409C-BE32-E72D297353CC}">
                  <c16:uniqueId val="{00000010-1FCD-4D9A-9D96-3D4339A00318}"/>
                </c:ext>
              </c:extLst>
            </c:dLbl>
            <c:dLbl>
              <c:idx val="17"/>
              <c:tx>
                <c:strRef>
                  <c:f>'Relative Value'!$G$262</c:f>
                  <c:strCache>
                    <c:ptCount val="1"/>
                  </c:strCache>
                </c:strRef>
              </c:tx>
              <c:spPr>
                <a:noFill/>
                <a:ln>
                  <a:noFill/>
                </a:ln>
                <a:effectLst/>
              </c:spPr>
              <c:txPr>
                <a:bodyPr wrap="square" lIns="38100" tIns="19050" rIns="38100" bIns="19050" anchor="ctr">
                  <a:spAutoFit/>
                </a:bodyPr>
                <a:lstStyle/>
                <a:p>
                  <a:pPr>
                    <a:defRPr sz="800" b="0" i="0">
                      <a:solidFill>
                        <a:srgbClr val="333333"/>
                      </a:solidFill>
                      <a:latin typeface="Expert Sans Regular" panose="020B0503030103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{5BCAE3C0-B97B-4480-917D-DD3E07DE7195}</c15:txfldGUID>
                      <c15:f>'Relative Value'!$G$262</c15:f>
                      <c15:dlblFieldTableCache>
                        <c:ptCount val="1"/>
                      </c15:dlblFieldTableCache>
                    </c15:dlblFTEntry>
                  </c15:dlblFieldTable>
                  <c15:showDataLabelsRange val="0"/>
                </c:ext>
                <c:ext xmlns:c16="http://schemas.microsoft.com/office/drawing/2014/chart" uri="{C3380CC4-5D6E-409C-BE32-E72D297353CC}">
                  <c16:uniqueId val="{00000011-1FCD-4D9A-9D96-3D4339A00318}"/>
                </c:ext>
              </c:extLst>
            </c:dLbl>
            <c:dLbl>
              <c:idx val="18"/>
              <c:tx>
                <c:strRef>
                  <c:f>'Relative Value'!$G$263</c:f>
                  <c:strCache>
                    <c:ptCount val="1"/>
                  </c:strCache>
                </c:strRef>
              </c:tx>
              <c:spPr>
                <a:noFill/>
                <a:ln>
                  <a:noFill/>
                </a:ln>
                <a:effectLst/>
              </c:spPr>
              <c:txPr>
                <a:bodyPr wrap="square" lIns="38100" tIns="19050" rIns="38100" bIns="19050" anchor="ctr">
                  <a:spAutoFit/>
                </a:bodyPr>
                <a:lstStyle/>
                <a:p>
                  <a:pPr>
                    <a:defRPr sz="800" b="0" i="0">
                      <a:solidFill>
                        <a:srgbClr val="333333"/>
                      </a:solidFill>
                      <a:latin typeface="Expert Sans Regular" panose="020B0503030103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{313EFAEF-3881-4E68-B2A5-CE640717CBF3}</c15:txfldGUID>
                      <c15:f>'Relative Value'!$G$263</c15:f>
                      <c15:dlblFieldTableCache>
                        <c:ptCount val="1"/>
                      </c15:dlblFieldTableCache>
                    </c15:dlblFTEntry>
                  </c15:dlblFieldTable>
                  <c15:showDataLabelsRange val="0"/>
                </c:ext>
                <c:ext xmlns:c16="http://schemas.microsoft.com/office/drawing/2014/chart" uri="{C3380CC4-5D6E-409C-BE32-E72D297353CC}">
                  <c16:uniqueId val="{00000012-1FCD-4D9A-9D96-3D4339A00318}"/>
                </c:ext>
              </c:extLst>
            </c:dLbl>
            <c:dLbl>
              <c:idx val="19"/>
              <c:layout>
                <c:manualLayout>
                  <c:x val="-9.4420600858369119E-2"/>
                  <c:y val="-4.3702315965551348E-17"/>
                </c:manualLayout>
              </c:layout>
              <c:tx>
                <c:strRef>
                  <c:f>'Relative Value'!$G$264</c:f>
                  <c:strCache>
                    <c:ptCount val="1"/>
                    <c:pt idx="0">
                      <c:v>NBL</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{4A689FC2-1E52-4507-B4C7-7FF42DB52BBA}</c15:txfldGUID>
                      <c15:f>'Relative Value'!$G$264</c15:f>
                      <c15:dlblFieldTableCache>
                        <c:ptCount val="1"/>
                        <c:pt idx="0">
                          <c:v>NBL</c:v>
                        </c:pt>
                      </c15:dlblFieldTableCache>
                    </c15:dlblFTEntry>
                  </c15:dlblFieldTable>
                  <c15:showDataLabelsRange val="0"/>
                </c:ext>
                <c:ext xmlns:c16="http://schemas.microsoft.com/office/drawing/2014/chart" uri="{C3380CC4-5D6E-409C-BE32-E72D297353CC}">
                  <c16:uniqueId val="{00000013-1FCD-4D9A-9D96-3D4339A00318}"/>
                </c:ext>
              </c:extLst>
            </c:dLbl>
            <c:dLbl>
              <c:idx val="20"/>
              <c:layout/>
              <c:tx>
                <c:strRef>
                  <c:f>'Relative Value'!$G$265</c:f>
                  <c:strCache>
                    <c:ptCount val="1"/>
                    <c:pt idx="0">
                      <c:v>OXY</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{1A7BE4D4-A6E7-413C-B8E1-F0BAF57F77C1}</c15:txfldGUID>
                      <c15:f>'Relative Value'!$G$265</c15:f>
                      <c15:dlblFieldTableCache>
                        <c:ptCount val="1"/>
                        <c:pt idx="0">
                          <c:v>OXY</c:v>
                        </c:pt>
                      </c15:dlblFieldTableCache>
                    </c15:dlblFTEntry>
                  </c15:dlblFieldTable>
                  <c15:showDataLabelsRange val="0"/>
                </c:ext>
                <c:ext xmlns:c16="http://schemas.microsoft.com/office/drawing/2014/chart" uri="{C3380CC4-5D6E-409C-BE32-E72D297353CC}">
                  <c16:uniqueId val="{00000014-1FCD-4D9A-9D96-3D4339A00318}"/>
                </c:ext>
              </c:extLst>
            </c:dLbl>
            <c:dLbl>
              <c:idx val="21"/>
              <c:tx>
                <c:strRef>
                  <c:f>'Relative Value'!$G$266</c:f>
                  <c:strCache>
                    <c:ptCount val="1"/>
                    <c:pt idx="0">
                      <c:v>PXD</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{7E9C2D23-A422-49C0-953B-79CB58821366}</c15:txfldGUID>
                      <c15:f>'Relative Value'!$G$266</c15:f>
                      <c15:dlblFieldTableCache>
                        <c:ptCount val="1"/>
                        <c:pt idx="0">
                          <c:v>PXD</c:v>
                        </c:pt>
                      </c15:dlblFieldTableCache>
                    </c15:dlblFTEntry>
                  </c15:dlblFieldTable>
                  <c15:showDataLabelsRange val="0"/>
                </c:ext>
                <c:ext xmlns:c16="http://schemas.microsoft.com/office/drawing/2014/chart" uri="{C3380CC4-5D6E-409C-BE32-E72D297353CC}">
                  <c16:uniqueId val="{00000000-8621-4F2F-BE29-91C8F43D5332}"/>
                </c:ext>
              </c:extLst>
            </c:dLbl>
            <c:dLbl>
              <c:idx val="22"/>
              <c:tx>
                <c:strRef>
                  <c:f>'Relative Value'!$G$267</c:f>
                  <c:strCache>
                    <c:ptCount val="1"/>
                    <c:pt idx="0">
                      <c:v>SWN</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{72A213E4-B317-461E-B2BE-0B81F84720C8}</c15:txfldGUID>
                      <c15:f>'Relative Value'!$G$267</c15:f>
                      <c15:dlblFieldTableCache>
                        <c:ptCount val="1"/>
                        <c:pt idx="0">
                          <c:v>SWN</c:v>
                        </c:pt>
                      </c15:dlblFieldTableCache>
                    </c15:dlblFTEntry>
                  </c15:dlblFieldTable>
                  <c15:showDataLabelsRange val="0"/>
                </c:ext>
                <c:ext xmlns:c16="http://schemas.microsoft.com/office/drawing/2014/chart" uri="{C3380CC4-5D6E-409C-BE32-E72D297353CC}">
                  <c16:uniqueId val="{00000001-8621-4F2F-BE29-91C8F43D5332}"/>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'Relative Value'!$I$245:$I$267</c:f>
              <c:numCache>
                <c:formatCode>#,##0.0_);\(#,##0.0\)</c:formatCode>
                <c:ptCount val="23"/>
                <c:pt idx="2">
                  <c:v>7.8347967423551417</c:v>
                </c:pt>
                <c:pt idx="3">
                  <c:v>14.276653062427711</c:v>
                </c:pt>
                <c:pt idx="4">
                  <c:v>11.639347860967698</c:v>
                </c:pt>
                <c:pt idx="6">
                  <c:v>16.328394818026521</c:v>
                </c:pt>
                <c:pt idx="7">
                  <c:v>21.080281782608694</c:v>
                </c:pt>
                <c:pt idx="8">
                  <c:v>11.24829201821119</c:v>
                </c:pt>
                <c:pt idx="9">
                  <c:v>15.930337406956523</c:v>
                </c:pt>
                <c:pt idx="10">
                  <c:v>10.117171800000001</c:v>
                </c:pt>
                <c:pt idx="11">
                  <c:v>20.176654395859643</c:v>
                </c:pt>
                <c:pt idx="12">
                  <c:v>9.0242047892255943</c:v>
                </c:pt>
                <c:pt idx="13">
                  <c:v>47.897813114588587</c:v>
                </c:pt>
                <c:pt idx="14">
                  <c:v>6.5184791548764371</c:v>
                </c:pt>
                <c:pt idx="15">
                  <c:v>7.8417032533333346</c:v>
                </c:pt>
                <c:pt idx="16">
                  <c:v>12.654345187499995</c:v>
                </c:pt>
                <c:pt idx="19">
                  <c:v>7.2630703544769402</c:v>
                </c:pt>
                <c:pt idx="20">
                  <c:v>5.5469160769903771</c:v>
                </c:pt>
                <c:pt idx="21">
                  <c:v>29.350655140137924</c:v>
                </c:pt>
              </c:numCache>
            </c:numRef>
          </c:xVal>
          <c:yVal>
            <c:numRef>
              <c:f>'Relative Value'!$K$245:$K$267</c:f>
              <c:numCache>
                <c:formatCode>#,##0_);\(#,##0\)</c:formatCode>
                <c:ptCount val="23"/>
                <c:pt idx="2">
                  <c:v>307.18600957700306</c:v>
                </c:pt>
                <c:pt idx="3">
                  <c:v>177.16574630390033</c:v>
                </c:pt>
                <c:pt idx="4">
                  <c:v>238.68276426283495</c:v>
                </c:pt>
                <c:pt idx="6">
                  <c:v>0</c:v>
                </c:pt>
                <c:pt idx="7">
                  <c:v>132.12811198767977</c:v>
                </c:pt>
                <c:pt idx="8">
                  <c:v>278.20756002190313</c:v>
                </c:pt>
                <c:pt idx="9">
                  <c:v>194.29819924435404</c:v>
                </c:pt>
                <c:pt idx="10">
                  <c:v>187.91129408898058</c:v>
                </c:pt>
                <c:pt idx="11">
                  <c:v>0</c:v>
                </c:pt>
                <c:pt idx="12">
                  <c:v>311.48053490759787</c:v>
                </c:pt>
                <c:pt idx="13">
                  <c:v>149.55317771936939</c:v>
                </c:pt>
                <c:pt idx="14">
                  <c:v>0</c:v>
                </c:pt>
                <c:pt idx="15">
                  <c:v>258.60137436276591</c:v>
                </c:pt>
                <c:pt idx="16">
                  <c:v>228.5199145106096</c:v>
                </c:pt>
                <c:pt idx="19">
                  <c:v>220.36942759205877</c:v>
                </c:pt>
                <c:pt idx="20">
                  <c:v>212.71205908008372</c:v>
                </c:pt>
                <c:pt idx="21">
                  <c:v>0</c:v>
                </c:pt>
              </c:numCache>
            </c:numRef>
          </c:yVal>
          <c:smooth val="0"/>
          <c:extLst>
            <c:ext xmlns:c16="http://schemas.microsoft.com/office/drawing/2014/chart" uri="{C3380CC4-5D6E-409C-BE32-E72D297353CC}">
              <c16:uniqueId val="{00000015-1FCD-4D9A-9D96-3D4339A00318}"/>
            </c:ext>
          </c:extLst>
        </c:ser>
        <c:dLbls>
          <c:showLegendKey val="0"/>
          <c:showVal val="0"/>
          <c:showCatName val="0"/>
          <c:showSerName val="0"/>
          <c:showPercent val="0"/>
          <c:showBubbleSize val="0"/>
        </c:dLbls>
        <c:axId val="1343759872"/>
        <c:axId val="1343761408"/>
      </c:scatterChart>
      <c:valAx>
        <c:axId val="1343759872"/>
        <c:scaling>
          <c:orientation val="minMax"/>
        </c:scaling>
        <c:delete val="0"/>
        <c:axPos val="b"/>
        <c:numFmt formatCode="#,##0.0_);\(#,##0.0\)" sourceLinked="1"/>
        <c:majorTickMark val="out"/>
        <c:minorTickMark val="none"/>
        <c:tickLblPos val="nextTo"/>
        <c:spPr>
          <a:ln w="12700">
            <a:solidFill>
              <a:srgbClr val="1E1E1E"/>
            </a:solidFill>
            <a:prstDash val="solid"/>
          </a:ln>
        </c:spPr>
        <c:txPr>
          <a:bodyPr/>
          <a:lstStyle/>
          <a:p>
            <a:pPr>
              <a:defRPr sz="800" b="0" i="0" u="none">
                <a:solidFill>
                  <a:srgbClr val="1E1E1E"/>
                </a:solidFill>
              </a:defRPr>
            </a:pPr>
            <a:endParaRPr lang="en-US"/>
          </a:p>
        </c:txPr>
        <c:crossAx val="1343761408"/>
        <c:crosses val="autoZero"/>
        <c:crossBetween val="midCat"/>
      </c:valAx>
      <c:valAx>
        <c:axId val="1343761408"/>
        <c:scaling>
          <c:orientation val="minMax"/>
          <c:min val="100"/>
        </c:scaling>
        <c:delete val="0"/>
        <c:axPos val="l"/>
        <c:numFmt formatCode="#,##0" sourceLinked="0"/>
        <c:majorTickMark val="out"/>
        <c:minorTickMark val="none"/>
        <c:tickLblPos val="nextTo"/>
        <c:spPr>
          <a:ln w="12700">
            <a:solidFill>
              <a:srgbClr val="1E1E1E"/>
            </a:solidFill>
            <a:prstDash val="solid"/>
          </a:ln>
        </c:spPr>
        <c:txPr>
          <a:bodyPr/>
          <a:lstStyle/>
          <a:p>
            <a:pPr>
              <a:defRPr sz="800" b="0" i="0" u="none">
                <a:solidFill>
                  <a:srgbClr val="1E1E1E"/>
                </a:solidFill>
              </a:defRPr>
            </a:pPr>
            <a:endParaRPr lang="en-US"/>
          </a:p>
        </c:txPr>
        <c:crossAx val="1343759872"/>
        <c:crossesAt val="-5"/>
        <c:crossBetween val="midCat"/>
        <c:majorUnit val="50"/>
      </c:valAx>
      <c:spPr>
        <a:solidFill>
          <a:srgbClr val="FFFFFF"/>
        </a:solidFill>
        <a:ln w="25400">
          <a:noFill/>
        </a:ln>
      </c:spPr>
    </c:plotArea>
    <c:plotVisOnly val="1"/>
    <c:dispBlanksAs val="gap"/>
    <c:showDLblsOverMax val="0"/>
  </c:chart>
  <c:spPr>
    <a:solidFill>
      <a:srgbClr val="FFFFFF"/>
    </a:solidFill>
    <a:ln w="25400">
      <a:noFill/>
    </a:ln>
  </c:spPr>
  <c:txPr>
    <a:bodyPr/>
    <a:lstStyle/>
    <a:p>
      <a:pPr>
        <a:defRPr sz="800">
          <a:solidFill>
            <a:srgbClr val="1E1E1E"/>
          </a:solidFill>
          <a:latin typeface="Expert Sans Regular"/>
          <a:ea typeface="Expert Sans Regular"/>
          <a:cs typeface="Expert Sans Regular"/>
        </a:defRPr>
      </a:pPr>
      <a:endParaRPr lang="en-US"/>
    </a:p>
  </c:txPr>
  <c:printSettings>
    <c:headerFooter/>
    <c:pageMargins b="0.75000000000001465" l="0.70000000000000062" r="0.70000000000000062" t="0.75000000000001465" header="0.30000000000000032" footer="0.30000000000000032"/>
    <c:pageSetup paperSize="8"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92511236524617E-2"/>
          <c:y val="4.6994078064437415E-2"/>
          <c:w val="0.87282822479808309"/>
          <c:h val="0.865702889641776"/>
        </c:manualLayout>
      </c:layout>
      <c:scatterChart>
        <c:scatterStyle val="lineMarker"/>
        <c:varyColors val="0"/>
        <c:ser>
          <c:idx val="0"/>
          <c:order val="0"/>
          <c:spPr>
            <a:ln w="28575">
              <a:noFill/>
            </a:ln>
          </c:spPr>
          <c:marker>
            <c:symbol val="diamond"/>
            <c:size val="6"/>
          </c:marker>
          <c:dLbls>
            <c:dLbl>
              <c:idx val="0"/>
              <c:tx>
                <c:strRef>
                  <c:f>'Relative Value'!$G$245</c:f>
                  <c:strCache>
                    <c:ptCount val="1"/>
                  </c:strCache>
                </c:strRef>
              </c:tx>
              <c:spPr>
                <a:noFill/>
                <a:ln>
                  <a:noFill/>
                </a:ln>
                <a:effectLst/>
              </c:spPr>
              <c:txPr>
                <a:bodyPr wrap="square" lIns="38100" tIns="19050" rIns="38100" bIns="19050" anchor="ctr">
                  <a:spAutoFit/>
                </a:bodyPr>
                <a:lstStyle/>
                <a:p>
                  <a:pPr>
                    <a:defRPr sz="800" b="0" i="0">
                      <a:solidFill>
                        <a:srgbClr val="333333"/>
                      </a:solidFill>
                      <a:latin typeface="Expert Sans Regular" panose="020B0503030103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{ECC2BF0C-927B-4B38-B3B7-5F90F7FB574F}</c15:txfldGUID>
                      <c15:f>'Relative Value'!$G$245</c15:f>
                      <c15:dlblFieldTableCache>
                        <c:ptCount val="1"/>
                      </c15:dlblFieldTableCache>
                    </c15:dlblFTEntry>
                  </c15:dlblFieldTable>
                  <c15:showDataLabelsRange val="0"/>
                </c:ext>
                <c:ext xmlns:c16="http://schemas.microsoft.com/office/drawing/2014/chart" uri="{C3380CC4-5D6E-409C-BE32-E72D297353CC}">
                  <c16:uniqueId val="{00000000-61B6-4243-BBE6-A9C9804EDA55}"/>
                </c:ext>
              </c:extLst>
            </c:dLbl>
            <c:dLbl>
              <c:idx val="1"/>
              <c:tx>
                <c:strRef>
                  <c:f>'Relative Value'!$G$246</c:f>
                  <c:strCache>
                    <c:ptCount val="1"/>
                    <c:pt idx="0">
                      <c:v>AR</c:v>
                    </c:pt>
                  </c:strCache>
                </c:strRef>
              </c:tx>
              <c:spPr>
                <a:noFill/>
                <a:ln>
                  <a:noFill/>
                </a:ln>
                <a:effectLst/>
              </c:spPr>
              <c:txPr>
                <a:bodyPr wrap="square" lIns="38100" tIns="19050" rIns="38100" bIns="19050" anchor="ctr">
                  <a:spAutoFit/>
                </a:bodyPr>
                <a:lstStyle/>
                <a:p>
                  <a:pPr>
                    <a:defRPr sz="800" b="0" i="0">
                      <a:solidFill>
                        <a:srgbClr val="333333"/>
                      </a:solidFill>
                      <a:latin typeface="Expert Sans Regular" panose="020B0503030103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{3C597D90-B37B-4540-8E06-C16D03FA30E9}</c15:txfldGUID>
                      <c15:f>'Relative Value'!$G$246</c15:f>
                      <c15:dlblFieldTableCache>
                        <c:ptCount val="1"/>
                        <c:pt idx="0">
                          <c:v>AR</c:v>
                        </c:pt>
                      </c15:dlblFieldTableCache>
                    </c15:dlblFTEntry>
                  </c15:dlblFieldTable>
                  <c15:showDataLabelsRange val="0"/>
                </c:ext>
                <c:ext xmlns:c16="http://schemas.microsoft.com/office/drawing/2014/chart" uri="{C3380CC4-5D6E-409C-BE32-E72D297353CC}">
                  <c16:uniqueId val="{00000001-61B6-4243-BBE6-A9C9804EDA55}"/>
                </c:ext>
              </c:extLst>
            </c:dLbl>
            <c:dLbl>
              <c:idx val="2"/>
              <c:layout/>
              <c:tx>
                <c:strRef>
                  <c:f>'Relative Value'!$G$247</c:f>
                  <c:strCache>
                    <c:ptCount val="1"/>
                    <c:pt idx="0">
                      <c:v>APA</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{A3B31613-D63E-426A-9D2E-51B1A9635ED6}</c15:txfldGUID>
                      <c15:f>'Relative Value'!$G$247</c15:f>
                      <c15:dlblFieldTableCache>
                        <c:ptCount val="1"/>
                        <c:pt idx="0">
                          <c:v>APA</c:v>
                        </c:pt>
                      </c15:dlblFieldTableCache>
                    </c15:dlblFTEntry>
                  </c15:dlblFieldTable>
                  <c15:showDataLabelsRange val="0"/>
                </c:ext>
                <c:ext xmlns:c16="http://schemas.microsoft.com/office/drawing/2014/chart" uri="{C3380CC4-5D6E-409C-BE32-E72D297353CC}">
                  <c16:uniqueId val="{00000002-61B6-4243-BBE6-A9C9804EDA55}"/>
                </c:ext>
              </c:extLst>
            </c:dLbl>
            <c:dLbl>
              <c:idx val="3"/>
              <c:layout/>
              <c:tx>
                <c:strRef>
                  <c:f>'Relative Value'!$G$248</c:f>
                  <c:strCache>
                    <c:ptCount val="1"/>
                    <c:pt idx="0">
                      <c:v>CNQCN</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{B85ECEBA-DE25-4599-A5F8-92074B269500}</c15:txfldGUID>
                      <c15:f>'Relative Value'!$G$248</c15:f>
                      <c15:dlblFieldTableCache>
                        <c:ptCount val="1"/>
                        <c:pt idx="0">
                          <c:v>CNQCN</c:v>
                        </c:pt>
                      </c15:dlblFieldTableCache>
                    </c15:dlblFTEntry>
                  </c15:dlblFieldTable>
                  <c15:showDataLabelsRange val="0"/>
                </c:ext>
                <c:ext xmlns:c16="http://schemas.microsoft.com/office/drawing/2014/chart" uri="{C3380CC4-5D6E-409C-BE32-E72D297353CC}">
                  <c16:uniqueId val="{00000003-61B6-4243-BBE6-A9C9804EDA55}"/>
                </c:ext>
              </c:extLst>
            </c:dLbl>
            <c:dLbl>
              <c:idx val="4"/>
              <c:layout>
                <c:manualLayout>
                  <c:x val="-5.7224606580829812E-2"/>
                  <c:y val="3.8140643623361142E-2"/>
                </c:manualLayout>
              </c:layout>
              <c:tx>
                <c:strRef>
                  <c:f>'Relative Value'!$G$249</c:f>
                  <c:strCache>
                    <c:ptCount val="1"/>
                    <c:pt idx="0">
                      <c:v>CVECN</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{7C90D179-1DE6-46DC-9533-A7327CB1749B}</c15:txfldGUID>
                      <c15:f>'Relative Value'!$G$249</c15:f>
                      <c15:dlblFieldTableCache>
                        <c:ptCount val="1"/>
                        <c:pt idx="0">
                          <c:v>CVECN</c:v>
                        </c:pt>
                      </c15:dlblFieldTableCache>
                    </c15:dlblFTEntry>
                  </c15:dlblFieldTable>
                  <c15:showDataLabelsRange val="0"/>
                </c:ext>
                <c:ext xmlns:c16="http://schemas.microsoft.com/office/drawing/2014/chart" uri="{C3380CC4-5D6E-409C-BE32-E72D297353CC}">
                  <c16:uniqueId val="{00000004-61B6-4243-BBE6-A9C9804EDA55}"/>
                </c:ext>
              </c:extLst>
            </c:dLbl>
            <c:dLbl>
              <c:idx val="5"/>
              <c:tx>
                <c:strRef>
                  <c:f>'Relative Value'!$G$250</c:f>
                  <c:strCache>
                    <c:ptCount val="1"/>
                  </c:strCache>
                </c:strRef>
              </c:tx>
              <c:spPr>
                <a:noFill/>
                <a:ln>
                  <a:noFill/>
                </a:ln>
                <a:effectLst/>
              </c:spPr>
              <c:txPr>
                <a:bodyPr wrap="square" lIns="38100" tIns="19050" rIns="38100" bIns="19050" anchor="ctr">
                  <a:spAutoFit/>
                </a:bodyPr>
                <a:lstStyle/>
                <a:p>
                  <a:pPr>
                    <a:defRPr sz="800" b="0" i="0">
                      <a:solidFill>
                        <a:srgbClr val="333333"/>
                      </a:solidFill>
                      <a:latin typeface="Expert Sans Regular" panose="020B0503030103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{3CCD9037-F594-494E-88CD-4FE2B7CCF6D7}</c15:txfldGUID>
                      <c15:f>'Relative Value'!$G$250</c15:f>
                      <c15:dlblFieldTableCache>
                        <c:ptCount val="1"/>
                      </c15:dlblFieldTableCache>
                    </c15:dlblFTEntry>
                  </c15:dlblFieldTable>
                  <c15:showDataLabelsRange val="0"/>
                </c:ext>
                <c:ext xmlns:c16="http://schemas.microsoft.com/office/drawing/2014/chart" uri="{C3380CC4-5D6E-409C-BE32-E72D297353CC}">
                  <c16:uniqueId val="{00000005-61B6-4243-BBE6-A9C9804EDA55}"/>
                </c:ext>
              </c:extLst>
            </c:dLbl>
            <c:dLbl>
              <c:idx val="6"/>
              <c:layout>
                <c:manualLayout>
                  <c:x val="-9.4420600858369078E-2"/>
                  <c:y val="0"/>
                </c:manualLayout>
              </c:layout>
              <c:tx>
                <c:strRef>
                  <c:f>'Relative Value'!$G$251</c:f>
                  <c:strCache>
                    <c:ptCount val="1"/>
                    <c:pt idx="0">
                      <c:v>XEC</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{F6523DB2-D90D-4F43-8931-BD5D6FC0C501}</c15:txfldGUID>
                      <c15:f>'Relative Value'!$G$251</c15:f>
                      <c15:dlblFieldTableCache>
                        <c:ptCount val="1"/>
                        <c:pt idx="0">
                          <c:v>XEC</c:v>
                        </c:pt>
                      </c15:dlblFieldTableCache>
                    </c15:dlblFTEntry>
                  </c15:dlblFieldTable>
                  <c15:showDataLabelsRange val="0"/>
                </c:ext>
                <c:ext xmlns:c16="http://schemas.microsoft.com/office/drawing/2014/chart" uri="{C3380CC4-5D6E-409C-BE32-E72D297353CC}">
                  <c16:uniqueId val="{00000006-61B6-4243-BBE6-A9C9804EDA55}"/>
                </c:ext>
              </c:extLst>
            </c:dLbl>
            <c:dLbl>
              <c:idx val="7"/>
              <c:layout/>
              <c:tx>
                <c:strRef>
                  <c:f>'Relative Value'!$G$252</c:f>
                  <c:strCache>
                    <c:ptCount val="1"/>
                    <c:pt idx="0">
                      <c:v>COP</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{5946C6EC-E83F-4A42-BA09-DDC0E9DC1EE2}</c15:txfldGUID>
                      <c15:f>'Relative Value'!$G$252</c15:f>
                      <c15:dlblFieldTableCache>
                        <c:ptCount val="1"/>
                        <c:pt idx="0">
                          <c:v>COP</c:v>
                        </c:pt>
                      </c15:dlblFieldTableCache>
                    </c15:dlblFTEntry>
                  </c15:dlblFieldTable>
                  <c15:showDataLabelsRange val="0"/>
                </c:ext>
                <c:ext xmlns:c16="http://schemas.microsoft.com/office/drawing/2014/chart" uri="{C3380CC4-5D6E-409C-BE32-E72D297353CC}">
                  <c16:uniqueId val="{00000007-61B6-4243-BBE6-A9C9804EDA55}"/>
                </c:ext>
              </c:extLst>
            </c:dLbl>
            <c:dLbl>
              <c:idx val="8"/>
              <c:layout>
                <c:manualLayout>
                  <c:x val="-5.1502145922746781E-2"/>
                  <c:y val="-4.7675804529201476E-2"/>
                </c:manualLayout>
              </c:layout>
              <c:tx>
                <c:strRef>
                  <c:f>'Relative Value'!$G$253</c:f>
                  <c:strCache>
                    <c:ptCount val="1"/>
                    <c:pt idx="0">
                      <c:v>CLR</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{070EEC39-DB11-4275-93B9-431FAB7F8DF9}</c15:txfldGUID>
                      <c15:f>'Relative Value'!$G$253</c15:f>
                      <c15:dlblFieldTableCache>
                        <c:ptCount val="1"/>
                        <c:pt idx="0">
                          <c:v>CLR</c:v>
                        </c:pt>
                      </c15:dlblFieldTableCache>
                    </c15:dlblFTEntry>
                  </c15:dlblFieldTable>
                  <c15:showDataLabelsRange val="0"/>
                </c:ext>
                <c:ext xmlns:c16="http://schemas.microsoft.com/office/drawing/2014/chart" uri="{C3380CC4-5D6E-409C-BE32-E72D297353CC}">
                  <c16:uniqueId val="{00000008-61B6-4243-BBE6-A9C9804EDA55}"/>
                </c:ext>
              </c:extLst>
            </c:dLbl>
            <c:dLbl>
              <c:idx val="9"/>
              <c:layout>
                <c:manualLayout>
                  <c:x val="-9.1559370529327638E-2"/>
                  <c:y val="-2.3837902264600714E-2"/>
                </c:manualLayout>
              </c:layout>
              <c:tx>
                <c:strRef>
                  <c:f>'Relative Value'!$G$254</c:f>
                  <c:strCache>
                    <c:ptCount val="1"/>
                    <c:pt idx="0">
                      <c:v>CXO</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{C78407B5-9B7F-48A0-9370-FD570D5A4D49}</c15:txfldGUID>
                      <c15:f>'Relative Value'!$G$254</c15:f>
                      <c15:dlblFieldTableCache>
                        <c:ptCount val="1"/>
                        <c:pt idx="0">
                          <c:v>CXO</c:v>
                        </c:pt>
                      </c15:dlblFieldTableCache>
                    </c15:dlblFTEntry>
                  </c15:dlblFieldTable>
                  <c15:showDataLabelsRange val="0"/>
                </c:ext>
                <c:ext xmlns:c16="http://schemas.microsoft.com/office/drawing/2014/chart" uri="{C3380CC4-5D6E-409C-BE32-E72D297353CC}">
                  <c16:uniqueId val="{00000009-61B6-4243-BBE6-A9C9804EDA55}"/>
                </c:ext>
              </c:extLst>
            </c:dLbl>
            <c:dLbl>
              <c:idx val="10"/>
              <c:layout/>
              <c:tx>
                <c:strRef>
                  <c:f>'Relative Value'!$G$255</c:f>
                  <c:strCache>
                    <c:ptCount val="1"/>
                    <c:pt idx="0">
                      <c:v>DVN</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{86C9DB7F-24EE-448D-A5C5-B6638B74CA4A}</c15:txfldGUID>
                      <c15:f>'Relative Value'!$G$255</c15:f>
                      <c15:dlblFieldTableCache>
                        <c:ptCount val="1"/>
                        <c:pt idx="0">
                          <c:v>DVN</c:v>
                        </c:pt>
                      </c15:dlblFieldTableCache>
                    </c15:dlblFTEntry>
                  </c15:dlblFieldTable>
                  <c15:showDataLabelsRange val="0"/>
                </c:ext>
                <c:ext xmlns:c16="http://schemas.microsoft.com/office/drawing/2014/chart" uri="{C3380CC4-5D6E-409C-BE32-E72D297353CC}">
                  <c16:uniqueId val="{0000000A-61B6-4243-BBE6-A9C9804EDA55}"/>
                </c:ext>
              </c:extLst>
            </c:dLbl>
            <c:dLbl>
              <c:idx val="11"/>
              <c:layout/>
              <c:tx>
                <c:strRef>
                  <c:f>'Relative Value'!$G$256</c:f>
                  <c:strCache>
                    <c:ptCount val="1"/>
                    <c:pt idx="0">
                      <c:v>FANG</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{5531ACDA-7688-4262-88FE-01D925F0D4CE}</c15:txfldGUID>
                      <c15:f>'Relative Value'!$G$256</c15:f>
                      <c15:dlblFieldTableCache>
                        <c:ptCount val="1"/>
                        <c:pt idx="0">
                          <c:v>FANG</c:v>
                        </c:pt>
                      </c15:dlblFieldTableCache>
                    </c15:dlblFTEntry>
                  </c15:dlblFieldTable>
                  <c15:showDataLabelsRange val="0"/>
                </c:ext>
                <c:ext xmlns:c16="http://schemas.microsoft.com/office/drawing/2014/chart" uri="{C3380CC4-5D6E-409C-BE32-E72D297353CC}">
                  <c16:uniqueId val="{0000000B-61B6-4243-BBE6-A9C9804EDA55}"/>
                </c:ext>
              </c:extLst>
            </c:dLbl>
            <c:dLbl>
              <c:idx val="12"/>
              <c:layout/>
              <c:tx>
                <c:strRef>
                  <c:f>'Relative Value'!$G$257</c:f>
                  <c:strCache>
                    <c:ptCount val="1"/>
                    <c:pt idx="0">
                      <c:v>ECACN</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{44A996DA-D87D-4892-8032-DE794C7EB269}</c15:txfldGUID>
                      <c15:f>'Relative Value'!$G$257</c15:f>
                      <c15:dlblFieldTableCache>
                        <c:ptCount val="1"/>
                        <c:pt idx="0">
                          <c:v>ECACN</c:v>
                        </c:pt>
                      </c15:dlblFieldTableCache>
                    </c15:dlblFTEntry>
                  </c15:dlblFieldTable>
                  <c15:showDataLabelsRange val="0"/>
                </c:ext>
                <c:ext xmlns:c16="http://schemas.microsoft.com/office/drawing/2014/chart" uri="{C3380CC4-5D6E-409C-BE32-E72D297353CC}">
                  <c16:uniqueId val="{0000000C-61B6-4243-BBE6-A9C9804EDA55}"/>
                </c:ext>
              </c:extLst>
            </c:dLbl>
            <c:dLbl>
              <c:idx val="13"/>
              <c:layout>
                <c:manualLayout>
                  <c:x val="-6.2947067238912732E-2"/>
                  <c:y val="4.2908224076281198E-2"/>
                </c:manualLayout>
              </c:layout>
              <c:tx>
                <c:strRef>
                  <c:f>'Relative Value'!$G$258</c:f>
                  <c:strCache>
                    <c:ptCount val="1"/>
                    <c:pt idx="0">
                      <c:v>EOG</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{2B421A8F-33B0-4997-8252-D95E9B9A584A}</c15:txfldGUID>
                      <c15:f>'Relative Value'!$G$258</c15:f>
                      <c15:dlblFieldTableCache>
                        <c:ptCount val="1"/>
                        <c:pt idx="0">
                          <c:v>EOG</c:v>
                        </c:pt>
                      </c15:dlblFieldTableCache>
                    </c15:dlblFTEntry>
                  </c15:dlblFieldTable>
                  <c15:showDataLabelsRange val="0"/>
                </c:ext>
                <c:ext xmlns:c16="http://schemas.microsoft.com/office/drawing/2014/chart" uri="{C3380CC4-5D6E-409C-BE32-E72D297353CC}">
                  <c16:uniqueId val="{0000000D-61B6-4243-BBE6-A9C9804EDA55}"/>
                </c:ext>
              </c:extLst>
            </c:dLbl>
            <c:dLbl>
              <c:idx val="14"/>
              <c:tx>
                <c:strRef>
                  <c:f>'Relative Value'!$G$259</c:f>
                  <c:strCache>
                    <c:ptCount val="1"/>
                    <c:pt idx="0">
                      <c:v>EQT</c:v>
                    </c:pt>
                  </c:strCache>
                </c:strRef>
              </c:tx>
              <c:spPr>
                <a:noFill/>
                <a:ln>
                  <a:noFill/>
                </a:ln>
                <a:effectLst/>
              </c:spPr>
              <c:txPr>
                <a:bodyPr wrap="square" lIns="38100" tIns="19050" rIns="38100" bIns="19050" anchor="ctr">
                  <a:spAutoFit/>
                </a:bodyPr>
                <a:lstStyle/>
                <a:p>
                  <a:pPr>
                    <a:defRPr sz="800" b="0" i="0">
                      <a:solidFill>
                        <a:srgbClr val="333333"/>
                      </a:solidFill>
                      <a:latin typeface="Expert Sans Regular" panose="020B0503030103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{9C863345-75B1-4859-B9CC-69D6FC0DC20A}</c15:txfldGUID>
                      <c15:f>'Relative Value'!$G$259</c15:f>
                      <c15:dlblFieldTableCache>
                        <c:ptCount val="1"/>
                        <c:pt idx="0">
                          <c:v>EQT</c:v>
                        </c:pt>
                      </c15:dlblFieldTableCache>
                    </c15:dlblFTEntry>
                  </c15:dlblFieldTable>
                  <c15:showDataLabelsRange val="0"/>
                </c:ext>
                <c:ext xmlns:c16="http://schemas.microsoft.com/office/drawing/2014/chart" uri="{C3380CC4-5D6E-409C-BE32-E72D297353CC}">
                  <c16:uniqueId val="{0000000E-61B6-4243-BBE6-A9C9804EDA55}"/>
                </c:ext>
              </c:extLst>
            </c:dLbl>
            <c:dLbl>
              <c:idx val="15"/>
              <c:layout>
                <c:manualLayout>
                  <c:x val="-2.861230329041493E-2"/>
                  <c:y val="-3.3373063170441003E-2"/>
                </c:manualLayout>
              </c:layout>
              <c:tx>
                <c:strRef>
                  <c:f>'Relative Value'!$G$260</c:f>
                  <c:strCache>
                    <c:ptCount val="1"/>
                    <c:pt idx="0">
                      <c:v>HES</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{5AA1471C-B46E-4E81-97A8-C49D02F73BC8}</c15:txfldGUID>
                      <c15:f>'Relative Value'!$G$260</c15:f>
                      <c15:dlblFieldTableCache>
                        <c:ptCount val="1"/>
                        <c:pt idx="0">
                          <c:v>HES</c:v>
                        </c:pt>
                      </c15:dlblFieldTableCache>
                    </c15:dlblFTEntry>
                  </c15:dlblFieldTable>
                  <c15:showDataLabelsRange val="0"/>
                </c:ext>
                <c:ext xmlns:c16="http://schemas.microsoft.com/office/drawing/2014/chart" uri="{C3380CC4-5D6E-409C-BE32-E72D297353CC}">
                  <c16:uniqueId val="{0000000F-61B6-4243-BBE6-A9C9804EDA55}"/>
                </c:ext>
              </c:extLst>
            </c:dLbl>
            <c:dLbl>
              <c:idx val="16"/>
              <c:layout>
                <c:manualLayout>
                  <c:x val="-7.1530758226037203E-2"/>
                  <c:y val="-4.2908224076281289E-2"/>
                </c:manualLayout>
              </c:layout>
              <c:tx>
                <c:strRef>
                  <c:f>'Relative Value'!$G$261</c:f>
                  <c:strCache>
                    <c:ptCount val="1"/>
                    <c:pt idx="0">
                      <c:v>MRO</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{E6FD7831-6B3A-425E-BABA-066DB2C13610}</c15:txfldGUID>
                      <c15:f>'Relative Value'!$G$261</c15:f>
                      <c15:dlblFieldTableCache>
                        <c:ptCount val="1"/>
                        <c:pt idx="0">
                          <c:v>MRO</c:v>
                        </c:pt>
                      </c15:dlblFieldTableCache>
                    </c15:dlblFTEntry>
                  </c15:dlblFieldTable>
                  <c15:showDataLabelsRange val="0"/>
                </c:ext>
                <c:ext xmlns:c16="http://schemas.microsoft.com/office/drawing/2014/chart" uri="{C3380CC4-5D6E-409C-BE32-E72D297353CC}">
                  <c16:uniqueId val="{00000010-61B6-4243-BBE6-A9C9804EDA55}"/>
                </c:ext>
              </c:extLst>
            </c:dLbl>
            <c:dLbl>
              <c:idx val="17"/>
              <c:tx>
                <c:strRef>
                  <c:f>'Relative Value'!$G$262</c:f>
                  <c:strCache>
                    <c:ptCount val="1"/>
                  </c:strCache>
                </c:strRef>
              </c:tx>
              <c:spPr>
                <a:noFill/>
                <a:ln>
                  <a:noFill/>
                </a:ln>
                <a:effectLst/>
              </c:spPr>
              <c:txPr>
                <a:bodyPr wrap="square" lIns="38100" tIns="19050" rIns="38100" bIns="19050" anchor="ctr">
                  <a:spAutoFit/>
                </a:bodyPr>
                <a:lstStyle/>
                <a:p>
                  <a:pPr>
                    <a:defRPr sz="800" b="0" i="0">
                      <a:solidFill>
                        <a:srgbClr val="333333"/>
                      </a:solidFill>
                      <a:latin typeface="Expert Sans Regular" panose="020B0503030103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{6D331BEC-DE9C-4D6D-B884-5A674FDFD888}</c15:txfldGUID>
                      <c15:f>'Relative Value'!$G$262</c15:f>
                      <c15:dlblFieldTableCache>
                        <c:ptCount val="1"/>
                      </c15:dlblFieldTableCache>
                    </c15:dlblFTEntry>
                  </c15:dlblFieldTable>
                  <c15:showDataLabelsRange val="0"/>
                </c:ext>
                <c:ext xmlns:c16="http://schemas.microsoft.com/office/drawing/2014/chart" uri="{C3380CC4-5D6E-409C-BE32-E72D297353CC}">
                  <c16:uniqueId val="{00000011-61B6-4243-BBE6-A9C9804EDA55}"/>
                </c:ext>
              </c:extLst>
            </c:dLbl>
            <c:dLbl>
              <c:idx val="18"/>
              <c:tx>
                <c:strRef>
                  <c:f>'Relative Value'!$G$263</c:f>
                  <c:strCache>
                    <c:ptCount val="1"/>
                  </c:strCache>
                </c:strRef>
              </c:tx>
              <c:spPr>
                <a:noFill/>
                <a:ln>
                  <a:noFill/>
                </a:ln>
                <a:effectLst/>
              </c:spPr>
              <c:txPr>
                <a:bodyPr wrap="square" lIns="38100" tIns="19050" rIns="38100" bIns="19050" anchor="ctr">
                  <a:spAutoFit/>
                </a:bodyPr>
                <a:lstStyle/>
                <a:p>
                  <a:pPr>
                    <a:defRPr sz="800" b="0" i="0">
                      <a:solidFill>
                        <a:srgbClr val="333333"/>
                      </a:solidFill>
                      <a:latin typeface="Expert Sans Regular" panose="020B0503030103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{9FF02D2C-5E25-4084-BAF4-9846F5275D06}</c15:txfldGUID>
                      <c15:f>'Relative Value'!$G$263</c15:f>
                      <c15:dlblFieldTableCache>
                        <c:ptCount val="1"/>
                      </c15:dlblFieldTableCache>
                    </c15:dlblFTEntry>
                  </c15:dlblFieldTable>
                  <c15:showDataLabelsRange val="0"/>
                </c:ext>
                <c:ext xmlns:c16="http://schemas.microsoft.com/office/drawing/2014/chart" uri="{C3380CC4-5D6E-409C-BE32-E72D297353CC}">
                  <c16:uniqueId val="{00000012-61B6-4243-BBE6-A9C9804EDA55}"/>
                </c:ext>
              </c:extLst>
            </c:dLbl>
            <c:dLbl>
              <c:idx val="19"/>
              <c:layout/>
              <c:tx>
                <c:strRef>
                  <c:f>'Relative Value'!$G$264</c:f>
                  <c:strCache>
                    <c:ptCount val="1"/>
                    <c:pt idx="0">
                      <c:v>NBL</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{2FAFC696-BABE-43C4-84E5-C31BCC72C976}</c15:txfldGUID>
                      <c15:f>'Relative Value'!$G$264</c15:f>
                      <c15:dlblFieldTableCache>
                        <c:ptCount val="1"/>
                        <c:pt idx="0">
                          <c:v>NBL</c:v>
                        </c:pt>
                      </c15:dlblFieldTableCache>
                    </c15:dlblFTEntry>
                  </c15:dlblFieldTable>
                  <c15:showDataLabelsRange val="0"/>
                </c:ext>
                <c:ext xmlns:c16="http://schemas.microsoft.com/office/drawing/2014/chart" uri="{C3380CC4-5D6E-409C-BE32-E72D297353CC}">
                  <c16:uniqueId val="{00000013-61B6-4243-BBE6-A9C9804EDA55}"/>
                </c:ext>
              </c:extLst>
            </c:dLbl>
            <c:dLbl>
              <c:idx val="20"/>
              <c:tx>
                <c:strRef>
                  <c:f>'Relative Value'!$G$265</c:f>
                  <c:strCache>
                    <c:ptCount val="1"/>
                    <c:pt idx="0">
                      <c:v>OXY</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{19BC78A6-23D9-4A75-A54A-9305451AADB9}</c15:txfldGUID>
                      <c15:f>'Relative Value'!$G$265</c15:f>
                      <c15:dlblFieldTableCache>
                        <c:ptCount val="1"/>
                        <c:pt idx="0">
                          <c:v>OXY</c:v>
                        </c:pt>
                      </c15:dlblFieldTableCache>
                    </c15:dlblFTEntry>
                  </c15:dlblFieldTable>
                  <c15:showDataLabelsRange val="0"/>
                </c:ext>
                <c:ext xmlns:c16="http://schemas.microsoft.com/office/drawing/2014/chart" uri="{C3380CC4-5D6E-409C-BE32-E72D297353CC}">
                  <c16:uniqueId val="{00000014-61B6-4243-BBE6-A9C9804EDA55}"/>
                </c:ext>
              </c:extLst>
            </c:dLbl>
            <c:dLbl>
              <c:idx val="21"/>
              <c:layout/>
              <c:tx>
                <c:strRef>
                  <c:f>'Relative Value'!$G$266</c:f>
                  <c:strCache>
                    <c:ptCount val="1"/>
                    <c:pt idx="0">
                      <c:v>PXD</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{13407914-5087-4DC4-9F2B-321232BB7F30}</c15:txfldGUID>
                      <c15:f>'Relative Value'!$G$266</c15:f>
                      <c15:dlblFieldTableCache>
                        <c:ptCount val="1"/>
                        <c:pt idx="0">
                          <c:v>PXD</c:v>
                        </c:pt>
                      </c15:dlblFieldTableCache>
                    </c15:dlblFTEntry>
                  </c15:dlblFieldTable>
                  <c15:showDataLabelsRange val="0"/>
                </c:ext>
                <c:ext xmlns:c16="http://schemas.microsoft.com/office/drawing/2014/chart" uri="{C3380CC4-5D6E-409C-BE32-E72D297353CC}">
                  <c16:uniqueId val="{00000000-6D2B-4336-A989-284B10409B1F}"/>
                </c:ext>
              </c:extLst>
            </c:dLbl>
            <c:dLbl>
              <c:idx val="22"/>
              <c:tx>
                <c:strRef>
                  <c:f>'Relative Value'!$G$267</c:f>
                  <c:strCache>
                    <c:ptCount val="1"/>
                    <c:pt idx="0">
                      <c:v>SWN</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{45E8FE80-6029-4510-BABF-8D0E328E83C5}</c15:txfldGUID>
                      <c15:f>'Relative Value'!$G$267</c15:f>
                      <c15:dlblFieldTableCache>
                        <c:ptCount val="1"/>
                        <c:pt idx="0">
                          <c:v>SWN</c:v>
                        </c:pt>
                      </c15:dlblFieldTableCache>
                    </c15:dlblFTEntry>
                  </c15:dlblFieldTable>
                  <c15:showDataLabelsRange val="0"/>
                </c:ext>
                <c:ext xmlns:c16="http://schemas.microsoft.com/office/drawing/2014/chart" uri="{C3380CC4-5D6E-409C-BE32-E72D297353CC}">
                  <c16:uniqueId val="{00000001-6D2B-4336-A989-284B10409B1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'Relative Value'!$H$245:$H$267</c:f>
              <c:numCache>
                <c:formatCode>#,##0.0_);\(#,##0.0\)</c:formatCode>
                <c:ptCount val="23"/>
                <c:pt idx="1">
                  <c:v>3.4546271203913292</c:v>
                </c:pt>
                <c:pt idx="2">
                  <c:v>2.4331306527831082</c:v>
                </c:pt>
                <c:pt idx="3">
                  <c:v>1.958353328484848</c:v>
                </c:pt>
                <c:pt idx="4">
                  <c:v>2.367639050877365</c:v>
                </c:pt>
                <c:pt idx="6">
                  <c:v>1.2454853801749639</c:v>
                </c:pt>
                <c:pt idx="7">
                  <c:v>0.96164459941702662</c:v>
                </c:pt>
                <c:pt idx="8">
                  <c:v>1.8184020805942429</c:v>
                </c:pt>
                <c:pt idx="9">
                  <c:v>1.5024655157802067</c:v>
                </c:pt>
                <c:pt idx="10">
                  <c:v>1.7688573137933004</c:v>
                </c:pt>
                <c:pt idx="11">
                  <c:v>1.1996016234181932</c:v>
                </c:pt>
                <c:pt idx="12">
                  <c:v>2.0195405468309882</c:v>
                </c:pt>
                <c:pt idx="13">
                  <c:v>0.54843891139120926</c:v>
                </c:pt>
                <c:pt idx="14">
                  <c:v>4.0620759652295346</c:v>
                </c:pt>
                <c:pt idx="15">
                  <c:v>2.3068967819345043</c:v>
                </c:pt>
                <c:pt idx="16">
                  <c:v>1.6987124526391073</c:v>
                </c:pt>
                <c:pt idx="19">
                  <c:v>2.7539205164586971</c:v>
                </c:pt>
                <c:pt idx="20">
                  <c:v>5.6162535554369546</c:v>
                </c:pt>
                <c:pt idx="21">
                  <c:v>0.6720169562437166</c:v>
                </c:pt>
                <c:pt idx="22">
                  <c:v>3.6231532376334625</c:v>
                </c:pt>
              </c:numCache>
            </c:numRef>
          </c:xVal>
          <c:yVal>
            <c:numRef>
              <c:f>'Relative Value'!$J$245:$J$267</c:f>
              <c:numCache>
                <c:formatCode>#,##0_);\(#,##0\)</c:formatCode>
                <c:ptCount val="23"/>
                <c:pt idx="2">
                  <c:v>245.95618414041209</c:v>
                </c:pt>
                <c:pt idx="3">
                  <c:v>129.84803217821732</c:v>
                </c:pt>
                <c:pt idx="4">
                  <c:v>177.01453184518471</c:v>
                </c:pt>
                <c:pt idx="6">
                  <c:v>216.71581685868401</c:v>
                </c:pt>
                <c:pt idx="7">
                  <c:v>75.399391917808771</c:v>
                </c:pt>
                <c:pt idx="8">
                  <c:v>219.17749548154609</c:v>
                </c:pt>
                <c:pt idx="9">
                  <c:v>152.45070965796384</c:v>
                </c:pt>
                <c:pt idx="10">
                  <c:v>78.5673720547926</c:v>
                </c:pt>
                <c:pt idx="11">
                  <c:v>235.91893022785831</c:v>
                </c:pt>
                <c:pt idx="12">
                  <c:v>229.49554438355975</c:v>
                </c:pt>
                <c:pt idx="13">
                  <c:v>74.241928095891254</c:v>
                </c:pt>
                <c:pt idx="14">
                  <c:v>406.29099314131213</c:v>
                </c:pt>
                <c:pt idx="15">
                  <c:v>178.50419750674854</c:v>
                </c:pt>
                <c:pt idx="16">
                  <c:v>164.66107203420134</c:v>
                </c:pt>
                <c:pt idx="19">
                  <c:v>157.24649696669758</c:v>
                </c:pt>
                <c:pt idx="20">
                  <c:v>162.4804749144929</c:v>
                </c:pt>
                <c:pt idx="21">
                  <c:v>104.30100767123096</c:v>
                </c:pt>
              </c:numCache>
            </c:numRef>
          </c:yVal>
          <c:smooth val="0"/>
          <c:extLst>
            <c:ext xmlns:c16="http://schemas.microsoft.com/office/drawing/2014/chart" uri="{C3380CC4-5D6E-409C-BE32-E72D297353CC}">
              <c16:uniqueId val="{00000015-61B6-4243-BBE6-A9C9804EDA55}"/>
            </c:ext>
          </c:extLst>
        </c:ser>
        <c:dLbls>
          <c:showLegendKey val="0"/>
          <c:showVal val="0"/>
          <c:showCatName val="0"/>
          <c:showSerName val="0"/>
          <c:showPercent val="0"/>
          <c:showBubbleSize val="0"/>
        </c:dLbls>
        <c:axId val="1343799296"/>
        <c:axId val="1343800832"/>
      </c:scatterChart>
      <c:valAx>
        <c:axId val="1343799296"/>
        <c:scaling>
          <c:orientation val="minMax"/>
          <c:max val="3.5"/>
          <c:min val="0"/>
        </c:scaling>
        <c:delete val="0"/>
        <c:axPos val="b"/>
        <c:numFmt formatCode="#,##0.0_);\(#,##0.0\)" sourceLinked="1"/>
        <c:majorTickMark val="out"/>
        <c:minorTickMark val="none"/>
        <c:tickLblPos val="nextTo"/>
        <c:spPr>
          <a:ln w="12700">
            <a:solidFill>
              <a:srgbClr val="1E1E1E"/>
            </a:solidFill>
            <a:prstDash val="solid"/>
          </a:ln>
        </c:spPr>
        <c:txPr>
          <a:bodyPr/>
          <a:lstStyle/>
          <a:p>
            <a:pPr>
              <a:defRPr sz="800" b="0" i="0" u="none">
                <a:solidFill>
                  <a:srgbClr val="1E1E1E"/>
                </a:solidFill>
              </a:defRPr>
            </a:pPr>
            <a:endParaRPr lang="en-US"/>
          </a:p>
        </c:txPr>
        <c:crossAx val="1343800832"/>
        <c:crosses val="autoZero"/>
        <c:crossBetween val="midCat"/>
      </c:valAx>
      <c:valAx>
        <c:axId val="1343800832"/>
        <c:scaling>
          <c:orientation val="minMax"/>
          <c:max val="350"/>
        </c:scaling>
        <c:delete val="0"/>
        <c:axPos val="l"/>
        <c:numFmt formatCode="#,##0" sourceLinked="0"/>
        <c:majorTickMark val="out"/>
        <c:minorTickMark val="none"/>
        <c:tickLblPos val="nextTo"/>
        <c:spPr>
          <a:ln w="12700">
            <a:solidFill>
              <a:srgbClr val="1E1E1E"/>
            </a:solidFill>
            <a:prstDash val="solid"/>
          </a:ln>
        </c:spPr>
        <c:txPr>
          <a:bodyPr/>
          <a:lstStyle/>
          <a:p>
            <a:pPr>
              <a:defRPr sz="800" b="0" i="0" u="none">
                <a:solidFill>
                  <a:srgbClr val="1E1E1E"/>
                </a:solidFill>
              </a:defRPr>
            </a:pPr>
            <a:endParaRPr lang="en-US"/>
          </a:p>
        </c:txPr>
        <c:crossAx val="1343799296"/>
        <c:crossesAt val="-5"/>
        <c:crossBetween val="midCat"/>
        <c:majorUnit val="50"/>
      </c:valAx>
      <c:spPr>
        <a:solidFill>
          <a:srgbClr val="FFFFFF"/>
        </a:solidFill>
        <a:ln w="25400">
          <a:noFill/>
        </a:ln>
      </c:spPr>
    </c:plotArea>
    <c:plotVisOnly val="1"/>
    <c:dispBlanksAs val="gap"/>
    <c:showDLblsOverMax val="0"/>
  </c:chart>
  <c:spPr>
    <a:solidFill>
      <a:srgbClr val="FFFFFF"/>
    </a:solidFill>
    <a:ln w="25400">
      <a:noFill/>
    </a:ln>
  </c:spPr>
  <c:txPr>
    <a:bodyPr/>
    <a:lstStyle/>
    <a:p>
      <a:pPr>
        <a:defRPr sz="800">
          <a:solidFill>
            <a:srgbClr val="1E1E1E"/>
          </a:solidFill>
          <a:latin typeface="Expert Sans Regular"/>
          <a:ea typeface="Expert Sans Regular"/>
          <a:cs typeface="Expert Sans Regular"/>
        </a:defRPr>
      </a:pPr>
      <a:endParaRPr lang="en-US"/>
    </a:p>
  </c:txPr>
  <c:printSettings>
    <c:headerFooter/>
    <c:pageMargins b="0.75000000000001465" l="0.70000000000000062" r="0.70000000000000062" t="0.75000000000001465" header="0.30000000000000032" footer="0.30000000000000032"/>
    <c:pageSetup paperSize="8"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92511236524617E-2"/>
          <c:y val="4.6994078064437415E-2"/>
          <c:w val="0.87282822479808353"/>
          <c:h val="0.86570288964177622"/>
        </c:manualLayout>
      </c:layout>
      <c:scatterChart>
        <c:scatterStyle val="lineMarker"/>
        <c:varyColors val="0"/>
        <c:ser>
          <c:idx val="0"/>
          <c:order val="0"/>
          <c:spPr>
            <a:ln w="28575">
              <a:noFill/>
            </a:ln>
          </c:spPr>
          <c:marker>
            <c:symbol val="diamond"/>
            <c:size val="6"/>
          </c:marker>
          <c:dLbls>
            <c:dLbl>
              <c:idx val="0"/>
              <c:tx>
                <c:strRef>
                  <c:f>'Relative Value'!$G$245</c:f>
                  <c:strCache>
                    <c:ptCount val="1"/>
                  </c:strCache>
                </c:strRef>
              </c:tx>
              <c:spPr>
                <a:noFill/>
                <a:ln>
                  <a:noFill/>
                </a:ln>
                <a:effectLst/>
              </c:spPr>
              <c:txPr>
                <a:bodyPr wrap="square" lIns="38100" tIns="19050" rIns="38100" bIns="19050" anchor="ctr">
                  <a:spAutoFit/>
                </a:bodyPr>
                <a:lstStyle/>
                <a:p>
                  <a:pPr>
                    <a:defRPr sz="800" b="0" i="0">
                      <a:solidFill>
                        <a:srgbClr val="333333"/>
                      </a:solidFill>
                      <a:latin typeface="Expert Sans Regular" panose="020B0503030103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{45390B46-DF25-4884-AF53-45F345627D1E}</c15:txfldGUID>
                      <c15:f>'Relative Value'!$G$245</c15:f>
                      <c15:dlblFieldTableCache>
                        <c:ptCount val="1"/>
                      </c15:dlblFieldTableCache>
                    </c15:dlblFTEntry>
                  </c15:dlblFieldTable>
                  <c15:showDataLabelsRange val="0"/>
                </c:ext>
                <c:ext xmlns:c16="http://schemas.microsoft.com/office/drawing/2014/chart" uri="{C3380CC4-5D6E-409C-BE32-E72D297353CC}">
                  <c16:uniqueId val="{00000000-8BF7-44D4-B1E8-CA5F835C720F}"/>
                </c:ext>
              </c:extLst>
            </c:dLbl>
            <c:dLbl>
              <c:idx val="1"/>
              <c:tx>
                <c:strRef>
                  <c:f>'Relative Value'!$G$246</c:f>
                  <c:strCache>
                    <c:ptCount val="1"/>
                    <c:pt idx="0">
                      <c:v>AR</c:v>
                    </c:pt>
                  </c:strCache>
                </c:strRef>
              </c:tx>
              <c:spPr>
                <a:noFill/>
                <a:ln>
                  <a:noFill/>
                </a:ln>
                <a:effectLst/>
              </c:spPr>
              <c:txPr>
                <a:bodyPr wrap="square" lIns="38100" tIns="19050" rIns="38100" bIns="19050" anchor="ctr">
                  <a:spAutoFit/>
                </a:bodyPr>
                <a:lstStyle/>
                <a:p>
                  <a:pPr>
                    <a:defRPr sz="800" b="0" i="0">
                      <a:solidFill>
                        <a:srgbClr val="333333"/>
                      </a:solidFill>
                      <a:latin typeface="Expert Sans Regular" panose="020B0503030103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{20BABB8F-2B04-4EBF-A893-8C928355E46F}</c15:txfldGUID>
                      <c15:f>'Relative Value'!$G$246</c15:f>
                      <c15:dlblFieldTableCache>
                        <c:ptCount val="1"/>
                        <c:pt idx="0">
                          <c:v>AR</c:v>
                        </c:pt>
                      </c15:dlblFieldTableCache>
                    </c15:dlblFTEntry>
                  </c15:dlblFieldTable>
                  <c15:showDataLabelsRange val="0"/>
                </c:ext>
                <c:ext xmlns:c16="http://schemas.microsoft.com/office/drawing/2014/chart" uri="{C3380CC4-5D6E-409C-BE32-E72D297353CC}">
                  <c16:uniqueId val="{00000001-8BF7-44D4-B1E8-CA5F835C720F}"/>
                </c:ext>
              </c:extLst>
            </c:dLbl>
            <c:dLbl>
              <c:idx val="2"/>
              <c:tx>
                <c:strRef>
                  <c:f>'Relative Value'!$G$247</c:f>
                  <c:strCache>
                    <c:ptCount val="1"/>
                    <c:pt idx="0">
                      <c:v>APA</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{CBD52C16-9BF1-47BC-87FF-23E42A1C4CB9}</c15:txfldGUID>
                      <c15:f>'Relative Value'!$G$247</c15:f>
                      <c15:dlblFieldTableCache>
                        <c:ptCount val="1"/>
                        <c:pt idx="0">
                          <c:v>APA</c:v>
                        </c:pt>
                      </c15:dlblFieldTableCache>
                    </c15:dlblFTEntry>
                  </c15:dlblFieldTable>
                  <c15:showDataLabelsRange val="0"/>
                </c:ext>
                <c:ext xmlns:c16="http://schemas.microsoft.com/office/drawing/2014/chart" uri="{C3380CC4-5D6E-409C-BE32-E72D297353CC}">
                  <c16:uniqueId val="{00000002-8BF7-44D4-B1E8-CA5F835C720F}"/>
                </c:ext>
              </c:extLst>
            </c:dLbl>
            <c:dLbl>
              <c:idx val="3"/>
              <c:tx>
                <c:strRef>
                  <c:f>'Relative Value'!$G$248</c:f>
                  <c:strCache>
                    <c:ptCount val="1"/>
                    <c:pt idx="0">
                      <c:v>CNQCN</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{C3DEE612-5008-4CA8-BAFB-A7BD8BC112AC}</c15:txfldGUID>
                      <c15:f>'Relative Value'!$G$248</c15:f>
                      <c15:dlblFieldTableCache>
                        <c:ptCount val="1"/>
                        <c:pt idx="0">
                          <c:v>CNQCN</c:v>
                        </c:pt>
                      </c15:dlblFieldTableCache>
                    </c15:dlblFTEntry>
                  </c15:dlblFieldTable>
                  <c15:showDataLabelsRange val="0"/>
                </c:ext>
                <c:ext xmlns:c16="http://schemas.microsoft.com/office/drawing/2014/chart" uri="{C3380CC4-5D6E-409C-BE32-E72D297353CC}">
                  <c16:uniqueId val="{00000003-8BF7-44D4-B1E8-CA5F835C720F}"/>
                </c:ext>
              </c:extLst>
            </c:dLbl>
            <c:dLbl>
              <c:idx val="4"/>
              <c:layout>
                <c:manualLayout>
                  <c:x val="-2.0028612303290467E-2"/>
                  <c:y val="3.3373063170440913E-2"/>
                </c:manualLayout>
              </c:layout>
              <c:tx>
                <c:strRef>
                  <c:f>'Relative Value'!$G$249</c:f>
                  <c:strCache>
                    <c:ptCount val="1"/>
                    <c:pt idx="0">
                      <c:v>CVECN</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{E9523BB0-231D-486A-82DE-EAD3BDE574B1}</c15:txfldGUID>
                      <c15:f>'Relative Value'!$G$249</c15:f>
                      <c15:dlblFieldTableCache>
                        <c:ptCount val="1"/>
                        <c:pt idx="0">
                          <c:v>CVECN</c:v>
                        </c:pt>
                      </c15:dlblFieldTableCache>
                    </c15:dlblFTEntry>
                  </c15:dlblFieldTable>
                  <c15:showDataLabelsRange val="0"/>
                </c:ext>
                <c:ext xmlns:c16="http://schemas.microsoft.com/office/drawing/2014/chart" uri="{C3380CC4-5D6E-409C-BE32-E72D297353CC}">
                  <c16:uniqueId val="{00000004-8BF7-44D4-B1E8-CA5F835C720F}"/>
                </c:ext>
              </c:extLst>
            </c:dLbl>
            <c:dLbl>
              <c:idx val="5"/>
              <c:tx>
                <c:strRef>
                  <c:f>'Relative Value'!$G$250</c:f>
                  <c:strCache>
                    <c:ptCount val="1"/>
                  </c:strCache>
                </c:strRef>
              </c:tx>
              <c:spPr>
                <a:noFill/>
                <a:ln>
                  <a:noFill/>
                </a:ln>
                <a:effectLst/>
              </c:spPr>
              <c:txPr>
                <a:bodyPr wrap="square" lIns="38100" tIns="19050" rIns="38100" bIns="19050" anchor="ctr">
                  <a:spAutoFit/>
                </a:bodyPr>
                <a:lstStyle/>
                <a:p>
                  <a:pPr>
                    <a:defRPr sz="800" b="0" i="0">
                      <a:solidFill>
                        <a:srgbClr val="333333"/>
                      </a:solidFill>
                      <a:latin typeface="Expert Sans Regular" panose="020B0503030103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{96A968C7-93EC-4001-B850-5D7A29A9063D}</c15:txfldGUID>
                      <c15:f>'Relative Value'!$G$250</c15:f>
                      <c15:dlblFieldTableCache>
                        <c:ptCount val="1"/>
                      </c15:dlblFieldTableCache>
                    </c15:dlblFTEntry>
                  </c15:dlblFieldTable>
                  <c15:showDataLabelsRange val="0"/>
                </c:ext>
                <c:ext xmlns:c16="http://schemas.microsoft.com/office/drawing/2014/chart" uri="{C3380CC4-5D6E-409C-BE32-E72D297353CC}">
                  <c16:uniqueId val="{00000005-8BF7-44D4-B1E8-CA5F835C720F}"/>
                </c:ext>
              </c:extLst>
            </c:dLbl>
            <c:dLbl>
              <c:idx val="6"/>
              <c:tx>
                <c:strRef>
                  <c:f>'Relative Value'!$G$251</c:f>
                  <c:strCache>
                    <c:ptCount val="1"/>
                    <c:pt idx="0">
                      <c:v>XEC</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{984F4E65-E6B2-4D42-AEDA-8897659658DA}</c15:txfldGUID>
                      <c15:f>'Relative Value'!$G$251</c15:f>
                      <c15:dlblFieldTableCache>
                        <c:ptCount val="1"/>
                        <c:pt idx="0">
                          <c:v>XEC</c:v>
                        </c:pt>
                      </c15:dlblFieldTableCache>
                    </c15:dlblFTEntry>
                  </c15:dlblFieldTable>
                  <c15:showDataLabelsRange val="0"/>
                </c:ext>
                <c:ext xmlns:c16="http://schemas.microsoft.com/office/drawing/2014/chart" uri="{C3380CC4-5D6E-409C-BE32-E72D297353CC}">
                  <c16:uniqueId val="{00000006-8BF7-44D4-B1E8-CA5F835C720F}"/>
                </c:ext>
              </c:extLst>
            </c:dLbl>
            <c:dLbl>
              <c:idx val="7"/>
              <c:tx>
                <c:strRef>
                  <c:f>'Relative Value'!$G$252</c:f>
                  <c:strCache>
                    <c:ptCount val="1"/>
                    <c:pt idx="0">
                      <c:v>COP</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{CC9C5470-A36E-493C-B02D-B50B5C459541}</c15:txfldGUID>
                      <c15:f>'Relative Value'!$G$252</c15:f>
                      <c15:dlblFieldTableCache>
                        <c:ptCount val="1"/>
                        <c:pt idx="0">
                          <c:v>COP</c:v>
                        </c:pt>
                      </c15:dlblFieldTableCache>
                    </c15:dlblFTEntry>
                  </c15:dlblFieldTable>
                  <c15:showDataLabelsRange val="0"/>
                </c:ext>
                <c:ext xmlns:c16="http://schemas.microsoft.com/office/drawing/2014/chart" uri="{C3380CC4-5D6E-409C-BE32-E72D297353CC}">
                  <c16:uniqueId val="{00000007-8BF7-44D4-B1E8-CA5F835C720F}"/>
                </c:ext>
              </c:extLst>
            </c:dLbl>
            <c:dLbl>
              <c:idx val="8"/>
              <c:tx>
                <c:strRef>
                  <c:f>'Relative Value'!$G$253</c:f>
                  <c:strCache>
                    <c:ptCount val="1"/>
                    <c:pt idx="0">
                      <c:v>CLR</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{A4FA6E02-571E-4471-A261-35F3D42F8649}</c15:txfldGUID>
                      <c15:f>'Relative Value'!$G$253</c15:f>
                      <c15:dlblFieldTableCache>
                        <c:ptCount val="1"/>
                        <c:pt idx="0">
                          <c:v>CLR</c:v>
                        </c:pt>
                      </c15:dlblFieldTableCache>
                    </c15:dlblFTEntry>
                  </c15:dlblFieldTable>
                  <c15:showDataLabelsRange val="0"/>
                </c:ext>
                <c:ext xmlns:c16="http://schemas.microsoft.com/office/drawing/2014/chart" uri="{C3380CC4-5D6E-409C-BE32-E72D297353CC}">
                  <c16:uniqueId val="{00000008-8BF7-44D4-B1E8-CA5F835C720F}"/>
                </c:ext>
              </c:extLst>
            </c:dLbl>
            <c:dLbl>
              <c:idx val="9"/>
              <c:layout>
                <c:manualLayout>
                  <c:x val="-9.4420600858369105E-2"/>
                  <c:y val="-4.2908224076281289E-2"/>
                </c:manualLayout>
              </c:layout>
              <c:tx>
                <c:strRef>
                  <c:f>'Relative Value'!$G$254</c:f>
                  <c:strCache>
                    <c:ptCount val="1"/>
                    <c:pt idx="0">
                      <c:v>CXO</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{9E2E8E76-F1B5-447A-A80B-B9F46006F5DD}</c15:txfldGUID>
                      <c15:f>'Relative Value'!$G$254</c15:f>
                      <c15:dlblFieldTableCache>
                        <c:ptCount val="1"/>
                        <c:pt idx="0">
                          <c:v>CXO</c:v>
                        </c:pt>
                      </c15:dlblFieldTableCache>
                    </c15:dlblFTEntry>
                  </c15:dlblFieldTable>
                  <c15:showDataLabelsRange val="0"/>
                </c:ext>
                <c:ext xmlns:c16="http://schemas.microsoft.com/office/drawing/2014/chart" uri="{C3380CC4-5D6E-409C-BE32-E72D297353CC}">
                  <c16:uniqueId val="{00000009-8BF7-44D4-B1E8-CA5F835C720F}"/>
                </c:ext>
              </c:extLst>
            </c:dLbl>
            <c:dLbl>
              <c:idx val="10"/>
              <c:layout>
                <c:manualLayout>
                  <c:x val="-8.5836909871244635E-3"/>
                  <c:y val="-4.2908224076281289E-2"/>
                </c:manualLayout>
              </c:layout>
              <c:tx>
                <c:strRef>
                  <c:f>'Relative Value'!$G$255</c:f>
                  <c:strCache>
                    <c:ptCount val="1"/>
                    <c:pt idx="0">
                      <c:v>DVN</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{6D6A567A-EE34-4628-AF9D-9C4186FEC1A0}</c15:txfldGUID>
                      <c15:f>'Relative Value'!$G$255</c15:f>
                      <c15:dlblFieldTableCache>
                        <c:ptCount val="1"/>
                        <c:pt idx="0">
                          <c:v>DVN</c:v>
                        </c:pt>
                      </c15:dlblFieldTableCache>
                    </c15:dlblFTEntry>
                  </c15:dlblFieldTable>
                  <c15:showDataLabelsRange val="0"/>
                </c:ext>
                <c:ext xmlns:c16="http://schemas.microsoft.com/office/drawing/2014/chart" uri="{C3380CC4-5D6E-409C-BE32-E72D297353CC}">
                  <c16:uniqueId val="{0000000A-8BF7-44D4-B1E8-CA5F835C720F}"/>
                </c:ext>
              </c:extLst>
            </c:dLbl>
            <c:dLbl>
              <c:idx val="11"/>
              <c:tx>
                <c:strRef>
                  <c:f>'Relative Value'!$G$256</c:f>
                  <c:strCache>
                    <c:ptCount val="1"/>
                    <c:pt idx="0">
                      <c:v>FANG</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{7C53FB44-FC16-4FFA-9907-8CDA599385DC}</c15:txfldGUID>
                      <c15:f>'Relative Value'!$G$256</c15:f>
                      <c15:dlblFieldTableCache>
                        <c:ptCount val="1"/>
                        <c:pt idx="0">
                          <c:v>FANG</c:v>
                        </c:pt>
                      </c15:dlblFieldTableCache>
                    </c15:dlblFTEntry>
                  </c15:dlblFieldTable>
                  <c15:showDataLabelsRange val="0"/>
                </c:ext>
                <c:ext xmlns:c16="http://schemas.microsoft.com/office/drawing/2014/chart" uri="{C3380CC4-5D6E-409C-BE32-E72D297353CC}">
                  <c16:uniqueId val="{0000000B-8BF7-44D4-B1E8-CA5F835C720F}"/>
                </c:ext>
              </c:extLst>
            </c:dLbl>
            <c:dLbl>
              <c:idx val="12"/>
              <c:layout>
                <c:manualLayout>
                  <c:x val="-7.1530758226037244E-2"/>
                  <c:y val="-6.197854588796186E-2"/>
                </c:manualLayout>
              </c:layout>
              <c:tx>
                <c:strRef>
                  <c:f>'Relative Value'!$G$257</c:f>
                  <c:strCache>
                    <c:ptCount val="1"/>
                    <c:pt idx="0">
                      <c:v>ECACN</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{EB098370-BD30-4B6A-A35B-30845335C7F4}</c15:txfldGUID>
                      <c15:f>'Relative Value'!$G$257</c15:f>
                      <c15:dlblFieldTableCache>
                        <c:ptCount val="1"/>
                        <c:pt idx="0">
                          <c:v>ECACN</c:v>
                        </c:pt>
                      </c15:dlblFieldTableCache>
                    </c15:dlblFTEntry>
                  </c15:dlblFieldTable>
                  <c15:showDataLabelsRange val="0"/>
                </c:ext>
                <c:ext xmlns:c16="http://schemas.microsoft.com/office/drawing/2014/chart" uri="{C3380CC4-5D6E-409C-BE32-E72D297353CC}">
                  <c16:uniqueId val="{0000000C-8BF7-44D4-B1E8-CA5F835C720F}"/>
                </c:ext>
              </c:extLst>
            </c:dLbl>
            <c:dLbl>
              <c:idx val="13"/>
              <c:tx>
                <c:strRef>
                  <c:f>'Relative Value'!$G$258</c:f>
                  <c:strCache>
                    <c:ptCount val="1"/>
                    <c:pt idx="0">
                      <c:v>EOG</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{F84FDC35-9EFB-467A-BE44-FB731B6BB5A8}</c15:txfldGUID>
                      <c15:f>'Relative Value'!$G$258</c15:f>
                      <c15:dlblFieldTableCache>
                        <c:ptCount val="1"/>
                        <c:pt idx="0">
                          <c:v>EOG</c:v>
                        </c:pt>
                      </c15:dlblFieldTableCache>
                    </c15:dlblFTEntry>
                  </c15:dlblFieldTable>
                  <c15:showDataLabelsRange val="0"/>
                </c:ext>
                <c:ext xmlns:c16="http://schemas.microsoft.com/office/drawing/2014/chart" uri="{C3380CC4-5D6E-409C-BE32-E72D297353CC}">
                  <c16:uniqueId val="{0000000D-8BF7-44D4-B1E8-CA5F835C720F}"/>
                </c:ext>
              </c:extLst>
            </c:dLbl>
            <c:dLbl>
              <c:idx val="14"/>
              <c:tx>
                <c:strRef>
                  <c:f>'Relative Value'!$G$259</c:f>
                  <c:strCache>
                    <c:ptCount val="1"/>
                    <c:pt idx="0">
                      <c:v>EQT</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{F3239F03-0B5F-4320-B0E3-5CC6222A5BFE}</c15:txfldGUID>
                      <c15:f>'Relative Value'!$G$259</c15:f>
                      <c15:dlblFieldTableCache>
                        <c:ptCount val="1"/>
                        <c:pt idx="0">
                          <c:v>EQT</c:v>
                        </c:pt>
                      </c15:dlblFieldTableCache>
                    </c15:dlblFTEntry>
                  </c15:dlblFieldTable>
                  <c15:showDataLabelsRange val="0"/>
                </c:ext>
                <c:ext xmlns:c16="http://schemas.microsoft.com/office/drawing/2014/chart" uri="{C3380CC4-5D6E-409C-BE32-E72D297353CC}">
                  <c16:uniqueId val="{0000000E-8BF7-44D4-B1E8-CA5F835C720F}"/>
                </c:ext>
              </c:extLst>
            </c:dLbl>
            <c:dLbl>
              <c:idx val="15"/>
              <c:tx>
                <c:strRef>
                  <c:f>'Relative Value'!$G$260</c:f>
                  <c:strCache>
                    <c:ptCount val="1"/>
                    <c:pt idx="0">
                      <c:v>HES</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{E6A9FB84-749E-4E49-A626-831F01C07CA2}</c15:txfldGUID>
                      <c15:f>'Relative Value'!$G$260</c15:f>
                      <c15:dlblFieldTableCache>
                        <c:ptCount val="1"/>
                        <c:pt idx="0">
                          <c:v>HES</c:v>
                        </c:pt>
                      </c15:dlblFieldTableCache>
                    </c15:dlblFTEntry>
                  </c15:dlblFieldTable>
                  <c15:showDataLabelsRange val="0"/>
                </c:ext>
                <c:ext xmlns:c16="http://schemas.microsoft.com/office/drawing/2014/chart" uri="{C3380CC4-5D6E-409C-BE32-E72D297353CC}">
                  <c16:uniqueId val="{0000000F-8BF7-44D4-B1E8-CA5F835C720F}"/>
                </c:ext>
              </c:extLst>
            </c:dLbl>
            <c:dLbl>
              <c:idx val="16"/>
              <c:tx>
                <c:strRef>
                  <c:f>'Relative Value'!$G$261</c:f>
                  <c:strCache>
                    <c:ptCount val="1"/>
                    <c:pt idx="0">
                      <c:v>MRO</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{04BD3784-1633-4769-BCCF-121130396C94}</c15:txfldGUID>
                      <c15:f>'Relative Value'!$G$261</c15:f>
                      <c15:dlblFieldTableCache>
                        <c:ptCount val="1"/>
                        <c:pt idx="0">
                          <c:v>MRO</c:v>
                        </c:pt>
                      </c15:dlblFieldTableCache>
                    </c15:dlblFTEntry>
                  </c15:dlblFieldTable>
                  <c15:showDataLabelsRange val="0"/>
                </c:ext>
                <c:ext xmlns:c16="http://schemas.microsoft.com/office/drawing/2014/chart" uri="{C3380CC4-5D6E-409C-BE32-E72D297353CC}">
                  <c16:uniqueId val="{00000010-8BF7-44D4-B1E8-CA5F835C720F}"/>
                </c:ext>
              </c:extLst>
            </c:dLbl>
            <c:dLbl>
              <c:idx val="17"/>
              <c:tx>
                <c:strRef>
                  <c:f>'Relative Value'!$G$262</c:f>
                  <c:strCache>
                    <c:ptCount val="1"/>
                  </c:strCache>
                </c:strRef>
              </c:tx>
              <c:spPr>
                <a:noFill/>
                <a:ln>
                  <a:noFill/>
                </a:ln>
                <a:effectLst/>
              </c:spPr>
              <c:txPr>
                <a:bodyPr wrap="square" lIns="38100" tIns="19050" rIns="38100" bIns="19050" anchor="ctr">
                  <a:spAutoFit/>
                </a:bodyPr>
                <a:lstStyle/>
                <a:p>
                  <a:pPr>
                    <a:defRPr sz="800" b="0" i="0">
                      <a:solidFill>
                        <a:srgbClr val="333333"/>
                      </a:solidFill>
                      <a:latin typeface="Expert Sans Regular" panose="020B0503030103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{001D22CD-779A-4A26-9DA2-5D7CA9B8212A}</c15:txfldGUID>
                      <c15:f>'Relative Value'!$G$262</c15:f>
                      <c15:dlblFieldTableCache>
                        <c:ptCount val="1"/>
                      </c15:dlblFieldTableCache>
                    </c15:dlblFTEntry>
                  </c15:dlblFieldTable>
                  <c15:showDataLabelsRange val="0"/>
                </c:ext>
                <c:ext xmlns:c16="http://schemas.microsoft.com/office/drawing/2014/chart" uri="{C3380CC4-5D6E-409C-BE32-E72D297353CC}">
                  <c16:uniqueId val="{00000011-8BF7-44D4-B1E8-CA5F835C720F}"/>
                </c:ext>
              </c:extLst>
            </c:dLbl>
            <c:dLbl>
              <c:idx val="18"/>
              <c:tx>
                <c:strRef>
                  <c:f>'Relative Value'!$G$263</c:f>
                  <c:strCache>
                    <c:ptCount val="1"/>
                  </c:strCache>
                </c:strRef>
              </c:tx>
              <c:spPr>
                <a:noFill/>
                <a:ln>
                  <a:noFill/>
                </a:ln>
                <a:effectLst/>
              </c:spPr>
              <c:txPr>
                <a:bodyPr wrap="square" lIns="38100" tIns="19050" rIns="38100" bIns="19050" anchor="ctr">
                  <a:spAutoFit/>
                </a:bodyPr>
                <a:lstStyle/>
                <a:p>
                  <a:pPr>
                    <a:defRPr sz="800" b="0" i="0">
                      <a:solidFill>
                        <a:srgbClr val="333333"/>
                      </a:solidFill>
                      <a:latin typeface="Expert Sans Regular" panose="020B0503030103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{A92188A6-6E11-4B18-BAE0-34F5386D2106}</c15:txfldGUID>
                      <c15:f>'Relative Value'!$G$263</c15:f>
                      <c15:dlblFieldTableCache>
                        <c:ptCount val="1"/>
                      </c15:dlblFieldTableCache>
                    </c15:dlblFTEntry>
                  </c15:dlblFieldTable>
                  <c15:showDataLabelsRange val="0"/>
                </c:ext>
                <c:ext xmlns:c16="http://schemas.microsoft.com/office/drawing/2014/chart" uri="{C3380CC4-5D6E-409C-BE32-E72D297353CC}">
                  <c16:uniqueId val="{00000012-8BF7-44D4-B1E8-CA5F835C720F}"/>
                </c:ext>
              </c:extLst>
            </c:dLbl>
            <c:dLbl>
              <c:idx val="19"/>
              <c:tx>
                <c:strRef>
                  <c:f>'Relative Value'!$G$264</c:f>
                  <c:strCache>
                    <c:ptCount val="1"/>
                    <c:pt idx="0">
                      <c:v>NBL</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{0A1D0719-E1DA-4C66-A6A4-0258483293B6}</c15:txfldGUID>
                      <c15:f>'Relative Value'!$G$264</c15:f>
                      <c15:dlblFieldTableCache>
                        <c:ptCount val="1"/>
                        <c:pt idx="0">
                          <c:v>NBL</c:v>
                        </c:pt>
                      </c15:dlblFieldTableCache>
                    </c15:dlblFTEntry>
                  </c15:dlblFieldTable>
                  <c15:showDataLabelsRange val="0"/>
                </c:ext>
                <c:ext xmlns:c16="http://schemas.microsoft.com/office/drawing/2014/chart" uri="{C3380CC4-5D6E-409C-BE32-E72D297353CC}">
                  <c16:uniqueId val="{00000013-8BF7-44D4-B1E8-CA5F835C720F}"/>
                </c:ext>
              </c:extLst>
            </c:dLbl>
            <c:dLbl>
              <c:idx val="20"/>
              <c:tx>
                <c:strRef>
                  <c:f>'Relative Value'!$G$265</c:f>
                  <c:strCache>
                    <c:ptCount val="1"/>
                    <c:pt idx="0">
                      <c:v>OXY</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{F16112C0-1DD0-4097-A067-2715BF3D4652}</c15:txfldGUID>
                      <c15:f>'Relative Value'!$G$265</c15:f>
                      <c15:dlblFieldTableCache>
                        <c:ptCount val="1"/>
                        <c:pt idx="0">
                          <c:v>OXY</c:v>
                        </c:pt>
                      </c15:dlblFieldTableCache>
                    </c15:dlblFTEntry>
                  </c15:dlblFieldTable>
                  <c15:showDataLabelsRange val="0"/>
                </c:ext>
                <c:ext xmlns:c16="http://schemas.microsoft.com/office/drawing/2014/chart" uri="{C3380CC4-5D6E-409C-BE32-E72D297353CC}">
                  <c16:uniqueId val="{00000014-8BF7-44D4-B1E8-CA5F835C720F}"/>
                </c:ext>
              </c:extLst>
            </c:dLbl>
            <c:dLbl>
              <c:idx val="21"/>
              <c:tx>
                <c:strRef>
                  <c:f>'Relative Value'!$G$266</c:f>
                  <c:strCache>
                    <c:ptCount val="1"/>
                    <c:pt idx="0">
                      <c:v>PXD</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{F0C98A2F-B5FE-4856-92F3-D91904D911EC}</c15:txfldGUID>
                      <c15:f>'Relative Value'!$G$266</c15:f>
                      <c15:dlblFieldTableCache>
                        <c:ptCount val="1"/>
                        <c:pt idx="0">
                          <c:v>PXD</c:v>
                        </c:pt>
                      </c15:dlblFieldTableCache>
                    </c15:dlblFTEntry>
                  </c15:dlblFieldTable>
                  <c15:showDataLabelsRange val="0"/>
                </c:ext>
                <c:ext xmlns:c16="http://schemas.microsoft.com/office/drawing/2014/chart" uri="{C3380CC4-5D6E-409C-BE32-E72D297353CC}">
                  <c16:uniqueId val="{00000000-E728-4A11-9742-17B0FA87CEA7}"/>
                </c:ext>
              </c:extLst>
            </c:dLbl>
            <c:dLbl>
              <c:idx val="22"/>
              <c:tx>
                <c:strRef>
                  <c:f>'Relative Value'!$G$267</c:f>
                  <c:strCache>
                    <c:ptCount val="1"/>
                    <c:pt idx="0">
                      <c:v>SWN</c:v>
                    </c:pt>
                  </c:strCache>
                </c:strRef>
              </c:tx>
              <c:spPr>
                <a:noFill/>
                <a:ln>
                  <a:noFill/>
                </a:ln>
                <a:effectLst/>
              </c:spPr>
              <c:txPr>
                <a:bodyPr wrap="square" lIns="38100" tIns="19050" rIns="38100" bIns="19050" anchor="ctr">
                  <a:spAutoFit/>
                </a:bodyPr>
                <a:lstStyle/>
                <a:p>
                  <a:pPr>
                    <a:defRPr sz="800" b="0" i="0">
                      <a:solidFill>
                        <a:srgbClr val="333333"/>
                      </a:solidFill>
                      <a:latin typeface="Expert Sans Regular" panose="020B0503030103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{4559A2E8-BFCD-4A66-B593-F36C6FF97A85}</c15:txfldGUID>
                      <c15:f>'Relative Value'!$G$267</c15:f>
                      <c15:dlblFieldTableCache>
                        <c:ptCount val="1"/>
                        <c:pt idx="0">
                          <c:v>SWN</c:v>
                        </c:pt>
                      </c15:dlblFieldTableCache>
                    </c15:dlblFTEntry>
                  </c15:dlblFieldTable>
                  <c15:showDataLabelsRange val="0"/>
                </c:ext>
                <c:ext xmlns:c16="http://schemas.microsoft.com/office/drawing/2014/chart" uri="{C3380CC4-5D6E-409C-BE32-E72D297353CC}">
                  <c16:uniqueId val="{00000001-E728-4A11-9742-17B0FA87CEA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'Relative Value'!$H$245:$H$267</c:f>
              <c:numCache>
                <c:formatCode>#,##0.0_);\(#,##0.0\)</c:formatCode>
                <c:ptCount val="23"/>
                <c:pt idx="1">
                  <c:v>3.4546271203913292</c:v>
                </c:pt>
                <c:pt idx="2">
                  <c:v>2.4331306527831082</c:v>
                </c:pt>
                <c:pt idx="3">
                  <c:v>1.958353328484848</c:v>
                </c:pt>
                <c:pt idx="4">
                  <c:v>2.367639050877365</c:v>
                </c:pt>
                <c:pt idx="6">
                  <c:v>1.2454853801749639</c:v>
                </c:pt>
                <c:pt idx="7">
                  <c:v>0.96164459941702662</c:v>
                </c:pt>
                <c:pt idx="8">
                  <c:v>1.8184020805942429</c:v>
                </c:pt>
                <c:pt idx="9">
                  <c:v>1.5024655157802067</c:v>
                </c:pt>
                <c:pt idx="10">
                  <c:v>1.7688573137933004</c:v>
                </c:pt>
                <c:pt idx="11">
                  <c:v>1.1996016234181932</c:v>
                </c:pt>
                <c:pt idx="12">
                  <c:v>2.0195405468309882</c:v>
                </c:pt>
                <c:pt idx="13">
                  <c:v>0.54843891139120926</c:v>
                </c:pt>
                <c:pt idx="14">
                  <c:v>4.0620759652295346</c:v>
                </c:pt>
                <c:pt idx="15">
                  <c:v>2.3068967819345043</c:v>
                </c:pt>
                <c:pt idx="16">
                  <c:v>1.6987124526391073</c:v>
                </c:pt>
                <c:pt idx="19">
                  <c:v>2.7539205164586971</c:v>
                </c:pt>
                <c:pt idx="20">
                  <c:v>5.6162535554369546</c:v>
                </c:pt>
                <c:pt idx="21">
                  <c:v>0.6720169562437166</c:v>
                </c:pt>
                <c:pt idx="22">
                  <c:v>3.6231532376334625</c:v>
                </c:pt>
              </c:numCache>
            </c:numRef>
          </c:xVal>
          <c:yVal>
            <c:numRef>
              <c:f>'Relative Value'!$K$245:$K$267</c:f>
              <c:numCache>
                <c:formatCode>#,##0_);\(#,##0\)</c:formatCode>
                <c:ptCount val="23"/>
                <c:pt idx="2">
                  <c:v>307.18600957700306</c:v>
                </c:pt>
                <c:pt idx="3">
                  <c:v>177.16574630390033</c:v>
                </c:pt>
                <c:pt idx="4">
                  <c:v>238.68276426283495</c:v>
                </c:pt>
                <c:pt idx="6">
                  <c:v>0</c:v>
                </c:pt>
                <c:pt idx="7">
                  <c:v>132.12811198767977</c:v>
                </c:pt>
                <c:pt idx="8">
                  <c:v>278.20756002190313</c:v>
                </c:pt>
                <c:pt idx="9">
                  <c:v>194.29819924435404</c:v>
                </c:pt>
                <c:pt idx="10">
                  <c:v>187.91129408898058</c:v>
                </c:pt>
                <c:pt idx="11">
                  <c:v>0</c:v>
                </c:pt>
                <c:pt idx="12">
                  <c:v>311.48053490759787</c:v>
                </c:pt>
                <c:pt idx="13">
                  <c:v>149.55317771936939</c:v>
                </c:pt>
                <c:pt idx="14">
                  <c:v>0</c:v>
                </c:pt>
                <c:pt idx="15">
                  <c:v>258.60137436276591</c:v>
                </c:pt>
                <c:pt idx="16">
                  <c:v>228.5199145106096</c:v>
                </c:pt>
                <c:pt idx="19">
                  <c:v>220.36942759205877</c:v>
                </c:pt>
                <c:pt idx="20">
                  <c:v>212.71205908008372</c:v>
                </c:pt>
                <c:pt idx="21">
                  <c:v>0</c:v>
                </c:pt>
              </c:numCache>
            </c:numRef>
          </c:yVal>
          <c:smooth val="0"/>
          <c:extLst>
            <c:ext xmlns:c16="http://schemas.microsoft.com/office/drawing/2014/chart" uri="{C3380CC4-5D6E-409C-BE32-E72D297353CC}">
              <c16:uniqueId val="{00000015-8BF7-44D4-B1E8-CA5F835C720F}"/>
            </c:ext>
          </c:extLst>
        </c:ser>
        <c:dLbls>
          <c:showLegendKey val="0"/>
          <c:showVal val="0"/>
          <c:showCatName val="0"/>
          <c:showSerName val="0"/>
          <c:showPercent val="0"/>
          <c:showBubbleSize val="0"/>
        </c:dLbls>
        <c:axId val="1343813888"/>
        <c:axId val="1343868928"/>
      </c:scatterChart>
      <c:valAx>
        <c:axId val="1343813888"/>
        <c:scaling>
          <c:orientation val="minMax"/>
          <c:max val="3.5"/>
          <c:min val="0"/>
        </c:scaling>
        <c:delete val="0"/>
        <c:axPos val="b"/>
        <c:numFmt formatCode="#,##0.0_);\(#,##0.0\)" sourceLinked="1"/>
        <c:majorTickMark val="out"/>
        <c:minorTickMark val="none"/>
        <c:tickLblPos val="nextTo"/>
        <c:spPr>
          <a:ln w="12700">
            <a:solidFill>
              <a:srgbClr val="1E1E1E"/>
            </a:solidFill>
            <a:prstDash val="solid"/>
          </a:ln>
        </c:spPr>
        <c:txPr>
          <a:bodyPr/>
          <a:lstStyle/>
          <a:p>
            <a:pPr>
              <a:defRPr sz="800" b="0" i="0" u="none">
                <a:solidFill>
                  <a:srgbClr val="1E1E1E"/>
                </a:solidFill>
              </a:defRPr>
            </a:pPr>
            <a:endParaRPr lang="en-US"/>
          </a:p>
        </c:txPr>
        <c:crossAx val="1343868928"/>
        <c:crosses val="autoZero"/>
        <c:crossBetween val="midCat"/>
        <c:majorUnit val="0.5"/>
      </c:valAx>
      <c:valAx>
        <c:axId val="1343868928"/>
        <c:scaling>
          <c:orientation val="minMax"/>
          <c:min val="100"/>
        </c:scaling>
        <c:delete val="0"/>
        <c:axPos val="l"/>
        <c:numFmt formatCode="#,##0" sourceLinked="0"/>
        <c:majorTickMark val="out"/>
        <c:minorTickMark val="none"/>
        <c:tickLblPos val="nextTo"/>
        <c:spPr>
          <a:ln w="12700">
            <a:solidFill>
              <a:srgbClr val="1E1E1E"/>
            </a:solidFill>
            <a:prstDash val="solid"/>
          </a:ln>
        </c:spPr>
        <c:txPr>
          <a:bodyPr/>
          <a:lstStyle/>
          <a:p>
            <a:pPr>
              <a:defRPr sz="800" b="0" i="0" u="none">
                <a:solidFill>
                  <a:srgbClr val="1E1E1E"/>
                </a:solidFill>
              </a:defRPr>
            </a:pPr>
            <a:endParaRPr lang="en-US"/>
          </a:p>
        </c:txPr>
        <c:crossAx val="1343813888"/>
        <c:crossesAt val="-5"/>
        <c:crossBetween val="midCat"/>
        <c:majorUnit val="50"/>
      </c:valAx>
      <c:spPr>
        <a:solidFill>
          <a:srgbClr val="FFFFFF"/>
        </a:solidFill>
        <a:ln w="25400">
          <a:noFill/>
        </a:ln>
      </c:spPr>
    </c:plotArea>
    <c:plotVisOnly val="1"/>
    <c:dispBlanksAs val="gap"/>
    <c:showDLblsOverMax val="0"/>
  </c:chart>
  <c:spPr>
    <a:solidFill>
      <a:srgbClr val="FFFFFF"/>
    </a:solidFill>
    <a:ln w="25400">
      <a:noFill/>
    </a:ln>
  </c:spPr>
  <c:txPr>
    <a:bodyPr/>
    <a:lstStyle/>
    <a:p>
      <a:pPr>
        <a:defRPr sz="800">
          <a:solidFill>
            <a:srgbClr val="1E1E1E"/>
          </a:solidFill>
          <a:latin typeface="Expert Sans Regular"/>
          <a:ea typeface="Expert Sans Regular"/>
          <a:cs typeface="Expert Sans Regular"/>
        </a:defRPr>
      </a:pPr>
      <a:endParaRPr lang="en-US"/>
    </a:p>
  </c:txPr>
  <c:printSettings>
    <c:headerFooter/>
    <c:pageMargins b="0.75000000000001465" l="0.70000000000000062" r="0.70000000000000062" t="0.75000000000001465" header="0.30000000000000032" footer="0.30000000000000032"/>
    <c:pageSetup paperSize="8"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7.9443892750744923E-3"/>
          <c:y val="2.1621621621621651E-2"/>
          <c:w val="0.9900695134061569"/>
          <c:h val="0.97297297297297303"/>
        </c:manualLayout>
      </c:layout>
      <c:barChart>
        <c:barDir val="col"/>
        <c:grouping val="clustered"/>
        <c:varyColors val="0"/>
        <c:ser>
          <c:idx val="0"/>
          <c:order val="0"/>
          <c:spPr>
            <a:solidFill>
              <a:srgbClr val="00395C"/>
            </a:solidFill>
            <a:ln w="25400">
              <a:noFill/>
            </a:ln>
          </c:spPr>
          <c:invertIfNegative val="0"/>
          <c:cat>
            <c:strRef>
              <c:f>'Sensitivity flex'!$B$20:$V$20</c:f>
              <c:strCache>
                <c:ptCount val="21"/>
                <c:pt idx="0">
                  <c:v>AR</c:v>
                </c:pt>
                <c:pt idx="1">
                  <c:v>APA</c:v>
                </c:pt>
                <c:pt idx="2">
                  <c:v>CNQCN</c:v>
                </c:pt>
                <c:pt idx="3">
                  <c:v>CVECN</c:v>
                </c:pt>
                <c:pt idx="4">
                  <c:v>CHK</c:v>
                </c:pt>
                <c:pt idx="5">
                  <c:v>XEC</c:v>
                </c:pt>
                <c:pt idx="6">
                  <c:v>COP</c:v>
                </c:pt>
                <c:pt idx="7">
                  <c:v>CLR</c:v>
                </c:pt>
                <c:pt idx="8">
                  <c:v>CXO</c:v>
                </c:pt>
                <c:pt idx="9">
                  <c:v>DVN</c:v>
                </c:pt>
                <c:pt idx="10">
                  <c:v>FANG</c:v>
                </c:pt>
                <c:pt idx="11">
                  <c:v>ECACN</c:v>
                </c:pt>
                <c:pt idx="12">
                  <c:v>EOG</c:v>
                </c:pt>
                <c:pt idx="13">
                  <c:v>EQT</c:v>
                </c:pt>
                <c:pt idx="14">
                  <c:v>HES</c:v>
                </c:pt>
                <c:pt idx="15">
                  <c:v>MRO</c:v>
                </c:pt>
                <c:pt idx="16">
                  <c:v>MUR</c:v>
                </c:pt>
                <c:pt idx="17">
                  <c:v>NBL</c:v>
                </c:pt>
                <c:pt idx="18">
                  <c:v>OXY</c:v>
                </c:pt>
                <c:pt idx="19">
                  <c:v>PXD</c:v>
                </c:pt>
                <c:pt idx="20">
                  <c:v>SWN</c:v>
                </c:pt>
              </c:strCache>
            </c:strRef>
          </c:cat>
          <c:val>
            <c:numRef>
              <c:f>'Sensitivity flex'!$B$24:$V$24</c:f>
              <c:numCache>
                <c:formatCode>#,##0.0_);\(#,##0.0\)</c:formatCode>
                <c:ptCount val="21"/>
                <c:pt idx="0">
                  <c:v>5.6128041181890547</c:v>
                </c:pt>
                <c:pt idx="1">
                  <c:v>7.8347967423551417</c:v>
                </c:pt>
                <c:pt idx="2">
                  <c:v>14.276653062427711</c:v>
                </c:pt>
                <c:pt idx="3">
                  <c:v>11.639347860967698</c:v>
                </c:pt>
                <c:pt idx="4">
                  <c:v>2.8799454463276826</c:v>
                </c:pt>
                <c:pt idx="5">
                  <c:v>16.328394818026521</c:v>
                </c:pt>
                <c:pt idx="6">
                  <c:v>21.080281782608694</c:v>
                </c:pt>
                <c:pt idx="7">
                  <c:v>11.24829201821119</c:v>
                </c:pt>
                <c:pt idx="8">
                  <c:v>15.930337406956523</c:v>
                </c:pt>
                <c:pt idx="9">
                  <c:v>10.117171800000001</c:v>
                </c:pt>
                <c:pt idx="10">
                  <c:v>20.176654395859643</c:v>
                </c:pt>
                <c:pt idx="11">
                  <c:v>9.0242047892255943</c:v>
                </c:pt>
                <c:pt idx="12">
                  <c:v>47.897813114588587</c:v>
                </c:pt>
                <c:pt idx="13">
                  <c:v>6.5184791548764371</c:v>
                </c:pt>
                <c:pt idx="14">
                  <c:v>7.8417032533333346</c:v>
                </c:pt>
                <c:pt idx="15">
                  <c:v>12.654345187499995</c:v>
                </c:pt>
                <c:pt idx="16">
                  <c:v>18.476688113103254</c:v>
                </c:pt>
                <c:pt idx="17">
                  <c:v>7.2630703544769402</c:v>
                </c:pt>
                <c:pt idx="18">
                  <c:v>5.5469160769903771</c:v>
                </c:pt>
                <c:pt idx="19">
                  <c:v>29.350655140137924</c:v>
                </c:pt>
                <c:pt idx="20">
                  <c:v>9.2176777058823465</c:v>
                </c:pt>
              </c:numCache>
            </c:numRef>
          </c:val>
          <c:extLst>
            <c:ext xmlns:c16="http://schemas.microsoft.com/office/drawing/2014/chart" uri="{C3380CC4-5D6E-409C-BE32-E72D297353CC}">
              <c16:uniqueId val="{00000000-7210-4955-A9EF-9A138A619E7C}"/>
            </c:ext>
          </c:extLst>
        </c:ser>
        <c:dLbls>
          <c:showLegendKey val="0"/>
          <c:showVal val="0"/>
          <c:showCatName val="0"/>
          <c:showSerName val="0"/>
          <c:showPercent val="0"/>
          <c:showBubbleSize val="0"/>
        </c:dLbls>
        <c:gapWidth val="150"/>
        <c:axId val="1285896832"/>
        <c:axId val="1332658560"/>
      </c:barChart>
      <c:catAx>
        <c:axId val="1285896832"/>
        <c:scaling>
          <c:orientation val="minMax"/>
        </c:scaling>
        <c:delete val="0"/>
        <c:axPos val="b"/>
        <c:numFmt formatCode="General" sourceLinked="0"/>
        <c:majorTickMark val="out"/>
        <c:minorTickMark val="none"/>
        <c:tickLblPos val="low"/>
        <c:spPr>
          <a:ln w="12700">
            <a:solidFill>
              <a:srgbClr val="1E1E1E"/>
            </a:solidFill>
            <a:prstDash val="solid"/>
          </a:ln>
        </c:spPr>
        <c:txPr>
          <a:bodyPr/>
          <a:lstStyle/>
          <a:p>
            <a:pPr>
              <a:defRPr sz="800" b="0" i="0" u="none">
                <a:solidFill>
                  <a:srgbClr val="1E1E1E"/>
                </a:solidFill>
              </a:defRPr>
            </a:pPr>
            <a:endParaRPr lang="en-US"/>
          </a:p>
        </c:txPr>
        <c:crossAx val="1332658560"/>
        <c:crosses val="autoZero"/>
        <c:auto val="1"/>
        <c:lblAlgn val="ctr"/>
        <c:lblOffset val="100"/>
        <c:noMultiLvlLbl val="0"/>
      </c:catAx>
      <c:valAx>
        <c:axId val="1332658560"/>
        <c:scaling>
          <c:orientation val="minMax"/>
        </c:scaling>
        <c:delete val="0"/>
        <c:axPos val="l"/>
        <c:numFmt formatCode="#,##0.00" sourceLinked="0"/>
        <c:majorTickMark val="out"/>
        <c:minorTickMark val="none"/>
        <c:tickLblPos val="nextTo"/>
        <c:spPr>
          <a:ln w="12700">
            <a:solidFill>
              <a:srgbClr val="1E1E1E"/>
            </a:solidFill>
            <a:prstDash val="solid"/>
          </a:ln>
        </c:spPr>
        <c:txPr>
          <a:bodyPr/>
          <a:lstStyle/>
          <a:p>
            <a:pPr>
              <a:defRPr sz="800" b="0" i="0" u="none">
                <a:solidFill>
                  <a:srgbClr val="1E1E1E"/>
                </a:solidFill>
              </a:defRPr>
            </a:pPr>
            <a:endParaRPr lang="en-US"/>
          </a:p>
        </c:txPr>
        <c:crossAx val="1285896832"/>
        <c:crosses val="autoZero"/>
        <c:crossBetween val="between"/>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800">
          <a:solidFill>
            <a:srgbClr val="1E1E1E"/>
          </a:solidFill>
          <a:latin typeface="Expert Sans Regular"/>
          <a:ea typeface="Expert Sans Regular"/>
          <a:cs typeface="Expert Sans Regular"/>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1.1126564673157778E-2"/>
          <c:y val="2.272727272727474E-2"/>
          <c:w val="0.98609179415855364"/>
          <c:h val="0.97159090909090906"/>
        </c:manualLayout>
      </c:layout>
      <c:barChart>
        <c:barDir val="col"/>
        <c:grouping val="clustered"/>
        <c:varyColors val="0"/>
        <c:ser>
          <c:idx val="0"/>
          <c:order val="0"/>
          <c:spPr>
            <a:solidFill>
              <a:srgbClr val="00395C"/>
            </a:solidFill>
            <a:ln w="25400">
              <a:noFill/>
            </a:ln>
          </c:spPr>
          <c:invertIfNegative val="0"/>
          <c:cat>
            <c:strRef>
              <c:f>'Relative Value'!$C$14:$C$34</c:f>
              <c:strCache>
                <c:ptCount val="21"/>
                <c:pt idx="0">
                  <c:v>COP</c:v>
                </c:pt>
                <c:pt idx="1">
                  <c:v>FANG</c:v>
                </c:pt>
                <c:pt idx="2">
                  <c:v>PXD</c:v>
                </c:pt>
                <c:pt idx="3">
                  <c:v>EOG</c:v>
                </c:pt>
                <c:pt idx="4">
                  <c:v>CNQCN</c:v>
                </c:pt>
                <c:pt idx="5">
                  <c:v>MUR</c:v>
                </c:pt>
                <c:pt idx="6">
                  <c:v>CVECN</c:v>
                </c:pt>
                <c:pt idx="7">
                  <c:v>CLR</c:v>
                </c:pt>
                <c:pt idx="8">
                  <c:v>CXO</c:v>
                </c:pt>
                <c:pt idx="9">
                  <c:v>XEC</c:v>
                </c:pt>
                <c:pt idx="10">
                  <c:v>ECACN</c:v>
                </c:pt>
                <c:pt idx="11">
                  <c:v>MRO</c:v>
                </c:pt>
                <c:pt idx="12">
                  <c:v>DVN</c:v>
                </c:pt>
                <c:pt idx="13">
                  <c:v>OXY</c:v>
                </c:pt>
                <c:pt idx="14">
                  <c:v>APA</c:v>
                </c:pt>
                <c:pt idx="15">
                  <c:v>HES</c:v>
                </c:pt>
                <c:pt idx="16">
                  <c:v>SWN</c:v>
                </c:pt>
                <c:pt idx="17">
                  <c:v>NBL</c:v>
                </c:pt>
                <c:pt idx="18">
                  <c:v>AR</c:v>
                </c:pt>
                <c:pt idx="19">
                  <c:v>EQT</c:v>
                </c:pt>
                <c:pt idx="20">
                  <c:v>CHK</c:v>
                </c:pt>
              </c:strCache>
            </c:strRef>
          </c:cat>
          <c:val>
            <c:numRef>
              <c:f>'Relative Value'!$D$14:$D$34</c:f>
              <c:numCache>
                <c:formatCode>#,##0.00_);\(#,##0.00\)</c:formatCode>
                <c:ptCount val="21"/>
                <c:pt idx="0">
                  <c:v>16.638337923678211</c:v>
                </c:pt>
                <c:pt idx="1">
                  <c:v>13.521517462799459</c:v>
                </c:pt>
                <c:pt idx="2">
                  <c:v>11.323393232861676</c:v>
                </c:pt>
                <c:pt idx="3">
                  <c:v>11.016102609182077</c:v>
                </c:pt>
                <c:pt idx="4">
                  <c:v>10.96881853537618</c:v>
                </c:pt>
                <c:pt idx="5">
                  <c:v>10.921512511035452</c:v>
                </c:pt>
                <c:pt idx="6">
                  <c:v>7.7416257874999701</c:v>
                </c:pt>
                <c:pt idx="7">
                  <c:v>7.1719210884905564</c:v>
                </c:pt>
                <c:pt idx="8">
                  <c:v>6.7814041636713576</c:v>
                </c:pt>
                <c:pt idx="9">
                  <c:v>3.9436110068949581</c:v>
                </c:pt>
                <c:pt idx="10">
                  <c:v>2.976146145978305</c:v>
                </c:pt>
                <c:pt idx="11">
                  <c:v>2.5191267027430513</c:v>
                </c:pt>
                <c:pt idx="12">
                  <c:v>2.1059471141622161</c:v>
                </c:pt>
                <c:pt idx="13">
                  <c:v>1.9544188070266628</c:v>
                </c:pt>
                <c:pt idx="14">
                  <c:v>-0.16961049228208935</c:v>
                </c:pt>
                <c:pt idx="15">
                  <c:v>-0.58497943438756295</c:v>
                </c:pt>
                <c:pt idx="16">
                  <c:v>-1.1288246361025838</c:v>
                </c:pt>
                <c:pt idx="17">
                  <c:v>-2.2670040142477532</c:v>
                </c:pt>
                <c:pt idx="18">
                  <c:v>-2.8001695200387324</c:v>
                </c:pt>
                <c:pt idx="19">
                  <c:v>-2.9558214160044951</c:v>
                </c:pt>
                <c:pt idx="20">
                  <c:v>-6.2036055143160134</c:v>
                </c:pt>
              </c:numCache>
            </c:numRef>
          </c:val>
          <c:extLst>
            <c:ext xmlns:c16="http://schemas.microsoft.com/office/drawing/2014/chart" uri="{C3380CC4-5D6E-409C-BE32-E72D297353CC}">
              <c16:uniqueId val="{00000000-B0D6-4D8F-A799-CC914059848B}"/>
            </c:ext>
          </c:extLst>
        </c:ser>
        <c:dLbls>
          <c:showLegendKey val="0"/>
          <c:showVal val="0"/>
          <c:showCatName val="0"/>
          <c:showSerName val="0"/>
          <c:showPercent val="0"/>
          <c:showBubbleSize val="0"/>
        </c:dLbls>
        <c:gapWidth val="150"/>
        <c:axId val="1344668032"/>
        <c:axId val="1344669952"/>
      </c:barChart>
      <c:catAx>
        <c:axId val="1344668032"/>
        <c:scaling>
          <c:orientation val="minMax"/>
        </c:scaling>
        <c:delete val="0"/>
        <c:axPos val="b"/>
        <c:numFmt formatCode="General" sourceLinked="1"/>
        <c:majorTickMark val="out"/>
        <c:minorTickMark val="none"/>
        <c:tickLblPos val="low"/>
        <c:spPr>
          <a:ln w="12700">
            <a:solidFill>
              <a:srgbClr val="1E1E1E"/>
            </a:solidFill>
            <a:prstDash val="solid"/>
          </a:ln>
        </c:spPr>
        <c:txPr>
          <a:bodyPr/>
          <a:lstStyle/>
          <a:p>
            <a:pPr>
              <a:defRPr sz="800" b="0" i="0" u="none">
                <a:solidFill>
                  <a:srgbClr val="1E1E1E"/>
                </a:solidFill>
              </a:defRPr>
            </a:pPr>
            <a:endParaRPr lang="en-US"/>
          </a:p>
        </c:txPr>
        <c:crossAx val="1344669952"/>
        <c:crosses val="autoZero"/>
        <c:auto val="1"/>
        <c:lblAlgn val="ctr"/>
        <c:lblOffset val="100"/>
        <c:noMultiLvlLbl val="0"/>
      </c:catAx>
      <c:valAx>
        <c:axId val="1344669952"/>
        <c:scaling>
          <c:orientation val="minMax"/>
        </c:scaling>
        <c:delete val="0"/>
        <c:axPos val="l"/>
        <c:numFmt formatCode="#,##0.00" sourceLinked="0"/>
        <c:majorTickMark val="out"/>
        <c:minorTickMark val="none"/>
        <c:tickLblPos val="nextTo"/>
        <c:spPr>
          <a:ln w="12700">
            <a:solidFill>
              <a:srgbClr val="1E1E1E"/>
            </a:solidFill>
            <a:prstDash val="solid"/>
          </a:ln>
        </c:spPr>
        <c:txPr>
          <a:bodyPr/>
          <a:lstStyle/>
          <a:p>
            <a:pPr>
              <a:defRPr sz="800" b="0" i="0" u="none">
                <a:solidFill>
                  <a:srgbClr val="1E1E1E"/>
                </a:solidFill>
              </a:defRPr>
            </a:pPr>
            <a:endParaRPr lang="en-US"/>
          </a:p>
        </c:txPr>
        <c:crossAx val="1344668032"/>
        <c:crosses val="autoZero"/>
        <c:crossBetween val="between"/>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800">
          <a:solidFill>
            <a:srgbClr val="1E1E1E"/>
          </a:solidFill>
          <a:latin typeface="Expert Sans Regular"/>
          <a:ea typeface="Expert Sans Regular"/>
          <a:cs typeface="Expert Sans Regular"/>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1.1126564673157729E-2"/>
          <c:y val="2.272727272727456E-2"/>
          <c:w val="0.98609179415855364"/>
          <c:h val="0.97159090909090906"/>
        </c:manualLayout>
      </c:layout>
      <c:barChart>
        <c:barDir val="col"/>
        <c:grouping val="clustered"/>
        <c:varyColors val="0"/>
        <c:ser>
          <c:idx val="0"/>
          <c:order val="0"/>
          <c:spPr>
            <a:solidFill>
              <a:srgbClr val="00395C"/>
            </a:solidFill>
            <a:ln w="25400">
              <a:noFill/>
            </a:ln>
          </c:spPr>
          <c:invertIfNegative val="0"/>
          <c:cat>
            <c:strRef>
              <c:f>'Relative Value'!$C$39:$C$59</c:f>
              <c:strCache>
                <c:ptCount val="21"/>
                <c:pt idx="0">
                  <c:v>COP</c:v>
                </c:pt>
                <c:pt idx="1">
                  <c:v>MUR</c:v>
                </c:pt>
                <c:pt idx="2">
                  <c:v>FANG</c:v>
                </c:pt>
                <c:pt idx="3">
                  <c:v>PXD</c:v>
                </c:pt>
                <c:pt idx="4">
                  <c:v>EOG</c:v>
                </c:pt>
                <c:pt idx="5">
                  <c:v>CLR</c:v>
                </c:pt>
                <c:pt idx="6">
                  <c:v>CXO</c:v>
                </c:pt>
                <c:pt idx="7">
                  <c:v>CNQCN</c:v>
                </c:pt>
                <c:pt idx="8">
                  <c:v>MRO</c:v>
                </c:pt>
                <c:pt idx="9">
                  <c:v>APA</c:v>
                </c:pt>
                <c:pt idx="10">
                  <c:v>HES</c:v>
                </c:pt>
                <c:pt idx="11">
                  <c:v>CVECN</c:v>
                </c:pt>
                <c:pt idx="12">
                  <c:v>OXY</c:v>
                </c:pt>
                <c:pt idx="13">
                  <c:v>NBL</c:v>
                </c:pt>
                <c:pt idx="14">
                  <c:v>ECACN</c:v>
                </c:pt>
                <c:pt idx="15">
                  <c:v>XEC</c:v>
                </c:pt>
                <c:pt idx="16">
                  <c:v>DVN</c:v>
                </c:pt>
                <c:pt idx="17">
                  <c:v>CHK</c:v>
                </c:pt>
                <c:pt idx="18">
                  <c:v>EQT</c:v>
                </c:pt>
                <c:pt idx="19">
                  <c:v>SWN</c:v>
                </c:pt>
                <c:pt idx="20">
                  <c:v>AR</c:v>
                </c:pt>
              </c:strCache>
            </c:strRef>
          </c:cat>
          <c:val>
            <c:numRef>
              <c:f>'Relative Value'!$D$39:$D$59</c:f>
              <c:numCache>
                <c:formatCode>#,##0.00_);\(#,##0.00\)</c:formatCode>
                <c:ptCount val="21"/>
                <c:pt idx="0">
                  <c:v>29.103910337032133</c:v>
                </c:pt>
                <c:pt idx="1">
                  <c:v>28.020755647354282</c:v>
                </c:pt>
                <c:pt idx="2">
                  <c:v>26.851517462799457</c:v>
                </c:pt>
                <c:pt idx="3">
                  <c:v>25.346387229163319</c:v>
                </c:pt>
                <c:pt idx="4">
                  <c:v>23.44090556112441</c:v>
                </c:pt>
                <c:pt idx="5">
                  <c:v>23.003907371803464</c:v>
                </c:pt>
                <c:pt idx="6">
                  <c:v>22.864786746870895</c:v>
                </c:pt>
                <c:pt idx="7">
                  <c:v>20.922653862309758</c:v>
                </c:pt>
                <c:pt idx="8">
                  <c:v>18.346367198765037</c:v>
                </c:pt>
                <c:pt idx="9">
                  <c:v>17.918975342077381</c:v>
                </c:pt>
                <c:pt idx="10">
                  <c:v>17.087504473311178</c:v>
                </c:pt>
                <c:pt idx="11">
                  <c:v>16.351906859356284</c:v>
                </c:pt>
                <c:pt idx="12">
                  <c:v>16.07441880702666</c:v>
                </c:pt>
                <c:pt idx="13">
                  <c:v>13.111522587210944</c:v>
                </c:pt>
                <c:pt idx="14">
                  <c:v>12.641441865701497</c:v>
                </c:pt>
                <c:pt idx="15">
                  <c:v>12.575106303840991</c:v>
                </c:pt>
                <c:pt idx="16">
                  <c:v>12.32715230104246</c:v>
                </c:pt>
                <c:pt idx="17">
                  <c:v>6.8171489168307815</c:v>
                </c:pt>
                <c:pt idx="18">
                  <c:v>3.2044913843358245</c:v>
                </c:pt>
                <c:pt idx="19">
                  <c:v>2.5250024754926246</c:v>
                </c:pt>
                <c:pt idx="20">
                  <c:v>1.8798304799612655</c:v>
                </c:pt>
              </c:numCache>
            </c:numRef>
          </c:val>
          <c:extLst>
            <c:ext xmlns:c16="http://schemas.microsoft.com/office/drawing/2014/chart" uri="{C3380CC4-5D6E-409C-BE32-E72D297353CC}">
              <c16:uniqueId val="{00000000-9118-43FF-AF49-2B3CA89E2E17}"/>
            </c:ext>
          </c:extLst>
        </c:ser>
        <c:dLbls>
          <c:showLegendKey val="0"/>
          <c:showVal val="0"/>
          <c:showCatName val="0"/>
          <c:showSerName val="0"/>
          <c:showPercent val="0"/>
          <c:showBubbleSize val="0"/>
        </c:dLbls>
        <c:gapWidth val="150"/>
        <c:axId val="1344834176"/>
        <c:axId val="1344853504"/>
      </c:barChart>
      <c:catAx>
        <c:axId val="1344834176"/>
        <c:scaling>
          <c:orientation val="minMax"/>
        </c:scaling>
        <c:delete val="0"/>
        <c:axPos val="b"/>
        <c:numFmt formatCode="General" sourceLinked="1"/>
        <c:majorTickMark val="out"/>
        <c:minorTickMark val="none"/>
        <c:tickLblPos val="low"/>
        <c:spPr>
          <a:ln w="12700">
            <a:solidFill>
              <a:srgbClr val="1E1E1E"/>
            </a:solidFill>
            <a:prstDash val="solid"/>
          </a:ln>
        </c:spPr>
        <c:txPr>
          <a:bodyPr/>
          <a:lstStyle/>
          <a:p>
            <a:pPr>
              <a:defRPr sz="800" b="0" i="0" u="none">
                <a:solidFill>
                  <a:srgbClr val="1E1E1E"/>
                </a:solidFill>
              </a:defRPr>
            </a:pPr>
            <a:endParaRPr lang="en-US"/>
          </a:p>
        </c:txPr>
        <c:crossAx val="1344853504"/>
        <c:crosses val="autoZero"/>
        <c:auto val="1"/>
        <c:lblAlgn val="ctr"/>
        <c:lblOffset val="100"/>
        <c:noMultiLvlLbl val="0"/>
      </c:catAx>
      <c:valAx>
        <c:axId val="1344853504"/>
        <c:scaling>
          <c:orientation val="minMax"/>
        </c:scaling>
        <c:delete val="0"/>
        <c:axPos val="l"/>
        <c:numFmt formatCode="#,##0.00" sourceLinked="0"/>
        <c:majorTickMark val="out"/>
        <c:minorTickMark val="none"/>
        <c:tickLblPos val="nextTo"/>
        <c:spPr>
          <a:ln w="12700">
            <a:solidFill>
              <a:srgbClr val="1E1E1E"/>
            </a:solidFill>
            <a:prstDash val="solid"/>
          </a:ln>
        </c:spPr>
        <c:txPr>
          <a:bodyPr/>
          <a:lstStyle/>
          <a:p>
            <a:pPr>
              <a:defRPr sz="800" b="0" i="0" u="none">
                <a:solidFill>
                  <a:srgbClr val="1E1E1E"/>
                </a:solidFill>
              </a:defRPr>
            </a:pPr>
            <a:endParaRPr lang="en-US"/>
          </a:p>
        </c:txPr>
        <c:crossAx val="1344834176"/>
        <c:crosses val="autoZero"/>
        <c:crossBetween val="between"/>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800">
          <a:solidFill>
            <a:srgbClr val="1E1E1E"/>
          </a:solidFill>
          <a:latin typeface="Expert Sans Regular"/>
          <a:ea typeface="Expert Sans Regular"/>
          <a:cs typeface="Expert Sans Regular"/>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1.1126564673157735E-2"/>
          <c:y val="2.2727272727274588E-2"/>
          <c:w val="0.98609179415855364"/>
          <c:h val="0.97159090909090906"/>
        </c:manualLayout>
      </c:layout>
      <c:barChart>
        <c:barDir val="col"/>
        <c:grouping val="clustered"/>
        <c:varyColors val="0"/>
        <c:ser>
          <c:idx val="0"/>
          <c:order val="0"/>
          <c:spPr>
            <a:solidFill>
              <a:srgbClr val="00395C"/>
            </a:solidFill>
            <a:ln w="25400">
              <a:noFill/>
            </a:ln>
          </c:spPr>
          <c:invertIfNegative val="0"/>
          <c:cat>
            <c:strRef>
              <c:f>'Relative Value'!$C$64:$C$84</c:f>
              <c:strCache>
                <c:ptCount val="21"/>
                <c:pt idx="0">
                  <c:v>EOG</c:v>
                </c:pt>
                <c:pt idx="1">
                  <c:v>PXD</c:v>
                </c:pt>
                <c:pt idx="2">
                  <c:v>COP</c:v>
                </c:pt>
                <c:pt idx="3">
                  <c:v>FANG</c:v>
                </c:pt>
                <c:pt idx="4">
                  <c:v>MUR</c:v>
                </c:pt>
                <c:pt idx="5">
                  <c:v>CXO</c:v>
                </c:pt>
                <c:pt idx="6">
                  <c:v>XEC</c:v>
                </c:pt>
                <c:pt idx="7">
                  <c:v>CNQCN</c:v>
                </c:pt>
                <c:pt idx="8">
                  <c:v>MRO</c:v>
                </c:pt>
                <c:pt idx="9">
                  <c:v>CLR</c:v>
                </c:pt>
                <c:pt idx="10">
                  <c:v>CVECN</c:v>
                </c:pt>
                <c:pt idx="11">
                  <c:v>DVN</c:v>
                </c:pt>
                <c:pt idx="12">
                  <c:v>ECACN</c:v>
                </c:pt>
                <c:pt idx="13">
                  <c:v>APA</c:v>
                </c:pt>
                <c:pt idx="14">
                  <c:v>HES</c:v>
                </c:pt>
                <c:pt idx="15">
                  <c:v>NBL</c:v>
                </c:pt>
                <c:pt idx="16">
                  <c:v>SWN</c:v>
                </c:pt>
                <c:pt idx="17">
                  <c:v>OXY</c:v>
                </c:pt>
                <c:pt idx="18">
                  <c:v>EQT</c:v>
                </c:pt>
                <c:pt idx="19">
                  <c:v>AR</c:v>
                </c:pt>
                <c:pt idx="20">
                  <c:v>CHK</c:v>
                </c:pt>
              </c:strCache>
            </c:strRef>
          </c:cat>
          <c:val>
            <c:numRef>
              <c:f>'Relative Value'!$D$64:$D$84</c:f>
              <c:numCache>
                <c:formatCode>#,##0.00_);\(#,##0.00\)</c:formatCode>
                <c:ptCount val="21"/>
                <c:pt idx="0">
                  <c:v>46.408303886925786</c:v>
                </c:pt>
                <c:pt idx="1">
                  <c:v>28.299294900689652</c:v>
                </c:pt>
                <c:pt idx="2">
                  <c:v>20.870694782608691</c:v>
                </c:pt>
                <c:pt idx="3">
                  <c:v>19.666557826315788</c:v>
                </c:pt>
                <c:pt idx="4">
                  <c:v>18.63969398759772</c:v>
                </c:pt>
                <c:pt idx="5">
                  <c:v>16.081750526956522</c:v>
                </c:pt>
                <c:pt idx="6">
                  <c:v>14.50923289677052</c:v>
                </c:pt>
                <c:pt idx="7">
                  <c:v>13.939393939393945</c:v>
                </c:pt>
                <c:pt idx="8">
                  <c:v>12.265625</c:v>
                </c:pt>
                <c:pt idx="9">
                  <c:v>11.328946981935673</c:v>
                </c:pt>
                <c:pt idx="10">
                  <c:v>10.182314942680408</c:v>
                </c:pt>
                <c:pt idx="11">
                  <c:v>9.080448333333333</c:v>
                </c:pt>
                <c:pt idx="12">
                  <c:v>8.1076911245791248</c:v>
                </c:pt>
                <c:pt idx="13">
                  <c:v>7.5825532317757025</c:v>
                </c:pt>
                <c:pt idx="14">
                  <c:v>7.5362362666666654</c:v>
                </c:pt>
                <c:pt idx="15">
                  <c:v>6.5750724219585779</c:v>
                </c:pt>
                <c:pt idx="16">
                  <c:v>6.0000000000000018</c:v>
                </c:pt>
                <c:pt idx="17">
                  <c:v>5.3310925284339454</c:v>
                </c:pt>
                <c:pt idx="18">
                  <c:v>5.2630950135194619</c:v>
                </c:pt>
                <c:pt idx="19">
                  <c:v>3.032024921053738</c:v>
                </c:pt>
                <c:pt idx="20">
                  <c:v>2.6949152542372876</c:v>
                </c:pt>
              </c:numCache>
            </c:numRef>
          </c:val>
          <c:extLst>
            <c:ext xmlns:c16="http://schemas.microsoft.com/office/drawing/2014/chart" uri="{C3380CC4-5D6E-409C-BE32-E72D297353CC}">
              <c16:uniqueId val="{00000000-3836-4F47-A4ED-3D457AB82210}"/>
            </c:ext>
          </c:extLst>
        </c:ser>
        <c:dLbls>
          <c:showLegendKey val="0"/>
          <c:showVal val="0"/>
          <c:showCatName val="0"/>
          <c:showSerName val="0"/>
          <c:showPercent val="0"/>
          <c:showBubbleSize val="0"/>
        </c:dLbls>
        <c:gapWidth val="150"/>
        <c:axId val="1342876672"/>
        <c:axId val="1342882560"/>
      </c:barChart>
      <c:catAx>
        <c:axId val="1342876672"/>
        <c:scaling>
          <c:orientation val="minMax"/>
        </c:scaling>
        <c:delete val="0"/>
        <c:axPos val="b"/>
        <c:numFmt formatCode="General" sourceLinked="1"/>
        <c:majorTickMark val="out"/>
        <c:minorTickMark val="none"/>
        <c:tickLblPos val="low"/>
        <c:spPr>
          <a:ln w="12700">
            <a:solidFill>
              <a:srgbClr val="1E1E1E"/>
            </a:solidFill>
            <a:prstDash val="solid"/>
          </a:ln>
        </c:spPr>
        <c:txPr>
          <a:bodyPr/>
          <a:lstStyle/>
          <a:p>
            <a:pPr>
              <a:defRPr sz="800" b="0" i="0" u="none">
                <a:solidFill>
                  <a:srgbClr val="1E1E1E"/>
                </a:solidFill>
              </a:defRPr>
            </a:pPr>
            <a:endParaRPr lang="en-US"/>
          </a:p>
        </c:txPr>
        <c:crossAx val="1342882560"/>
        <c:crosses val="autoZero"/>
        <c:auto val="1"/>
        <c:lblAlgn val="ctr"/>
        <c:lblOffset val="100"/>
        <c:noMultiLvlLbl val="0"/>
      </c:catAx>
      <c:valAx>
        <c:axId val="1342882560"/>
        <c:scaling>
          <c:orientation val="minMax"/>
        </c:scaling>
        <c:delete val="0"/>
        <c:axPos val="l"/>
        <c:numFmt formatCode="#,##0.00" sourceLinked="0"/>
        <c:majorTickMark val="out"/>
        <c:minorTickMark val="none"/>
        <c:tickLblPos val="nextTo"/>
        <c:spPr>
          <a:ln w="12700">
            <a:solidFill>
              <a:srgbClr val="1E1E1E"/>
            </a:solidFill>
            <a:prstDash val="solid"/>
          </a:ln>
        </c:spPr>
        <c:txPr>
          <a:bodyPr/>
          <a:lstStyle/>
          <a:p>
            <a:pPr>
              <a:defRPr sz="800" b="0" i="0" u="none">
                <a:solidFill>
                  <a:srgbClr val="1E1E1E"/>
                </a:solidFill>
              </a:defRPr>
            </a:pPr>
            <a:endParaRPr lang="en-US"/>
          </a:p>
        </c:txPr>
        <c:crossAx val="1342876672"/>
        <c:crosses val="autoZero"/>
        <c:crossBetween val="between"/>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800">
          <a:solidFill>
            <a:srgbClr val="1E1E1E"/>
          </a:solidFill>
          <a:latin typeface="Expert Sans Regular"/>
          <a:ea typeface="Expert Sans Regular"/>
          <a:cs typeface="Expert Sans Regular"/>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3372466132971534E-2"/>
          <c:y val="5.0610683607730932E-2"/>
          <c:w val="0.87705868824812605"/>
          <c:h val="0.84981567644955491"/>
        </c:manualLayout>
      </c:layout>
      <c:scatterChart>
        <c:scatterStyle val="lineMarker"/>
        <c:varyColors val="0"/>
        <c:ser>
          <c:idx val="0"/>
          <c:order val="0"/>
          <c:spPr>
            <a:ln w="28575">
              <a:noFill/>
            </a:ln>
          </c:spPr>
          <c:marker>
            <c:symbol val="diamond"/>
            <c:size val="6"/>
          </c:marker>
          <c:dLbls>
            <c:dLbl>
              <c:idx val="0"/>
              <c:tx>
                <c:strRef>
                  <c:f>'Relative Value'!$B$218</c:f>
                  <c:strCache>
                    <c:ptCount val="1"/>
                  </c:strCache>
                </c:strRef>
              </c:tx>
              <c:spPr>
                <a:noFill/>
                <a:ln>
                  <a:noFill/>
                </a:ln>
                <a:effectLst/>
              </c:spPr>
              <c:txPr>
                <a:bodyPr wrap="square" lIns="38100" tIns="19050" rIns="38100" bIns="19050" anchor="ctr">
                  <a:spAutoFit/>
                </a:bodyPr>
                <a:lstStyle/>
                <a:p>
                  <a:pPr>
                    <a:defRPr sz="800" b="0" i="0">
                      <a:solidFill>
                        <a:srgbClr val="333333"/>
                      </a:solidFill>
                      <a:latin typeface="Expert Sans Regular" panose="020B0503030103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{0C4CD13D-F1ED-443B-8C7B-EBA6523FDEB8}</c15:txfldGUID>
                      <c15:f>'Relative Value'!$B$218</c15:f>
                      <c15:dlblFieldTableCache>
                        <c:ptCount val="1"/>
                      </c15:dlblFieldTableCache>
                    </c15:dlblFTEntry>
                  </c15:dlblFieldTable>
                  <c15:showDataLabelsRange val="0"/>
                </c:ext>
                <c:ext xmlns:c16="http://schemas.microsoft.com/office/drawing/2014/chart" uri="{C3380CC4-5D6E-409C-BE32-E72D297353CC}">
                  <c16:uniqueId val="{00000000-BA3E-4F9B-923D-F820CA634DE1}"/>
                </c:ext>
              </c:extLst>
            </c:dLbl>
            <c:dLbl>
              <c:idx val="1"/>
              <c:tx>
                <c:strRef>
                  <c:f>'Relative Value'!$B$219</c:f>
                  <c:strCache>
                    <c:ptCount val="1"/>
                    <c:pt idx="0">
                      <c:v>AR</c:v>
                    </c:pt>
                  </c:strCache>
                </c:strRef>
              </c:tx>
              <c:spPr>
                <a:noFill/>
                <a:ln>
                  <a:noFill/>
                </a:ln>
                <a:effectLst/>
              </c:spPr>
              <c:txPr>
                <a:bodyPr wrap="square" lIns="38100" tIns="19050" rIns="38100" bIns="19050" anchor="ctr">
                  <a:spAutoFit/>
                </a:bodyPr>
                <a:lstStyle/>
                <a:p>
                  <a:pPr>
                    <a:defRPr sz="800" b="0" i="0">
                      <a:solidFill>
                        <a:srgbClr val="333333"/>
                      </a:solidFill>
                      <a:latin typeface="Expert Sans Regular" panose="020B0503030103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{956FE2C0-AB84-45FF-A038-6053B00817AA}</c15:txfldGUID>
                      <c15:f>'Relative Value'!$B$219</c15:f>
                      <c15:dlblFieldTableCache>
                        <c:ptCount val="1"/>
                        <c:pt idx="0">
                          <c:v>AR</c:v>
                        </c:pt>
                      </c15:dlblFieldTableCache>
                    </c15:dlblFTEntry>
                  </c15:dlblFieldTable>
                  <c15:showDataLabelsRange val="0"/>
                </c:ext>
                <c:ext xmlns:c16="http://schemas.microsoft.com/office/drawing/2014/chart" uri="{C3380CC4-5D6E-409C-BE32-E72D297353CC}">
                  <c16:uniqueId val="{00000001-BA3E-4F9B-923D-F820CA634DE1}"/>
                </c:ext>
              </c:extLst>
            </c:dLbl>
            <c:dLbl>
              <c:idx val="2"/>
              <c:layout>
                <c:manualLayout>
                  <c:x val="-9.1858037578288129E-2"/>
                  <c:y val="0"/>
                </c:manualLayout>
              </c:layout>
              <c:tx>
                <c:strRef>
                  <c:f>'Relative Value'!$B$220</c:f>
                  <c:strCache>
                    <c:ptCount val="1"/>
                    <c:pt idx="0">
                      <c:v>APA</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{6DAFEEA4-13B1-439B-9000-6DA67F5EF741}</c15:txfldGUID>
                      <c15:f>'Relative Value'!$B$220</c15:f>
                      <c15:dlblFieldTableCache>
                        <c:ptCount val="1"/>
                        <c:pt idx="0">
                          <c:v>APA</c:v>
                        </c:pt>
                      </c15:dlblFieldTableCache>
                    </c15:dlblFTEntry>
                  </c15:dlblFieldTable>
                  <c15:showDataLabelsRange val="0"/>
                </c:ext>
                <c:ext xmlns:c16="http://schemas.microsoft.com/office/drawing/2014/chart" uri="{C3380CC4-5D6E-409C-BE32-E72D297353CC}">
                  <c16:uniqueId val="{00000002-BA3E-4F9B-923D-F820CA634DE1}"/>
                </c:ext>
              </c:extLst>
            </c:dLbl>
            <c:dLbl>
              <c:idx val="3"/>
              <c:layout/>
              <c:tx>
                <c:strRef>
                  <c:f>'Relative Value'!$B$221</c:f>
                  <c:strCache>
                    <c:ptCount val="1"/>
                    <c:pt idx="0">
                      <c:v>CNQCN</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{226EFD54-EB10-459B-9222-33B8E330C7E2}</c15:txfldGUID>
                      <c15:f>'Relative Value'!$B$221</c15:f>
                      <c15:dlblFieldTableCache>
                        <c:ptCount val="1"/>
                        <c:pt idx="0">
                          <c:v>CNQCN</c:v>
                        </c:pt>
                      </c15:dlblFieldTableCache>
                    </c15:dlblFTEntry>
                  </c15:dlblFieldTable>
                  <c15:showDataLabelsRange val="0"/>
                </c:ext>
                <c:ext xmlns:c16="http://schemas.microsoft.com/office/drawing/2014/chart" uri="{C3380CC4-5D6E-409C-BE32-E72D297353CC}">
                  <c16:uniqueId val="{00000003-BA3E-4F9B-923D-F820CA634DE1}"/>
                </c:ext>
              </c:extLst>
            </c:dLbl>
            <c:dLbl>
              <c:idx val="4"/>
              <c:layout/>
              <c:tx>
                <c:strRef>
                  <c:f>'Relative Value'!$B$222</c:f>
                  <c:strCache>
                    <c:ptCount val="1"/>
                    <c:pt idx="0">
                      <c:v>CVECN</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{CAC12096-9783-42C0-A561-9C19C10C3E8F}</c15:txfldGUID>
                      <c15:f>'Relative Value'!$B$222</c15:f>
                      <c15:dlblFieldTableCache>
                        <c:ptCount val="1"/>
                        <c:pt idx="0">
                          <c:v>CVECN</c:v>
                        </c:pt>
                      </c15:dlblFieldTableCache>
                    </c15:dlblFTEntry>
                  </c15:dlblFieldTable>
                  <c15:showDataLabelsRange val="0"/>
                </c:ext>
                <c:ext xmlns:c16="http://schemas.microsoft.com/office/drawing/2014/chart" uri="{C3380CC4-5D6E-409C-BE32-E72D297353CC}">
                  <c16:uniqueId val="{00000004-BA3E-4F9B-923D-F820CA634DE1}"/>
                </c:ext>
              </c:extLst>
            </c:dLbl>
            <c:dLbl>
              <c:idx val="5"/>
              <c:tx>
                <c:strRef>
                  <c:f>'Relative Value'!$B$223</c:f>
                  <c:strCache>
                    <c:ptCount val="1"/>
                    <c:pt idx="0">
                      <c:v>CHK</c:v>
                    </c:pt>
                  </c:strCache>
                </c:strRef>
              </c:tx>
              <c:spPr>
                <a:noFill/>
                <a:ln>
                  <a:noFill/>
                </a:ln>
                <a:effectLst/>
              </c:spPr>
              <c:txPr>
                <a:bodyPr wrap="square" lIns="38100" tIns="19050" rIns="38100" bIns="19050" anchor="ctr">
                  <a:spAutoFit/>
                </a:bodyPr>
                <a:lstStyle/>
                <a:p>
                  <a:pPr>
                    <a:defRPr sz="800" b="0" i="0">
                      <a:solidFill>
                        <a:srgbClr val="333333"/>
                      </a:solidFill>
                      <a:latin typeface="Expert Sans Regular" panose="020B0503030103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{5BB3BB46-29E2-40F6-B800-7E1268E6B70E}</c15:txfldGUID>
                      <c15:f>'Relative Value'!$B$223</c15:f>
                      <c15:dlblFieldTableCache>
                        <c:ptCount val="1"/>
                        <c:pt idx="0">
                          <c:v>CHK</c:v>
                        </c:pt>
                      </c15:dlblFieldTableCache>
                    </c15:dlblFTEntry>
                  </c15:dlblFieldTable>
                  <c15:showDataLabelsRange val="0"/>
                </c:ext>
                <c:ext xmlns:c16="http://schemas.microsoft.com/office/drawing/2014/chart" uri="{C3380CC4-5D6E-409C-BE32-E72D297353CC}">
                  <c16:uniqueId val="{00000005-BA3E-4F9B-923D-F820CA634DE1}"/>
                </c:ext>
              </c:extLst>
            </c:dLbl>
            <c:dLbl>
              <c:idx val="6"/>
              <c:layout>
                <c:manualLayout>
                  <c:x val="-2.5052192066805846E-2"/>
                  <c:y val="6.25E-2"/>
                </c:manualLayout>
              </c:layout>
              <c:tx>
                <c:strRef>
                  <c:f>'Relative Value'!$B$224</c:f>
                  <c:strCache>
                    <c:ptCount val="1"/>
                    <c:pt idx="0">
                      <c:v>XEC</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{7930CEA9-9FB5-4623-A8C5-D6076D330609}</c15:txfldGUID>
                      <c15:f>'Relative Value'!$B$224</c15:f>
                      <c15:dlblFieldTableCache>
                        <c:ptCount val="1"/>
                        <c:pt idx="0">
                          <c:v>XEC</c:v>
                        </c:pt>
                      </c15:dlblFieldTableCache>
                    </c15:dlblFTEntry>
                  </c15:dlblFieldTable>
                  <c15:showDataLabelsRange val="0"/>
                </c:ext>
                <c:ext xmlns:c16="http://schemas.microsoft.com/office/drawing/2014/chart" uri="{C3380CC4-5D6E-409C-BE32-E72D297353CC}">
                  <c16:uniqueId val="{00000006-BA3E-4F9B-923D-F820CA634DE1}"/>
                </c:ext>
              </c:extLst>
            </c:dLbl>
            <c:dLbl>
              <c:idx val="7"/>
              <c:layout/>
              <c:tx>
                <c:strRef>
                  <c:f>'Relative Value'!$B$225</c:f>
                  <c:strCache>
                    <c:ptCount val="1"/>
                    <c:pt idx="0">
                      <c:v>COP</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{1257D500-B3E3-4713-B3DE-7ABA38D8F54D}</c15:txfldGUID>
                      <c15:f>'Relative Value'!$B$225</c15:f>
                      <c15:dlblFieldTableCache>
                        <c:ptCount val="1"/>
                        <c:pt idx="0">
                          <c:v>COP</c:v>
                        </c:pt>
                      </c15:dlblFieldTableCache>
                    </c15:dlblFTEntry>
                  </c15:dlblFieldTable>
                  <c15:showDataLabelsRange val="0"/>
                </c:ext>
                <c:ext xmlns:c16="http://schemas.microsoft.com/office/drawing/2014/chart" uri="{C3380CC4-5D6E-409C-BE32-E72D297353CC}">
                  <c16:uniqueId val="{00000007-BA3E-4F9B-923D-F820CA634DE1}"/>
                </c:ext>
              </c:extLst>
            </c:dLbl>
            <c:dLbl>
              <c:idx val="8"/>
              <c:layout>
                <c:manualLayout>
                  <c:x val="-3.3402922755741124E-2"/>
                  <c:y val="3.9772727272727272E-2"/>
                </c:manualLayout>
              </c:layout>
              <c:tx>
                <c:strRef>
                  <c:f>'Relative Value'!$B$226</c:f>
                  <c:strCache>
                    <c:ptCount val="1"/>
                    <c:pt idx="0">
                      <c:v>CLR</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{F1EF07E9-D403-4F7E-8FAB-FC43578993DE}</c15:txfldGUID>
                      <c15:f>'Relative Value'!$B$226</c15:f>
                      <c15:dlblFieldTableCache>
                        <c:ptCount val="1"/>
                        <c:pt idx="0">
                          <c:v>CLR</c:v>
                        </c:pt>
                      </c15:dlblFieldTableCache>
                    </c15:dlblFTEntry>
                  </c15:dlblFieldTable>
                  <c15:showDataLabelsRange val="0"/>
                </c:ext>
                <c:ext xmlns:c16="http://schemas.microsoft.com/office/drawing/2014/chart" uri="{C3380CC4-5D6E-409C-BE32-E72D297353CC}">
                  <c16:uniqueId val="{00000008-BA3E-4F9B-923D-F820CA634DE1}"/>
                </c:ext>
              </c:extLst>
            </c:dLbl>
            <c:dLbl>
              <c:idx val="9"/>
              <c:layout/>
              <c:tx>
                <c:strRef>
                  <c:f>'Relative Value'!$B$227</c:f>
                  <c:strCache>
                    <c:ptCount val="1"/>
                    <c:pt idx="0">
                      <c:v>CXO</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{4E5E3245-F552-41CF-BB06-DEEC9CF6932A}</c15:txfldGUID>
                      <c15:f>'Relative Value'!$B$227</c15:f>
                      <c15:dlblFieldTableCache>
                        <c:ptCount val="1"/>
                        <c:pt idx="0">
                          <c:v>CXO</c:v>
                        </c:pt>
                      </c15:dlblFieldTableCache>
                    </c15:dlblFTEntry>
                  </c15:dlblFieldTable>
                  <c15:showDataLabelsRange val="0"/>
                </c:ext>
                <c:ext xmlns:c16="http://schemas.microsoft.com/office/drawing/2014/chart" uri="{C3380CC4-5D6E-409C-BE32-E72D297353CC}">
                  <c16:uniqueId val="{00000009-BA3E-4F9B-923D-F820CA634DE1}"/>
                </c:ext>
              </c:extLst>
            </c:dLbl>
            <c:dLbl>
              <c:idx val="10"/>
              <c:layout/>
              <c:tx>
                <c:strRef>
                  <c:f>'Relative Value'!$B$228</c:f>
                  <c:strCache>
                    <c:ptCount val="1"/>
                    <c:pt idx="0">
                      <c:v>DVN</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{1189063D-109A-425F-A2CD-7AF95E7B38CE}</c15:txfldGUID>
                      <c15:f>'Relative Value'!$B$228</c15:f>
                      <c15:dlblFieldTableCache>
                        <c:ptCount val="1"/>
                        <c:pt idx="0">
                          <c:v>DVN</c:v>
                        </c:pt>
                      </c15:dlblFieldTableCache>
                    </c15:dlblFTEntry>
                  </c15:dlblFieldTable>
                  <c15:showDataLabelsRange val="0"/>
                </c:ext>
                <c:ext xmlns:c16="http://schemas.microsoft.com/office/drawing/2014/chart" uri="{C3380CC4-5D6E-409C-BE32-E72D297353CC}">
                  <c16:uniqueId val="{0000000A-BA3E-4F9B-923D-F820CA634DE1}"/>
                </c:ext>
              </c:extLst>
            </c:dLbl>
            <c:dLbl>
              <c:idx val="11"/>
              <c:layout/>
              <c:tx>
                <c:strRef>
                  <c:f>'Relative Value'!$B$229</c:f>
                  <c:strCache>
                    <c:ptCount val="1"/>
                    <c:pt idx="0">
                      <c:v>FANG</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{2F411016-997D-4317-A46E-B97D22350722}</c15:txfldGUID>
                      <c15:f>'Relative Value'!$B$229</c15:f>
                      <c15:dlblFieldTableCache>
                        <c:ptCount val="1"/>
                        <c:pt idx="0">
                          <c:v>FANG</c:v>
                        </c:pt>
                      </c15:dlblFieldTableCache>
                    </c15:dlblFTEntry>
                  </c15:dlblFieldTable>
                  <c15:showDataLabelsRange val="0"/>
                </c:ext>
                <c:ext xmlns:c16="http://schemas.microsoft.com/office/drawing/2014/chart" uri="{C3380CC4-5D6E-409C-BE32-E72D297353CC}">
                  <c16:uniqueId val="{0000000B-BA3E-4F9B-923D-F820CA634DE1}"/>
                </c:ext>
              </c:extLst>
            </c:dLbl>
            <c:dLbl>
              <c:idx val="12"/>
              <c:layout/>
              <c:tx>
                <c:strRef>
                  <c:f>'Relative Value'!$B$230</c:f>
                  <c:strCache>
                    <c:ptCount val="1"/>
                    <c:pt idx="0">
                      <c:v>ECACN</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{B07D337A-69EE-4BC5-AECC-571191751872}</c15:txfldGUID>
                      <c15:f>'Relative Value'!$B$230</c15:f>
                      <c15:dlblFieldTableCache>
                        <c:ptCount val="1"/>
                        <c:pt idx="0">
                          <c:v>ECACN</c:v>
                        </c:pt>
                      </c15:dlblFieldTableCache>
                    </c15:dlblFTEntry>
                  </c15:dlblFieldTable>
                  <c15:showDataLabelsRange val="0"/>
                </c:ext>
                <c:ext xmlns:c16="http://schemas.microsoft.com/office/drawing/2014/chart" uri="{C3380CC4-5D6E-409C-BE32-E72D297353CC}">
                  <c16:uniqueId val="{0000000C-BA3E-4F9B-923D-F820CA634DE1}"/>
                </c:ext>
              </c:extLst>
            </c:dLbl>
            <c:dLbl>
              <c:idx val="13"/>
              <c:layout/>
              <c:tx>
                <c:strRef>
                  <c:f>'Relative Value'!$B$231</c:f>
                  <c:strCache>
                    <c:ptCount val="1"/>
                    <c:pt idx="0">
                      <c:v>EOG</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{98C80E11-1232-4FD1-9DFE-620804EC0227}</c15:txfldGUID>
                      <c15:f>'Relative Value'!$B$231</c15:f>
                      <c15:dlblFieldTableCache>
                        <c:ptCount val="1"/>
                        <c:pt idx="0">
                          <c:v>EOG</c:v>
                        </c:pt>
                      </c15:dlblFieldTableCache>
                    </c15:dlblFTEntry>
                  </c15:dlblFieldTable>
                  <c15:showDataLabelsRange val="0"/>
                </c:ext>
                <c:ext xmlns:c16="http://schemas.microsoft.com/office/drawing/2014/chart" uri="{C3380CC4-5D6E-409C-BE32-E72D297353CC}">
                  <c16:uniqueId val="{0000000D-BA3E-4F9B-923D-F820CA634DE1}"/>
                </c:ext>
              </c:extLst>
            </c:dLbl>
            <c:dLbl>
              <c:idx val="14"/>
              <c:layout/>
              <c:tx>
                <c:strRef>
                  <c:f>'Relative Value'!$B$232</c:f>
                  <c:strCache>
                    <c:ptCount val="1"/>
                    <c:pt idx="0">
                      <c:v>EQT</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{7662C4AB-57E9-46C5-A121-3B07C9DE8B3E}</c15:txfldGUID>
                      <c15:f>'Relative Value'!$B$232</c15:f>
                      <c15:dlblFieldTableCache>
                        <c:ptCount val="1"/>
                        <c:pt idx="0">
                          <c:v>EQT</c:v>
                        </c:pt>
                      </c15:dlblFieldTableCache>
                    </c15:dlblFTEntry>
                  </c15:dlblFieldTable>
                  <c15:showDataLabelsRange val="0"/>
                </c:ext>
                <c:ext xmlns:c16="http://schemas.microsoft.com/office/drawing/2014/chart" uri="{C3380CC4-5D6E-409C-BE32-E72D297353CC}">
                  <c16:uniqueId val="{0000000E-BA3E-4F9B-923D-F820CA634DE1}"/>
                </c:ext>
              </c:extLst>
            </c:dLbl>
            <c:dLbl>
              <c:idx val="15"/>
              <c:layout>
                <c:manualLayout>
                  <c:x val="-9.1858037578288101E-2"/>
                  <c:y val="-5.681818181818234E-3"/>
                </c:manualLayout>
              </c:layout>
              <c:tx>
                <c:strRef>
                  <c:f>'Relative Value'!$B$233</c:f>
                  <c:strCache>
                    <c:ptCount val="1"/>
                    <c:pt idx="0">
                      <c:v>HES</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{4B29D32B-89A7-4955-BFB0-DB1429F21C19}</c15:txfldGUID>
                      <c15:f>'Relative Value'!$B$233</c15:f>
                      <c15:dlblFieldTableCache>
                        <c:ptCount val="1"/>
                        <c:pt idx="0">
                          <c:v>HES</c:v>
                        </c:pt>
                      </c15:dlblFieldTableCache>
                    </c15:dlblFTEntry>
                  </c15:dlblFieldTable>
                  <c15:showDataLabelsRange val="0"/>
                </c:ext>
                <c:ext xmlns:c16="http://schemas.microsoft.com/office/drawing/2014/chart" uri="{C3380CC4-5D6E-409C-BE32-E72D297353CC}">
                  <c16:uniqueId val="{0000000F-BA3E-4F9B-923D-F820CA634DE1}"/>
                </c:ext>
              </c:extLst>
            </c:dLbl>
            <c:dLbl>
              <c:idx val="16"/>
              <c:layout/>
              <c:tx>
                <c:strRef>
                  <c:f>'Relative Value'!$B$234</c:f>
                  <c:strCache>
                    <c:ptCount val="1"/>
                    <c:pt idx="0">
                      <c:v>MRO</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{E33D725A-A044-4F27-BC76-C83AF1996A1F}</c15:txfldGUID>
                      <c15:f>'Relative Value'!$B$234</c15:f>
                      <c15:dlblFieldTableCache>
                        <c:ptCount val="1"/>
                        <c:pt idx="0">
                          <c:v>MRO</c:v>
                        </c:pt>
                      </c15:dlblFieldTableCache>
                    </c15:dlblFTEntry>
                  </c15:dlblFieldTable>
                  <c15:showDataLabelsRange val="0"/>
                </c:ext>
                <c:ext xmlns:c16="http://schemas.microsoft.com/office/drawing/2014/chart" uri="{C3380CC4-5D6E-409C-BE32-E72D297353CC}">
                  <c16:uniqueId val="{00000010-BA3E-4F9B-923D-F820CA634DE1}"/>
                </c:ext>
              </c:extLst>
            </c:dLbl>
            <c:dLbl>
              <c:idx val="17"/>
              <c:tx>
                <c:strRef>
                  <c:f>'Relative Value'!$B$235</c:f>
                  <c:strCache>
                    <c:ptCount val="1"/>
                    <c:pt idx="0">
                      <c:v>MUR</c:v>
                    </c:pt>
                  </c:strCache>
                </c:strRef>
              </c:tx>
              <c:spPr>
                <a:noFill/>
                <a:ln>
                  <a:noFill/>
                </a:ln>
                <a:effectLst/>
              </c:spPr>
              <c:txPr>
                <a:bodyPr wrap="square" lIns="38100" tIns="19050" rIns="38100" bIns="19050" anchor="ctr">
                  <a:spAutoFit/>
                </a:bodyPr>
                <a:lstStyle/>
                <a:p>
                  <a:pPr>
                    <a:defRPr sz="800" b="0" i="0">
                      <a:solidFill>
                        <a:srgbClr val="333333"/>
                      </a:solidFill>
                      <a:latin typeface="Expert Sans Regular" panose="020B0503030103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{65346473-4E9A-4251-90ED-68CA7821D0F0}</c15:txfldGUID>
                      <c15:f>'Relative Value'!$B$235</c15:f>
                      <c15:dlblFieldTableCache>
                        <c:ptCount val="1"/>
                        <c:pt idx="0">
                          <c:v>MUR</c:v>
                        </c:pt>
                      </c15:dlblFieldTableCache>
                    </c15:dlblFTEntry>
                  </c15:dlblFieldTable>
                  <c15:showDataLabelsRange val="0"/>
                </c:ext>
                <c:ext xmlns:c16="http://schemas.microsoft.com/office/drawing/2014/chart" uri="{C3380CC4-5D6E-409C-BE32-E72D297353CC}">
                  <c16:uniqueId val="{00000011-BA3E-4F9B-923D-F820CA634DE1}"/>
                </c:ext>
              </c:extLst>
            </c:dLbl>
            <c:dLbl>
              <c:idx val="18"/>
              <c:layout/>
              <c:tx>
                <c:strRef>
                  <c:f>'Relative Value'!$B$236</c:f>
                  <c:strCache>
                    <c:ptCount val="1"/>
                    <c:pt idx="0">
                      <c:v>NBL</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{FE5C8F44-AB24-45BA-B430-5F6EE00E9254}</c15:txfldGUID>
                      <c15:f>'Relative Value'!$B$236</c15:f>
                      <c15:dlblFieldTableCache>
                        <c:ptCount val="1"/>
                        <c:pt idx="0">
                          <c:v>NBL</c:v>
                        </c:pt>
                      </c15:dlblFieldTableCache>
                    </c15:dlblFTEntry>
                  </c15:dlblFieldTable>
                  <c15:showDataLabelsRange val="0"/>
                </c:ext>
                <c:ext xmlns:c16="http://schemas.microsoft.com/office/drawing/2014/chart" uri="{C3380CC4-5D6E-409C-BE32-E72D297353CC}">
                  <c16:uniqueId val="{00000012-BA3E-4F9B-923D-F820CA634DE1}"/>
                </c:ext>
              </c:extLst>
            </c:dLbl>
            <c:dLbl>
              <c:idx val="19"/>
              <c:layout>
                <c:manualLayout>
                  <c:x val="-9.4641614474599886E-2"/>
                  <c:y val="5.113636363636364E-2"/>
                </c:manualLayout>
              </c:layout>
              <c:tx>
                <c:strRef>
                  <c:f>'Relative Value'!$B$237</c:f>
                  <c:strCache>
                    <c:ptCount val="1"/>
                    <c:pt idx="0">
                      <c:v>OXY</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{37030752-F0B7-4DF6-A48D-853C14376509}</c15:txfldGUID>
                      <c15:f>'Relative Value'!$B$237</c15:f>
                      <c15:dlblFieldTableCache>
                        <c:ptCount val="1"/>
                        <c:pt idx="0">
                          <c:v>OXY</c:v>
                        </c:pt>
                      </c15:dlblFieldTableCache>
                    </c15:dlblFTEntry>
                  </c15:dlblFieldTable>
                  <c15:showDataLabelsRange val="0"/>
                </c:ext>
                <c:ext xmlns:c16="http://schemas.microsoft.com/office/drawing/2014/chart" uri="{C3380CC4-5D6E-409C-BE32-E72D297353CC}">
                  <c16:uniqueId val="{00000013-BA3E-4F9B-923D-F820CA634DE1}"/>
                </c:ext>
              </c:extLst>
            </c:dLbl>
            <c:dLbl>
              <c:idx val="20"/>
              <c:layout/>
              <c:tx>
                <c:strRef>
                  <c:f>'Relative Value'!$B$238</c:f>
                  <c:strCache>
                    <c:ptCount val="1"/>
                    <c:pt idx="0">
                      <c:v>PXD</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{50215B65-7B05-4687-8213-047D2B16AFDB}</c15:txfldGUID>
                      <c15:f>'Relative Value'!$B$238</c15:f>
                      <c15:dlblFieldTableCache>
                        <c:ptCount val="1"/>
                        <c:pt idx="0">
                          <c:v>PXD</c:v>
                        </c:pt>
                      </c15:dlblFieldTableCache>
                    </c15:dlblFTEntry>
                  </c15:dlblFieldTable>
                  <c15:showDataLabelsRange val="0"/>
                </c:ext>
                <c:ext xmlns:c16="http://schemas.microsoft.com/office/drawing/2014/chart" uri="{C3380CC4-5D6E-409C-BE32-E72D297353CC}">
                  <c16:uniqueId val="{00000014-BA3E-4F9B-923D-F820CA634DE1}"/>
                </c:ext>
              </c:extLst>
            </c:dLbl>
            <c:dLbl>
              <c:idx val="21"/>
              <c:tx>
                <c:strRef>
                  <c:f>'Relative Value'!$B$239</c:f>
                  <c:strCache>
                    <c:ptCount val="1"/>
                    <c:pt idx="0">
                      <c:v>SWN</c:v>
                    </c:pt>
                  </c:strCache>
                </c:strRef>
              </c:tx>
              <c:spPr>
                <a:noFill/>
                <a:ln>
                  <a:noFill/>
                </a:ln>
                <a:effectLst/>
              </c:spPr>
              <c:txPr>
                <a:bodyPr wrap="square" lIns="38100" tIns="19050" rIns="38100" bIns="19050" anchor="ctr">
                  <a:spAutoFit/>
                </a:bodyPr>
                <a:lstStyle/>
                <a:p>
                  <a:pPr>
                    <a:defRPr sz="800" b="0" i="0">
                      <a:solidFill>
                        <a:srgbClr val="333333"/>
                      </a:solidFill>
                      <a:latin typeface="Expert Sans Regular" panose="020B0503030103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{3662CB73-4BB6-4687-A1A9-2DC9B8380A5B}</c15:txfldGUID>
                      <c15:f>'Relative Value'!$B$239</c15:f>
                      <c15:dlblFieldTableCache>
                        <c:ptCount val="1"/>
                        <c:pt idx="0">
                          <c:v>SWN</c:v>
                        </c:pt>
                      </c15:dlblFieldTableCache>
                    </c15:dlblFTEntry>
                  </c15:dlblFieldTable>
                  <c15:showDataLabelsRange val="0"/>
                </c:ext>
                <c:ext xmlns:c16="http://schemas.microsoft.com/office/drawing/2014/chart" uri="{C3380CC4-5D6E-409C-BE32-E72D297353CC}">
                  <c16:uniqueId val="{00000015-BA3E-4F9B-923D-F820CA634DE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'Relative Value'!$C$218:$C$239</c:f>
              <c:numCache>
                <c:formatCode>#,##0.00_);\(#,##0.00\)</c:formatCode>
                <c:ptCount val="22"/>
                <c:pt idx="2">
                  <c:v>7.5825532317757025</c:v>
                </c:pt>
                <c:pt idx="3">
                  <c:v>13.939393939393945</c:v>
                </c:pt>
                <c:pt idx="4">
                  <c:v>10.182314942680408</c:v>
                </c:pt>
                <c:pt idx="6">
                  <c:v>14.50923289677052</c:v>
                </c:pt>
                <c:pt idx="7">
                  <c:v>20.870694782608691</c:v>
                </c:pt>
                <c:pt idx="8">
                  <c:v>11.328946981935673</c:v>
                </c:pt>
                <c:pt idx="9">
                  <c:v>16.081750526956522</c:v>
                </c:pt>
                <c:pt idx="10">
                  <c:v>9.080448333333333</c:v>
                </c:pt>
                <c:pt idx="11">
                  <c:v>19.666557826315788</c:v>
                </c:pt>
                <c:pt idx="12">
                  <c:v>8.1076911245791248</c:v>
                </c:pt>
                <c:pt idx="13">
                  <c:v>46.408303886925786</c:v>
                </c:pt>
                <c:pt idx="14">
                  <c:v>5.2630950135194619</c:v>
                </c:pt>
                <c:pt idx="15">
                  <c:v>7.5362362666666654</c:v>
                </c:pt>
                <c:pt idx="16">
                  <c:v>12.265625</c:v>
                </c:pt>
                <c:pt idx="18">
                  <c:v>6.5750724219585779</c:v>
                </c:pt>
                <c:pt idx="19">
                  <c:v>5.3310925284339454</c:v>
                </c:pt>
                <c:pt idx="20">
                  <c:v>28.299294900689652</c:v>
                </c:pt>
              </c:numCache>
            </c:numRef>
          </c:xVal>
          <c:yVal>
            <c:numRef>
              <c:f>'Relative Value'!$D$218:$D$239</c:f>
              <c:numCache>
                <c:formatCode>#,##0_);\(#,##0\)</c:formatCode>
                <c:ptCount val="22"/>
                <c:pt idx="2">
                  <c:v>93</c:v>
                </c:pt>
                <c:pt idx="3">
                  <c:v>79.900000000000006</c:v>
                </c:pt>
                <c:pt idx="4">
                  <c:v>92</c:v>
                </c:pt>
                <c:pt idx="6">
                  <c:v>161</c:v>
                </c:pt>
                <c:pt idx="7">
                  <c:v>57</c:v>
                </c:pt>
                <c:pt idx="8">
                  <c:v>156</c:v>
                </c:pt>
                <c:pt idx="9">
                  <c:v>167</c:v>
                </c:pt>
                <c:pt idx="10">
                  <c:v>76</c:v>
                </c:pt>
                <c:pt idx="11">
                  <c:v>211.3</c:v>
                </c:pt>
                <c:pt idx="12">
                  <c:v>172.7</c:v>
                </c:pt>
                <c:pt idx="13">
                  <c:v>56</c:v>
                </c:pt>
                <c:pt idx="14">
                  <c:v>270</c:v>
                </c:pt>
                <c:pt idx="15">
                  <c:v>151</c:v>
                </c:pt>
                <c:pt idx="16">
                  <c:v>65</c:v>
                </c:pt>
                <c:pt idx="18">
                  <c:v>118</c:v>
                </c:pt>
                <c:pt idx="19">
                  <c:v>68</c:v>
                </c:pt>
                <c:pt idx="20">
                  <c:v>68</c:v>
                </c:pt>
              </c:numCache>
            </c:numRef>
          </c:yVal>
          <c:smooth val="0"/>
          <c:extLst>
            <c:ext xmlns:c16="http://schemas.microsoft.com/office/drawing/2014/chart" uri="{C3380CC4-5D6E-409C-BE32-E72D297353CC}">
              <c16:uniqueId val="{00000016-BA3E-4F9B-923D-F820CA634DE1}"/>
            </c:ext>
          </c:extLst>
        </c:ser>
        <c:dLbls>
          <c:showLegendKey val="0"/>
          <c:showVal val="0"/>
          <c:showCatName val="0"/>
          <c:showSerName val="0"/>
          <c:showPercent val="0"/>
          <c:showBubbleSize val="0"/>
        </c:dLbls>
        <c:axId val="1342907136"/>
        <c:axId val="1342908672"/>
      </c:scatterChart>
      <c:valAx>
        <c:axId val="1342907136"/>
        <c:scaling>
          <c:orientation val="minMax"/>
        </c:scaling>
        <c:delete val="0"/>
        <c:axPos val="b"/>
        <c:numFmt formatCode="#,##0.00_);\(#,##0.00\)" sourceLinked="1"/>
        <c:majorTickMark val="out"/>
        <c:minorTickMark val="none"/>
        <c:tickLblPos val="nextTo"/>
        <c:spPr>
          <a:ln w="12700">
            <a:solidFill>
              <a:srgbClr val="1E1E1E"/>
            </a:solidFill>
            <a:prstDash val="solid"/>
          </a:ln>
        </c:spPr>
        <c:txPr>
          <a:bodyPr/>
          <a:lstStyle/>
          <a:p>
            <a:pPr>
              <a:defRPr sz="800" b="0" i="0" u="none">
                <a:solidFill>
                  <a:srgbClr val="1E1E1E"/>
                </a:solidFill>
              </a:defRPr>
            </a:pPr>
            <a:endParaRPr lang="en-US"/>
          </a:p>
        </c:txPr>
        <c:crossAx val="1342908672"/>
        <c:crosses val="autoZero"/>
        <c:crossBetween val="midCat"/>
      </c:valAx>
      <c:valAx>
        <c:axId val="1342908672"/>
        <c:scaling>
          <c:orientation val="minMax"/>
        </c:scaling>
        <c:delete val="0"/>
        <c:axPos val="l"/>
        <c:numFmt formatCode="#,##0" sourceLinked="0"/>
        <c:majorTickMark val="out"/>
        <c:minorTickMark val="none"/>
        <c:tickLblPos val="low"/>
        <c:spPr>
          <a:ln w="12700">
            <a:solidFill>
              <a:srgbClr val="1E1E1E"/>
            </a:solidFill>
            <a:prstDash val="solid"/>
          </a:ln>
        </c:spPr>
        <c:txPr>
          <a:bodyPr/>
          <a:lstStyle/>
          <a:p>
            <a:pPr>
              <a:defRPr sz="800" b="0" i="0" u="none">
                <a:solidFill>
                  <a:srgbClr val="1E1E1E"/>
                </a:solidFill>
              </a:defRPr>
            </a:pPr>
            <a:endParaRPr lang="en-US"/>
          </a:p>
        </c:txPr>
        <c:crossAx val="1342907136"/>
        <c:crosses val="autoZero"/>
        <c:crossBetween val="midCat"/>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800">
          <a:solidFill>
            <a:srgbClr val="1E1E1E"/>
          </a:solidFill>
          <a:latin typeface="Expert Sans Regular"/>
          <a:ea typeface="Expert Sans Regular"/>
          <a:cs typeface="Expert Sans Regular"/>
        </a:defRPr>
      </a:pPr>
      <a:endParaRPr lang="en-US"/>
    </a:p>
  </c:txPr>
  <c:printSettings>
    <c:headerFooter/>
    <c:pageMargins b="0.75000000000001465" l="0.70000000000000062" r="0.70000000000000062" t="0.75000000000001465" header="0.30000000000000032" footer="0.30000000000000032"/>
    <c:pageSetup paperSize="8"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1.1126564673157707E-2"/>
          <c:y val="2.272727272727449E-2"/>
          <c:w val="0.98609179415855364"/>
          <c:h val="0.97159090909090906"/>
        </c:manualLayout>
      </c:layout>
      <c:scatterChart>
        <c:scatterStyle val="lineMarker"/>
        <c:varyColors val="0"/>
        <c:ser>
          <c:idx val="0"/>
          <c:order val="0"/>
          <c:spPr>
            <a:ln w="28575">
              <a:noFill/>
            </a:ln>
          </c:spPr>
          <c:marker>
            <c:symbol val="diamond"/>
            <c:size val="6"/>
          </c:marker>
          <c:dLbls>
            <c:dLbl>
              <c:idx val="0"/>
              <c:layout>
                <c:manualLayout>
                  <c:x val="-3.894297635605002E-2"/>
                  <c:y val="5.6818181818182024E-2"/>
                </c:manualLayout>
              </c:layout>
              <c:tx>
                <c:strRef>
                  <c:f>'Relative Value'!$B$192</c:f>
                  <c:strCache>
                    <c:ptCount val="1"/>
                  </c:strCache>
                </c:strRef>
              </c:tx>
              <c:spPr/>
              <c:txPr>
                <a:bodyPr/>
                <a:lstStyle/>
                <a:p>
                  <a:pPr>
                    <a:defRPr sz="800" b="0" i="0">
                      <a:solidFill>
                        <a:srgbClr val="333333"/>
                      </a:solidFill>
                      <a:latin typeface="Expert Sans Regular"/>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{C095C486-6CAA-4CDC-B2FB-9965E7823BC6}</c15:txfldGUID>
                      <c15:f>'Relative Value'!$B$192</c15:f>
                      <c15:dlblFieldTableCache>
                        <c:ptCount val="1"/>
                      </c15:dlblFieldTableCache>
                    </c15:dlblFTEntry>
                  </c15:dlblFieldTable>
                  <c15:showDataLabelsRange val="0"/>
                </c:ext>
                <c:ext xmlns:c16="http://schemas.microsoft.com/office/drawing/2014/chart" uri="{C3380CC4-5D6E-409C-BE32-E72D297353CC}">
                  <c16:uniqueId val="{00000000-8963-4DA1-9C53-BF00FE0E06E8}"/>
                </c:ext>
              </c:extLst>
            </c:dLbl>
            <c:dLbl>
              <c:idx val="1"/>
              <c:tx>
                <c:strRef>
                  <c:f>'Relative Value'!$B$193</c:f>
                  <c:strCache>
                    <c:ptCount val="1"/>
                    <c:pt idx="0">
                      <c:v>AR</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{107E4622-8830-43D5-BE47-623B02EEC08D}</c15:txfldGUID>
                      <c15:f>'Relative Value'!$B$193</c15:f>
                      <c15:dlblFieldTableCache>
                        <c:ptCount val="1"/>
                        <c:pt idx="0">
                          <c:v>AR</c:v>
                        </c:pt>
                      </c15:dlblFieldTableCache>
                    </c15:dlblFTEntry>
                  </c15:dlblFieldTable>
                  <c15:showDataLabelsRange val="0"/>
                </c:ext>
                <c:ext xmlns:c16="http://schemas.microsoft.com/office/drawing/2014/chart" uri="{C3380CC4-5D6E-409C-BE32-E72D297353CC}">
                  <c16:uniqueId val="{00000001-8963-4DA1-9C53-BF00FE0E06E8}"/>
                </c:ext>
              </c:extLst>
            </c:dLbl>
            <c:dLbl>
              <c:idx val="2"/>
              <c:layout>
                <c:manualLayout>
                  <c:x val="-9.4641614474599858E-2"/>
                  <c:y val="-2.604136583458635E-17"/>
                </c:manualLayout>
              </c:layout>
              <c:tx>
                <c:strRef>
                  <c:f>'Relative Value'!$B$194</c:f>
                  <c:strCache>
                    <c:ptCount val="1"/>
                    <c:pt idx="0">
                      <c:v>APA</c:v>
                    </c:pt>
                  </c:strCache>
                </c:strRef>
              </c:tx>
              <c:spPr/>
              <c:txPr>
                <a:bodyPr/>
                <a:lstStyle/>
                <a:p>
                  <a:pPr>
                    <a:defRPr sz="800" b="0" i="0">
                      <a:solidFill>
                        <a:srgbClr val="333333"/>
                      </a:solidFill>
                      <a:latin typeface="Expert Sans Regular"/>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{5F4B6104-D72E-46BF-B227-209B533662BB}</c15:txfldGUID>
                      <c15:f>'Relative Value'!$B$194</c15:f>
                      <c15:dlblFieldTableCache>
                        <c:ptCount val="1"/>
                        <c:pt idx="0">
                          <c:v>APA</c:v>
                        </c:pt>
                      </c15:dlblFieldTableCache>
                    </c15:dlblFTEntry>
                  </c15:dlblFieldTable>
                  <c15:showDataLabelsRange val="0"/>
                </c:ext>
                <c:ext xmlns:c16="http://schemas.microsoft.com/office/drawing/2014/chart" uri="{C3380CC4-5D6E-409C-BE32-E72D297353CC}">
                  <c16:uniqueId val="{00000002-8963-4DA1-9C53-BF00FE0E06E8}"/>
                </c:ext>
              </c:extLst>
            </c:dLbl>
            <c:dLbl>
              <c:idx val="3"/>
              <c:layout/>
              <c:tx>
                <c:strRef>
                  <c:f>'Relative Value'!$B$195</c:f>
                  <c:strCache>
                    <c:ptCount val="1"/>
                    <c:pt idx="0">
                      <c:v>CNQCN</c:v>
                    </c:pt>
                  </c:strCache>
                </c:strRef>
              </c:tx>
              <c:spPr/>
              <c:txPr>
                <a:bodyPr/>
                <a:lstStyle/>
                <a:p>
                  <a:pPr>
                    <a:defRPr sz="800" b="0" i="0">
                      <a:solidFill>
                        <a:srgbClr val="333333"/>
                      </a:solidFill>
                      <a:latin typeface="Expert Sans Regular"/>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{BE5E4C2C-9A4A-4038-BDB6-7CF775503B86}</c15:txfldGUID>
                      <c15:f>'Relative Value'!$B$195</c15:f>
                      <c15:dlblFieldTableCache>
                        <c:ptCount val="1"/>
                        <c:pt idx="0">
                          <c:v>CNQCN</c:v>
                        </c:pt>
                      </c15:dlblFieldTableCache>
                    </c15:dlblFTEntry>
                  </c15:dlblFieldTable>
                  <c15:showDataLabelsRange val="0"/>
                </c:ext>
                <c:ext xmlns:c16="http://schemas.microsoft.com/office/drawing/2014/chart" uri="{C3380CC4-5D6E-409C-BE32-E72D297353CC}">
                  <c16:uniqueId val="{00000003-8963-4DA1-9C53-BF00FE0E06E8}"/>
                </c:ext>
              </c:extLst>
            </c:dLbl>
            <c:dLbl>
              <c:idx val="4"/>
              <c:layout>
                <c:manualLayout>
                  <c:x val="-1.3917884481558803E-2"/>
                  <c:y val="0"/>
                </c:manualLayout>
              </c:layout>
              <c:tx>
                <c:strRef>
                  <c:f>'Relative Value'!$B$196</c:f>
                  <c:strCache>
                    <c:ptCount val="1"/>
                    <c:pt idx="0">
                      <c:v>CVECN</c:v>
                    </c:pt>
                  </c:strCache>
                </c:strRef>
              </c:tx>
              <c:spPr/>
              <c:txPr>
                <a:bodyPr/>
                <a:lstStyle/>
                <a:p>
                  <a:pPr>
                    <a:defRPr sz="800" b="0" i="0">
                      <a:solidFill>
                        <a:srgbClr val="333333"/>
                      </a:solidFill>
                      <a:latin typeface="Expert Sans Regular"/>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{C7AA64E9-CB63-46C2-B061-185777B2C91C}</c15:txfldGUID>
                      <c15:f>'Relative Value'!$B$196</c15:f>
                      <c15:dlblFieldTableCache>
                        <c:ptCount val="1"/>
                        <c:pt idx="0">
                          <c:v>CVECN</c:v>
                        </c:pt>
                      </c15:dlblFieldTableCache>
                    </c15:dlblFTEntry>
                  </c15:dlblFieldTable>
                  <c15:showDataLabelsRange val="0"/>
                </c:ext>
                <c:ext xmlns:c16="http://schemas.microsoft.com/office/drawing/2014/chart" uri="{C3380CC4-5D6E-409C-BE32-E72D297353CC}">
                  <c16:uniqueId val="{00000004-8963-4DA1-9C53-BF00FE0E06E8}"/>
                </c:ext>
              </c:extLst>
            </c:dLbl>
            <c:dLbl>
              <c:idx val="5"/>
              <c:tx>
                <c:strRef>
                  <c:f>'Relative Value'!$B$197</c:f>
                  <c:strCache>
                    <c:ptCount val="1"/>
                    <c:pt idx="0">
                      <c:v>CHK</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{27C8624C-D0D4-4480-9A14-26975EA60E8F}</c15:txfldGUID>
                      <c15:f>'Relative Value'!$B$197</c15:f>
                      <c15:dlblFieldTableCache>
                        <c:ptCount val="1"/>
                        <c:pt idx="0">
                          <c:v>CHK</c:v>
                        </c:pt>
                      </c15:dlblFieldTableCache>
                    </c15:dlblFTEntry>
                  </c15:dlblFieldTable>
                  <c15:showDataLabelsRange val="0"/>
                </c:ext>
                <c:ext xmlns:c16="http://schemas.microsoft.com/office/drawing/2014/chart" uri="{C3380CC4-5D6E-409C-BE32-E72D297353CC}">
                  <c16:uniqueId val="{00000005-8963-4DA1-9C53-BF00FE0E06E8}"/>
                </c:ext>
              </c:extLst>
            </c:dLbl>
            <c:dLbl>
              <c:idx val="6"/>
              <c:tx>
                <c:strRef>
                  <c:f>'Relative Value'!$B$198</c:f>
                  <c:strCache>
                    <c:ptCount val="1"/>
                    <c:pt idx="0">
                      <c:v>XEC</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{107CE7B4-CEA0-48F8-AB0C-88969CD9F521}</c15:txfldGUID>
                      <c15:f>'Relative Value'!$B$198</c15:f>
                      <c15:dlblFieldTableCache>
                        <c:ptCount val="1"/>
                        <c:pt idx="0">
                          <c:v>XEC</c:v>
                        </c:pt>
                      </c15:dlblFieldTableCache>
                    </c15:dlblFTEntry>
                  </c15:dlblFieldTable>
                  <c15:showDataLabelsRange val="0"/>
                </c:ext>
                <c:ext xmlns:c16="http://schemas.microsoft.com/office/drawing/2014/chart" uri="{C3380CC4-5D6E-409C-BE32-E72D297353CC}">
                  <c16:uniqueId val="{00000006-8963-4DA1-9C53-BF00FE0E06E8}"/>
                </c:ext>
              </c:extLst>
            </c:dLbl>
            <c:dLbl>
              <c:idx val="7"/>
              <c:layout/>
              <c:tx>
                <c:strRef>
                  <c:f>'Relative Value'!$B$199</c:f>
                  <c:strCache>
                    <c:ptCount val="1"/>
                    <c:pt idx="0">
                      <c:v>COP</c:v>
                    </c:pt>
                  </c:strCache>
                </c:strRef>
              </c:tx>
              <c:spPr/>
              <c:txPr>
                <a:bodyPr/>
                <a:lstStyle/>
                <a:p>
                  <a:pPr>
                    <a:defRPr sz="800" b="0" i="0">
                      <a:solidFill>
                        <a:srgbClr val="333333"/>
                      </a:solidFill>
                      <a:latin typeface="Expert Sans Regular"/>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{AEEB4557-18E8-4160-80D8-465FC3E62FEC}</c15:txfldGUID>
                      <c15:f>'Relative Value'!$B$199</c15:f>
                      <c15:dlblFieldTableCache>
                        <c:ptCount val="1"/>
                        <c:pt idx="0">
                          <c:v>COP</c:v>
                        </c:pt>
                      </c15:dlblFieldTableCache>
                    </c15:dlblFTEntry>
                  </c15:dlblFieldTable>
                  <c15:showDataLabelsRange val="0"/>
                </c:ext>
                <c:ext xmlns:c16="http://schemas.microsoft.com/office/drawing/2014/chart" uri="{C3380CC4-5D6E-409C-BE32-E72D297353CC}">
                  <c16:uniqueId val="{00000007-8963-4DA1-9C53-BF00FE0E06E8}"/>
                </c:ext>
              </c:extLst>
            </c:dLbl>
            <c:dLbl>
              <c:idx val="8"/>
              <c:layout>
                <c:manualLayout>
                  <c:x val="-1.1116992421876285E-2"/>
                  <c:y val="-2.604136583458635E-17"/>
                </c:manualLayout>
              </c:layout>
              <c:tx>
                <c:strRef>
                  <c:f>'Relative Value'!$B$200</c:f>
                  <c:strCache>
                    <c:ptCount val="1"/>
                    <c:pt idx="0">
                      <c:v>CLR</c:v>
                    </c:pt>
                  </c:strCache>
                </c:strRef>
              </c:tx>
              <c:spPr/>
              <c:txPr>
                <a:bodyPr/>
                <a:lstStyle/>
                <a:p>
                  <a:pPr>
                    <a:defRPr sz="800" b="0" i="0">
                      <a:solidFill>
                        <a:srgbClr val="333333"/>
                      </a:solidFill>
                      <a:latin typeface="Expert Sans Regular"/>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{D75E1CC2-26C2-4433-8B43-497D69D96D5C}</c15:txfldGUID>
                      <c15:f>'Relative Value'!$B$200</c15:f>
                      <c15:dlblFieldTableCache>
                        <c:ptCount val="1"/>
                        <c:pt idx="0">
                          <c:v>CLR</c:v>
                        </c:pt>
                      </c15:dlblFieldTableCache>
                    </c15:dlblFTEntry>
                  </c15:dlblFieldTable>
                  <c15:showDataLabelsRange val="0"/>
                </c:ext>
                <c:ext xmlns:c16="http://schemas.microsoft.com/office/drawing/2014/chart" uri="{C3380CC4-5D6E-409C-BE32-E72D297353CC}">
                  <c16:uniqueId val="{00000008-8963-4DA1-9C53-BF00FE0E06E8}"/>
                </c:ext>
              </c:extLst>
            </c:dLbl>
            <c:dLbl>
              <c:idx val="9"/>
              <c:layout/>
              <c:tx>
                <c:strRef>
                  <c:f>'Relative Value'!$B$201</c:f>
                  <c:strCache>
                    <c:ptCount val="1"/>
                    <c:pt idx="0">
                      <c:v>CXO</c:v>
                    </c:pt>
                  </c:strCache>
                </c:strRef>
              </c:tx>
              <c:spPr/>
              <c:txPr>
                <a:bodyPr/>
                <a:lstStyle/>
                <a:p>
                  <a:pPr>
                    <a:defRPr sz="800" b="0" i="0">
                      <a:solidFill>
                        <a:srgbClr val="333333"/>
                      </a:solidFill>
                      <a:latin typeface="Expert Sans Regular"/>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{1E9DCD36-2130-4EE5-8DC4-5BBA4F7E9491}</c15:txfldGUID>
                      <c15:f>'Relative Value'!$B$201</c15:f>
                      <c15:dlblFieldTableCache>
                        <c:ptCount val="1"/>
                        <c:pt idx="0">
                          <c:v>CXO</c:v>
                        </c:pt>
                      </c15:dlblFieldTableCache>
                    </c15:dlblFTEntry>
                  </c15:dlblFieldTable>
                  <c15:showDataLabelsRange val="0"/>
                </c:ext>
                <c:ext xmlns:c16="http://schemas.microsoft.com/office/drawing/2014/chart" uri="{C3380CC4-5D6E-409C-BE32-E72D297353CC}">
                  <c16:uniqueId val="{00000009-8963-4DA1-9C53-BF00FE0E06E8}"/>
                </c:ext>
              </c:extLst>
            </c:dLbl>
            <c:dLbl>
              <c:idx val="10"/>
              <c:layout>
                <c:manualLayout>
                  <c:x val="-4.1724617524339404E-2"/>
                  <c:y val="-5.6818181818182024E-2"/>
                </c:manualLayout>
              </c:layout>
              <c:tx>
                <c:strRef>
                  <c:f>'Relative Value'!$B$202</c:f>
                  <c:strCache>
                    <c:ptCount val="1"/>
                    <c:pt idx="0">
                      <c:v>DVN</c:v>
                    </c:pt>
                  </c:strCache>
                </c:strRef>
              </c:tx>
              <c:spPr/>
              <c:txPr>
                <a:bodyPr/>
                <a:lstStyle/>
                <a:p>
                  <a:pPr>
                    <a:defRPr sz="800" b="0" i="0">
                      <a:solidFill>
                        <a:srgbClr val="333333"/>
                      </a:solidFill>
                      <a:latin typeface="Expert Sans Regular"/>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{D331FA10-AF0A-45B7-A006-38A284CC9CF3}</c15:txfldGUID>
                      <c15:f>'Relative Value'!$B$202</c15:f>
                      <c15:dlblFieldTableCache>
                        <c:ptCount val="1"/>
                        <c:pt idx="0">
                          <c:v>DVN</c:v>
                        </c:pt>
                      </c15:dlblFieldTableCache>
                    </c15:dlblFTEntry>
                  </c15:dlblFieldTable>
                  <c15:showDataLabelsRange val="0"/>
                </c:ext>
                <c:ext xmlns:c16="http://schemas.microsoft.com/office/drawing/2014/chart" uri="{C3380CC4-5D6E-409C-BE32-E72D297353CC}">
                  <c16:uniqueId val="{0000000A-8963-4DA1-9C53-BF00FE0E06E8}"/>
                </c:ext>
              </c:extLst>
            </c:dLbl>
            <c:dLbl>
              <c:idx val="11"/>
              <c:layout>
                <c:manualLayout>
                  <c:x val="-0.10848400556328355"/>
                  <c:y val="-3.4090909090909088E-2"/>
                </c:manualLayout>
              </c:layout>
              <c:tx>
                <c:strRef>
                  <c:f>'Relative Value'!$B$203</c:f>
                  <c:strCache>
                    <c:ptCount val="1"/>
                    <c:pt idx="0">
                      <c:v>FANG</c:v>
                    </c:pt>
                  </c:strCache>
                </c:strRef>
              </c:tx>
              <c:spPr/>
              <c:txPr>
                <a:bodyPr/>
                <a:lstStyle/>
                <a:p>
                  <a:pPr>
                    <a:defRPr sz="800" b="0" i="0">
                      <a:solidFill>
                        <a:srgbClr val="333333"/>
                      </a:solidFill>
                      <a:latin typeface="Expert Sans Regular"/>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{F88971C9-AFAE-428A-8258-5439120C53E4}</c15:txfldGUID>
                      <c15:f>'Relative Value'!$B$203</c15:f>
                      <c15:dlblFieldTableCache>
                        <c:ptCount val="1"/>
                        <c:pt idx="0">
                          <c:v>FANG</c:v>
                        </c:pt>
                      </c15:dlblFieldTableCache>
                    </c15:dlblFTEntry>
                  </c15:dlblFieldTable>
                  <c15:showDataLabelsRange val="0"/>
                </c:ext>
                <c:ext xmlns:c16="http://schemas.microsoft.com/office/drawing/2014/chart" uri="{C3380CC4-5D6E-409C-BE32-E72D297353CC}">
                  <c16:uniqueId val="{0000000B-8963-4DA1-9C53-BF00FE0E06E8}"/>
                </c:ext>
              </c:extLst>
            </c:dLbl>
            <c:dLbl>
              <c:idx val="12"/>
              <c:layout/>
              <c:tx>
                <c:strRef>
                  <c:f>'Relative Value'!$B$204</c:f>
                  <c:strCache>
                    <c:ptCount val="1"/>
                    <c:pt idx="0">
                      <c:v>ECACN</c:v>
                    </c:pt>
                  </c:strCache>
                </c:strRef>
              </c:tx>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{0A48A48B-CC4D-4244-880B-555D00448356}</c15:txfldGUID>
                      <c15:f>'Relative Value'!$B$204</c15:f>
                      <c15:dlblFieldTableCache>
                        <c:ptCount val="1"/>
                        <c:pt idx="0">
                          <c:v>ECACN</c:v>
                        </c:pt>
                      </c15:dlblFieldTableCache>
                    </c15:dlblFTEntry>
                  </c15:dlblFieldTable>
                  <c15:showDataLabelsRange val="0"/>
                </c:ext>
                <c:ext xmlns:c16="http://schemas.microsoft.com/office/drawing/2014/chart" uri="{C3380CC4-5D6E-409C-BE32-E72D297353CC}">
                  <c16:uniqueId val="{0000000C-8963-4DA1-9C53-BF00FE0E06E8}"/>
                </c:ext>
              </c:extLst>
            </c:dLbl>
            <c:dLbl>
              <c:idx val="13"/>
              <c:tx>
                <c:strRef>
                  <c:f>'Relative Value'!$B$205</c:f>
                  <c:strCache>
                    <c:ptCount val="1"/>
                    <c:pt idx="0">
                      <c:v>EOG</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{6BFACAB9-8EF3-4B45-B7F6-B0A2E942E78A}</c15:txfldGUID>
                      <c15:f>'Relative Value'!$B$205</c15:f>
                      <c15:dlblFieldTableCache>
                        <c:ptCount val="1"/>
                        <c:pt idx="0">
                          <c:v>EOG</c:v>
                        </c:pt>
                      </c15:dlblFieldTableCache>
                    </c15:dlblFTEntry>
                  </c15:dlblFieldTable>
                  <c15:showDataLabelsRange val="0"/>
                </c:ext>
                <c:ext xmlns:c16="http://schemas.microsoft.com/office/drawing/2014/chart" uri="{C3380CC4-5D6E-409C-BE32-E72D297353CC}">
                  <c16:uniqueId val="{0000000D-8963-4DA1-9C53-BF00FE0E06E8}"/>
                </c:ext>
              </c:extLst>
            </c:dLbl>
            <c:dLbl>
              <c:idx val="14"/>
              <c:tx>
                <c:strRef>
                  <c:f>'Relative Value'!$B$206</c:f>
                  <c:strCache>
                    <c:ptCount val="1"/>
                    <c:pt idx="0">
                      <c:v>EQT</c:v>
                    </c:pt>
                  </c:strCache>
                </c:strRef>
              </c:tx>
              <c:spPr/>
              <c:txPr>
                <a:bodyPr/>
                <a:lstStyle/>
                <a:p>
                  <a:pPr>
                    <a:defRPr sz="800" b="0" i="0">
                      <a:solidFill>
                        <a:srgbClr val="333333"/>
                      </a:solidFill>
                      <a:latin typeface="Expert Sans Regular"/>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{0140160F-7D62-49CC-BF04-E73EFCFC51BC}</c15:txfldGUID>
                      <c15:f>'Relative Value'!$B$206</c15:f>
                      <c15:dlblFieldTableCache>
                        <c:ptCount val="1"/>
                        <c:pt idx="0">
                          <c:v>EQT</c:v>
                        </c:pt>
                      </c15:dlblFieldTableCache>
                    </c15:dlblFTEntry>
                  </c15:dlblFieldTable>
                  <c15:showDataLabelsRange val="0"/>
                </c:ext>
                <c:ext xmlns:c16="http://schemas.microsoft.com/office/drawing/2014/chart" uri="{C3380CC4-5D6E-409C-BE32-E72D297353CC}">
                  <c16:uniqueId val="{0000000E-8963-4DA1-9C53-BF00FE0E06E8}"/>
                </c:ext>
              </c:extLst>
            </c:dLbl>
            <c:dLbl>
              <c:idx val="15"/>
              <c:layout/>
              <c:tx>
                <c:strRef>
                  <c:f>'Relative Value'!$B$207</c:f>
                  <c:strCache>
                    <c:ptCount val="1"/>
                    <c:pt idx="0">
                      <c:v>HES</c:v>
                    </c:pt>
                  </c:strCache>
                </c:strRef>
              </c:tx>
              <c:spPr/>
              <c:txPr>
                <a:bodyPr/>
                <a:lstStyle/>
                <a:p>
                  <a:pPr>
                    <a:defRPr sz="800" b="0" i="0">
                      <a:solidFill>
                        <a:srgbClr val="333333"/>
                      </a:solidFill>
                      <a:latin typeface="Expert Sans Regular"/>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{96FF3ED8-8406-4A61-802D-A590764C16A1}</c15:txfldGUID>
                      <c15:f>'Relative Value'!$B$207</c15:f>
                      <c15:dlblFieldTableCache>
                        <c:ptCount val="1"/>
                        <c:pt idx="0">
                          <c:v>HES</c:v>
                        </c:pt>
                      </c15:dlblFieldTableCache>
                    </c15:dlblFTEntry>
                  </c15:dlblFieldTable>
                  <c15:showDataLabelsRange val="0"/>
                </c:ext>
                <c:ext xmlns:c16="http://schemas.microsoft.com/office/drawing/2014/chart" uri="{C3380CC4-5D6E-409C-BE32-E72D297353CC}">
                  <c16:uniqueId val="{0000000F-8963-4DA1-9C53-BF00FE0E06E8}"/>
                </c:ext>
              </c:extLst>
            </c:dLbl>
            <c:dLbl>
              <c:idx val="16"/>
              <c:layout/>
              <c:tx>
                <c:strRef>
                  <c:f>'Relative Value'!$B$208</c:f>
                  <c:strCache>
                    <c:ptCount val="1"/>
                    <c:pt idx="0">
                      <c:v>MRO</c:v>
                    </c:pt>
                  </c:strCache>
                </c:strRef>
              </c:tx>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{DDE1420F-9A67-4CAF-B7FA-8FA926230AFA}</c15:txfldGUID>
                      <c15:f>'Relative Value'!$B$208</c15:f>
                      <c15:dlblFieldTableCache>
                        <c:ptCount val="1"/>
                        <c:pt idx="0">
                          <c:v>MRO</c:v>
                        </c:pt>
                      </c15:dlblFieldTableCache>
                    </c15:dlblFTEntry>
                  </c15:dlblFieldTable>
                  <c15:showDataLabelsRange val="0"/>
                </c:ext>
                <c:ext xmlns:c16="http://schemas.microsoft.com/office/drawing/2014/chart" uri="{C3380CC4-5D6E-409C-BE32-E72D297353CC}">
                  <c16:uniqueId val="{00000010-8963-4DA1-9C53-BF00FE0E06E8}"/>
                </c:ext>
              </c:extLst>
            </c:dLbl>
            <c:dLbl>
              <c:idx val="17"/>
              <c:tx>
                <c:strRef>
                  <c:f>'Relative Value'!$B$209</c:f>
                  <c:strCache>
                    <c:ptCount val="1"/>
                    <c:pt idx="0">
                      <c:v>MUR</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{DFEA4391-3195-4947-9295-32F7618B8342}</c15:txfldGUID>
                      <c15:f>'Relative Value'!$B$209</c15:f>
                      <c15:dlblFieldTableCache>
                        <c:ptCount val="1"/>
                        <c:pt idx="0">
                          <c:v>MUR</c:v>
                        </c:pt>
                      </c15:dlblFieldTableCache>
                    </c15:dlblFTEntry>
                  </c15:dlblFieldTable>
                  <c15:showDataLabelsRange val="0"/>
                </c:ext>
                <c:ext xmlns:c16="http://schemas.microsoft.com/office/drawing/2014/chart" uri="{C3380CC4-5D6E-409C-BE32-E72D297353CC}">
                  <c16:uniqueId val="{00000011-8963-4DA1-9C53-BF00FE0E06E8}"/>
                </c:ext>
              </c:extLst>
            </c:dLbl>
            <c:dLbl>
              <c:idx val="18"/>
              <c:layout>
                <c:manualLayout>
                  <c:x val="-6.6759388038942977E-2"/>
                  <c:y val="-5.1136363636363653E-2"/>
                </c:manualLayout>
              </c:layout>
              <c:tx>
                <c:strRef>
                  <c:f>'Relative Value'!$B$210</c:f>
                  <c:strCache>
                    <c:ptCount val="1"/>
                    <c:pt idx="0">
                      <c:v>NBL</c:v>
                    </c:pt>
                  </c:strCache>
                </c:strRef>
              </c:tx>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{54F1C10C-C035-4A2C-A60C-EC13643A51A3}</c15:txfldGUID>
                      <c15:f>'Relative Value'!$B$210</c15:f>
                      <c15:dlblFieldTableCache>
                        <c:ptCount val="1"/>
                        <c:pt idx="0">
                          <c:v>NBL</c:v>
                        </c:pt>
                      </c15:dlblFieldTableCache>
                    </c15:dlblFTEntry>
                  </c15:dlblFieldTable>
                  <c15:showDataLabelsRange val="0"/>
                </c:ext>
                <c:ext xmlns:c16="http://schemas.microsoft.com/office/drawing/2014/chart" uri="{C3380CC4-5D6E-409C-BE32-E72D297353CC}">
                  <c16:uniqueId val="{00000012-8963-4DA1-9C53-BF00FE0E06E8}"/>
                </c:ext>
              </c:extLst>
            </c:dLbl>
            <c:dLbl>
              <c:idx val="19"/>
              <c:layout>
                <c:manualLayout>
                  <c:x val="-8.9012517385257284E-2"/>
                  <c:y val="-2.2727272727273186E-2"/>
                </c:manualLayout>
              </c:layout>
              <c:tx>
                <c:strRef>
                  <c:f>'Relative Value'!$B$211</c:f>
                  <c:strCache>
                    <c:ptCount val="1"/>
                    <c:pt idx="0">
                      <c:v>OXY</c:v>
                    </c:pt>
                  </c:strCache>
                </c:strRef>
              </c:tx>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{AB2F9F34-9C8B-4C9F-82A5-7595EF64DD18}</c15:txfldGUID>
                      <c15:f>'Relative Value'!$B$211</c15:f>
                      <c15:dlblFieldTableCache>
                        <c:ptCount val="1"/>
                        <c:pt idx="0">
                          <c:v>OXY</c:v>
                        </c:pt>
                      </c15:dlblFieldTableCache>
                    </c15:dlblFTEntry>
                  </c15:dlblFieldTable>
                  <c15:showDataLabelsRange val="0"/>
                </c:ext>
                <c:ext xmlns:c16="http://schemas.microsoft.com/office/drawing/2014/chart" uri="{C3380CC4-5D6E-409C-BE32-E72D297353CC}">
                  <c16:uniqueId val="{00000013-8963-4DA1-9C53-BF00FE0E06E8}"/>
                </c:ext>
              </c:extLst>
            </c:dLbl>
            <c:dLbl>
              <c:idx val="20"/>
              <c:tx>
                <c:strRef>
                  <c:f>'Relative Value'!$B$212</c:f>
                  <c:strCache>
                    <c:ptCount val="1"/>
                    <c:pt idx="0">
                      <c:v>PXD</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{2C8A5347-4A48-4679-A7FF-8E44003496AF}</c15:txfldGUID>
                      <c15:f>'Relative Value'!$B$212</c15:f>
                      <c15:dlblFieldTableCache>
                        <c:ptCount val="1"/>
                        <c:pt idx="0">
                          <c:v>PXD</c:v>
                        </c:pt>
                      </c15:dlblFieldTableCache>
                    </c15:dlblFTEntry>
                  </c15:dlblFieldTable>
                  <c15:showDataLabelsRange val="0"/>
                </c:ext>
                <c:ext xmlns:c16="http://schemas.microsoft.com/office/drawing/2014/chart" uri="{C3380CC4-5D6E-409C-BE32-E72D297353CC}">
                  <c16:uniqueId val="{00000014-8963-4DA1-9C53-BF00FE0E06E8}"/>
                </c:ext>
              </c:extLst>
            </c:dLbl>
            <c:dLbl>
              <c:idx val="21"/>
              <c:tx>
                <c:strRef>
                  <c:f>'Relative Value'!$B$213</c:f>
                  <c:strCache>
                    <c:ptCount val="1"/>
                    <c:pt idx="0">
                      <c:v>SWN</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{8D50B4F9-DFC6-47BA-83A5-5A49F049E580}</c15:txfldGUID>
                      <c15:f>'Relative Value'!$B$213</c15:f>
                      <c15:dlblFieldTableCache>
                        <c:ptCount val="1"/>
                        <c:pt idx="0">
                          <c:v>SWN</c:v>
                        </c:pt>
                      </c15:dlblFieldTableCache>
                    </c15:dlblFTEntry>
                  </c15:dlblFieldTable>
                  <c15:showDataLabelsRange val="0"/>
                </c:ext>
                <c:ext xmlns:c16="http://schemas.microsoft.com/office/drawing/2014/chart" uri="{C3380CC4-5D6E-409C-BE32-E72D297353CC}">
                  <c16:uniqueId val="{00000015-8963-4DA1-9C53-BF00FE0E06E8}"/>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'Relative Value'!$C$192:$C$213</c:f>
              <c:numCache>
                <c:formatCode>#,##0.00_);\(#,##0.00\)</c:formatCode>
                <c:ptCount val="22"/>
                <c:pt idx="2">
                  <c:v>7.5825532317757025</c:v>
                </c:pt>
                <c:pt idx="3">
                  <c:v>13.939393939393945</c:v>
                </c:pt>
                <c:pt idx="4">
                  <c:v>10.182314942680408</c:v>
                </c:pt>
                <c:pt idx="7">
                  <c:v>20.870694782608691</c:v>
                </c:pt>
                <c:pt idx="8">
                  <c:v>11.328946981935673</c:v>
                </c:pt>
                <c:pt idx="9">
                  <c:v>16.081750526956522</c:v>
                </c:pt>
                <c:pt idx="10">
                  <c:v>9.080448333333333</c:v>
                </c:pt>
                <c:pt idx="11">
                  <c:v>19.666557826315788</c:v>
                </c:pt>
                <c:pt idx="12">
                  <c:v>8.1076911245791248</c:v>
                </c:pt>
                <c:pt idx="15">
                  <c:v>7.5362362666666654</c:v>
                </c:pt>
                <c:pt idx="16">
                  <c:v>12.265625</c:v>
                </c:pt>
                <c:pt idx="18">
                  <c:v>6.5750724219585779</c:v>
                </c:pt>
                <c:pt idx="19">
                  <c:v>5.3310925284339454</c:v>
                </c:pt>
              </c:numCache>
            </c:numRef>
          </c:xVal>
          <c:yVal>
            <c:numRef>
              <c:f>'Relative Value'!$D$192:$D$213</c:f>
              <c:numCache>
                <c:formatCode>#,##0_);\(#,##0\)</c:formatCode>
                <c:ptCount val="22"/>
                <c:pt idx="2">
                  <c:v>307.18600957700306</c:v>
                </c:pt>
                <c:pt idx="3">
                  <c:v>177.16574630390033</c:v>
                </c:pt>
                <c:pt idx="4">
                  <c:v>238.68276426283495</c:v>
                </c:pt>
                <c:pt idx="7">
                  <c:v>132.12811198767977</c:v>
                </c:pt>
                <c:pt idx="8">
                  <c:v>278.20756002190313</c:v>
                </c:pt>
                <c:pt idx="9">
                  <c:v>194.29819924435404</c:v>
                </c:pt>
                <c:pt idx="10">
                  <c:v>187.91129408898058</c:v>
                </c:pt>
                <c:pt idx="11">
                  <c:v>0</c:v>
                </c:pt>
                <c:pt idx="12">
                  <c:v>311.48053490759787</c:v>
                </c:pt>
                <c:pt idx="15">
                  <c:v>258.60137436276591</c:v>
                </c:pt>
                <c:pt idx="16">
                  <c:v>228.5199145106096</c:v>
                </c:pt>
                <c:pt idx="18">
                  <c:v>220.36942759205877</c:v>
                </c:pt>
                <c:pt idx="19">
                  <c:v>212.71205908008372</c:v>
                </c:pt>
              </c:numCache>
            </c:numRef>
          </c:yVal>
          <c:smooth val="0"/>
          <c:extLst>
            <c:ext xmlns:c16="http://schemas.microsoft.com/office/drawing/2014/chart" uri="{C3380CC4-5D6E-409C-BE32-E72D297353CC}">
              <c16:uniqueId val="{00000016-8963-4DA1-9C53-BF00FE0E06E8}"/>
            </c:ext>
          </c:extLst>
        </c:ser>
        <c:dLbls>
          <c:showLegendKey val="0"/>
          <c:showVal val="0"/>
          <c:showCatName val="0"/>
          <c:showSerName val="0"/>
          <c:showPercent val="0"/>
          <c:showBubbleSize val="0"/>
        </c:dLbls>
        <c:axId val="1342945152"/>
        <c:axId val="1342946688"/>
      </c:scatterChart>
      <c:valAx>
        <c:axId val="1342945152"/>
        <c:scaling>
          <c:orientation val="minMax"/>
        </c:scaling>
        <c:delete val="0"/>
        <c:axPos val="b"/>
        <c:numFmt formatCode="#,##0.00_);\(#,##0.00\)" sourceLinked="1"/>
        <c:majorTickMark val="out"/>
        <c:minorTickMark val="none"/>
        <c:tickLblPos val="nextTo"/>
        <c:spPr>
          <a:ln w="12700">
            <a:solidFill>
              <a:srgbClr val="1E1E1E"/>
            </a:solidFill>
            <a:prstDash val="solid"/>
          </a:ln>
        </c:spPr>
        <c:txPr>
          <a:bodyPr/>
          <a:lstStyle/>
          <a:p>
            <a:pPr>
              <a:defRPr sz="800" b="0" i="0" u="none">
                <a:solidFill>
                  <a:srgbClr val="1E1E1E"/>
                </a:solidFill>
              </a:defRPr>
            </a:pPr>
            <a:endParaRPr lang="en-US"/>
          </a:p>
        </c:txPr>
        <c:crossAx val="1342946688"/>
        <c:crosses val="autoZero"/>
        <c:crossBetween val="midCat"/>
      </c:valAx>
      <c:valAx>
        <c:axId val="1342946688"/>
        <c:scaling>
          <c:orientation val="minMax"/>
          <c:min val="50"/>
        </c:scaling>
        <c:delete val="0"/>
        <c:axPos val="l"/>
        <c:numFmt formatCode="#,##0" sourceLinked="0"/>
        <c:majorTickMark val="out"/>
        <c:minorTickMark val="none"/>
        <c:tickLblPos val="low"/>
        <c:spPr>
          <a:ln w="12700">
            <a:solidFill>
              <a:srgbClr val="1E1E1E"/>
            </a:solidFill>
            <a:prstDash val="solid"/>
          </a:ln>
        </c:spPr>
        <c:txPr>
          <a:bodyPr/>
          <a:lstStyle/>
          <a:p>
            <a:pPr>
              <a:defRPr sz="800" b="0" i="0" u="none">
                <a:solidFill>
                  <a:srgbClr val="1E1E1E"/>
                </a:solidFill>
              </a:defRPr>
            </a:pPr>
            <a:endParaRPr lang="en-US"/>
          </a:p>
        </c:txPr>
        <c:crossAx val="1342945152"/>
        <c:crosses val="autoZero"/>
        <c:crossBetween val="midCat"/>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800">
          <a:solidFill>
            <a:srgbClr val="1E1E1E"/>
          </a:solidFill>
          <a:latin typeface="Expert Sans Regular"/>
          <a:ea typeface="Expert Sans Regular"/>
          <a:cs typeface="Expert Sans Regular"/>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1.1126564673157707E-2"/>
          <c:y val="2.272727272727449E-2"/>
          <c:w val="0.98609179415855364"/>
          <c:h val="0.97159090909090906"/>
        </c:manualLayout>
      </c:layout>
      <c:scatterChart>
        <c:scatterStyle val="lineMarker"/>
        <c:varyColors val="0"/>
        <c:ser>
          <c:idx val="0"/>
          <c:order val="0"/>
          <c:spPr>
            <a:ln w="28575">
              <a:noFill/>
            </a:ln>
          </c:spPr>
          <c:marker>
            <c:symbol val="diamond"/>
            <c:size val="6"/>
          </c:marker>
          <c:dLbls>
            <c:dLbl>
              <c:idx val="0"/>
              <c:tx>
                <c:strRef>
                  <c:f>'Relative Value'!$B$165</c:f>
                  <c:strCache>
                    <c:ptCount val="1"/>
                  </c:strCache>
                </c:strRef>
              </c:tx>
              <c:spPr>
                <a:noFill/>
                <a:ln>
                  <a:noFill/>
                </a:ln>
                <a:effectLst/>
              </c:spPr>
              <c:txPr>
                <a:bodyPr wrap="square" lIns="38100" tIns="19050" rIns="38100" bIns="19050" anchor="ctr">
                  <a:spAutoFit/>
                </a:bodyPr>
                <a:lstStyle/>
                <a:p>
                  <a:pPr>
                    <a:defRPr sz="800" b="0" i="0">
                      <a:solidFill>
                        <a:srgbClr val="333333"/>
                      </a:solidFill>
                      <a:latin typeface="Expert Sans Regular" panose="020B0503030103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{B6CFB651-746E-409E-8F4F-304F5AE04FF5}</c15:txfldGUID>
                      <c15:f>'Relative Value'!$B$165</c15:f>
                      <c15:dlblFieldTableCache>
                        <c:ptCount val="1"/>
                      </c15:dlblFieldTableCache>
                    </c15:dlblFTEntry>
                  </c15:dlblFieldTable>
                  <c15:showDataLabelsRange val="0"/>
                </c:ext>
                <c:ext xmlns:c16="http://schemas.microsoft.com/office/drawing/2014/chart" uri="{C3380CC4-5D6E-409C-BE32-E72D297353CC}">
                  <c16:uniqueId val="{00000000-3779-4A22-910B-1B3A76DF030A}"/>
                </c:ext>
              </c:extLst>
            </c:dLbl>
            <c:dLbl>
              <c:idx val="1"/>
              <c:tx>
                <c:strRef>
                  <c:f>'Relative Value'!$B$166</c:f>
                  <c:strCache>
                    <c:ptCount val="1"/>
                    <c:pt idx="0">
                      <c:v>AR</c:v>
                    </c:pt>
                  </c:strCache>
                </c:strRef>
              </c:tx>
              <c:spPr>
                <a:noFill/>
                <a:ln>
                  <a:noFill/>
                </a:ln>
                <a:effectLst/>
              </c:spPr>
              <c:txPr>
                <a:bodyPr wrap="square" lIns="38100" tIns="19050" rIns="38100" bIns="19050" anchor="ctr">
                  <a:spAutoFit/>
                </a:bodyPr>
                <a:lstStyle/>
                <a:p>
                  <a:pPr>
                    <a:defRPr sz="800" b="0" i="0">
                      <a:solidFill>
                        <a:srgbClr val="333333"/>
                      </a:solidFill>
                      <a:latin typeface="Expert Sans Regular" panose="020B0503030103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{1A7CF650-D4E8-49F4-B0F1-496929F6B64C}</c15:txfldGUID>
                      <c15:f>'Relative Value'!$B$166</c15:f>
                      <c15:dlblFieldTableCache>
                        <c:ptCount val="1"/>
                        <c:pt idx="0">
                          <c:v>AR</c:v>
                        </c:pt>
                      </c15:dlblFieldTableCache>
                    </c15:dlblFTEntry>
                  </c15:dlblFieldTable>
                  <c15:showDataLabelsRange val="0"/>
                </c:ext>
                <c:ext xmlns:c16="http://schemas.microsoft.com/office/drawing/2014/chart" uri="{C3380CC4-5D6E-409C-BE32-E72D297353CC}">
                  <c16:uniqueId val="{00000001-3779-4A22-910B-1B3A76DF030A}"/>
                </c:ext>
              </c:extLst>
            </c:dLbl>
            <c:dLbl>
              <c:idx val="2"/>
              <c:layout/>
              <c:tx>
                <c:strRef>
                  <c:f>'Relative Value'!$B$167</c:f>
                  <c:strCache>
                    <c:ptCount val="1"/>
                    <c:pt idx="0">
                      <c:v>APA</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{24294DE5-97AC-48C2-96EB-FEE44FD95A18}</c15:txfldGUID>
                      <c15:f>'Relative Value'!$B$167</c15:f>
                      <c15:dlblFieldTableCache>
                        <c:ptCount val="1"/>
                        <c:pt idx="0">
                          <c:v>APA</c:v>
                        </c:pt>
                      </c15:dlblFieldTableCache>
                    </c15:dlblFTEntry>
                  </c15:dlblFieldTable>
                  <c15:showDataLabelsRange val="0"/>
                </c:ext>
                <c:ext xmlns:c16="http://schemas.microsoft.com/office/drawing/2014/chart" uri="{C3380CC4-5D6E-409C-BE32-E72D297353CC}">
                  <c16:uniqueId val="{00000002-3779-4A22-910B-1B3A76DF030A}"/>
                </c:ext>
              </c:extLst>
            </c:dLbl>
            <c:dLbl>
              <c:idx val="3"/>
              <c:layout/>
              <c:tx>
                <c:strRef>
                  <c:f>'Relative Value'!$B$168</c:f>
                  <c:strCache>
                    <c:ptCount val="1"/>
                    <c:pt idx="0">
                      <c:v>CNQCN</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{7F3DC9A3-CDDD-422B-A270-4199E1358FB9}</c15:txfldGUID>
                      <c15:f>'Relative Value'!$B$168</c15:f>
                      <c15:dlblFieldTableCache>
                        <c:ptCount val="1"/>
                        <c:pt idx="0">
                          <c:v>CNQCN</c:v>
                        </c:pt>
                      </c15:dlblFieldTableCache>
                    </c15:dlblFTEntry>
                  </c15:dlblFieldTable>
                  <c15:showDataLabelsRange val="0"/>
                </c:ext>
                <c:ext xmlns:c16="http://schemas.microsoft.com/office/drawing/2014/chart" uri="{C3380CC4-5D6E-409C-BE32-E72D297353CC}">
                  <c16:uniqueId val="{00000003-3779-4A22-910B-1B3A76DF030A}"/>
                </c:ext>
              </c:extLst>
            </c:dLbl>
            <c:dLbl>
              <c:idx val="4"/>
              <c:layout>
                <c:manualLayout>
                  <c:x val="-8.3507306889352817E-2"/>
                  <c:y val="5.6818181818181816E-2"/>
                </c:manualLayout>
              </c:layout>
              <c:tx>
                <c:strRef>
                  <c:f>'Relative Value'!$B$169</c:f>
                  <c:strCache>
                    <c:ptCount val="1"/>
                    <c:pt idx="0">
                      <c:v>CVECN</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{A36905DE-5F98-48A2-B33F-A19D220161A3}</c15:txfldGUID>
                      <c15:f>'Relative Value'!$B$169</c15:f>
                      <c15:dlblFieldTableCache>
                        <c:ptCount val="1"/>
                        <c:pt idx="0">
                          <c:v>CVECN</c:v>
                        </c:pt>
                      </c15:dlblFieldTableCache>
                    </c15:dlblFTEntry>
                  </c15:dlblFieldTable>
                  <c15:showDataLabelsRange val="0"/>
                </c:ext>
                <c:ext xmlns:c16="http://schemas.microsoft.com/office/drawing/2014/chart" uri="{C3380CC4-5D6E-409C-BE32-E72D297353CC}">
                  <c16:uniqueId val="{00000004-3779-4A22-910B-1B3A76DF030A}"/>
                </c:ext>
              </c:extLst>
            </c:dLbl>
            <c:dLbl>
              <c:idx val="5"/>
              <c:tx>
                <c:strRef>
                  <c:f>'Relative Value'!$B$170</c:f>
                  <c:strCache>
                    <c:ptCount val="1"/>
                    <c:pt idx="0">
                      <c:v>CHK</c:v>
                    </c:pt>
                  </c:strCache>
                </c:strRef>
              </c:tx>
              <c:spPr>
                <a:noFill/>
                <a:ln>
                  <a:noFill/>
                </a:ln>
                <a:effectLst/>
              </c:spPr>
              <c:txPr>
                <a:bodyPr wrap="square" lIns="38100" tIns="19050" rIns="38100" bIns="19050" anchor="ctr">
                  <a:spAutoFit/>
                </a:bodyPr>
                <a:lstStyle/>
                <a:p>
                  <a:pPr>
                    <a:defRPr sz="800" b="0" i="0">
                      <a:solidFill>
                        <a:srgbClr val="333333"/>
                      </a:solidFill>
                      <a:latin typeface="Expert Sans Regular" panose="020B0503030103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{E028AFF8-7286-49E4-93E4-BCED9BC81AE7}</c15:txfldGUID>
                      <c15:f>'Relative Value'!$B$170</c15:f>
                      <c15:dlblFieldTableCache>
                        <c:ptCount val="1"/>
                        <c:pt idx="0">
                          <c:v>CHK</c:v>
                        </c:pt>
                      </c15:dlblFieldTableCache>
                    </c15:dlblFTEntry>
                  </c15:dlblFieldTable>
                  <c15:showDataLabelsRange val="0"/>
                </c:ext>
                <c:ext xmlns:c16="http://schemas.microsoft.com/office/drawing/2014/chart" uri="{C3380CC4-5D6E-409C-BE32-E72D297353CC}">
                  <c16:uniqueId val="{00000005-3779-4A22-910B-1B3A76DF030A}"/>
                </c:ext>
              </c:extLst>
            </c:dLbl>
            <c:dLbl>
              <c:idx val="6"/>
              <c:layout>
                <c:manualLayout>
                  <c:x val="-1.6701461377870562E-2"/>
                  <c:y val="0"/>
                </c:manualLayout>
              </c:layout>
              <c:tx>
                <c:strRef>
                  <c:f>'Relative Value'!$B$171</c:f>
                  <c:strCache>
                    <c:ptCount val="1"/>
                    <c:pt idx="0">
                      <c:v>XEC</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{172F0205-EF0E-4A23-9BFD-BC188AA12E29}</c15:txfldGUID>
                      <c15:f>'Relative Value'!$B$171</c15:f>
                      <c15:dlblFieldTableCache>
                        <c:ptCount val="1"/>
                        <c:pt idx="0">
                          <c:v>XEC</c:v>
                        </c:pt>
                      </c15:dlblFieldTableCache>
                    </c15:dlblFTEntry>
                  </c15:dlblFieldTable>
                  <c15:showDataLabelsRange val="0"/>
                </c:ext>
                <c:ext xmlns:c16="http://schemas.microsoft.com/office/drawing/2014/chart" uri="{C3380CC4-5D6E-409C-BE32-E72D297353CC}">
                  <c16:uniqueId val="{00000006-3779-4A22-910B-1B3A76DF030A}"/>
                </c:ext>
              </c:extLst>
            </c:dLbl>
            <c:dLbl>
              <c:idx val="7"/>
              <c:layout/>
              <c:tx>
                <c:strRef>
                  <c:f>'Relative Value'!$B$172</c:f>
                  <c:strCache>
                    <c:ptCount val="1"/>
                    <c:pt idx="0">
                      <c:v>COP</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{951A40CC-1E96-4B32-BFB8-5494A6876650}</c15:txfldGUID>
                      <c15:f>'Relative Value'!$B$172</c15:f>
                      <c15:dlblFieldTableCache>
                        <c:ptCount val="1"/>
                        <c:pt idx="0">
                          <c:v>COP</c:v>
                        </c:pt>
                      </c15:dlblFieldTableCache>
                    </c15:dlblFTEntry>
                  </c15:dlblFieldTable>
                  <c15:showDataLabelsRange val="0"/>
                </c:ext>
                <c:ext xmlns:c16="http://schemas.microsoft.com/office/drawing/2014/chart" uri="{C3380CC4-5D6E-409C-BE32-E72D297353CC}">
                  <c16:uniqueId val="{00000007-3779-4A22-910B-1B3A76DF030A}"/>
                </c:ext>
              </c:extLst>
            </c:dLbl>
            <c:dLbl>
              <c:idx val="8"/>
              <c:layout>
                <c:manualLayout>
                  <c:x val="-8.350730688935281E-3"/>
                  <c:y val="-4.5454545454545456E-2"/>
                </c:manualLayout>
              </c:layout>
              <c:tx>
                <c:strRef>
                  <c:f>'Relative Value'!$B$173</c:f>
                  <c:strCache>
                    <c:ptCount val="1"/>
                    <c:pt idx="0">
                      <c:v>CLR</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{E1345761-DE1B-4151-9366-48B3634EF737}</c15:txfldGUID>
                      <c15:f>'Relative Value'!$B$173</c15:f>
                      <c15:dlblFieldTableCache>
                        <c:ptCount val="1"/>
                        <c:pt idx="0">
                          <c:v>CLR</c:v>
                        </c:pt>
                      </c15:dlblFieldTableCache>
                    </c15:dlblFTEntry>
                  </c15:dlblFieldTable>
                  <c15:showDataLabelsRange val="0"/>
                </c:ext>
                <c:ext xmlns:c16="http://schemas.microsoft.com/office/drawing/2014/chart" uri="{C3380CC4-5D6E-409C-BE32-E72D297353CC}">
                  <c16:uniqueId val="{00000008-3779-4A22-910B-1B3A76DF030A}"/>
                </c:ext>
              </c:extLst>
            </c:dLbl>
            <c:dLbl>
              <c:idx val="9"/>
              <c:layout/>
              <c:tx>
                <c:strRef>
                  <c:f>'Relative Value'!$B$174</c:f>
                  <c:strCache>
                    <c:ptCount val="1"/>
                    <c:pt idx="0">
                      <c:v>CXO</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{A90C2A25-FDC9-47A1-8ACB-052EC81A13C3}</c15:txfldGUID>
                      <c15:f>'Relative Value'!$B$174</c15:f>
                      <c15:dlblFieldTableCache>
                        <c:ptCount val="1"/>
                        <c:pt idx="0">
                          <c:v>CXO</c:v>
                        </c:pt>
                      </c15:dlblFieldTableCache>
                    </c15:dlblFTEntry>
                  </c15:dlblFieldTable>
                  <c15:showDataLabelsRange val="0"/>
                </c:ext>
                <c:ext xmlns:c16="http://schemas.microsoft.com/office/drawing/2014/chart" uri="{C3380CC4-5D6E-409C-BE32-E72D297353CC}">
                  <c16:uniqueId val="{00000009-3779-4A22-910B-1B3A76DF030A}"/>
                </c:ext>
              </c:extLst>
            </c:dLbl>
            <c:dLbl>
              <c:idx val="10"/>
              <c:layout/>
              <c:tx>
                <c:strRef>
                  <c:f>'Relative Value'!$B$175</c:f>
                  <c:strCache>
                    <c:ptCount val="1"/>
                    <c:pt idx="0">
                      <c:v>DVN</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{341A377E-7480-4573-ACDA-38145A9AF6E6}</c15:txfldGUID>
                      <c15:f>'Relative Value'!$B$175</c15:f>
                      <c15:dlblFieldTableCache>
                        <c:ptCount val="1"/>
                        <c:pt idx="0">
                          <c:v>DVN</c:v>
                        </c:pt>
                      </c15:dlblFieldTableCache>
                    </c15:dlblFTEntry>
                  </c15:dlblFieldTable>
                  <c15:showDataLabelsRange val="0"/>
                </c:ext>
                <c:ext xmlns:c16="http://schemas.microsoft.com/office/drawing/2014/chart" uri="{C3380CC4-5D6E-409C-BE32-E72D297353CC}">
                  <c16:uniqueId val="{0000000A-3779-4A22-910B-1B3A76DF030A}"/>
                </c:ext>
              </c:extLst>
            </c:dLbl>
            <c:dLbl>
              <c:idx val="11"/>
              <c:layout/>
              <c:tx>
                <c:strRef>
                  <c:f>'Relative Value'!$B$176</c:f>
                  <c:strCache>
                    <c:ptCount val="1"/>
                    <c:pt idx="0">
                      <c:v>FANG</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{0B854BD1-6AB0-45A6-AC78-C6DBE3BAD9C5}</c15:txfldGUID>
                      <c15:f>'Relative Value'!$B$176</c15:f>
                      <c15:dlblFieldTableCache>
                        <c:ptCount val="1"/>
                        <c:pt idx="0">
                          <c:v>FANG</c:v>
                        </c:pt>
                      </c15:dlblFieldTableCache>
                    </c15:dlblFTEntry>
                  </c15:dlblFieldTable>
                  <c15:showDataLabelsRange val="0"/>
                </c:ext>
                <c:ext xmlns:c16="http://schemas.microsoft.com/office/drawing/2014/chart" uri="{C3380CC4-5D6E-409C-BE32-E72D297353CC}">
                  <c16:uniqueId val="{0000000B-3779-4A22-910B-1B3A76DF030A}"/>
                </c:ext>
              </c:extLst>
            </c:dLbl>
            <c:dLbl>
              <c:idx val="12"/>
              <c:layout/>
              <c:tx>
                <c:strRef>
                  <c:f>'Relative Value'!$B$177</c:f>
                  <c:strCache>
                    <c:ptCount val="1"/>
                    <c:pt idx="0">
                      <c:v>ECACN</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{ACB90D0A-2A73-4C2C-9CC2-FDDF33E40DBB}</c15:txfldGUID>
                      <c15:f>'Relative Value'!$B$177</c15:f>
                      <c15:dlblFieldTableCache>
                        <c:ptCount val="1"/>
                        <c:pt idx="0">
                          <c:v>ECACN</c:v>
                        </c:pt>
                      </c15:dlblFieldTableCache>
                    </c15:dlblFTEntry>
                  </c15:dlblFieldTable>
                  <c15:showDataLabelsRange val="0"/>
                </c:ext>
                <c:ext xmlns:c16="http://schemas.microsoft.com/office/drawing/2014/chart" uri="{C3380CC4-5D6E-409C-BE32-E72D297353CC}">
                  <c16:uniqueId val="{0000000C-3779-4A22-910B-1B3A76DF030A}"/>
                </c:ext>
              </c:extLst>
            </c:dLbl>
            <c:dLbl>
              <c:idx val="13"/>
              <c:layout/>
              <c:tx>
                <c:strRef>
                  <c:f>'Relative Value'!$B$178</c:f>
                  <c:strCache>
                    <c:ptCount val="1"/>
                    <c:pt idx="0">
                      <c:v>EOG</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{43E3807C-EA50-4935-9E0E-6600E307F241}</c15:txfldGUID>
                      <c15:f>'Relative Value'!$B$178</c15:f>
                      <c15:dlblFieldTableCache>
                        <c:ptCount val="1"/>
                        <c:pt idx="0">
                          <c:v>EOG</c:v>
                        </c:pt>
                      </c15:dlblFieldTableCache>
                    </c15:dlblFTEntry>
                  </c15:dlblFieldTable>
                  <c15:showDataLabelsRange val="0"/>
                </c:ext>
                <c:ext xmlns:c16="http://schemas.microsoft.com/office/drawing/2014/chart" uri="{C3380CC4-5D6E-409C-BE32-E72D297353CC}">
                  <c16:uniqueId val="{0000000D-3779-4A22-910B-1B3A76DF030A}"/>
                </c:ext>
              </c:extLst>
            </c:dLbl>
            <c:dLbl>
              <c:idx val="14"/>
              <c:layout/>
              <c:tx>
                <c:strRef>
                  <c:f>'Relative Value'!$B$179</c:f>
                  <c:strCache>
                    <c:ptCount val="1"/>
                    <c:pt idx="0">
                      <c:v>EQT</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{4C43E1D0-F544-4A98-AD97-938F020341C8}</c15:txfldGUID>
                      <c15:f>'Relative Value'!$B$179</c15:f>
                      <c15:dlblFieldTableCache>
                        <c:ptCount val="1"/>
                        <c:pt idx="0">
                          <c:v>EQT</c:v>
                        </c:pt>
                      </c15:dlblFieldTableCache>
                    </c15:dlblFTEntry>
                  </c15:dlblFieldTable>
                  <c15:showDataLabelsRange val="0"/>
                </c:ext>
                <c:ext xmlns:c16="http://schemas.microsoft.com/office/drawing/2014/chart" uri="{C3380CC4-5D6E-409C-BE32-E72D297353CC}">
                  <c16:uniqueId val="{0000000E-3779-4A22-910B-1B3A76DF030A}"/>
                </c:ext>
              </c:extLst>
            </c:dLbl>
            <c:dLbl>
              <c:idx val="15"/>
              <c:layout>
                <c:manualLayout>
                  <c:x val="-5.845511482254697E-2"/>
                  <c:y val="-5.113636363636364E-2"/>
                </c:manualLayout>
              </c:layout>
              <c:tx>
                <c:strRef>
                  <c:f>'Relative Value'!$B$180</c:f>
                  <c:strCache>
                    <c:ptCount val="1"/>
                    <c:pt idx="0">
                      <c:v>HES</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{F2B796AC-B9E4-4114-9BF3-4DF870E56BE8}</c15:txfldGUID>
                      <c15:f>'Relative Value'!$B$180</c15:f>
                      <c15:dlblFieldTableCache>
                        <c:ptCount val="1"/>
                        <c:pt idx="0">
                          <c:v>HES</c:v>
                        </c:pt>
                      </c15:dlblFieldTableCache>
                    </c15:dlblFTEntry>
                  </c15:dlblFieldTable>
                  <c15:showDataLabelsRange val="0"/>
                </c:ext>
                <c:ext xmlns:c16="http://schemas.microsoft.com/office/drawing/2014/chart" uri="{C3380CC4-5D6E-409C-BE32-E72D297353CC}">
                  <c16:uniqueId val="{0000000F-3779-4A22-910B-1B3A76DF030A}"/>
                </c:ext>
              </c:extLst>
            </c:dLbl>
            <c:dLbl>
              <c:idx val="16"/>
              <c:layout>
                <c:manualLayout>
                  <c:x val="-1.9485038274182326E-2"/>
                  <c:y val="-1.7045454545454648E-2"/>
                </c:manualLayout>
              </c:layout>
              <c:tx>
                <c:strRef>
                  <c:f>'Relative Value'!$B$181</c:f>
                  <c:strCache>
                    <c:ptCount val="1"/>
                    <c:pt idx="0">
                      <c:v>MRO</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{D6904D27-2BF9-45A9-9A6F-C6DE83315663}</c15:txfldGUID>
                      <c15:f>'Relative Value'!$B$181</c15:f>
                      <c15:dlblFieldTableCache>
                        <c:ptCount val="1"/>
                        <c:pt idx="0">
                          <c:v>MRO</c:v>
                        </c:pt>
                      </c15:dlblFieldTableCache>
                    </c15:dlblFTEntry>
                  </c15:dlblFieldTable>
                  <c15:showDataLabelsRange val="0"/>
                </c:ext>
                <c:ext xmlns:c16="http://schemas.microsoft.com/office/drawing/2014/chart" uri="{C3380CC4-5D6E-409C-BE32-E72D297353CC}">
                  <c16:uniqueId val="{00000010-3779-4A22-910B-1B3A76DF030A}"/>
                </c:ext>
              </c:extLst>
            </c:dLbl>
            <c:dLbl>
              <c:idx val="17"/>
              <c:tx>
                <c:strRef>
                  <c:f>'Relative Value'!$B$182</c:f>
                  <c:strCache>
                    <c:ptCount val="1"/>
                    <c:pt idx="0">
                      <c:v>MUR</c:v>
                    </c:pt>
                  </c:strCache>
                </c:strRef>
              </c:tx>
              <c:spPr>
                <a:noFill/>
                <a:ln>
                  <a:noFill/>
                </a:ln>
                <a:effectLst/>
              </c:spPr>
              <c:txPr>
                <a:bodyPr wrap="square" lIns="38100" tIns="19050" rIns="38100" bIns="19050" anchor="ctr">
                  <a:spAutoFit/>
                </a:bodyPr>
                <a:lstStyle/>
                <a:p>
                  <a:pPr>
                    <a:defRPr sz="800" b="0" i="0">
                      <a:solidFill>
                        <a:srgbClr val="333333"/>
                      </a:solidFill>
                      <a:latin typeface="Expert Sans Regular" panose="020B0503030103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{2CD81F8D-5267-44DB-A711-A2AAAEC52E76}</c15:txfldGUID>
                      <c15:f>'Relative Value'!$B$182</c15:f>
                      <c15:dlblFieldTableCache>
                        <c:ptCount val="1"/>
                        <c:pt idx="0">
                          <c:v>MUR</c:v>
                        </c:pt>
                      </c15:dlblFieldTableCache>
                    </c15:dlblFTEntry>
                  </c15:dlblFieldTable>
                  <c15:showDataLabelsRange val="0"/>
                </c:ext>
                <c:ext xmlns:c16="http://schemas.microsoft.com/office/drawing/2014/chart" uri="{C3380CC4-5D6E-409C-BE32-E72D297353CC}">
                  <c16:uniqueId val="{00000011-3779-4A22-910B-1B3A76DF030A}"/>
                </c:ext>
              </c:extLst>
            </c:dLbl>
            <c:dLbl>
              <c:idx val="18"/>
              <c:layout>
                <c:manualLayout>
                  <c:x val="-8.3507306889352845E-2"/>
                  <c:y val="-3.4090909090909088E-2"/>
                </c:manualLayout>
              </c:layout>
              <c:tx>
                <c:strRef>
                  <c:f>'Relative Value'!$B$183</c:f>
                  <c:strCache>
                    <c:ptCount val="1"/>
                    <c:pt idx="0">
                      <c:v>NBL</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{E85720EA-9AF7-4CEF-BCF0-84D9600887CF}</c15:txfldGUID>
                      <c15:f>'Relative Value'!$B$183</c15:f>
                      <c15:dlblFieldTableCache>
                        <c:ptCount val="1"/>
                        <c:pt idx="0">
                          <c:v>NBL</c:v>
                        </c:pt>
                      </c15:dlblFieldTableCache>
                    </c15:dlblFTEntry>
                  </c15:dlblFieldTable>
                  <c15:showDataLabelsRange val="0"/>
                </c:ext>
                <c:ext xmlns:c16="http://schemas.microsoft.com/office/drawing/2014/chart" uri="{C3380CC4-5D6E-409C-BE32-E72D297353CC}">
                  <c16:uniqueId val="{00000012-3779-4A22-910B-1B3A76DF030A}"/>
                </c:ext>
              </c:extLst>
            </c:dLbl>
            <c:dLbl>
              <c:idx val="19"/>
              <c:layout>
                <c:manualLayout>
                  <c:x val="-8.3507306889352817E-2"/>
                  <c:y val="6.8181818181818177E-2"/>
                </c:manualLayout>
              </c:layout>
              <c:tx>
                <c:strRef>
                  <c:f>'Relative Value'!$B$184</c:f>
                  <c:strCache>
                    <c:ptCount val="1"/>
                    <c:pt idx="0">
                      <c:v>OXY</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{F86513D8-3A08-4AB0-9147-31D63EA79C96}</c15:txfldGUID>
                      <c15:f>'Relative Value'!$B$184</c15:f>
                      <c15:dlblFieldTableCache>
                        <c:ptCount val="1"/>
                        <c:pt idx="0">
                          <c:v>OXY</c:v>
                        </c:pt>
                      </c15:dlblFieldTableCache>
                    </c15:dlblFTEntry>
                  </c15:dlblFieldTable>
                  <c15:showDataLabelsRange val="0"/>
                </c:ext>
                <c:ext xmlns:c16="http://schemas.microsoft.com/office/drawing/2014/chart" uri="{C3380CC4-5D6E-409C-BE32-E72D297353CC}">
                  <c16:uniqueId val="{00000013-3779-4A22-910B-1B3A76DF030A}"/>
                </c:ext>
              </c:extLst>
            </c:dLbl>
            <c:dLbl>
              <c:idx val="20"/>
              <c:layout/>
              <c:tx>
                <c:strRef>
                  <c:f>'Relative Value'!$B$185</c:f>
                  <c:strCache>
                    <c:ptCount val="1"/>
                    <c:pt idx="0">
                      <c:v>PXD</c:v>
                    </c:pt>
                  </c:strCache>
                </c:strRef>
              </c:tx>
              <c:spPr>
                <a:noFill/>
                <a:ln>
                  <a:noFill/>
                </a:ln>
                <a:effectLst/>
              </c:spPr>
              <c:txPr>
                <a:bodyPr wrap="square" lIns="38100" tIns="19050" rIns="38100" bIns="19050" anchor="ctr">
                  <a:spAutoFit/>
                </a:bodyPr>
                <a:lstStyle/>
                <a:p>
                  <a:pPr>
                    <a:defRPr>
                      <a:solidFill>
                        <a:srgbClr val="333333"/>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{C0F7B395-74F0-4B34-872C-D7756A6DA525}</c15:txfldGUID>
                      <c15:f>'Relative Value'!$B$185</c15:f>
                      <c15:dlblFieldTableCache>
                        <c:ptCount val="1"/>
                        <c:pt idx="0">
                          <c:v>PXD</c:v>
                        </c:pt>
                      </c15:dlblFieldTableCache>
                    </c15:dlblFTEntry>
                  </c15:dlblFieldTable>
                  <c15:showDataLabelsRange val="0"/>
                </c:ext>
                <c:ext xmlns:c16="http://schemas.microsoft.com/office/drawing/2014/chart" uri="{C3380CC4-5D6E-409C-BE32-E72D297353CC}">
                  <c16:uniqueId val="{00000014-3779-4A22-910B-1B3A76DF030A}"/>
                </c:ext>
              </c:extLst>
            </c:dLbl>
            <c:dLbl>
              <c:idx val="21"/>
              <c:tx>
                <c:strRef>
                  <c:f>'Relative Value'!$B$186</c:f>
                  <c:strCache>
                    <c:ptCount val="1"/>
                    <c:pt idx="0">
                      <c:v>SWN</c:v>
                    </c:pt>
                  </c:strCache>
                </c:strRef>
              </c:tx>
              <c:spPr>
                <a:noFill/>
                <a:ln>
                  <a:noFill/>
                </a:ln>
                <a:effectLst/>
              </c:spPr>
              <c:txPr>
                <a:bodyPr wrap="square" lIns="38100" tIns="19050" rIns="38100" bIns="19050" anchor="ctr">
                  <a:spAutoFit/>
                </a:bodyPr>
                <a:lstStyle/>
                <a:p>
                  <a:pPr>
                    <a:defRPr sz="800" b="0" i="0">
                      <a:solidFill>
                        <a:srgbClr val="333333"/>
                      </a:solidFill>
                      <a:latin typeface="Expert Sans Regular" panose="020B0503030103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{D5613F7D-5A77-4164-93BF-DAFF2E330DA7}</c15:txfldGUID>
                      <c15:f>'Relative Value'!$B$186</c15:f>
                      <c15:dlblFieldTableCache>
                        <c:ptCount val="1"/>
                        <c:pt idx="0">
                          <c:v>SWN</c:v>
                        </c:pt>
                      </c15:dlblFieldTableCache>
                    </c15:dlblFTEntry>
                  </c15:dlblFieldTable>
                  <c15:showDataLabelsRange val="0"/>
                </c:ext>
                <c:ext xmlns:c16="http://schemas.microsoft.com/office/drawing/2014/chart" uri="{C3380CC4-5D6E-409C-BE32-E72D297353CC}">
                  <c16:uniqueId val="{00000015-3779-4A22-910B-1B3A76DF030A}"/>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'Relative Value'!$C$165:$C$186</c:f>
              <c:numCache>
                <c:formatCode>#,##0.00_);\(#,##0.00\)</c:formatCode>
                <c:ptCount val="22"/>
                <c:pt idx="2">
                  <c:v>7.5825532317757025</c:v>
                </c:pt>
                <c:pt idx="3">
                  <c:v>13.939393939393945</c:v>
                </c:pt>
                <c:pt idx="4">
                  <c:v>10.182314942680408</c:v>
                </c:pt>
                <c:pt idx="6">
                  <c:v>14.50923289677052</c:v>
                </c:pt>
                <c:pt idx="7">
                  <c:v>20.870694782608691</c:v>
                </c:pt>
                <c:pt idx="8">
                  <c:v>11.328946981935673</c:v>
                </c:pt>
                <c:pt idx="9">
                  <c:v>16.081750526956522</c:v>
                </c:pt>
                <c:pt idx="10">
                  <c:v>9.080448333333333</c:v>
                </c:pt>
                <c:pt idx="11">
                  <c:v>19.666557826315788</c:v>
                </c:pt>
                <c:pt idx="12">
                  <c:v>8.1076911245791248</c:v>
                </c:pt>
                <c:pt idx="13">
                  <c:v>46.408303886925786</c:v>
                </c:pt>
                <c:pt idx="14">
                  <c:v>5.2630950135194619</c:v>
                </c:pt>
                <c:pt idx="15">
                  <c:v>7.5362362666666654</c:v>
                </c:pt>
                <c:pt idx="16">
                  <c:v>12.265625</c:v>
                </c:pt>
                <c:pt idx="18">
                  <c:v>6.5750724219585779</c:v>
                </c:pt>
                <c:pt idx="19">
                  <c:v>5.3310925284339454</c:v>
                </c:pt>
                <c:pt idx="20">
                  <c:v>28.299294900689652</c:v>
                </c:pt>
              </c:numCache>
            </c:numRef>
          </c:xVal>
          <c:yVal>
            <c:numRef>
              <c:f>'Relative Value'!$D$165:$D$186</c:f>
              <c:numCache>
                <c:formatCode>#,##0_);\(#,##0\)</c:formatCode>
                <c:ptCount val="22"/>
                <c:pt idx="2">
                  <c:v>245.95618414041209</c:v>
                </c:pt>
                <c:pt idx="3">
                  <c:v>129.84803217821732</c:v>
                </c:pt>
                <c:pt idx="4">
                  <c:v>177.01453184518471</c:v>
                </c:pt>
                <c:pt idx="6">
                  <c:v>216.71581685868401</c:v>
                </c:pt>
                <c:pt idx="7">
                  <c:v>75.399391917808771</c:v>
                </c:pt>
                <c:pt idx="8">
                  <c:v>219.17749548154609</c:v>
                </c:pt>
                <c:pt idx="9">
                  <c:v>152.45070965796384</c:v>
                </c:pt>
                <c:pt idx="10">
                  <c:v>78.5673720547926</c:v>
                </c:pt>
                <c:pt idx="11">
                  <c:v>235.91893022785831</c:v>
                </c:pt>
                <c:pt idx="12">
                  <c:v>229.49554438355975</c:v>
                </c:pt>
                <c:pt idx="13">
                  <c:v>74.241928095891254</c:v>
                </c:pt>
                <c:pt idx="14">
                  <c:v>406.29099314131213</c:v>
                </c:pt>
                <c:pt idx="15">
                  <c:v>178.50419750674854</c:v>
                </c:pt>
                <c:pt idx="16">
                  <c:v>164.66107203420134</c:v>
                </c:pt>
                <c:pt idx="18">
                  <c:v>157.24649696669758</c:v>
                </c:pt>
                <c:pt idx="19">
                  <c:v>162.4804749144929</c:v>
                </c:pt>
                <c:pt idx="20">
                  <c:v>104.30100767123096</c:v>
                </c:pt>
              </c:numCache>
            </c:numRef>
          </c:yVal>
          <c:smooth val="0"/>
          <c:extLst>
            <c:ext xmlns:c16="http://schemas.microsoft.com/office/drawing/2014/chart" uri="{C3380CC4-5D6E-409C-BE32-E72D297353CC}">
              <c16:uniqueId val="{00000016-3779-4A22-910B-1B3A76DF030A}"/>
            </c:ext>
          </c:extLst>
        </c:ser>
        <c:dLbls>
          <c:showLegendKey val="0"/>
          <c:showVal val="0"/>
          <c:showCatName val="0"/>
          <c:showSerName val="0"/>
          <c:showPercent val="0"/>
          <c:showBubbleSize val="0"/>
        </c:dLbls>
        <c:axId val="1342980096"/>
        <c:axId val="1342981632"/>
      </c:scatterChart>
      <c:valAx>
        <c:axId val="1342980096"/>
        <c:scaling>
          <c:orientation val="minMax"/>
        </c:scaling>
        <c:delete val="0"/>
        <c:axPos val="b"/>
        <c:numFmt formatCode="#,##0.00_);\(#,##0.00\)" sourceLinked="1"/>
        <c:majorTickMark val="out"/>
        <c:minorTickMark val="none"/>
        <c:tickLblPos val="nextTo"/>
        <c:spPr>
          <a:ln w="12700">
            <a:solidFill>
              <a:srgbClr val="1E1E1E"/>
            </a:solidFill>
            <a:prstDash val="solid"/>
          </a:ln>
        </c:spPr>
        <c:txPr>
          <a:bodyPr/>
          <a:lstStyle/>
          <a:p>
            <a:pPr>
              <a:defRPr sz="800" b="0" i="0" u="none">
                <a:solidFill>
                  <a:srgbClr val="1E1E1E"/>
                </a:solidFill>
              </a:defRPr>
            </a:pPr>
            <a:endParaRPr lang="en-US"/>
          </a:p>
        </c:txPr>
        <c:crossAx val="1342981632"/>
        <c:crosses val="autoZero"/>
        <c:crossBetween val="midCat"/>
      </c:valAx>
      <c:valAx>
        <c:axId val="1342981632"/>
        <c:scaling>
          <c:orientation val="minMax"/>
        </c:scaling>
        <c:delete val="0"/>
        <c:axPos val="l"/>
        <c:numFmt formatCode="#,##0" sourceLinked="0"/>
        <c:majorTickMark val="out"/>
        <c:minorTickMark val="none"/>
        <c:tickLblPos val="low"/>
        <c:spPr>
          <a:ln w="12700">
            <a:solidFill>
              <a:srgbClr val="1E1E1E"/>
            </a:solidFill>
            <a:prstDash val="solid"/>
          </a:ln>
        </c:spPr>
        <c:txPr>
          <a:bodyPr/>
          <a:lstStyle/>
          <a:p>
            <a:pPr>
              <a:defRPr sz="800" b="0" i="0" u="none">
                <a:solidFill>
                  <a:srgbClr val="1E1E1E"/>
                </a:solidFill>
              </a:defRPr>
            </a:pPr>
            <a:endParaRPr lang="en-US"/>
          </a:p>
        </c:txPr>
        <c:crossAx val="1342980096"/>
        <c:crosses val="autoZero"/>
        <c:crossBetween val="midCat"/>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800">
          <a:solidFill>
            <a:srgbClr val="1E1E1E"/>
          </a:solidFill>
          <a:latin typeface="Expert Sans Regular"/>
          <a:ea typeface="Expert Sans Regular"/>
          <a:cs typeface="Expert Sans Regular"/>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1.1126564673157707E-2"/>
          <c:y val="2.272727272727449E-2"/>
          <c:w val="0.98609179415855364"/>
          <c:h val="0.97159090909090906"/>
        </c:manualLayout>
      </c:layout>
      <c:scatterChart>
        <c:scatterStyle val="lineMarker"/>
        <c:varyColors val="0"/>
        <c:ser>
          <c:idx val="0"/>
          <c:order val="0"/>
          <c:spPr>
            <a:ln w="28575">
              <a:noFill/>
            </a:ln>
          </c:spPr>
          <c:marker>
            <c:symbol val="diamond"/>
            <c:size val="6"/>
          </c:marker>
          <c:dLbls>
            <c:dLbl>
              <c:idx val="0"/>
              <c:tx>
                <c:strRef>
                  <c:f>'Relative Value'!$B$139</c:f>
                  <c:strCache>
                    <c:ptCount val="1"/>
                  </c:strCache>
                </c:strRef>
              </c:tx>
              <c:spPr/>
              <c:txPr>
                <a:bodyPr/>
                <a:lstStyle/>
                <a:p>
                  <a:pPr>
                    <a:defRPr sz="800" b="0" i="0">
                      <a:solidFill>
                        <a:srgbClr val="333333"/>
                      </a:solidFill>
                      <a:latin typeface="Expert Sans Regular"/>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{247EEAF1-7E33-4353-8975-AAF72C9861AA}</c15:txfldGUID>
                      <c15:f>'Relative Value'!$B$139</c15:f>
                      <c15:dlblFieldTableCache>
                        <c:ptCount val="1"/>
                      </c15:dlblFieldTableCache>
                    </c15:dlblFTEntry>
                  </c15:dlblFieldTable>
                  <c15:showDataLabelsRange val="0"/>
                </c:ext>
                <c:ext xmlns:c16="http://schemas.microsoft.com/office/drawing/2014/chart" uri="{C3380CC4-5D6E-409C-BE32-E72D297353CC}">
                  <c16:uniqueId val="{00000000-1C6F-48FF-A886-07BEA84B4EDD}"/>
                </c:ext>
              </c:extLst>
            </c:dLbl>
            <c:dLbl>
              <c:idx val="1"/>
              <c:tx>
                <c:strRef>
                  <c:f>'Relative Value'!$B$140</c:f>
                  <c:strCache>
                    <c:ptCount val="1"/>
                    <c:pt idx="0">
                      <c:v>AR</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{FD372A62-9C0B-4DE3-872C-9C26045C0C0C}</c15:txfldGUID>
                      <c15:f>'Relative Value'!$B$140</c15:f>
                      <c15:dlblFieldTableCache>
                        <c:ptCount val="1"/>
                        <c:pt idx="0">
                          <c:v>AR</c:v>
                        </c:pt>
                      </c15:dlblFieldTableCache>
                    </c15:dlblFTEntry>
                  </c15:dlblFieldTable>
                  <c15:showDataLabelsRange val="0"/>
                </c:ext>
                <c:ext xmlns:c16="http://schemas.microsoft.com/office/drawing/2014/chart" uri="{C3380CC4-5D6E-409C-BE32-E72D297353CC}">
                  <c16:uniqueId val="{00000001-1C6F-48FF-A886-07BEA84B4EDD}"/>
                </c:ext>
              </c:extLst>
            </c:dLbl>
            <c:dLbl>
              <c:idx val="2"/>
              <c:layout/>
              <c:tx>
                <c:strRef>
                  <c:f>'Relative Value'!$B$141</c:f>
                  <c:strCache>
                    <c:ptCount val="1"/>
                    <c:pt idx="0">
                      <c:v>APA</c:v>
                    </c:pt>
                  </c:strCache>
                </c:strRef>
              </c:tx>
              <c:spPr/>
              <c:txPr>
                <a:bodyPr/>
                <a:lstStyle/>
                <a:p>
                  <a:pPr>
                    <a:defRPr sz="800" b="0" i="0">
                      <a:solidFill>
                        <a:srgbClr val="333333"/>
                      </a:solidFill>
                      <a:latin typeface="Expert Sans Regular"/>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{013F07BA-3040-400E-8AE8-F3E92ED556D4}</c15:txfldGUID>
                      <c15:f>'Relative Value'!$B$141</c15:f>
                      <c15:dlblFieldTableCache>
                        <c:ptCount val="1"/>
                        <c:pt idx="0">
                          <c:v>APA</c:v>
                        </c:pt>
                      </c15:dlblFieldTableCache>
                    </c15:dlblFTEntry>
                  </c15:dlblFieldTable>
                  <c15:showDataLabelsRange val="0"/>
                </c:ext>
                <c:ext xmlns:c16="http://schemas.microsoft.com/office/drawing/2014/chart" uri="{C3380CC4-5D6E-409C-BE32-E72D297353CC}">
                  <c16:uniqueId val="{00000002-1C6F-48FF-A886-07BEA84B4EDD}"/>
                </c:ext>
              </c:extLst>
            </c:dLbl>
            <c:dLbl>
              <c:idx val="3"/>
              <c:layout>
                <c:manualLayout>
                  <c:x val="-5.5603811527734498E-2"/>
                  <c:y val="-6.8181818181818177E-2"/>
                </c:manualLayout>
              </c:layout>
              <c:tx>
                <c:strRef>
                  <c:f>'Relative Value'!$B$142</c:f>
                  <c:strCache>
                    <c:ptCount val="1"/>
                    <c:pt idx="0">
                      <c:v>CNQCN</c:v>
                    </c:pt>
                  </c:strCache>
                </c:strRef>
              </c:tx>
              <c:spPr/>
              <c:txPr>
                <a:bodyPr/>
                <a:lstStyle/>
                <a:p>
                  <a:pPr>
                    <a:defRPr sz="800" b="0" i="0">
                      <a:solidFill>
                        <a:srgbClr val="333333"/>
                      </a:solidFill>
                      <a:latin typeface="Expert Sans Regular"/>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{395E1E5D-6B21-452E-BCFA-235452A3507A}</c15:txfldGUID>
                      <c15:f>'Relative Value'!$B$142</c15:f>
                      <c15:dlblFieldTableCache>
                        <c:ptCount val="1"/>
                        <c:pt idx="0">
                          <c:v>CNQCN</c:v>
                        </c:pt>
                      </c15:dlblFieldTableCache>
                    </c15:dlblFTEntry>
                  </c15:dlblFieldTable>
                  <c15:showDataLabelsRange val="0"/>
                </c:ext>
                <c:ext xmlns:c16="http://schemas.microsoft.com/office/drawing/2014/chart" uri="{C3380CC4-5D6E-409C-BE32-E72D297353CC}">
                  <c16:uniqueId val="{00000003-1C6F-48FF-A886-07BEA84B4EDD}"/>
                </c:ext>
              </c:extLst>
            </c:dLbl>
            <c:dLbl>
              <c:idx val="4"/>
              <c:layout>
                <c:manualLayout>
                  <c:x val="-6.3993336949791507E-2"/>
                  <c:y val="3.9772727272727168E-2"/>
                </c:manualLayout>
              </c:layout>
              <c:tx>
                <c:strRef>
                  <c:f>'Relative Value'!$B$143</c:f>
                  <c:strCache>
                    <c:ptCount val="1"/>
                    <c:pt idx="0">
                      <c:v>CVECN</c:v>
                    </c:pt>
                  </c:strCache>
                </c:strRef>
              </c:tx>
              <c:spPr/>
              <c:txPr>
                <a:bodyPr/>
                <a:lstStyle/>
                <a:p>
                  <a:pPr>
                    <a:defRPr sz="800" b="0" i="0">
                      <a:solidFill>
                        <a:srgbClr val="333333"/>
                      </a:solidFill>
                      <a:latin typeface="Expert Sans Regular"/>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{64AA51D8-983C-48DE-9B48-0C9C1CEFC970}</c15:txfldGUID>
                      <c15:f>'Relative Value'!$B$143</c15:f>
                      <c15:dlblFieldTableCache>
                        <c:ptCount val="1"/>
                        <c:pt idx="0">
                          <c:v>CVECN</c:v>
                        </c:pt>
                      </c15:dlblFieldTableCache>
                    </c15:dlblFTEntry>
                  </c15:dlblFieldTable>
                  <c15:showDataLabelsRange val="0"/>
                </c:ext>
                <c:ext xmlns:c16="http://schemas.microsoft.com/office/drawing/2014/chart" uri="{C3380CC4-5D6E-409C-BE32-E72D297353CC}">
                  <c16:uniqueId val="{00000004-1C6F-48FF-A886-07BEA84B4EDD}"/>
                </c:ext>
              </c:extLst>
            </c:dLbl>
            <c:dLbl>
              <c:idx val="5"/>
              <c:tx>
                <c:strRef>
                  <c:f>'Relative Value'!$B$144</c:f>
                  <c:strCache>
                    <c:ptCount val="1"/>
                    <c:pt idx="0">
                      <c:v>CHK</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{C7222BD4-1A69-4C4C-806E-9602CA4CE938}</c15:txfldGUID>
                      <c15:f>'Relative Value'!$B$144</c15:f>
                      <c15:dlblFieldTableCache>
                        <c:ptCount val="1"/>
                        <c:pt idx="0">
                          <c:v>CHK</c:v>
                        </c:pt>
                      </c15:dlblFieldTableCache>
                    </c15:dlblFTEntry>
                  </c15:dlblFieldTable>
                  <c15:showDataLabelsRange val="0"/>
                </c:ext>
                <c:ext xmlns:c16="http://schemas.microsoft.com/office/drawing/2014/chart" uri="{C3380CC4-5D6E-409C-BE32-E72D297353CC}">
                  <c16:uniqueId val="{00000005-1C6F-48FF-A886-07BEA84B4EDD}"/>
                </c:ext>
              </c:extLst>
            </c:dLbl>
            <c:dLbl>
              <c:idx val="6"/>
              <c:layout>
                <c:manualLayout>
                  <c:x val="-3.0567181190033918E-2"/>
                  <c:y val="-6.25E-2"/>
                </c:manualLayout>
              </c:layout>
              <c:tx>
                <c:strRef>
                  <c:f>'Relative Value'!$B$145</c:f>
                  <c:strCache>
                    <c:ptCount val="1"/>
                    <c:pt idx="0">
                      <c:v>XEC</c:v>
                    </c:pt>
                  </c:strCache>
                </c:strRef>
              </c:tx>
              <c:spPr/>
              <c:txPr>
                <a:bodyPr/>
                <a:lstStyle/>
                <a:p>
                  <a:pPr>
                    <a:defRPr sz="800" b="0" i="0">
                      <a:solidFill>
                        <a:srgbClr val="333333"/>
                      </a:solidFill>
                      <a:latin typeface="Expert Sans Regular"/>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{EB059022-4D63-4C50-86CE-8FC1F29DEFB9}</c15:txfldGUID>
                      <c15:f>'Relative Value'!$B$145</c15:f>
                      <c15:dlblFieldTableCache>
                        <c:ptCount val="1"/>
                        <c:pt idx="0">
                          <c:v>XEC</c:v>
                        </c:pt>
                      </c15:dlblFieldTableCache>
                    </c15:dlblFTEntry>
                  </c15:dlblFieldTable>
                  <c15:showDataLabelsRange val="0"/>
                </c:ext>
                <c:ext xmlns:c16="http://schemas.microsoft.com/office/drawing/2014/chart" uri="{C3380CC4-5D6E-409C-BE32-E72D297353CC}">
                  <c16:uniqueId val="{00000006-1C6F-48FF-A886-07BEA84B4EDD}"/>
                </c:ext>
              </c:extLst>
            </c:dLbl>
            <c:dLbl>
              <c:idx val="7"/>
              <c:layout/>
              <c:tx>
                <c:strRef>
                  <c:f>'Relative Value'!$B$146</c:f>
                  <c:strCache>
                    <c:ptCount val="1"/>
                    <c:pt idx="0">
                      <c:v>COP</c:v>
                    </c:pt>
                  </c:strCache>
                </c:strRef>
              </c:tx>
              <c:spPr/>
              <c:txPr>
                <a:bodyPr/>
                <a:lstStyle/>
                <a:p>
                  <a:pPr>
                    <a:defRPr sz="800" b="0" i="0">
                      <a:solidFill>
                        <a:srgbClr val="333333"/>
                      </a:solidFill>
                      <a:latin typeface="Expert Sans Regular"/>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{CC96D703-D2BD-4C38-B329-34B37350D2B1}</c15:txfldGUID>
                      <c15:f>'Relative Value'!$B$146</c15:f>
                      <c15:dlblFieldTableCache>
                        <c:ptCount val="1"/>
                        <c:pt idx="0">
                          <c:v>COP</c:v>
                        </c:pt>
                      </c15:dlblFieldTableCache>
                    </c15:dlblFTEntry>
                  </c15:dlblFieldTable>
                  <c15:showDataLabelsRange val="0"/>
                </c:ext>
                <c:ext xmlns:c16="http://schemas.microsoft.com/office/drawing/2014/chart" uri="{C3380CC4-5D6E-409C-BE32-E72D297353CC}">
                  <c16:uniqueId val="{00000007-1C6F-48FF-A886-07BEA84B4EDD}"/>
                </c:ext>
              </c:extLst>
            </c:dLbl>
            <c:dLbl>
              <c:idx val="8"/>
              <c:layout>
                <c:manualLayout>
                  <c:x val="-7.7885952712100137E-2"/>
                  <c:y val="0"/>
                </c:manualLayout>
              </c:layout>
              <c:tx>
                <c:strRef>
                  <c:f>'Relative Value'!$B$147</c:f>
                  <c:strCache>
                    <c:ptCount val="1"/>
                    <c:pt idx="0">
                      <c:v>CLR</c:v>
                    </c:pt>
                  </c:strCache>
                </c:strRef>
              </c:tx>
              <c:spPr/>
              <c:txPr>
                <a:bodyPr/>
                <a:lstStyle/>
                <a:p>
                  <a:pPr>
                    <a:defRPr sz="800" b="0" i="0">
                      <a:solidFill>
                        <a:srgbClr val="333333"/>
                      </a:solidFill>
                      <a:latin typeface="Expert Sans Regular"/>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{62ED5EF2-DBEF-4B3A-B9AB-D69BA82069A3}</c15:txfldGUID>
                      <c15:f>'Relative Value'!$B$147</c15:f>
                      <c15:dlblFieldTableCache>
                        <c:ptCount val="1"/>
                        <c:pt idx="0">
                          <c:v>CLR</c:v>
                        </c:pt>
                      </c15:dlblFieldTableCache>
                    </c15:dlblFTEntry>
                  </c15:dlblFieldTable>
                  <c15:showDataLabelsRange val="0"/>
                </c:ext>
                <c:ext xmlns:c16="http://schemas.microsoft.com/office/drawing/2014/chart" uri="{C3380CC4-5D6E-409C-BE32-E72D297353CC}">
                  <c16:uniqueId val="{00000008-1C6F-48FF-A886-07BEA84B4EDD}"/>
                </c:ext>
              </c:extLst>
            </c:dLbl>
            <c:dLbl>
              <c:idx val="9"/>
              <c:layout/>
              <c:tx>
                <c:strRef>
                  <c:f>'Relative Value'!$B$148</c:f>
                  <c:strCache>
                    <c:ptCount val="1"/>
                    <c:pt idx="0">
                      <c:v>CXO</c:v>
                    </c:pt>
                  </c:strCache>
                </c:strRef>
              </c:tx>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{9BB9C556-F1AF-41C5-B7F1-10B691644FE6}</c15:txfldGUID>
                      <c15:f>'Relative Value'!$B$148</c15:f>
                      <c15:dlblFieldTableCache>
                        <c:ptCount val="1"/>
                        <c:pt idx="0">
                          <c:v>CXO</c:v>
                        </c:pt>
                      </c15:dlblFieldTableCache>
                    </c15:dlblFTEntry>
                  </c15:dlblFieldTable>
                  <c15:showDataLabelsRange val="0"/>
                </c:ext>
                <c:ext xmlns:c16="http://schemas.microsoft.com/office/drawing/2014/chart" uri="{C3380CC4-5D6E-409C-BE32-E72D297353CC}">
                  <c16:uniqueId val="{00000009-1C6F-48FF-A886-07BEA84B4EDD}"/>
                </c:ext>
              </c:extLst>
            </c:dLbl>
            <c:dLbl>
              <c:idx val="10"/>
              <c:layout>
                <c:manualLayout>
                  <c:x val="-6.397774687065369E-2"/>
                  <c:y val="5.1136363636363653E-2"/>
                </c:manualLayout>
              </c:layout>
              <c:tx>
                <c:strRef>
                  <c:f>'Relative Value'!$B$149</c:f>
                  <c:strCache>
                    <c:ptCount val="1"/>
                    <c:pt idx="0">
                      <c:v>DVN</c:v>
                    </c:pt>
                  </c:strCache>
                </c:strRef>
              </c:tx>
              <c:spPr/>
              <c:txPr>
                <a:bodyPr/>
                <a:lstStyle/>
                <a:p>
                  <a:pPr>
                    <a:defRPr sz="800" b="0" i="0">
                      <a:solidFill>
                        <a:srgbClr val="333333"/>
                      </a:solidFill>
                      <a:latin typeface="Expert Sans Regular"/>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{3822458C-E84E-4DF3-BE7C-154154AD4D3C}</c15:txfldGUID>
                      <c15:f>'Relative Value'!$B$149</c15:f>
                      <c15:dlblFieldTableCache>
                        <c:ptCount val="1"/>
                        <c:pt idx="0">
                          <c:v>DVN</c:v>
                        </c:pt>
                      </c15:dlblFieldTableCache>
                    </c15:dlblFTEntry>
                  </c15:dlblFieldTable>
                  <c15:showDataLabelsRange val="0"/>
                </c:ext>
                <c:ext xmlns:c16="http://schemas.microsoft.com/office/drawing/2014/chart" uri="{C3380CC4-5D6E-409C-BE32-E72D297353CC}">
                  <c16:uniqueId val="{0000000A-1C6F-48FF-A886-07BEA84B4EDD}"/>
                </c:ext>
              </c:extLst>
            </c:dLbl>
            <c:dLbl>
              <c:idx val="11"/>
              <c:layout/>
              <c:tx>
                <c:strRef>
                  <c:f>'Relative Value'!$B$150</c:f>
                  <c:strCache>
                    <c:ptCount val="1"/>
                    <c:pt idx="0">
                      <c:v>FANG</c:v>
                    </c:pt>
                  </c:strCache>
                </c:strRef>
              </c:tx>
              <c:spPr/>
              <c:txPr>
                <a:bodyPr/>
                <a:lstStyle/>
                <a:p>
                  <a:pPr>
                    <a:defRPr sz="800" b="0" i="0">
                      <a:solidFill>
                        <a:srgbClr val="333333"/>
                      </a:solidFill>
                      <a:latin typeface="Expert Sans Regular"/>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{7D88F641-321E-402E-857D-F79C2AED9EE1}</c15:txfldGUID>
                      <c15:f>'Relative Value'!$B$150</c15:f>
                      <c15:dlblFieldTableCache>
                        <c:ptCount val="1"/>
                        <c:pt idx="0">
                          <c:v>FANG</c:v>
                        </c:pt>
                      </c15:dlblFieldTableCache>
                    </c15:dlblFTEntry>
                  </c15:dlblFieldTable>
                  <c15:showDataLabelsRange val="0"/>
                </c:ext>
                <c:ext xmlns:c16="http://schemas.microsoft.com/office/drawing/2014/chart" uri="{C3380CC4-5D6E-409C-BE32-E72D297353CC}">
                  <c16:uniqueId val="{0000000B-1C6F-48FF-A886-07BEA84B4EDD}"/>
                </c:ext>
              </c:extLst>
            </c:dLbl>
            <c:dLbl>
              <c:idx val="12"/>
              <c:layout>
                <c:manualLayout>
                  <c:x val="-0.10850536167321465"/>
                  <c:y val="-4.5454545454545456E-2"/>
                </c:manualLayout>
              </c:layout>
              <c:tx>
                <c:strRef>
                  <c:f>'Relative Value'!$B$151</c:f>
                  <c:strCache>
                    <c:ptCount val="1"/>
                    <c:pt idx="0">
                      <c:v>ECACN</c:v>
                    </c:pt>
                  </c:strCache>
                </c:strRef>
              </c:tx>
              <c:spPr/>
              <c:txPr>
                <a:bodyPr/>
                <a:lstStyle/>
                <a:p>
                  <a:pPr>
                    <a:defRPr sz="800" b="0" i="0">
                      <a:solidFill>
                        <a:srgbClr val="333333"/>
                      </a:solidFill>
                      <a:latin typeface="Expert Sans Regular"/>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{1DDC8768-24CD-4D8A-8CEC-34D02E4D89B6}</c15:txfldGUID>
                      <c15:f>'Relative Value'!$B$151</c15:f>
                      <c15:dlblFieldTableCache>
                        <c:ptCount val="1"/>
                        <c:pt idx="0">
                          <c:v>ECACN</c:v>
                        </c:pt>
                      </c15:dlblFieldTableCache>
                    </c15:dlblFTEntry>
                  </c15:dlblFieldTable>
                  <c15:showDataLabelsRange val="0"/>
                </c:ext>
                <c:ext xmlns:c16="http://schemas.microsoft.com/office/drawing/2014/chart" uri="{C3380CC4-5D6E-409C-BE32-E72D297353CC}">
                  <c16:uniqueId val="{0000000C-1C6F-48FF-A886-07BEA84B4EDD}"/>
                </c:ext>
              </c:extLst>
            </c:dLbl>
            <c:dLbl>
              <c:idx val="13"/>
              <c:layout/>
              <c:tx>
                <c:strRef>
                  <c:f>'Relative Value'!$B$152</c:f>
                  <c:strCache>
                    <c:ptCount val="1"/>
                    <c:pt idx="0">
                      <c:v>EOG</c:v>
                    </c:pt>
                  </c:strCache>
                </c:strRef>
              </c:tx>
              <c:spPr/>
              <c:txPr>
                <a:bodyPr/>
                <a:lstStyle/>
                <a:p>
                  <a:pPr>
                    <a:defRPr sz="800" b="0" i="0">
                      <a:solidFill>
                        <a:srgbClr val="333333"/>
                      </a:solidFill>
                      <a:latin typeface="Expert Sans Regular"/>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{5CDA55DF-025E-42BE-B2F0-89527BB054CF}</c15:txfldGUID>
                      <c15:f>'Relative Value'!$B$152</c15:f>
                      <c15:dlblFieldTableCache>
                        <c:ptCount val="1"/>
                        <c:pt idx="0">
                          <c:v>EOG</c:v>
                        </c:pt>
                      </c15:dlblFieldTableCache>
                    </c15:dlblFTEntry>
                  </c15:dlblFieldTable>
                  <c15:showDataLabelsRange val="0"/>
                </c:ext>
                <c:ext xmlns:c16="http://schemas.microsoft.com/office/drawing/2014/chart" uri="{C3380CC4-5D6E-409C-BE32-E72D297353CC}">
                  <c16:uniqueId val="{0000000D-1C6F-48FF-A886-07BEA84B4EDD}"/>
                </c:ext>
              </c:extLst>
            </c:dLbl>
            <c:dLbl>
              <c:idx val="14"/>
              <c:layout/>
              <c:tx>
                <c:strRef>
                  <c:f>'Relative Value'!$B$153</c:f>
                  <c:strCache>
                    <c:ptCount val="1"/>
                    <c:pt idx="0">
                      <c:v>EQT</c:v>
                    </c:pt>
                  </c:strCache>
                </c:strRef>
              </c:tx>
              <c:spPr/>
              <c:txPr>
                <a:bodyPr/>
                <a:lstStyle/>
                <a:p>
                  <a:pPr>
                    <a:defRPr sz="800" b="0" i="0">
                      <a:solidFill>
                        <a:srgbClr val="333333"/>
                      </a:solidFill>
                      <a:latin typeface="Expert Sans Regular"/>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{30AA0453-CAC8-4CC8-9900-6FF264E0F597}</c15:txfldGUID>
                      <c15:f>'Relative Value'!$B$153</c15:f>
                      <c15:dlblFieldTableCache>
                        <c:ptCount val="1"/>
                        <c:pt idx="0">
                          <c:v>EQT</c:v>
                        </c:pt>
                      </c15:dlblFieldTableCache>
                    </c15:dlblFTEntry>
                  </c15:dlblFieldTable>
                  <c15:showDataLabelsRange val="0"/>
                </c:ext>
                <c:ext xmlns:c16="http://schemas.microsoft.com/office/drawing/2014/chart" uri="{C3380CC4-5D6E-409C-BE32-E72D297353CC}">
                  <c16:uniqueId val="{0000000E-1C6F-48FF-A886-07BEA84B4EDD}"/>
                </c:ext>
              </c:extLst>
            </c:dLbl>
            <c:dLbl>
              <c:idx val="15"/>
              <c:layout>
                <c:manualLayout>
                  <c:x val="-8.9074460681976358E-2"/>
                  <c:y val="-2.840909090909096E-2"/>
                </c:manualLayout>
              </c:layout>
              <c:tx>
                <c:strRef>
                  <c:f>'Relative Value'!$B$154</c:f>
                  <c:strCache>
                    <c:ptCount val="1"/>
                    <c:pt idx="0">
                      <c:v>HES</c:v>
                    </c:pt>
                  </c:strCache>
                </c:strRef>
              </c:tx>
              <c:spPr/>
              <c:txPr>
                <a:bodyPr/>
                <a:lstStyle/>
                <a:p>
                  <a:pPr>
                    <a:defRPr sz="800" b="0" i="0">
                      <a:solidFill>
                        <a:srgbClr val="333333"/>
                      </a:solidFill>
                      <a:latin typeface="Expert Sans Regular"/>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{9FA36DCC-22A1-440D-BCBF-96B28DC3EDE4}</c15:txfldGUID>
                      <c15:f>'Relative Value'!$B$154</c15:f>
                      <c15:dlblFieldTableCache>
                        <c:ptCount val="1"/>
                        <c:pt idx="0">
                          <c:v>HES</c:v>
                        </c:pt>
                      </c15:dlblFieldTableCache>
                    </c15:dlblFTEntry>
                  </c15:dlblFieldTable>
                  <c15:showDataLabelsRange val="0"/>
                </c:ext>
                <c:ext xmlns:c16="http://schemas.microsoft.com/office/drawing/2014/chart" uri="{C3380CC4-5D6E-409C-BE32-E72D297353CC}">
                  <c16:uniqueId val="{0000000F-1C6F-48FF-A886-07BEA84B4EDD}"/>
                </c:ext>
              </c:extLst>
            </c:dLbl>
            <c:dLbl>
              <c:idx val="16"/>
              <c:layout/>
              <c:tx>
                <c:strRef>
                  <c:f>'Relative Value'!$B$155</c:f>
                  <c:strCache>
                    <c:ptCount val="1"/>
                    <c:pt idx="0">
                      <c:v>MRO</c:v>
                    </c:pt>
                  </c:strCache>
                </c:strRef>
              </c:tx>
              <c:spPr/>
              <c:txPr>
                <a:bodyPr/>
                <a:lstStyle/>
                <a:p>
                  <a:pPr>
                    <a:defRPr sz="800" b="0" i="0">
                      <a:solidFill>
                        <a:srgbClr val="333333"/>
                      </a:solidFill>
                      <a:latin typeface="Expert Sans Regular"/>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{3A177D51-F0F4-49EB-AF60-872F03BBE71D}</c15:txfldGUID>
                      <c15:f>'Relative Value'!$B$155</c15:f>
                      <c15:dlblFieldTableCache>
                        <c:ptCount val="1"/>
                        <c:pt idx="0">
                          <c:v>MRO</c:v>
                        </c:pt>
                      </c15:dlblFieldTableCache>
                    </c15:dlblFTEntry>
                  </c15:dlblFieldTable>
                  <c15:showDataLabelsRange val="0"/>
                </c:ext>
                <c:ext xmlns:c16="http://schemas.microsoft.com/office/drawing/2014/chart" uri="{C3380CC4-5D6E-409C-BE32-E72D297353CC}">
                  <c16:uniqueId val="{00000010-1C6F-48FF-A886-07BEA84B4EDD}"/>
                </c:ext>
              </c:extLst>
            </c:dLbl>
            <c:dLbl>
              <c:idx val="17"/>
              <c:tx>
                <c:strRef>
                  <c:f>'Relative Value'!$B$156</c:f>
                  <c:strCache>
                    <c:ptCount val="1"/>
                    <c:pt idx="0">
                      <c:v>MUR</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{99EF971E-FA51-4AF2-A5CD-F8509389E983}</c15:txfldGUID>
                      <c15:f>'Relative Value'!$B$156</c15:f>
                      <c15:dlblFieldTableCache>
                        <c:ptCount val="1"/>
                        <c:pt idx="0">
                          <c:v>MUR</c:v>
                        </c:pt>
                      </c15:dlblFieldTableCache>
                    </c15:dlblFTEntry>
                  </c15:dlblFieldTable>
                  <c15:showDataLabelsRange val="0"/>
                </c:ext>
                <c:ext xmlns:c16="http://schemas.microsoft.com/office/drawing/2014/chart" uri="{C3380CC4-5D6E-409C-BE32-E72D297353CC}">
                  <c16:uniqueId val="{00000011-1C6F-48FF-A886-07BEA84B4EDD}"/>
                </c:ext>
              </c:extLst>
            </c:dLbl>
            <c:dLbl>
              <c:idx val="18"/>
              <c:layout/>
              <c:tx>
                <c:strRef>
                  <c:f>'Relative Value'!$B$157</c:f>
                  <c:strCache>
                    <c:ptCount val="1"/>
                    <c:pt idx="0">
                      <c:v>NBL</c:v>
                    </c:pt>
                  </c:strCache>
                </c:strRef>
              </c:tx>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{5C857242-B204-49C2-8CF5-C1D19B7E9E05}</c15:txfldGUID>
                      <c15:f>'Relative Value'!$B$157</c15:f>
                      <c15:dlblFieldTableCache>
                        <c:ptCount val="1"/>
                        <c:pt idx="0">
                          <c:v>NBL</c:v>
                        </c:pt>
                      </c15:dlblFieldTableCache>
                    </c15:dlblFTEntry>
                  </c15:dlblFieldTable>
                  <c15:showDataLabelsRange val="0"/>
                </c:ext>
                <c:ext xmlns:c16="http://schemas.microsoft.com/office/drawing/2014/chart" uri="{C3380CC4-5D6E-409C-BE32-E72D297353CC}">
                  <c16:uniqueId val="{00000012-1C6F-48FF-A886-07BEA84B4EDD}"/>
                </c:ext>
              </c:extLst>
            </c:dLbl>
            <c:dLbl>
              <c:idx val="19"/>
              <c:layout>
                <c:manualLayout>
                  <c:x val="-5.5671537926235718E-3"/>
                  <c:y val="-6.8181818181818177E-2"/>
                </c:manualLayout>
              </c:layout>
              <c:tx>
                <c:strRef>
                  <c:f>'Relative Value'!$B$158</c:f>
                  <c:strCache>
                    <c:ptCount val="1"/>
                    <c:pt idx="0">
                      <c:v>OXY</c:v>
                    </c:pt>
                  </c:strCache>
                </c:strRef>
              </c:tx>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{54C9D60E-79BD-4744-AD9A-4C06DCE45DBD}</c15:txfldGUID>
                      <c15:f>'Relative Value'!$B$158</c15:f>
                      <c15:dlblFieldTableCache>
                        <c:ptCount val="1"/>
                        <c:pt idx="0">
                          <c:v>OXY</c:v>
                        </c:pt>
                      </c15:dlblFieldTableCache>
                    </c15:dlblFTEntry>
                  </c15:dlblFieldTable>
                  <c15:showDataLabelsRange val="0"/>
                </c:ext>
                <c:ext xmlns:c16="http://schemas.microsoft.com/office/drawing/2014/chart" uri="{C3380CC4-5D6E-409C-BE32-E72D297353CC}">
                  <c16:uniqueId val="{00000013-1C6F-48FF-A886-07BEA84B4EDD}"/>
                </c:ext>
              </c:extLst>
            </c:dLbl>
            <c:dLbl>
              <c:idx val="20"/>
              <c:layout/>
              <c:tx>
                <c:strRef>
                  <c:f>'Relative Value'!$B$159</c:f>
                  <c:strCache>
                    <c:ptCount val="1"/>
                    <c:pt idx="0">
                      <c:v>PXD</c:v>
                    </c:pt>
                  </c:strCache>
                </c:strRef>
              </c:tx>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{E65793EB-6200-41DE-9FFC-A73EEF6BA8A1}</c15:txfldGUID>
                      <c15:f>'Relative Value'!$B$159</c15:f>
                      <c15:dlblFieldTableCache>
                        <c:ptCount val="1"/>
                        <c:pt idx="0">
                          <c:v>PXD</c:v>
                        </c:pt>
                      </c15:dlblFieldTableCache>
                    </c15:dlblFTEntry>
                  </c15:dlblFieldTable>
                  <c15:showDataLabelsRange val="0"/>
                </c:ext>
                <c:ext xmlns:c16="http://schemas.microsoft.com/office/drawing/2014/chart" uri="{C3380CC4-5D6E-409C-BE32-E72D297353CC}">
                  <c16:uniqueId val="{00000014-1C6F-48FF-A886-07BEA84B4EDD}"/>
                </c:ext>
              </c:extLst>
            </c:dLbl>
            <c:dLbl>
              <c:idx val="21"/>
              <c:layout>
                <c:manualLayout>
                  <c:x val="-7.515657620041756E-2"/>
                  <c:y val="-6.25E-2"/>
                </c:manualLayout>
              </c:layout>
              <c:tx>
                <c:strRef>
                  <c:f>'Relative Value'!$B$160</c:f>
                  <c:strCache>
                    <c:ptCount val="1"/>
                    <c:pt idx="0">
                      <c:v>SWN</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{243398CB-99C8-42B9-B246-0858A708302D}</c15:txfldGUID>
                      <c15:f>'Relative Value'!$B$160</c15:f>
                      <c15:dlblFieldTableCache>
                        <c:ptCount val="1"/>
                        <c:pt idx="0">
                          <c:v>SWN</c:v>
                        </c:pt>
                      </c15:dlblFieldTableCache>
                    </c15:dlblFTEntry>
                  </c15:dlblFieldTable>
                  <c15:showDataLabelsRange val="0"/>
                </c:ext>
                <c:ext xmlns:c16="http://schemas.microsoft.com/office/drawing/2014/chart" uri="{C3380CC4-5D6E-409C-BE32-E72D297353CC}">
                  <c16:uniqueId val="{00000015-1C6F-48FF-A886-07BEA84B4EDD}"/>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'Relative Value'!$C$139:$C$160</c:f>
              <c:numCache>
                <c:formatCode>#,##0.00_);\(#,##0.00\)</c:formatCode>
                <c:ptCount val="22"/>
                <c:pt idx="2">
                  <c:v>-0.16961049228208935</c:v>
                </c:pt>
                <c:pt idx="3">
                  <c:v>10.96881853537618</c:v>
                </c:pt>
                <c:pt idx="4">
                  <c:v>7.7416257874999701</c:v>
                </c:pt>
                <c:pt idx="6">
                  <c:v>3.9436110068949581</c:v>
                </c:pt>
                <c:pt idx="7">
                  <c:v>16.638337923678211</c:v>
                </c:pt>
                <c:pt idx="8">
                  <c:v>7.1719210884905564</c:v>
                </c:pt>
                <c:pt idx="9">
                  <c:v>6.7814041636713576</c:v>
                </c:pt>
                <c:pt idx="10">
                  <c:v>2.1059471141622161</c:v>
                </c:pt>
                <c:pt idx="11">
                  <c:v>13.521517462799459</c:v>
                </c:pt>
                <c:pt idx="12">
                  <c:v>2.976146145978305</c:v>
                </c:pt>
                <c:pt idx="13">
                  <c:v>11.016102609182077</c:v>
                </c:pt>
                <c:pt idx="14">
                  <c:v>-2.9558214160044951</c:v>
                </c:pt>
                <c:pt idx="15">
                  <c:v>-0.58497943438756295</c:v>
                </c:pt>
                <c:pt idx="16">
                  <c:v>2.5191267027430513</c:v>
                </c:pt>
                <c:pt idx="18">
                  <c:v>-2.2670040142477532</c:v>
                </c:pt>
                <c:pt idx="19">
                  <c:v>1.9544188070266628</c:v>
                </c:pt>
                <c:pt idx="20">
                  <c:v>11.323393232861676</c:v>
                </c:pt>
              </c:numCache>
            </c:numRef>
          </c:xVal>
          <c:yVal>
            <c:numRef>
              <c:f>'Relative Value'!$D$139:$D$160</c:f>
              <c:numCache>
                <c:formatCode>#,##0_);\(#,##0\)</c:formatCode>
                <c:ptCount val="22"/>
                <c:pt idx="2">
                  <c:v>93</c:v>
                </c:pt>
                <c:pt idx="3">
                  <c:v>79.900000000000006</c:v>
                </c:pt>
                <c:pt idx="4">
                  <c:v>92</c:v>
                </c:pt>
                <c:pt idx="6">
                  <c:v>161</c:v>
                </c:pt>
                <c:pt idx="7">
                  <c:v>57</c:v>
                </c:pt>
                <c:pt idx="8">
                  <c:v>156</c:v>
                </c:pt>
                <c:pt idx="9">
                  <c:v>167</c:v>
                </c:pt>
                <c:pt idx="10">
                  <c:v>76</c:v>
                </c:pt>
                <c:pt idx="11">
                  <c:v>211.3</c:v>
                </c:pt>
                <c:pt idx="12">
                  <c:v>172.7</c:v>
                </c:pt>
                <c:pt idx="13">
                  <c:v>56</c:v>
                </c:pt>
                <c:pt idx="14">
                  <c:v>270</c:v>
                </c:pt>
                <c:pt idx="15">
                  <c:v>151</c:v>
                </c:pt>
                <c:pt idx="16">
                  <c:v>65</c:v>
                </c:pt>
                <c:pt idx="18">
                  <c:v>118</c:v>
                </c:pt>
                <c:pt idx="19">
                  <c:v>68</c:v>
                </c:pt>
                <c:pt idx="20">
                  <c:v>68</c:v>
                </c:pt>
              </c:numCache>
            </c:numRef>
          </c:yVal>
          <c:smooth val="0"/>
          <c:extLst>
            <c:ext xmlns:c16="http://schemas.microsoft.com/office/drawing/2014/chart" uri="{C3380CC4-5D6E-409C-BE32-E72D297353CC}">
              <c16:uniqueId val="{00000016-1C6F-48FF-A886-07BEA84B4EDD}"/>
            </c:ext>
          </c:extLst>
        </c:ser>
        <c:dLbls>
          <c:showLegendKey val="0"/>
          <c:showVal val="0"/>
          <c:showCatName val="0"/>
          <c:showSerName val="0"/>
          <c:showPercent val="0"/>
          <c:showBubbleSize val="0"/>
        </c:dLbls>
        <c:axId val="1343007360"/>
        <c:axId val="1343025536"/>
      </c:scatterChart>
      <c:valAx>
        <c:axId val="1343007360"/>
        <c:scaling>
          <c:orientation val="minMax"/>
        </c:scaling>
        <c:delete val="0"/>
        <c:axPos val="b"/>
        <c:numFmt formatCode="#,##0.00_);\(#,##0.00\)" sourceLinked="1"/>
        <c:majorTickMark val="out"/>
        <c:minorTickMark val="none"/>
        <c:tickLblPos val="low"/>
        <c:spPr>
          <a:ln w="12700">
            <a:solidFill>
              <a:srgbClr val="1E1E1E"/>
            </a:solidFill>
            <a:prstDash val="solid"/>
          </a:ln>
        </c:spPr>
        <c:txPr>
          <a:bodyPr/>
          <a:lstStyle/>
          <a:p>
            <a:pPr>
              <a:defRPr sz="800" b="0" i="0" u="none">
                <a:solidFill>
                  <a:srgbClr val="1E1E1E"/>
                </a:solidFill>
              </a:defRPr>
            </a:pPr>
            <a:endParaRPr lang="en-US"/>
          </a:p>
        </c:txPr>
        <c:crossAx val="1343025536"/>
        <c:crosses val="autoZero"/>
        <c:crossBetween val="midCat"/>
      </c:valAx>
      <c:valAx>
        <c:axId val="1343025536"/>
        <c:scaling>
          <c:orientation val="minMax"/>
        </c:scaling>
        <c:delete val="0"/>
        <c:axPos val="l"/>
        <c:numFmt formatCode="#,##0" sourceLinked="0"/>
        <c:majorTickMark val="out"/>
        <c:minorTickMark val="none"/>
        <c:tickLblPos val="low"/>
        <c:spPr>
          <a:ln w="12700">
            <a:solidFill>
              <a:srgbClr val="1E1E1E"/>
            </a:solidFill>
            <a:prstDash val="solid"/>
          </a:ln>
        </c:spPr>
        <c:txPr>
          <a:bodyPr/>
          <a:lstStyle/>
          <a:p>
            <a:pPr>
              <a:defRPr sz="800" b="0" i="0" u="none">
                <a:solidFill>
                  <a:srgbClr val="1E1E1E"/>
                </a:solidFill>
              </a:defRPr>
            </a:pPr>
            <a:endParaRPr lang="en-US"/>
          </a:p>
        </c:txPr>
        <c:crossAx val="1343007360"/>
        <c:crosses val="autoZero"/>
        <c:crossBetween val="midCat"/>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800">
          <a:solidFill>
            <a:srgbClr val="1E1E1E"/>
          </a:solidFill>
          <a:latin typeface="Expert Sans Regular"/>
          <a:ea typeface="Expert Sans Regular"/>
          <a:cs typeface="Expert Sans Regular"/>
        </a:defRPr>
      </a:pPr>
      <a:endParaRPr lang="en-US"/>
    </a:p>
  </c:tx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chart" Target="../charts/chart15.xml"/><Relationship Id="rId3" Type="http://schemas.openxmlformats.org/officeDocument/2006/relationships/chart" Target="../charts/chart5.xml"/><Relationship Id="rId7" Type="http://schemas.openxmlformats.org/officeDocument/2006/relationships/chart" Target="../charts/chart9.xml"/><Relationship Id="rId12" Type="http://schemas.openxmlformats.org/officeDocument/2006/relationships/chart" Target="../charts/chart14.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3.xml"/><Relationship Id="rId5" Type="http://schemas.openxmlformats.org/officeDocument/2006/relationships/chart" Target="../charts/chart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xdr:col>
      <xdr:colOff>47625</xdr:colOff>
      <xdr:row>1</xdr:row>
      <xdr:rowOff>304800</xdr:rowOff>
    </xdr:from>
    <xdr:to>
      <xdr:col>3</xdr:col>
      <xdr:colOff>361950</xdr:colOff>
      <xdr:row>1</xdr:row>
      <xdr:rowOff>561975</xdr:rowOff>
    </xdr:to>
    <xdr:pic>
      <xdr:nvPicPr>
        <xdr:cNvPr id="2" name="Picture 1" descr="Barclays Bevel Cyan.emf"/>
        <xdr:cNvPicPr>
          <a:picLocks noChangeAspect="1" noChangeArrowheads="1"/>
        </xdr:cNvPicPr>
      </xdr:nvPicPr>
      <xdr:blipFill>
        <a:blip xmlns:r="http://schemas.openxmlformats.org/officeDocument/2006/relationships" r:embed="rId1" cstate="print"/>
        <a:srcRect/>
        <a:stretch>
          <a:fillRect/>
        </a:stretch>
      </xdr:blipFill>
      <xdr:spPr bwMode="gray">
        <a:xfrm>
          <a:off x="352425" y="609600"/>
          <a:ext cx="1447800" cy="257175"/>
        </a:xfrm>
        <a:prstGeom prst="rect">
          <a:avLst/>
        </a:prstGeom>
        <a:noFill/>
        <a:ln w="9525">
          <a:noFill/>
          <a:miter lim="800000"/>
          <a:headEnd/>
          <a:tailEnd/>
        </a:ln>
      </xdr:spPr>
    </xdr:pic>
    <xdr:clientData/>
  </xdr:twoCellAnchor>
  <xdr:twoCellAnchor editAs="absolute">
    <xdr:from>
      <xdr:col>6</xdr:col>
      <xdr:colOff>2009775</xdr:colOff>
      <xdr:row>2</xdr:row>
      <xdr:rowOff>333375</xdr:rowOff>
    </xdr:from>
    <xdr:to>
      <xdr:col>6</xdr:col>
      <xdr:colOff>2009840</xdr:colOff>
      <xdr:row>5</xdr:row>
      <xdr:rowOff>8225</xdr:rowOff>
    </xdr:to>
    <xdr:sp macro="" textlink="">
      <xdr:nvSpPr>
        <xdr:cNvPr id="3" name="TextBox 3"/>
        <xdr:cNvSpPr txBox="1">
          <a:spLocks noChangeArrowheads="1"/>
        </xdr:cNvSpPr>
      </xdr:nvSpPr>
      <xdr:spPr bwMode="auto">
        <a:xfrm>
          <a:off x="8915400" y="1400175"/>
          <a:ext cx="65" cy="427325"/>
        </a:xfrm>
        <a:prstGeom prst="rect">
          <a:avLst/>
        </a:prstGeom>
        <a:noFill/>
        <a:ln w="9525" algn="ctr">
          <a:noFill/>
          <a:miter lim="800000"/>
          <a:headEnd/>
          <a:tailEnd/>
        </a:ln>
        <a:effectLst/>
      </xdr:spPr>
      <xdr:txBody>
        <a:bodyPr wrap="none" lIns="0" tIns="50941" rIns="0" bIns="50941" anchor="t" upright="1">
          <a:spAutoFit/>
        </a:bodyPr>
        <a:lstStyle/>
        <a:p>
          <a:pPr algn="l" rtl="0">
            <a:defRPr sz="1000"/>
          </a:pPr>
          <a:endParaRPr lang="en-US" sz="1100" b="0" i="0" u="none" strike="noStrike" baseline="0">
            <a:solidFill>
              <a:srgbClr val="003366"/>
            </a:solidFill>
            <a:latin typeface="Arial"/>
            <a:cs typeface="Arial"/>
          </a:endParaRPr>
        </a:p>
        <a:p>
          <a:pPr algn="l" rtl="0">
            <a:defRPr sz="1000"/>
          </a:pPr>
          <a:endParaRPr lang="en-US" sz="1100" b="0" i="0" u="none" strike="noStrike" baseline="0">
            <a:solidFill>
              <a:srgbClr val="003366"/>
            </a:solidFill>
            <a:latin typeface="Arial"/>
            <a:cs typeface="Arial"/>
          </a:endParaRPr>
        </a:p>
      </xdr:txBody>
    </xdr:sp>
    <xdr:clientData/>
  </xdr:twoCellAnchor>
  <xdr:twoCellAnchor>
    <xdr:from>
      <xdr:col>6</xdr:col>
      <xdr:colOff>76200</xdr:colOff>
      <xdr:row>1</xdr:row>
      <xdr:rowOff>409575</xdr:rowOff>
    </xdr:from>
    <xdr:to>
      <xdr:col>7</xdr:col>
      <xdr:colOff>0</xdr:colOff>
      <xdr:row>2</xdr:row>
      <xdr:rowOff>171450</xdr:rowOff>
    </xdr:to>
    <xdr:sp macro="" textlink="">
      <xdr:nvSpPr>
        <xdr:cNvPr id="4" name="Department"/>
        <xdr:cNvSpPr txBox="1">
          <a:spLocks noChangeArrowheads="1"/>
        </xdr:cNvSpPr>
      </xdr:nvSpPr>
      <xdr:spPr bwMode="auto">
        <a:xfrm>
          <a:off x="6981825" y="714375"/>
          <a:ext cx="2314575" cy="523875"/>
        </a:xfrm>
        <a:prstGeom prst="rect">
          <a:avLst/>
        </a:prstGeom>
        <a:noFill/>
        <a:ln w="9525">
          <a:noFill/>
          <a:miter lim="800000"/>
          <a:headEnd/>
          <a:tailEnd/>
        </a:ln>
      </xdr:spPr>
      <xdr:txBody>
        <a:bodyPr vertOverflow="clip" wrap="square" lIns="0" tIns="0" rIns="0" bIns="0" anchor="t" upright="1"/>
        <a:lstStyle/>
        <a:p>
          <a:pPr algn="r" rtl="0">
            <a:defRPr sz="1000"/>
          </a:pPr>
          <a:r>
            <a:rPr lang="en-US" sz="1000" b="0" i="0" u="none" strike="noStrike" baseline="0">
              <a:solidFill>
                <a:srgbClr val="00AEEF"/>
              </a:solidFill>
              <a:latin typeface="Expert Sans Regular"/>
              <a:ea typeface="+mn-ea"/>
              <a:cs typeface="+mn-cs"/>
            </a:rPr>
            <a:t> Credit Research</a:t>
          </a:r>
        </a:p>
        <a:p>
          <a:pPr algn="r" rtl="0">
            <a:defRPr sz="1000"/>
          </a:pPr>
          <a:r>
            <a:rPr lang="en-US" sz="1000" b="0" i="0" u="none" strike="noStrike" baseline="0">
              <a:solidFill>
                <a:srgbClr val="00AEEF"/>
              </a:solidFill>
              <a:latin typeface="Expert Sans Regular"/>
            </a:rPr>
            <a:t>November 14, 2019</a:t>
          </a:r>
        </a:p>
        <a:p>
          <a:pPr algn="r" rtl="0">
            <a:defRPr sz="1000"/>
          </a:pPr>
          <a:endParaRPr lang="en-US" sz="1100" b="0" i="0" u="none" strike="noStrike" baseline="0">
            <a:solidFill>
              <a:srgbClr val="FFFFFF"/>
            </a:solidFill>
            <a:latin typeface="Expert Sans Regular"/>
          </a:endParaRPr>
        </a:p>
        <a:p>
          <a:pPr algn="r" rtl="0">
            <a:defRPr sz="1000"/>
          </a:pPr>
          <a:endParaRPr lang="en-US" sz="1200" b="0" i="0" u="none" strike="noStrike" baseline="0">
            <a:solidFill>
              <a:srgbClr val="333333"/>
            </a:solidFill>
            <a:latin typeface="Times New Roman"/>
            <a:cs typeface="Times New Roman"/>
          </a:endParaRPr>
        </a:p>
        <a:p>
          <a:pPr algn="r" rtl="0">
            <a:defRPr sz="1000"/>
          </a:pPr>
          <a:endParaRPr lang="en-US" sz="1200" b="0" i="0" u="none" strike="noStrike" baseline="0">
            <a:solidFill>
              <a:srgbClr val="333333"/>
            </a:solidFill>
            <a:latin typeface="Times New Roman"/>
            <a:cs typeface="Times New Roman"/>
          </a:endParaRPr>
        </a:p>
      </xdr:txBody>
    </xdr:sp>
    <xdr:clientData/>
  </xdr:twoCellAnchor>
  <xdr:twoCellAnchor>
    <xdr:from>
      <xdr:col>1</xdr:col>
      <xdr:colOff>47625</xdr:colOff>
      <xdr:row>2</xdr:row>
      <xdr:rowOff>419100</xdr:rowOff>
    </xdr:from>
    <xdr:to>
      <xdr:col>5</xdr:col>
      <xdr:colOff>0</xdr:colOff>
      <xdr:row>11</xdr:row>
      <xdr:rowOff>28575</xdr:rowOff>
    </xdr:to>
    <xdr:grpSp>
      <xdr:nvGrpSpPr>
        <xdr:cNvPr id="5" name="Group 73"/>
        <xdr:cNvGrpSpPr>
          <a:grpSpLocks/>
        </xdr:cNvGrpSpPr>
      </xdr:nvGrpSpPr>
      <xdr:grpSpPr bwMode="auto">
        <a:xfrm>
          <a:off x="390525" y="1485900"/>
          <a:ext cx="6238875" cy="1333500"/>
          <a:chOff x="37" y="146"/>
          <a:chExt cx="534" cy="129"/>
        </a:xfrm>
      </xdr:grpSpPr>
      <xdr:cxnSp macro="">
        <xdr:nvCxnSpPr>
          <xdr:cNvPr id="6" name="Straight Connector 10"/>
          <xdr:cNvCxnSpPr>
            <a:cxnSpLocks noChangeShapeType="1"/>
          </xdr:cNvCxnSpPr>
        </xdr:nvCxnSpPr>
        <xdr:spPr bwMode="gray">
          <a:xfrm>
            <a:off x="571" y="146"/>
            <a:ext cx="0" cy="129"/>
          </a:xfrm>
          <a:prstGeom prst="line">
            <a:avLst/>
          </a:prstGeom>
          <a:noFill/>
          <a:ln w="50800" cap="rnd" algn="ctr">
            <a:solidFill>
              <a:srgbClr val="00AEEF"/>
            </a:solidFill>
            <a:round/>
            <a:headEnd/>
            <a:tailEnd/>
          </a:ln>
        </xdr:spPr>
      </xdr:cxnSp>
      <xdr:cxnSp macro="">
        <xdr:nvCxnSpPr>
          <xdr:cNvPr id="7" name="Straight Connector 10"/>
          <xdr:cNvCxnSpPr>
            <a:cxnSpLocks noChangeShapeType="1"/>
          </xdr:cNvCxnSpPr>
        </xdr:nvCxnSpPr>
        <xdr:spPr bwMode="gray">
          <a:xfrm>
            <a:off x="37" y="146"/>
            <a:ext cx="0" cy="129"/>
          </a:xfrm>
          <a:prstGeom prst="line">
            <a:avLst/>
          </a:prstGeom>
          <a:noFill/>
          <a:ln w="50800" cap="rnd" algn="ctr">
            <a:solidFill>
              <a:srgbClr val="00AEEF"/>
            </a:solidFill>
            <a:round/>
            <a:headEnd/>
            <a:tailEnd/>
          </a:ln>
        </xdr:spPr>
      </xdr:cxnSp>
    </xdr:grpSp>
    <xdr:clientData/>
  </xdr:twoCellAnchor>
  <xdr:twoCellAnchor>
    <xdr:from>
      <xdr:col>0</xdr:col>
      <xdr:colOff>0</xdr:colOff>
      <xdr:row>0</xdr:row>
      <xdr:rowOff>0</xdr:rowOff>
    </xdr:from>
    <xdr:to>
      <xdr:col>8</xdr:col>
      <xdr:colOff>0</xdr:colOff>
      <xdr:row>0</xdr:row>
      <xdr:rowOff>295275</xdr:rowOff>
    </xdr:to>
    <xdr:sp macro="" textlink="">
      <xdr:nvSpPr>
        <xdr:cNvPr id="8" name="Rectangle 71"/>
        <xdr:cNvSpPr>
          <a:spLocks noChangeArrowheads="1"/>
        </xdr:cNvSpPr>
      </xdr:nvSpPr>
      <xdr:spPr bwMode="auto">
        <a:xfrm>
          <a:off x="0" y="0"/>
          <a:ext cx="8467725" cy="295275"/>
        </a:xfrm>
        <a:prstGeom prst="rect">
          <a:avLst/>
        </a:prstGeom>
        <a:solidFill>
          <a:srgbClr val="00AEEF"/>
        </a:solidFill>
        <a:ln w="9525" algn="ctr">
          <a:noFill/>
          <a:miter lim="800000"/>
          <a:headEnd/>
          <a:tailEnd/>
        </a:ln>
      </xdr:spPr>
    </xdr:sp>
    <xdr:clientData/>
  </xdr:twoCellAnchor>
  <xdr:twoCellAnchor>
    <xdr:from>
      <xdr:col>1</xdr:col>
      <xdr:colOff>38100</xdr:colOff>
      <xdr:row>27</xdr:row>
      <xdr:rowOff>28575</xdr:rowOff>
    </xdr:from>
    <xdr:to>
      <xdr:col>5</xdr:col>
      <xdr:colOff>9525</xdr:colOff>
      <xdr:row>33</xdr:row>
      <xdr:rowOff>19050</xdr:rowOff>
    </xdr:to>
    <xdr:sp macro="" textlink="">
      <xdr:nvSpPr>
        <xdr:cNvPr id="9" name="TextBox 8"/>
        <xdr:cNvSpPr txBox="1"/>
      </xdr:nvSpPr>
      <xdr:spPr>
        <a:xfrm>
          <a:off x="342900" y="5562600"/>
          <a:ext cx="5486400" cy="876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tIns="0" rIns="0" bIns="0" rtlCol="0" anchor="t"/>
        <a:lstStyle/>
        <a:p>
          <a:r>
            <a:rPr lang="en-US" sz="1000">
              <a:solidFill>
                <a:schemeClr val="dk1"/>
              </a:solidFill>
              <a:latin typeface="Arial" pitchFamily="34" charset="0"/>
              <a:ea typeface="+mn-ea"/>
              <a:cs typeface="Arial" pitchFamily="34" charset="0"/>
            </a:rPr>
            <a:t>This document is intended for institutional investors and is not subject to all of the independence and disclosure standards applicable to debt research reports prepared for retail investors under U.S. FINRA Rule 2242. Barclays trades the securities covered in this report for its own account and on a discretionary basis on behalf of certain clients. Such trading interests may be contrary to the recommendations offered in this report.</a:t>
          </a:r>
        </a:p>
        <a:p>
          <a:endParaRPr lang="en-US" sz="1000">
            <a:latin typeface="Arial" pitchFamily="34" charset="0"/>
            <a:cs typeface="Arial"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26</xdr:row>
      <xdr:rowOff>133350</xdr:rowOff>
    </xdr:from>
    <xdr:to>
      <xdr:col>10</xdr:col>
      <xdr:colOff>155575</xdr:colOff>
      <xdr:row>39</xdr:row>
      <xdr:rowOff>130175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42</xdr:row>
      <xdr:rowOff>66675</xdr:rowOff>
    </xdr:from>
    <xdr:to>
      <xdr:col>10</xdr:col>
      <xdr:colOff>155575</xdr:colOff>
      <xdr:row>55</xdr:row>
      <xdr:rowOff>63500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485775</xdr:colOff>
      <xdr:row>14</xdr:row>
      <xdr:rowOff>57150</xdr:rowOff>
    </xdr:from>
    <xdr:to>
      <xdr:col>10</xdr:col>
      <xdr:colOff>428625</xdr:colOff>
      <xdr:row>26</xdr:row>
      <xdr:rowOff>120650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552450</xdr:colOff>
      <xdr:row>39</xdr:row>
      <xdr:rowOff>57150</xdr:rowOff>
    </xdr:from>
    <xdr:to>
      <xdr:col>10</xdr:col>
      <xdr:colOff>495300</xdr:colOff>
      <xdr:row>51</xdr:row>
      <xdr:rowOff>6350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552450</xdr:colOff>
      <xdr:row>64</xdr:row>
      <xdr:rowOff>57150</xdr:rowOff>
    </xdr:from>
    <xdr:to>
      <xdr:col>10</xdr:col>
      <xdr:colOff>495300</xdr:colOff>
      <xdr:row>76</xdr:row>
      <xdr:rowOff>120650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9525</xdr:colOff>
      <xdr:row>217</xdr:row>
      <xdr:rowOff>95250</xdr:rowOff>
    </xdr:from>
    <xdr:to>
      <xdr:col>11</xdr:col>
      <xdr:colOff>161925</xdr:colOff>
      <xdr:row>229</xdr:row>
      <xdr:rowOff>158750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600075</xdr:colOff>
      <xdr:row>191</xdr:row>
      <xdr:rowOff>38100</xdr:rowOff>
    </xdr:from>
    <xdr:to>
      <xdr:col>10</xdr:col>
      <xdr:colOff>542925</xdr:colOff>
      <xdr:row>203</xdr:row>
      <xdr:rowOff>101600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5</xdr:col>
      <xdr:colOff>19050</xdr:colOff>
      <xdr:row>164</xdr:row>
      <xdr:rowOff>171450</xdr:rowOff>
    </xdr:from>
    <xdr:to>
      <xdr:col>11</xdr:col>
      <xdr:colOff>171450</xdr:colOff>
      <xdr:row>177</xdr:row>
      <xdr:rowOff>53975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5</xdr:col>
      <xdr:colOff>28575</xdr:colOff>
      <xdr:row>140</xdr:row>
      <xdr:rowOff>76200</xdr:rowOff>
    </xdr:from>
    <xdr:to>
      <xdr:col>11</xdr:col>
      <xdr:colOff>180975</xdr:colOff>
      <xdr:row>152</xdr:row>
      <xdr:rowOff>139700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5</xdr:col>
      <xdr:colOff>28575</xdr:colOff>
      <xdr:row>113</xdr:row>
      <xdr:rowOff>85725</xdr:rowOff>
    </xdr:from>
    <xdr:to>
      <xdr:col>11</xdr:col>
      <xdr:colOff>180975</xdr:colOff>
      <xdr:row>125</xdr:row>
      <xdr:rowOff>149225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5</xdr:col>
      <xdr:colOff>38100</xdr:colOff>
      <xdr:row>90</xdr:row>
      <xdr:rowOff>28575</xdr:rowOff>
    </xdr:from>
    <xdr:to>
      <xdr:col>11</xdr:col>
      <xdr:colOff>190500</xdr:colOff>
      <xdr:row>103</xdr:row>
      <xdr:rowOff>53975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12</xdr:col>
      <xdr:colOff>38100</xdr:colOff>
      <xdr:row>247</xdr:row>
      <xdr:rowOff>123825</xdr:rowOff>
    </xdr:from>
    <xdr:to>
      <xdr:col>18</xdr:col>
      <xdr:colOff>361950</xdr:colOff>
      <xdr:row>262</xdr:row>
      <xdr:rowOff>73025</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12</xdr:col>
      <xdr:colOff>0</xdr:colOff>
      <xdr:row>272</xdr:row>
      <xdr:rowOff>0</xdr:rowOff>
    </xdr:from>
    <xdr:to>
      <xdr:col>18</xdr:col>
      <xdr:colOff>323850</xdr:colOff>
      <xdr:row>286</xdr:row>
      <xdr:rowOff>130175</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12</xdr:col>
      <xdr:colOff>19050</xdr:colOff>
      <xdr:row>293</xdr:row>
      <xdr:rowOff>57150</xdr:rowOff>
    </xdr:from>
    <xdr:to>
      <xdr:col>18</xdr:col>
      <xdr:colOff>342900</xdr:colOff>
      <xdr:row>308</xdr:row>
      <xdr:rowOff>6350</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12</xdr:col>
      <xdr:colOff>0</xdr:colOff>
      <xdr:row>317</xdr:row>
      <xdr:rowOff>0</xdr:rowOff>
    </xdr:from>
    <xdr:to>
      <xdr:col>18</xdr:col>
      <xdr:colOff>323850</xdr:colOff>
      <xdr:row>331</xdr:row>
      <xdr:rowOff>130175</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0</xdr:col>
      <xdr:colOff>190500</xdr:colOff>
      <xdr:row>0</xdr:row>
      <xdr:rowOff>85725</xdr:rowOff>
    </xdr:from>
    <xdr:ext cx="11277600" cy="2171700"/>
    <xdr:sp macro="" textlink="">
      <xdr:nvSpPr>
        <xdr:cNvPr id="2" name="TextBox 1"/>
        <xdr:cNvSpPr txBox="1"/>
      </xdr:nvSpPr>
      <xdr:spPr>
        <a:xfrm>
          <a:off x="190500" y="85725"/>
          <a:ext cx="11277600" cy="2171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GB" sz="1100"/>
        </a:p>
      </xdr:txBody>
    </xdr:sp>
    <xdr:clientData/>
  </xdr:oneCellAnchor>
  <xdr:twoCellAnchor>
    <xdr:from>
      <xdr:col>0</xdr:col>
      <xdr:colOff>0</xdr:colOff>
      <xdr:row>0</xdr:row>
      <xdr:rowOff>1</xdr:rowOff>
    </xdr:from>
    <xdr:to>
      <xdr:col>18</xdr:col>
      <xdr:colOff>476250</xdr:colOff>
      <xdr:row>83</xdr:row>
      <xdr:rowOff>47625</xdr:rowOff>
    </xdr:to>
    <xdr:sp macro="" textlink="">
      <xdr:nvSpPr>
        <xdr:cNvPr id="3" name="Text Box 1"/>
        <xdr:cNvSpPr txBox="1">
          <a:spLocks noChangeArrowheads="1"/>
        </xdr:cNvSpPr>
      </xdr:nvSpPr>
      <xdr:spPr bwMode="auto">
        <a:xfrm>
          <a:off x="0" y="1"/>
          <a:ext cx="11449050" cy="15859124"/>
        </a:xfrm>
        <a:prstGeom prst="rect">
          <a:avLst/>
        </a:prstGeom>
        <a:solidFill>
          <a:srgbClr val="FFFFFF"/>
        </a:solidFill>
        <a:ln w="9525">
          <a:noFill/>
          <a:miter lim="800000"/>
          <a:headEnd/>
          <a:tailEnd/>
        </a:ln>
      </xdr:spPr>
      <xdr:txBody>
        <a:bodyPr vertOverflow="clip" wrap="square" lIns="27432" tIns="27432" rIns="0" bIns="0" anchor="t" upright="1"/>
        <a:lstStyle/>
        <a:p>
          <a:r>
            <a:rPr lang="en-GB" sz="800" b="1" i="0">
              <a:latin typeface="Expert Sans Regular" pitchFamily="34" charset="0"/>
              <a:ea typeface="+mn-ea"/>
              <a:cs typeface="+mn-cs"/>
            </a:rPr>
            <a:t>Analyst Certification</a:t>
          </a:r>
        </a:p>
        <a:p>
          <a:r>
            <a:rPr lang="en-GB" sz="800">
              <a:latin typeface="Expert Sans Regular" pitchFamily="34" charset="0"/>
              <a:ea typeface="+mn-ea"/>
              <a:cs typeface="+mn-cs"/>
            </a:rPr>
            <a:t>We, Harry Mateer and Sarah Du, hereby certify (1) that the views expressed in this research report accurately reflect our personal views about any or all of the subject securities or issuers referred to in this research report and (2) no part of our compensation was, is or will be directly or indirectly related to the specific recommendations or views expressed in this research report.</a:t>
          </a:r>
        </a:p>
        <a:p>
          <a:r>
            <a:rPr lang="en-GB" sz="800">
              <a:latin typeface="Expert Sans Regular" pitchFamily="34" charset="0"/>
              <a:ea typeface="+mn-ea"/>
              <a:cs typeface="+mn-cs"/>
            </a:rPr>
            <a:t> </a:t>
          </a:r>
        </a:p>
        <a:p>
          <a:r>
            <a:rPr lang="en-GB" sz="800" b="1" i="0" u="none" strike="noStrike">
              <a:effectLst/>
              <a:latin typeface="Expert Sans Regular" panose="020B0503030103020204" pitchFamily="34" charset="0"/>
              <a:ea typeface="+mn-ea"/>
              <a:cs typeface="+mn-cs"/>
            </a:rPr>
            <a:t>Important Disclosures:</a:t>
          </a:r>
          <a:endParaRPr lang="en-US" sz="800" i="0">
            <a:effectLst/>
            <a:latin typeface="Expert Sans Regular" panose="020B0503030103020204" pitchFamily="34" charset="0"/>
            <a:ea typeface="+mn-ea"/>
            <a:cs typeface="+mn-cs"/>
          </a:endParaRPr>
        </a:p>
        <a:p>
          <a:r>
            <a:rPr lang="en-GB" sz="800">
              <a:effectLst/>
              <a:latin typeface="Expert Sans Regular" panose="020B0503030103020204" pitchFamily="34" charset="0"/>
              <a:ea typeface="+mn-ea"/>
              <a:cs typeface="+mn-cs"/>
            </a:rPr>
            <a:t>Barclays Research is produced by the Investment Bank of Barclays Bank PLC and its affiliates (collectively and each individually, "Barclays").</a:t>
          </a:r>
          <a:endParaRPr lang="en-US" sz="800">
            <a:effectLst/>
            <a:latin typeface="Expert Sans Regular" panose="020B0503030103020204" pitchFamily="34" charset="0"/>
            <a:ea typeface="+mn-ea"/>
            <a:cs typeface="+mn-cs"/>
          </a:endParaRPr>
        </a:p>
        <a:p>
          <a:r>
            <a:rPr lang="en-GB" sz="800">
              <a:effectLst/>
              <a:latin typeface="Expert Sans Regular" panose="020B0503030103020204" pitchFamily="34" charset="0"/>
              <a:ea typeface="+mn-ea"/>
              <a:cs typeface="+mn-cs"/>
            </a:rPr>
            <a:t>All authors contributing to this research report are Research Analysts unless otherwise indicated. The publication date at the top of the report reflects the local time where the report was produced and may differ from the release date provided in GMT.</a:t>
          </a:r>
          <a:endParaRPr lang="en-US" sz="800">
            <a:effectLst/>
            <a:latin typeface="Expert Sans Regular" panose="020B0503030103020204" pitchFamily="34" charset="0"/>
            <a:ea typeface="+mn-ea"/>
            <a:cs typeface="+mn-cs"/>
          </a:endParaRPr>
        </a:p>
        <a:p>
          <a:r>
            <a:rPr lang="en-GB" sz="800">
              <a:effectLst/>
              <a:latin typeface="Expert Sans Regular" panose="020B0503030103020204" pitchFamily="34" charset="0"/>
              <a:ea typeface="+mn-ea"/>
              <a:cs typeface="+mn-cs"/>
            </a:rPr>
            <a:t> </a:t>
          </a:r>
          <a:endParaRPr lang="en-US" sz="800">
            <a:effectLst/>
            <a:latin typeface="Expert Sans Regular" panose="020B0503030103020204" pitchFamily="34" charset="0"/>
            <a:ea typeface="+mn-ea"/>
            <a:cs typeface="+mn-cs"/>
          </a:endParaRPr>
        </a:p>
        <a:p>
          <a:r>
            <a:rPr lang="en-GB" sz="800" b="1" i="0">
              <a:effectLst/>
              <a:latin typeface="Expert Sans Regular" panose="020B0503030103020204" pitchFamily="34" charset="0"/>
              <a:ea typeface="+mn-ea"/>
              <a:cs typeface="+mn-cs"/>
            </a:rPr>
            <a:t>Availability of Disclosures:</a:t>
          </a:r>
          <a:endParaRPr lang="en-US" sz="800" i="0">
            <a:effectLst/>
            <a:latin typeface="Expert Sans Regular" panose="020B0503030103020204" pitchFamily="34" charset="0"/>
            <a:ea typeface="+mn-ea"/>
            <a:cs typeface="+mn-cs"/>
          </a:endParaRPr>
        </a:p>
        <a:p>
          <a:r>
            <a:rPr lang="en-GB" sz="800">
              <a:effectLst/>
              <a:latin typeface="Expert Sans Regular" panose="020B0503030103020204" pitchFamily="34" charset="0"/>
              <a:ea typeface="+mn-ea"/>
              <a:cs typeface="+mn-cs"/>
            </a:rPr>
            <a:t>For current important disclosures regarding any issuers which are the subject of this research report please refer to https://publicresearch.barclays.com or alternatively send a written request to: Barclays Research Compliance, 745 Seventh Avenue, 13th Floor, New York, NY 10019 or call +1-212-526-1072.</a:t>
          </a:r>
          <a:endParaRPr lang="en-US" sz="800">
            <a:effectLst/>
            <a:latin typeface="Expert Sans Regular" panose="020B0503030103020204" pitchFamily="34" charset="0"/>
            <a:ea typeface="+mn-ea"/>
            <a:cs typeface="+mn-cs"/>
          </a:endParaRPr>
        </a:p>
        <a:p>
          <a:r>
            <a:rPr lang="en-GB" sz="800">
              <a:effectLst/>
              <a:latin typeface="Expert Sans Regular" panose="020B0503030103020204" pitchFamily="34" charset="0"/>
              <a:ea typeface="+mn-ea"/>
              <a:cs typeface="+mn-cs"/>
            </a:rPr>
            <a:t> </a:t>
          </a:r>
          <a:endParaRPr lang="en-US" sz="800">
            <a:effectLst/>
            <a:latin typeface="Expert Sans Regular" panose="020B0503030103020204" pitchFamily="34" charset="0"/>
            <a:ea typeface="+mn-ea"/>
            <a:cs typeface="+mn-cs"/>
          </a:endParaRPr>
        </a:p>
        <a:p>
          <a:r>
            <a:rPr lang="en-GB" sz="800">
              <a:effectLst/>
              <a:latin typeface="Expert Sans Regular" panose="020B0503030103020204" pitchFamily="34" charset="0"/>
              <a:ea typeface="+mn-ea"/>
              <a:cs typeface="+mn-cs"/>
            </a:rPr>
            <a:t>Barclays Capital Inc. and/or one of its affiliates does and seeks to do business with companies covered in its research reports.  As a result, investors should be aware that Barclays may have a conflict of interest that could affect the objectivity of this report. Barclays Capital Inc. and/or one of its affiliates regularly trades, generally deals as principal and generally provides liquidity (as market maker or otherwise) in the debt securities that are the subject of this research report (and related derivatives thereof). Barclays trading desks may have either a long and / or short position in such securities, other financial instruments and / or derivatives, which may pose a conflict with the interests of investing customers. Where permitted and subject to appropriate information barrier restrictions, Barclays fixed income research analysts regularly interact with its trading desk personnel regarding current market conditions and prices. Barclays fixed income research analysts receive compensation based on various factors including, but not limited to, the quality of their work, the overall performance of the firm (including the profitability of the Investment Banking Department), the profitability and revenues of the Markets business and the potential interest of the firm's investing clients in research with respect to the asset class covered by the analyst. To the extent that any historical pricing information was obtained from Barclays trading desks, the firm makes no representation that it is accurate or complete. All levels, prices and spreads are historical and do not necessarily represent current market levels, prices or spreads, some or all of which may have changed since the publication of this document. Barclays Research Department produces various types of research including, but not limited to, fundamental analysis, equity-linked analysis, quantitative analysis, and trade ideas. Recommendations and trade ideas contained in one type of Barclays Research may differ from those contained in other types of Barclays Research, whether as a result of differing time horizons, methodologies, or otherwise.</a:t>
          </a:r>
          <a:endParaRPr lang="en-US" sz="800">
            <a:effectLst/>
            <a:latin typeface="Expert Sans Regular" panose="020B0503030103020204" pitchFamily="34" charset="0"/>
            <a:ea typeface="+mn-ea"/>
            <a:cs typeface="+mn-cs"/>
          </a:endParaRPr>
        </a:p>
        <a:p>
          <a:r>
            <a:rPr lang="en-GB" sz="800">
              <a:effectLst/>
              <a:latin typeface="Expert Sans Regular" panose="020B0503030103020204" pitchFamily="34" charset="0"/>
              <a:ea typeface="+mn-ea"/>
              <a:cs typeface="+mn-cs"/>
            </a:rPr>
            <a:t>In order to access Barclays Statement regarding Research Dissemination Policies and Procedures, please refer to </a:t>
          </a:r>
          <a:r>
            <a:rPr lang="en-GB" sz="800" i="1" u="none" strike="noStrike">
              <a:effectLst/>
              <a:latin typeface="Expert Sans Regular" panose="020B0503030103020204" pitchFamily="34" charset="0"/>
              <a:ea typeface="+mn-ea"/>
              <a:cs typeface="+mn-cs"/>
              <a:hlinkClick xmlns:r="http://schemas.openxmlformats.org/officeDocument/2006/relationships" r:id=""/>
            </a:rPr>
            <a:t>https://publicresearch.barcap.com/S/RD.htm</a:t>
          </a:r>
          <a:r>
            <a:rPr lang="en-GB" sz="800">
              <a:effectLst/>
              <a:latin typeface="Expert Sans Regular" panose="020B0503030103020204" pitchFamily="34" charset="0"/>
              <a:ea typeface="+mn-ea"/>
              <a:cs typeface="+mn-cs"/>
            </a:rPr>
            <a:t>.  In order to access Barclays Research Conflict Management Policy Statement, please refer to: </a:t>
          </a:r>
          <a:r>
            <a:rPr lang="en-GB" sz="800" i="1" u="none" strike="noStrike">
              <a:effectLst/>
              <a:latin typeface="Expert Sans Regular" panose="020B0503030103020204" pitchFamily="34" charset="0"/>
              <a:ea typeface="+mn-ea"/>
              <a:cs typeface="+mn-cs"/>
              <a:hlinkClick xmlns:r="http://schemas.openxmlformats.org/officeDocument/2006/relationships" r:id=""/>
            </a:rPr>
            <a:t>https://publicresearch.barcap.com/S/CM.htm</a:t>
          </a:r>
          <a:r>
            <a:rPr lang="en-GB" sz="800">
              <a:effectLst/>
              <a:latin typeface="Expert Sans Regular" panose="020B0503030103020204" pitchFamily="34" charset="0"/>
              <a:ea typeface="+mn-ea"/>
              <a:cs typeface="+mn-cs"/>
            </a:rPr>
            <a:t>.</a:t>
          </a:r>
          <a:endParaRPr lang="en-US" sz="800">
            <a:effectLst/>
            <a:latin typeface="Expert Sans Regular" panose="020B0503030103020204" pitchFamily="34" charset="0"/>
            <a:ea typeface="+mn-ea"/>
            <a:cs typeface="+mn-cs"/>
          </a:endParaRPr>
        </a:p>
        <a:p>
          <a:r>
            <a:rPr lang="en-GB" sz="800">
              <a:effectLst/>
              <a:latin typeface="Expert Sans Regular" panose="020B0503030103020204" pitchFamily="34" charset="0"/>
              <a:ea typeface="+mn-ea"/>
              <a:cs typeface="+mn-cs"/>
            </a:rPr>
            <a:t> </a:t>
          </a:r>
          <a:endParaRPr lang="en-US" sz="800">
            <a:effectLst/>
            <a:latin typeface="Expert Sans Regular" panose="020B0503030103020204" pitchFamily="34" charset="0"/>
            <a:ea typeface="+mn-ea"/>
            <a:cs typeface="+mn-cs"/>
          </a:endParaRPr>
        </a:p>
        <a:p>
          <a:r>
            <a:rPr lang="en-GB" sz="800">
              <a:effectLst/>
              <a:latin typeface="Expert Sans Regular" panose="020B0503030103020204" pitchFamily="34" charset="0"/>
              <a:ea typeface="+mn-ea"/>
              <a:cs typeface="+mn-cs"/>
            </a:rPr>
            <a:t>All pricing information is indicative only. Unless otherwise indicated, prices are sourced from Refinitiv and reflect the closing price in the relevant trading market, which may not be the last available price at the time of publication.</a:t>
          </a:r>
          <a:endParaRPr lang="en-US" sz="800">
            <a:effectLst/>
            <a:latin typeface="Expert Sans Regular" panose="020B0503030103020204" pitchFamily="34" charset="0"/>
            <a:ea typeface="+mn-ea"/>
            <a:cs typeface="+mn-cs"/>
          </a:endParaRPr>
        </a:p>
        <a:p>
          <a:r>
            <a:rPr lang="en-GB" sz="800">
              <a:effectLst/>
              <a:latin typeface="Expert Sans Regular" panose="020B0503030103020204" pitchFamily="34" charset="0"/>
              <a:ea typeface="+mn-ea"/>
              <a:cs typeface="+mn-cs"/>
            </a:rPr>
            <a:t> </a:t>
          </a:r>
          <a:endParaRPr lang="en-US" sz="800">
            <a:effectLst/>
            <a:latin typeface="Expert Sans Regular" panose="020B0503030103020204" pitchFamily="34" charset="0"/>
            <a:ea typeface="+mn-ea"/>
            <a:cs typeface="+mn-cs"/>
          </a:endParaRPr>
        </a:p>
        <a:p>
          <a:r>
            <a:rPr lang="en-GB" sz="800" b="1">
              <a:effectLst/>
              <a:latin typeface="Expert Sans Regular" panose="020B0503030103020204" pitchFamily="34" charset="0"/>
              <a:ea typeface="+mn-ea"/>
              <a:cs typeface="+mn-cs"/>
            </a:rPr>
            <a:t>Types of investment recommendations produced by Barclays FICC Research:</a:t>
          </a:r>
          <a:r>
            <a:rPr lang="en-GB" sz="800">
              <a:effectLst/>
              <a:latin typeface="Expert Sans Regular" panose="020B0503030103020204" pitchFamily="34" charset="0"/>
              <a:ea typeface="+mn-ea"/>
              <a:cs typeface="+mn-cs"/>
            </a:rPr>
            <a:t> </a:t>
          </a:r>
          <a:endParaRPr lang="en-US" sz="800">
            <a:effectLst/>
            <a:latin typeface="Expert Sans Regular" panose="020B0503030103020204" pitchFamily="34" charset="0"/>
            <a:ea typeface="+mn-ea"/>
            <a:cs typeface="+mn-cs"/>
          </a:endParaRPr>
        </a:p>
        <a:p>
          <a:r>
            <a:rPr lang="en-GB" sz="800">
              <a:effectLst/>
              <a:latin typeface="Expert Sans Regular" panose="020B0503030103020204" pitchFamily="34" charset="0"/>
              <a:ea typeface="+mn-ea"/>
              <a:cs typeface="+mn-cs"/>
            </a:rPr>
            <a:t>In addition to any ratings assigned under Barclays’ formal rating systems, this publication may contain investment recommendations in the form of trade ideas, thematic screens, scorecards  or portfolio recommendations that have been produced by analysts in FICC Research.  Any such investment recommendations produced by non-Credit Research teams shall remain open until they are subsequently amended, rebalanced or closed in a future research report. Any such investment recommendations produced by the Credit Research teams are valid at current market conditions and may not be otherwise relied upon.</a:t>
          </a:r>
          <a:endParaRPr lang="en-US" sz="800">
            <a:effectLst/>
            <a:latin typeface="Expert Sans Regular" panose="020B0503030103020204" pitchFamily="34" charset="0"/>
            <a:ea typeface="+mn-ea"/>
            <a:cs typeface="+mn-cs"/>
          </a:endParaRPr>
        </a:p>
        <a:p>
          <a:r>
            <a:rPr lang="en-GB" sz="800">
              <a:effectLst/>
              <a:latin typeface="Expert Sans Regular" panose="020B0503030103020204" pitchFamily="34" charset="0"/>
              <a:ea typeface="+mn-ea"/>
              <a:cs typeface="+mn-cs"/>
            </a:rPr>
            <a:t> </a:t>
          </a:r>
          <a:endParaRPr lang="en-US" sz="800">
            <a:effectLst/>
            <a:latin typeface="Expert Sans Regular" panose="020B0503030103020204" pitchFamily="34" charset="0"/>
            <a:ea typeface="+mn-ea"/>
            <a:cs typeface="+mn-cs"/>
          </a:endParaRPr>
        </a:p>
        <a:p>
          <a:r>
            <a:rPr lang="en-GB" sz="800" b="1">
              <a:effectLst/>
              <a:latin typeface="Expert Sans Regular" panose="020B0503030103020204" pitchFamily="34" charset="0"/>
              <a:ea typeface="+mn-ea"/>
              <a:cs typeface="+mn-cs"/>
            </a:rPr>
            <a:t>Disclosure of other  investment recommendations produced by Barclays FICC Research:</a:t>
          </a:r>
          <a:endParaRPr lang="en-US" sz="800">
            <a:effectLst/>
            <a:latin typeface="Expert Sans Regular" panose="020B0503030103020204" pitchFamily="34" charset="0"/>
            <a:ea typeface="+mn-ea"/>
            <a:cs typeface="+mn-cs"/>
          </a:endParaRPr>
        </a:p>
        <a:p>
          <a:r>
            <a:rPr lang="en-GB" sz="800">
              <a:effectLst/>
              <a:latin typeface="Expert Sans Regular" panose="020B0503030103020204" pitchFamily="34" charset="0"/>
              <a:ea typeface="+mn-ea"/>
              <a:cs typeface="+mn-cs"/>
            </a:rPr>
            <a:t>Barclays FICC Research may have published other investment recommendations in respect of the same securities/instruments recommended in this research report during the preceding 12 months. To view all  investment recommendations published by Barclays FICC Research in the preceding 12 months please refer to </a:t>
          </a:r>
          <a:r>
            <a:rPr lang="en-GB" sz="800" i="1" u="none" strike="noStrike">
              <a:effectLst/>
              <a:latin typeface="Expert Sans Regular" panose="020B0503030103020204" pitchFamily="34" charset="0"/>
              <a:ea typeface="+mn-ea"/>
              <a:cs typeface="+mn-cs"/>
              <a:hlinkClick xmlns:r="http://schemas.openxmlformats.org/officeDocument/2006/relationships" r:id=""/>
            </a:rPr>
            <a:t>https://live.barcap.com/go/research/Recommendations</a:t>
          </a:r>
          <a:r>
            <a:rPr lang="en-GB" sz="800">
              <a:effectLst/>
              <a:latin typeface="Expert Sans Regular" panose="020B0503030103020204" pitchFamily="34" charset="0"/>
              <a:ea typeface="+mn-ea"/>
              <a:cs typeface="+mn-cs"/>
            </a:rPr>
            <a:t>.</a:t>
          </a:r>
          <a:endParaRPr lang="en-US" sz="800">
            <a:effectLst/>
            <a:latin typeface="Expert Sans Regular" panose="020B0503030103020204" pitchFamily="34" charset="0"/>
            <a:ea typeface="+mn-ea"/>
            <a:cs typeface="+mn-cs"/>
          </a:endParaRPr>
        </a:p>
        <a:p>
          <a:r>
            <a:rPr lang="en-GB" sz="800">
              <a:effectLst/>
              <a:latin typeface="Expert Sans Regular" panose="020B0503030103020204" pitchFamily="34" charset="0"/>
              <a:ea typeface="+mn-ea"/>
              <a:cs typeface="+mn-cs"/>
            </a:rPr>
            <a:t> </a:t>
          </a:r>
          <a:endParaRPr lang="en-US" sz="800">
            <a:effectLst/>
            <a:latin typeface="Expert Sans Regular" panose="020B0503030103020204" pitchFamily="34" charset="0"/>
            <a:ea typeface="+mn-ea"/>
            <a:cs typeface="+mn-cs"/>
          </a:endParaRPr>
        </a:p>
        <a:p>
          <a:r>
            <a:rPr lang="en-GB" sz="800" b="1">
              <a:effectLst/>
              <a:latin typeface="Expert Sans Regular" panose="020B0503030103020204" pitchFamily="34" charset="0"/>
              <a:ea typeface="+mn-ea"/>
              <a:cs typeface="+mn-cs"/>
            </a:rPr>
            <a:t>Legal entities involved in producing Barclays Research:</a:t>
          </a:r>
          <a:r>
            <a:rPr lang="en-GB" sz="800">
              <a:effectLst/>
              <a:latin typeface="Expert Sans Regular" panose="020B0503030103020204" pitchFamily="34" charset="0"/>
              <a:ea typeface="+mn-ea"/>
              <a:cs typeface="+mn-cs"/>
            </a:rPr>
            <a:t> </a:t>
          </a:r>
          <a:endParaRPr lang="en-US" sz="800">
            <a:effectLst/>
            <a:latin typeface="Expert Sans Regular" panose="020B0503030103020204" pitchFamily="34" charset="0"/>
            <a:ea typeface="+mn-ea"/>
            <a:cs typeface="+mn-cs"/>
          </a:endParaRPr>
        </a:p>
        <a:p>
          <a:r>
            <a:rPr lang="en-GB" sz="800">
              <a:effectLst/>
              <a:latin typeface="Expert Sans Regular" panose="020B0503030103020204" pitchFamily="34" charset="0"/>
              <a:ea typeface="+mn-ea"/>
              <a:cs typeface="+mn-cs"/>
            </a:rPr>
            <a:t>Barclays Bank PLC (Barclays, UK)</a:t>
          </a:r>
          <a:endParaRPr lang="en-US" sz="800">
            <a:effectLst/>
            <a:latin typeface="Expert Sans Regular" panose="020B0503030103020204" pitchFamily="34" charset="0"/>
            <a:ea typeface="+mn-ea"/>
            <a:cs typeface="+mn-cs"/>
          </a:endParaRPr>
        </a:p>
        <a:p>
          <a:r>
            <a:rPr lang="en-GB" sz="800">
              <a:effectLst/>
              <a:latin typeface="Expert Sans Regular" panose="020B0503030103020204" pitchFamily="34" charset="0"/>
              <a:ea typeface="+mn-ea"/>
              <a:cs typeface="+mn-cs"/>
            </a:rPr>
            <a:t>Barclays Capital Inc. (BCI, US)</a:t>
          </a:r>
          <a:endParaRPr lang="en-US" sz="800">
            <a:effectLst/>
            <a:latin typeface="Expert Sans Regular" panose="020B0503030103020204" pitchFamily="34" charset="0"/>
            <a:ea typeface="+mn-ea"/>
            <a:cs typeface="+mn-cs"/>
          </a:endParaRPr>
        </a:p>
        <a:p>
          <a:r>
            <a:rPr lang="en-GB" sz="800">
              <a:effectLst/>
              <a:latin typeface="Expert Sans Regular" panose="020B0503030103020204" pitchFamily="34" charset="0"/>
              <a:ea typeface="+mn-ea"/>
              <a:cs typeface="+mn-cs"/>
            </a:rPr>
            <a:t>Barclays Bank Ireland PLC, Frankfurt Branch (BBI, Frankfurt)</a:t>
          </a:r>
          <a:endParaRPr lang="en-US" sz="800">
            <a:effectLst/>
            <a:latin typeface="Expert Sans Regular" panose="020B0503030103020204" pitchFamily="34" charset="0"/>
            <a:ea typeface="+mn-ea"/>
            <a:cs typeface="+mn-cs"/>
          </a:endParaRPr>
        </a:p>
        <a:p>
          <a:r>
            <a:rPr lang="en-GB" sz="800">
              <a:effectLst/>
              <a:latin typeface="Expert Sans Regular" panose="020B0503030103020204" pitchFamily="34" charset="0"/>
              <a:ea typeface="+mn-ea"/>
              <a:cs typeface="+mn-cs"/>
            </a:rPr>
            <a:t>Barclays Bank Ireland PLC, Paris Branch (BBI, Paris)</a:t>
          </a:r>
          <a:endParaRPr lang="en-US" sz="800">
            <a:effectLst/>
            <a:latin typeface="Expert Sans Regular" panose="020B0503030103020204" pitchFamily="34" charset="0"/>
            <a:ea typeface="+mn-ea"/>
            <a:cs typeface="+mn-cs"/>
          </a:endParaRPr>
        </a:p>
        <a:p>
          <a:r>
            <a:rPr lang="en-GB" sz="800">
              <a:effectLst/>
              <a:latin typeface="Expert Sans Regular" panose="020B0503030103020204" pitchFamily="34" charset="0"/>
              <a:ea typeface="+mn-ea"/>
              <a:cs typeface="+mn-cs"/>
            </a:rPr>
            <a:t>Barclays Bank Ireland PLC, Milan Branch (BBI, Milan)</a:t>
          </a:r>
          <a:endParaRPr lang="en-US" sz="800">
            <a:effectLst/>
            <a:latin typeface="Expert Sans Regular" panose="020B0503030103020204" pitchFamily="34" charset="0"/>
            <a:ea typeface="+mn-ea"/>
            <a:cs typeface="+mn-cs"/>
          </a:endParaRPr>
        </a:p>
        <a:p>
          <a:r>
            <a:rPr lang="en-GB" sz="800">
              <a:effectLst/>
              <a:latin typeface="Expert Sans Regular" panose="020B0503030103020204" pitchFamily="34" charset="0"/>
              <a:ea typeface="+mn-ea"/>
              <a:cs typeface="+mn-cs"/>
            </a:rPr>
            <a:t>Barclays Securities Japan Limited (BSJL, Japan)</a:t>
          </a:r>
          <a:endParaRPr lang="en-US" sz="800">
            <a:effectLst/>
            <a:latin typeface="Expert Sans Regular" panose="020B0503030103020204" pitchFamily="34" charset="0"/>
            <a:ea typeface="+mn-ea"/>
            <a:cs typeface="+mn-cs"/>
          </a:endParaRPr>
        </a:p>
        <a:p>
          <a:r>
            <a:rPr lang="en-GB" sz="800">
              <a:effectLst/>
              <a:latin typeface="Expert Sans Regular" panose="020B0503030103020204" pitchFamily="34" charset="0"/>
              <a:ea typeface="+mn-ea"/>
              <a:cs typeface="+mn-cs"/>
            </a:rPr>
            <a:t>Barclays Bank PLC, Hong Kong branch (Barclays Bank, Hong Kong)</a:t>
          </a:r>
          <a:endParaRPr lang="en-US" sz="800">
            <a:effectLst/>
            <a:latin typeface="Expert Sans Regular" panose="020B0503030103020204" pitchFamily="34" charset="0"/>
            <a:ea typeface="+mn-ea"/>
            <a:cs typeface="+mn-cs"/>
          </a:endParaRPr>
        </a:p>
        <a:p>
          <a:r>
            <a:rPr lang="en-GB" sz="800">
              <a:effectLst/>
              <a:latin typeface="Expert Sans Regular" panose="020B0503030103020204" pitchFamily="34" charset="0"/>
              <a:ea typeface="+mn-ea"/>
              <a:cs typeface="+mn-cs"/>
            </a:rPr>
            <a:t>Barclays Capital Canada Inc. (BCCI, Canada)</a:t>
          </a:r>
          <a:endParaRPr lang="en-US" sz="800">
            <a:effectLst/>
            <a:latin typeface="Expert Sans Regular" panose="020B0503030103020204" pitchFamily="34" charset="0"/>
            <a:ea typeface="+mn-ea"/>
            <a:cs typeface="+mn-cs"/>
          </a:endParaRPr>
        </a:p>
        <a:p>
          <a:r>
            <a:rPr lang="en-GB" sz="800">
              <a:effectLst/>
              <a:latin typeface="Expert Sans Regular" panose="020B0503030103020204" pitchFamily="34" charset="0"/>
              <a:ea typeface="+mn-ea"/>
              <a:cs typeface="+mn-cs"/>
            </a:rPr>
            <a:t>Barclays Bank Mexico, S.A. (BBMX, Mexico)</a:t>
          </a:r>
          <a:endParaRPr lang="en-US" sz="800">
            <a:effectLst/>
            <a:latin typeface="Expert Sans Regular" panose="020B0503030103020204" pitchFamily="34" charset="0"/>
            <a:ea typeface="+mn-ea"/>
            <a:cs typeface="+mn-cs"/>
          </a:endParaRPr>
        </a:p>
        <a:p>
          <a:r>
            <a:rPr lang="en-GB" sz="800">
              <a:effectLst/>
              <a:latin typeface="Expert Sans Regular" panose="020B0503030103020204" pitchFamily="34" charset="0"/>
              <a:ea typeface="+mn-ea"/>
              <a:cs typeface="+mn-cs"/>
            </a:rPr>
            <a:t>Barclays Securities (India) Private Limited (BSIPL, India)</a:t>
          </a:r>
          <a:endParaRPr lang="en-US" sz="800">
            <a:effectLst/>
            <a:latin typeface="Expert Sans Regular" panose="020B0503030103020204" pitchFamily="34" charset="0"/>
            <a:ea typeface="+mn-ea"/>
            <a:cs typeface="+mn-cs"/>
          </a:endParaRPr>
        </a:p>
        <a:p>
          <a:r>
            <a:rPr lang="en-GB" sz="800">
              <a:effectLst/>
              <a:latin typeface="Expert Sans Regular" panose="020B0503030103020204" pitchFamily="34" charset="0"/>
              <a:ea typeface="+mn-ea"/>
              <a:cs typeface="+mn-cs"/>
            </a:rPr>
            <a:t>Barclays Bank PLC, India branch (Barclays Bank, India)</a:t>
          </a:r>
          <a:endParaRPr lang="en-US" sz="800">
            <a:effectLst/>
            <a:latin typeface="Expert Sans Regular" panose="020B0503030103020204" pitchFamily="34" charset="0"/>
            <a:ea typeface="+mn-ea"/>
            <a:cs typeface="+mn-cs"/>
          </a:endParaRPr>
        </a:p>
        <a:p>
          <a:r>
            <a:rPr lang="en-GB" sz="800">
              <a:effectLst/>
              <a:latin typeface="Expert Sans Regular" panose="020B0503030103020204" pitchFamily="34" charset="0"/>
              <a:ea typeface="+mn-ea"/>
              <a:cs typeface="+mn-cs"/>
            </a:rPr>
            <a:t>Barclays Bank PLC, Singapore branch (Barclays Bank, Singapore)</a:t>
          </a:r>
          <a:endParaRPr lang="en-US" sz="800">
            <a:effectLst/>
            <a:latin typeface="Expert Sans Regular" panose="020B0503030103020204" pitchFamily="34" charset="0"/>
            <a:ea typeface="+mn-ea"/>
            <a:cs typeface="+mn-cs"/>
          </a:endParaRPr>
        </a:p>
        <a:p>
          <a:r>
            <a:rPr lang="en-GB" sz="800">
              <a:effectLst/>
              <a:latin typeface="Expert Sans Regular" panose="020B0503030103020204" pitchFamily="34" charset="0"/>
              <a:ea typeface="+mn-ea"/>
              <a:cs typeface="+mn-cs"/>
            </a:rPr>
            <a:t>Barclays Bank PLC, DIFC Branch (Barclays Bank, DIFC)</a:t>
          </a:r>
          <a:endParaRPr lang="en-US" sz="800">
            <a:effectLst/>
            <a:latin typeface="Expert Sans Regular" panose="020B0503030103020204" pitchFamily="34" charset="0"/>
            <a:ea typeface="+mn-ea"/>
            <a:cs typeface="+mn-cs"/>
          </a:endParaRPr>
        </a:p>
        <a:p>
          <a:r>
            <a:rPr lang="en-GB" sz="800">
              <a:effectLst/>
              <a:latin typeface="Expert Sans Regular" panose="020B0503030103020204" pitchFamily="34" charset="0"/>
              <a:ea typeface="+mn-ea"/>
              <a:cs typeface="+mn-cs"/>
            </a:rPr>
            <a:t> </a:t>
          </a:r>
          <a:endParaRPr lang="en-US" sz="800">
            <a:effectLst/>
            <a:latin typeface="Expert Sans Regular" panose="020B0503030103020204" pitchFamily="34" charset="0"/>
            <a:ea typeface="+mn-ea"/>
            <a:cs typeface="+mn-cs"/>
          </a:endParaRPr>
        </a:p>
        <a:p>
          <a:r>
            <a:rPr lang="en-GB" sz="800" b="1">
              <a:effectLst/>
              <a:latin typeface="Expert Sans Regular" panose="020B0503030103020204" pitchFamily="34" charset="0"/>
              <a:ea typeface="+mn-ea"/>
              <a:cs typeface="+mn-cs"/>
            </a:rPr>
            <a:t>Disclaimer:</a:t>
          </a:r>
          <a:endParaRPr lang="en-US" sz="800">
            <a:effectLst/>
            <a:latin typeface="Expert Sans Regular" panose="020B0503030103020204" pitchFamily="34" charset="0"/>
            <a:ea typeface="+mn-ea"/>
            <a:cs typeface="+mn-cs"/>
          </a:endParaRPr>
        </a:p>
        <a:p>
          <a:r>
            <a:rPr lang="en-GB" sz="800">
              <a:effectLst/>
              <a:latin typeface="Expert Sans Regular" panose="020B0503030103020204" pitchFamily="34" charset="0"/>
              <a:ea typeface="+mn-ea"/>
              <a:cs typeface="+mn-cs"/>
            </a:rPr>
            <a:t>This publication has been produced by Barclays Research Department in the Investment Bank of Barclays Bank PLC and/or one or more of its affiliates (collectively and each individually, "Barclays").  It has been prepared for institutional investors and not for retail investors.  It has been distributed by one or more Barclays affiliated legal entities listed below. It is provided to our clients for information purposes only, and Barclays makes no express or implied warranties, and expressly disclaims all warranties of merchantability or fitness for a particular purpose or use with respect to any data included in this publication. To the extent that this publication states on the front page that it is intended for institutional investors and is not subject to all of the independence and disclosure standards applicable to debt research reports prepared for retail investors under U.S. FINRA Rule 2242, it is an “institutional debt research report” and distribution to retail investors is strictly prohibited. Barclays also distributes such institutional debt research reports to various issuers, media, regulatory and academic organisations for their own internal informational news gathering, regulatory or academic purposes and not for the purpose of making investment decisions regarding any debt securities. Media organisations are prohibited from re-publishing any opinion or recommendation concerning a debt issuer or debt security contained in any Barclays institutional debt research report. Any such recipients that do not want to continue receiving Barclays institutional debt research reports should contact debtresearch@barclays.com. Clients that are subscribed to receive equity research reports, will not receive certain cross asset research reports co-authored by equity and FICC research analysts that are distributed as “institutional debt research reports” unless they have agreed to accept such reports. Eligible clients may get access to such cross asset reports by contacting debtresearch@barclays.com. Barclays will not treat unauthorized recipients of this report as its clients and accepts no liability for use by them of the contents which may not be suitable for their personal use. Prices shown are indicative and Barclays is not offering to buy or sell or soliciting offers to buy or sell any financial instrument.</a:t>
          </a:r>
          <a:endParaRPr lang="en-US" sz="800">
            <a:effectLst/>
            <a:latin typeface="Expert Sans Regular" panose="020B0503030103020204" pitchFamily="34" charset="0"/>
            <a:ea typeface="+mn-ea"/>
            <a:cs typeface="+mn-cs"/>
          </a:endParaRPr>
        </a:p>
        <a:p>
          <a:r>
            <a:rPr lang="en-GB" sz="800">
              <a:effectLst/>
              <a:latin typeface="Expert Sans Regular" panose="020B0503030103020204" pitchFamily="34" charset="0"/>
              <a:ea typeface="+mn-ea"/>
              <a:cs typeface="+mn-cs"/>
            </a:rPr>
            <a:t>Without limiting any of the foregoing and to the extent permitted by law, in no event shall Barclays, nor any affiliate, nor any of their respective officers, directors, partners, or employees have any liability for (a) any special, punitive, indirect, or consequential damages; or (b) any lost profits, lost revenue, loss of anticipated savings or loss of opportunity or other financial loss, even if notified of the possibility of such damages, arising from any use of this publication or its contents.</a:t>
          </a:r>
          <a:endParaRPr lang="en-US" sz="800">
            <a:effectLst/>
            <a:latin typeface="Expert Sans Regular" panose="020B0503030103020204" pitchFamily="34" charset="0"/>
            <a:ea typeface="+mn-ea"/>
            <a:cs typeface="+mn-cs"/>
          </a:endParaRPr>
        </a:p>
        <a:p>
          <a:r>
            <a:rPr lang="en-GB" sz="800">
              <a:effectLst/>
              <a:latin typeface="Expert Sans Regular" panose="020B0503030103020204" pitchFamily="34" charset="0"/>
              <a:ea typeface="+mn-ea"/>
              <a:cs typeface="+mn-cs"/>
            </a:rPr>
            <a:t>Other than disclosures relating to Barclays, the information contained in this publication has been obtained from sources that Barclays Research believes to be reliable, but Barclays does not represent or warrant that it is accurate or complete. Barclays is not responsible for, and makes no warranties whatsoever as to, the information or opinions contained in any written, electronic, audio or video presentations of third parties that are accessible via a direct hyperlink in this publication or via a hyperlink to a third-party web site (‘Third-Party Content’). Any such Third-Party Content has not been adopted or endorsed by Barclays, does not represent the views or opinions of Barclays, and is not incorporated by reference into this publication. Third-Party Content is provided for information purposes only and Barclays has not independently verified its accuracy or completeness.</a:t>
          </a:r>
          <a:endParaRPr lang="en-US" sz="800">
            <a:effectLst/>
            <a:latin typeface="Expert Sans Regular" panose="020B0503030103020204" pitchFamily="34" charset="0"/>
            <a:ea typeface="+mn-ea"/>
            <a:cs typeface="+mn-cs"/>
          </a:endParaRPr>
        </a:p>
        <a:p>
          <a:r>
            <a:rPr lang="en-GB" sz="800">
              <a:effectLst/>
              <a:latin typeface="Expert Sans Regular" panose="020B0503030103020204" pitchFamily="34" charset="0"/>
              <a:ea typeface="+mn-ea"/>
              <a:cs typeface="+mn-cs"/>
            </a:rPr>
            <a:t>The views in this publication are solely and exclusively those of the authoring analyst(s) and are subject to change, and Barclays Research has no obligation to update its opinions or the information in this publication. Unless otherwise disclosed herein, the analysts who authored this report have not received any compensation from the subject companies in the past 12 months. If this publication contains recommendations, they are general recommendations that were prepared independently of any other interests, including those of Barclays and/or its affiliates, and/or the subject companies. This publication does not contain personal investment recommendations or investment advice or take into account the individual financial circumstances or investment objectives of the clients who receive it. The securities and other investments discussed herein may not be suitable for all investors. Barclays is not a fiduciary to any recipient of this publication. Investors must independently evaluate the merits and risks of the investments discussed herein, consult any independent advisors they believe necessary, and exercise independent judgment with regard to any investment decision. The value of and income from any investment may fluctuate from day to day as a result of changes in relevant economic markets (including changes in market liquidity). The information herein is not intended to predict actual results, which may differ substantially from those reflected. Past performance is not necessarily indicative of future results. The information provided does not constitute a financial benchmark and should not be used as a submission or contribution of input data for the purposes of determining a financial benchmark.</a:t>
          </a:r>
          <a:endParaRPr lang="en-US" sz="800">
            <a:effectLst/>
            <a:latin typeface="Expert Sans Regular" panose="020B0503030103020204" pitchFamily="34" charset="0"/>
            <a:ea typeface="+mn-ea"/>
            <a:cs typeface="+mn-cs"/>
          </a:endParaRPr>
        </a:p>
        <a:p>
          <a:r>
            <a:rPr lang="en-GB" sz="800" b="1">
              <a:effectLst/>
              <a:latin typeface="Expert Sans Regular" panose="020B0503030103020204" pitchFamily="34" charset="0"/>
              <a:ea typeface="+mn-ea"/>
              <a:cs typeface="+mn-cs"/>
            </a:rPr>
            <a:t>United Kingdom:</a:t>
          </a:r>
          <a:r>
            <a:rPr lang="en-GB" sz="800">
              <a:effectLst/>
              <a:latin typeface="Expert Sans Regular" panose="020B0503030103020204" pitchFamily="34" charset="0"/>
              <a:ea typeface="+mn-ea"/>
              <a:cs typeface="+mn-cs"/>
            </a:rPr>
            <a:t>  This document is being distributed (1) only by or with the approval of an authorised person (Barclays Bank PLC) or (2) to, and is directed at (a) persons in the United Kingdom having professional experience in matters relating to investments and who fall within the definition of "investment professionals" in Article 19(5) of the Financial Services and Markets Act 2000 (Financial Promotion) Order 2005 (the "Order"); or (b) high net worth companies, unincorporated associations and partnerships and trustees of high value trusts as described in Article 49(2) of the Order; or (c) other persons to whom it may otherwise lawfully be communicated (all such persons being "Relevant Persons"). Any investment or investment activity to which this communication relates is only available to and will only be engaged in with Relevant Persons. Any other persons who receive this communication should not rely on or act upon it. Barclays Bank PLC is authorised by the Prudential Regulation Authority and regulated by the Financial Conduct Authority and the Prudential Regulation Authority and is a member of the London Stock Exchange.</a:t>
          </a:r>
          <a:endParaRPr lang="en-US" sz="800">
            <a:effectLst/>
            <a:latin typeface="Expert Sans Regular" panose="020B0503030103020204" pitchFamily="34" charset="0"/>
            <a:ea typeface="+mn-ea"/>
            <a:cs typeface="+mn-cs"/>
          </a:endParaRPr>
        </a:p>
        <a:p>
          <a:r>
            <a:rPr lang="en-GB" sz="800" b="1">
              <a:effectLst/>
              <a:latin typeface="Expert Sans Regular" panose="020B0503030103020204" pitchFamily="34" charset="0"/>
              <a:ea typeface="+mn-ea"/>
              <a:cs typeface="+mn-cs"/>
            </a:rPr>
            <a:t>European Economic Area (“EEA”):</a:t>
          </a:r>
          <a:r>
            <a:rPr lang="en-GB" sz="800">
              <a:effectLst/>
              <a:latin typeface="Expert Sans Regular" panose="020B0503030103020204" pitchFamily="34" charset="0"/>
              <a:ea typeface="+mn-ea"/>
              <a:cs typeface="+mn-cs"/>
            </a:rPr>
            <a:t>  This material is being distributed in the EEA by Barclays Bank PLC. Barclays Bank PLC is not registered in France with the Autorité des marchés financiers or the Autorité de contrôle prudentiel. </a:t>
          </a:r>
          <a:endParaRPr lang="en-US" sz="800">
            <a:effectLst/>
            <a:latin typeface="Expert Sans Regular" panose="020B0503030103020204" pitchFamily="34" charset="0"/>
            <a:ea typeface="+mn-ea"/>
            <a:cs typeface="+mn-cs"/>
          </a:endParaRPr>
        </a:p>
        <a:p>
          <a:r>
            <a:rPr lang="en-GB" sz="800" b="1">
              <a:effectLst/>
              <a:latin typeface="Expert Sans Regular" panose="020B0503030103020204" pitchFamily="34" charset="0"/>
              <a:ea typeface="+mn-ea"/>
              <a:cs typeface="+mn-cs"/>
            </a:rPr>
            <a:t>Americas:</a:t>
          </a:r>
          <a:r>
            <a:rPr lang="en-GB" sz="800">
              <a:effectLst/>
              <a:latin typeface="Expert Sans Regular" panose="020B0503030103020204" pitchFamily="34" charset="0"/>
              <a:ea typeface="+mn-ea"/>
              <a:cs typeface="+mn-cs"/>
            </a:rPr>
            <a:t>  The Investment Bank of Barclays Bank PLC undertakes U.S. securities business in the name of its wholly owned subsidiary Barclays Capital Inc., a FINRA and SIPC member. Barclays Capital Inc., a U.S. registered broker/dealer, is distributing this material in the United States and, in connection therewith accepts responsibility for its contents. Any U.S. person wishing to effect a transaction in any security discussed herein should do so only by contacting a representative of Barclays Capital Inc. in the U.S. at 745 Seventh Avenue, New York, New York 10019.</a:t>
          </a:r>
          <a:endParaRPr lang="en-US" sz="800">
            <a:effectLst/>
            <a:latin typeface="Expert Sans Regular" panose="020B0503030103020204" pitchFamily="34" charset="0"/>
            <a:ea typeface="+mn-ea"/>
            <a:cs typeface="+mn-cs"/>
          </a:endParaRPr>
        </a:p>
        <a:p>
          <a:r>
            <a:rPr lang="en-GB" sz="800">
              <a:effectLst/>
              <a:latin typeface="Expert Sans Regular" panose="020B0503030103020204" pitchFamily="34" charset="0"/>
              <a:ea typeface="+mn-ea"/>
              <a:cs typeface="+mn-cs"/>
            </a:rPr>
            <a:t>Non-U.S. persons should contact and execute transactions through a Barclays Bank PLC branch or affiliate in their home jurisdiction unless local regulations permit otherwise.</a:t>
          </a:r>
          <a:endParaRPr lang="en-US" sz="800">
            <a:effectLst/>
            <a:latin typeface="Expert Sans Regular" panose="020B0503030103020204" pitchFamily="34" charset="0"/>
            <a:ea typeface="+mn-ea"/>
            <a:cs typeface="+mn-cs"/>
          </a:endParaRPr>
        </a:p>
        <a:p>
          <a:r>
            <a:rPr lang="en-GB" sz="800">
              <a:effectLst/>
              <a:latin typeface="Expert Sans Regular" panose="020B0503030103020204" pitchFamily="34" charset="0"/>
              <a:ea typeface="+mn-ea"/>
              <a:cs typeface="+mn-cs"/>
            </a:rPr>
            <a:t>This material is distributed in Canada by Barclays Capital Canada Inc., a registered investment dealer, a Dealer Member of IIROC (www.iiroc.ca), and a Member of the Canadian Investor Protection Fund (CIPF). </a:t>
          </a:r>
          <a:endParaRPr lang="en-US" sz="800">
            <a:effectLst/>
            <a:latin typeface="Expert Sans Regular" panose="020B0503030103020204" pitchFamily="34" charset="0"/>
            <a:ea typeface="+mn-ea"/>
            <a:cs typeface="+mn-cs"/>
          </a:endParaRPr>
        </a:p>
        <a:p>
          <a:r>
            <a:rPr lang="en-GB" sz="800">
              <a:effectLst/>
              <a:latin typeface="Expert Sans Regular" panose="020B0503030103020204" pitchFamily="34" charset="0"/>
              <a:ea typeface="+mn-ea"/>
              <a:cs typeface="+mn-cs"/>
            </a:rPr>
            <a:t>This material is distributed in Mexico by Barclays Bank Mexico, S.A.</a:t>
          </a:r>
          <a:endParaRPr lang="en-US" sz="800">
            <a:effectLst/>
            <a:latin typeface="Expert Sans Regular" panose="020B0503030103020204" pitchFamily="34" charset="0"/>
            <a:ea typeface="+mn-ea"/>
            <a:cs typeface="+mn-cs"/>
          </a:endParaRPr>
        </a:p>
        <a:p>
          <a:r>
            <a:rPr lang="en-GB" sz="800" b="1">
              <a:effectLst/>
              <a:latin typeface="Expert Sans Regular" panose="020B0503030103020204" pitchFamily="34" charset="0"/>
              <a:ea typeface="+mn-ea"/>
              <a:cs typeface="+mn-cs"/>
            </a:rPr>
            <a:t>Japan:</a:t>
          </a:r>
          <a:r>
            <a:rPr lang="en-GB" sz="800">
              <a:effectLst/>
              <a:latin typeface="Expert Sans Regular" panose="020B0503030103020204" pitchFamily="34" charset="0"/>
              <a:ea typeface="+mn-ea"/>
              <a:cs typeface="+mn-cs"/>
            </a:rPr>
            <a:t>  This material is being distributed to institutional investors in Japan by Barclays Securities Japan Limited. Barclays Securities Japan Limited is a joint-stock company incorporated in Japan with registered office of 6-10-1 Roppongi, Minato-ku, Tokyo 106-6131, Japan. It is a subsidiary of Barclays Bank PLC and a registered financial instruments firm regulated by the Financial Services Agency of Japan. Registered Number: Kanto Zaimukyokucho (kinsho) No. 143.</a:t>
          </a:r>
          <a:endParaRPr lang="en-US" sz="800">
            <a:effectLst/>
            <a:latin typeface="Expert Sans Regular" panose="020B0503030103020204" pitchFamily="34" charset="0"/>
            <a:ea typeface="+mn-ea"/>
            <a:cs typeface="+mn-cs"/>
          </a:endParaRPr>
        </a:p>
        <a:p>
          <a:r>
            <a:rPr lang="en-GB" sz="800" b="1">
              <a:effectLst/>
              <a:latin typeface="Expert Sans Regular" panose="020B0503030103020204" pitchFamily="34" charset="0"/>
              <a:ea typeface="+mn-ea"/>
              <a:cs typeface="+mn-cs"/>
            </a:rPr>
            <a:t>Asia Pacific (excluding Japan):</a:t>
          </a:r>
          <a:r>
            <a:rPr lang="en-GB" sz="800">
              <a:effectLst/>
              <a:latin typeface="Expert Sans Regular" panose="020B0503030103020204" pitchFamily="34" charset="0"/>
              <a:ea typeface="+mn-ea"/>
              <a:cs typeface="+mn-cs"/>
            </a:rPr>
            <a:t>  Barclays Bank PLC, Hong Kong Branch is distributing this material in Hong Kong as an authorised institution regulated by the Hong Kong Monetary Authority. Registered Office: 41/F, Cheung Kong Center, 2 Queen's Road Central, Hong Kong.</a:t>
          </a:r>
          <a:endParaRPr lang="en-US" sz="800">
            <a:effectLst/>
            <a:latin typeface="Expert Sans Regular" panose="020B0503030103020204" pitchFamily="34" charset="0"/>
            <a:ea typeface="+mn-ea"/>
            <a:cs typeface="+mn-cs"/>
          </a:endParaRPr>
        </a:p>
        <a:p>
          <a:r>
            <a:rPr lang="en-GB" sz="800">
              <a:effectLst/>
              <a:latin typeface="Expert Sans Regular" panose="020B0503030103020204" pitchFamily="34" charset="0"/>
              <a:ea typeface="+mn-ea"/>
              <a:cs typeface="+mn-cs"/>
            </a:rPr>
            <a:t>All Indian securities-related research and other equity research produced by Barclays’ Investment Bank are distributed in India by Barclays Securities (India) Private Limited (BSIPL). BSIPL is a company incorporated under the Companies Act, 1956 having CIN U67120MH2006PTC161063. BSIPL is registered and regulated by the Securities and Exchange Board of India (SEBI) as a Research Analyst: INH000001519; Portfolio Manager INP000002585; Stock Broker/Trading and Clearing Member: National Stock Exchange of India Limited (NSE) Capital Market INB231292732, NSE Futures &amp; Options INF231292732, NSE Currency derivatives INE231450334, Bombay Stock Exchange Limited (BSE) Capital Market INB011292738, BSE Futures &amp; Options INF011292738; Depository Participant (DP) with the National Securities &amp; Depositories Limited (NSDL): DP ID: IN-DP-NSDL-299-2008; Investment Adviser: INA000000391. The registered office of BSIPL is at 208, Ceejay House, Shivsagar Estate, Dr. A. Besant Road, Worli, Mumbai – 400 018, India. Telephone No: +91 2267196000. Fax number: +91 22 67196100. Any other reports produced by Barclays’ Investment Bank are distributed in India by Barclays Bank PLC, India Branch, an associate of BSIPL in India that is registered with Reserve Bank of India (RBI) as a Banking Company under the provisions of The Banking Regulation Act, 1949 (Regn No BOM43) and registered with SEBI as Merchant Banker (Regn No INM000002129) and also as Banker to the Issue (Regn No INBI00000950). Barclays Investments and Loans (India) Limited, registered with RBI as Non Banking Financial Company (Regn No RBI CoR-07-00258), and Barclays Wealth Trustees (India) Private Limited, registered with Registrar of Companies (CIN U93000MH2008PTC188438), are associates of BSIPL in India that are not authorised to distribute any reports produced by Barclays’ Investment Bank.</a:t>
          </a:r>
          <a:endParaRPr lang="en-US" sz="800">
            <a:effectLst/>
            <a:latin typeface="Expert Sans Regular" panose="020B0503030103020204" pitchFamily="34" charset="0"/>
            <a:ea typeface="+mn-ea"/>
            <a:cs typeface="+mn-cs"/>
          </a:endParaRPr>
        </a:p>
        <a:p>
          <a:r>
            <a:rPr lang="en-GB" sz="800">
              <a:effectLst/>
              <a:latin typeface="Expert Sans Regular" panose="020B0503030103020204" pitchFamily="34" charset="0"/>
              <a:ea typeface="+mn-ea"/>
              <a:cs typeface="+mn-cs"/>
            </a:rPr>
            <a:t>This material is distributed in Singapore by the Singapore branch of Barclays Bank PLC, a bank licensed in Singapore by the Monetary Authority of Singapore. For matters in connection with this material, recipients in Singapore may contact the Singapore branch of Barclays Bank PLC, whose registered address is 10 Marina Boulevard, #23-01 Marina Bay Financial Centre Tower 2, Singapore 018983.</a:t>
          </a:r>
          <a:endParaRPr lang="en-US" sz="800">
            <a:effectLst/>
            <a:latin typeface="Expert Sans Regular" panose="020B0503030103020204" pitchFamily="34" charset="0"/>
            <a:ea typeface="+mn-ea"/>
            <a:cs typeface="+mn-cs"/>
          </a:endParaRPr>
        </a:p>
        <a:p>
          <a:r>
            <a:rPr lang="en-GB" sz="800">
              <a:effectLst/>
              <a:latin typeface="Expert Sans Regular" panose="020B0503030103020204" pitchFamily="34" charset="0"/>
              <a:ea typeface="+mn-ea"/>
              <a:cs typeface="+mn-cs"/>
            </a:rPr>
            <a:t>This material is distributed to persons in Australia by Barclays Bank PLC. None of Barclays Bank PLC, nor any other Barclays group entity, holds an Australian financial services licence and instead relies on an exemption from the requirement to hold such a licence. This material is intended to only be distributed to “wholesale clients” as defined by the Australian Corporations Act 2001.</a:t>
          </a:r>
          <a:endParaRPr lang="en-US" sz="800">
            <a:effectLst/>
            <a:latin typeface="Expert Sans Regular" panose="020B0503030103020204" pitchFamily="34" charset="0"/>
            <a:ea typeface="+mn-ea"/>
            <a:cs typeface="+mn-cs"/>
          </a:endParaRPr>
        </a:p>
        <a:p>
          <a:r>
            <a:rPr lang="en-GB" sz="800" b="1">
              <a:effectLst/>
              <a:latin typeface="Expert Sans Regular" panose="020B0503030103020204" pitchFamily="34" charset="0"/>
              <a:ea typeface="+mn-ea"/>
              <a:cs typeface="+mn-cs"/>
            </a:rPr>
            <a:t>Middle East:</a:t>
          </a:r>
          <a:r>
            <a:rPr lang="en-GB" sz="800">
              <a:effectLst/>
              <a:latin typeface="Expert Sans Regular" panose="020B0503030103020204" pitchFamily="34" charset="0"/>
              <a:ea typeface="+mn-ea"/>
              <a:cs typeface="+mn-cs"/>
            </a:rPr>
            <a:t>  Nothing herein should be considered investment advice as defined in the Israeli Regulation of Investment Advisory, Investment Marketing and Portfolio Management Law, 1995 (“Advisory Law”). This document is being made to eligible clients (as defined under the Advisory Law) only. Barclays Israeli branch previously held an investment marketing license with the Israel Securities Authority but it cancelled such license on 30/11/2014 as it solely provides its services to eligible clients pursuant to available exemptions under the Advisory Law, therefore a license with the Israel Securities Authority is not required. Accordingly, Barclays does not maintain an insurance coverage pursuant to the Advisory Law.</a:t>
          </a:r>
          <a:endParaRPr lang="en-US" sz="800">
            <a:effectLst/>
            <a:latin typeface="Expert Sans Regular" panose="020B0503030103020204" pitchFamily="34" charset="0"/>
            <a:ea typeface="+mn-ea"/>
            <a:cs typeface="+mn-cs"/>
          </a:endParaRPr>
        </a:p>
        <a:p>
          <a:r>
            <a:rPr lang="en-GB" sz="800">
              <a:effectLst/>
              <a:latin typeface="Expert Sans Regular" panose="020B0503030103020204" pitchFamily="34" charset="0"/>
              <a:ea typeface="+mn-ea"/>
              <a:cs typeface="+mn-cs"/>
            </a:rPr>
            <a:t>This material is distributed in the United Arab Emirates (including the Dubai International Financial Centre) and Qatar by Barclays Bank PLC. Barclays Bank PLC in the Dubai International Financial Centre (Registered No. 0060) is regulated by the Dubai Financial Services Authority (DFSA). Principal place of business in the Dubai International Financial Centre: The Gate Village, Building 4, Level 4, PO Box 506504, Dubai, United Arab Emirates. Barclays Bank PLC-DIFC Branch, may only undertake the financial services activities that fall within the scope of its existing DFSA licence. Related financial products or services are only available to Professional Clients, as defined by the Dubai Financial Services Authority. Barclays Bank PLC in the UAE is regulated by the Central Bank of the UAE and is licensed to conduct business activities as a branch of a commercial bank incorporated outside the UAE in Dubai (Licence No.: 13/1844/2008, Registered Office: Building No. 6, Burj Dubai Business Hub, Sheikh Zayed Road, Dubai City) and Abu Dhabi (Licence No.: 13/952/2008, Registered Office: Al Jazira Towers, Hamdan Street, PO Box 2734, Abu Dhabi). Barclays Bank PLC in the Qatar Financial Centre (Registered No. 00018) is authorised by the Qatar Financial Centre Regulatory Authority (QFCRA). Barclays Bank PLC-QFC Branch may only undertake the regulated activities that fall within the scope of its existing QFCRA licence. Principal place of business in Qatar: Qatar Financial Centre, Office 1002, 10th Floor, QFC Tower, Diplomatic Area, West Bay, PO Box 15891, Doha, Qatar. Related financial products or services are only available to Business Customers as defined by the Qatar Financial Centre Regulatory Authority.</a:t>
          </a:r>
          <a:endParaRPr lang="en-US" sz="800">
            <a:effectLst/>
            <a:latin typeface="Expert Sans Regular" panose="020B0503030103020204" pitchFamily="34" charset="0"/>
            <a:ea typeface="+mn-ea"/>
            <a:cs typeface="+mn-cs"/>
          </a:endParaRPr>
        </a:p>
        <a:p>
          <a:r>
            <a:rPr lang="en-GB" sz="800" b="1">
              <a:effectLst/>
              <a:latin typeface="Expert Sans Regular" panose="020B0503030103020204" pitchFamily="34" charset="0"/>
              <a:ea typeface="+mn-ea"/>
              <a:cs typeface="+mn-cs"/>
            </a:rPr>
            <a:t>Russia:</a:t>
          </a:r>
          <a:r>
            <a:rPr lang="en-GB" sz="800">
              <a:effectLst/>
              <a:latin typeface="Expert Sans Regular" panose="020B0503030103020204" pitchFamily="34" charset="0"/>
              <a:ea typeface="+mn-ea"/>
              <a:cs typeface="+mn-cs"/>
            </a:rPr>
            <a:t>  This material is not intended for investors who are not Qualified Investors according to the laws of the Russian Federation as it might contain information about or description of the features of financial instruments not admitted for public offering and/or circulation in the Russian Federation and thus not eligible for non-Qualified Investors. If you are not a Qualified Investor according to the laws of the Russian Federation, please dispose of any copy of this material in your possession.</a:t>
          </a:r>
          <a:endParaRPr lang="en-US" sz="800">
            <a:effectLst/>
            <a:latin typeface="Expert Sans Regular" panose="020B0503030103020204" pitchFamily="34" charset="0"/>
            <a:ea typeface="+mn-ea"/>
            <a:cs typeface="+mn-cs"/>
          </a:endParaRPr>
        </a:p>
        <a:p>
          <a:r>
            <a:rPr lang="en-GB" sz="800" b="1">
              <a:effectLst/>
              <a:latin typeface="Expert Sans Regular" panose="020B0503030103020204" pitchFamily="34" charset="0"/>
              <a:ea typeface="+mn-ea"/>
              <a:cs typeface="+mn-cs"/>
            </a:rPr>
            <a:t>IRS Circular 230 Prepared Materials Disclaimer:</a:t>
          </a:r>
          <a:r>
            <a:rPr lang="en-GB" sz="800">
              <a:effectLst/>
              <a:latin typeface="Expert Sans Regular" panose="020B0503030103020204" pitchFamily="34" charset="0"/>
              <a:ea typeface="+mn-ea"/>
              <a:cs typeface="+mn-cs"/>
            </a:rPr>
            <a:t> Barclays does not provide tax advice and nothing contained herein should be construed to be tax advice. Please be advised that any discussion of U.S. tax matters contained herein (including any attachments) (i) is not intended or written to be used, and cannot be used, by you for the purpose of avoiding U.S. tax-related penalties; and (ii) was written to support the promotion or marketing of the transactions or other matters addressed herein. Accordingly, you should seek advice based on your particular circumstances from an independent tax advisor.</a:t>
          </a:r>
          <a:endParaRPr lang="en-US" sz="800">
            <a:effectLst/>
            <a:latin typeface="Expert Sans Regular" panose="020B0503030103020204" pitchFamily="34" charset="0"/>
            <a:ea typeface="+mn-ea"/>
            <a:cs typeface="+mn-cs"/>
          </a:endParaRPr>
        </a:p>
        <a:p>
          <a:r>
            <a:rPr lang="en-GB" sz="800">
              <a:effectLst/>
              <a:latin typeface="Expert Sans Regular" panose="020B0503030103020204" pitchFamily="34" charset="0"/>
              <a:ea typeface="+mn-ea"/>
              <a:cs typeface="+mn-cs"/>
            </a:rPr>
            <a:t>© Copyright Barclays Bank PLC (2019). All rights reserved. No part of this publication may be reproduced or redistributed in any manner without the prior written permission of Barclays. Barclays Bank PLC is registered in England No. 1026167. Registered office 1 Churchill Place, London, E14 5HP. Additional information regarding this publication will be furnished upon request.</a:t>
          </a:r>
          <a:endParaRPr lang="en-US" sz="800">
            <a:effectLst/>
            <a:latin typeface="Expert Sans Regular" panose="020B0503030103020204" pitchFamily="34" charset="0"/>
            <a:ea typeface="+mn-ea"/>
            <a:cs typeface="+mn-cs"/>
          </a:endParaRPr>
        </a:p>
        <a:p>
          <a:r>
            <a:rPr lang="en-US" sz="800">
              <a:effectLst/>
              <a:latin typeface="+mj-lt"/>
              <a:ea typeface="+mn-ea"/>
              <a:cs typeface="+mn-cs"/>
            </a:rPr>
            <a:t> </a:t>
          </a:r>
          <a:r>
            <a:rPr lang="en-US" sz="800" smtClean="0">
              <a:latin typeface="+mj-lt"/>
              <a:ea typeface="+mn-ea"/>
              <a:cs typeface="+mn-cs"/>
            </a:rPr>
            <a:t>US35960</a:t>
          </a:r>
          <a:endParaRPr lang="en-US" sz="800">
            <a:latin typeface="+mj-lt"/>
            <a:ea typeface="+mn-ea"/>
            <a:cs typeface="+mn-cs"/>
          </a:endParaRPr>
        </a:p>
        <a:p>
          <a:endParaRPr lang="en-US" sz="800">
            <a:latin typeface="Expert Sans Regular" pitchFamily="34" charset="0"/>
            <a:ea typeface="+mn-ea"/>
            <a:cs typeface="+mn-cs"/>
          </a:endParaRPr>
        </a:p>
        <a:p>
          <a:r>
            <a:rPr lang="en-GB" sz="800">
              <a:latin typeface="Expert Sans Regular" pitchFamily="34" charset="0"/>
              <a:ea typeface="+mn-ea"/>
              <a:cs typeface="+mn-cs"/>
            </a:rPr>
            <a:t>BRCF2242</a:t>
          </a:r>
          <a:endParaRPr lang="en-US" sz="800">
            <a:latin typeface="Expert Sans Regular" pitchFamily="34" charset="0"/>
            <a:ea typeface="+mn-ea"/>
            <a:cs typeface="+mn-cs"/>
          </a:endParaRPr>
        </a:p>
        <a:p>
          <a:endParaRPr lang="en-US" sz="800">
            <a:latin typeface="Expert Sans Regular" pitchFamily="34" charset="0"/>
            <a:ea typeface="+mn-ea"/>
            <a:cs typeface="+mn-cs"/>
          </a:endParaRPr>
        </a:p>
        <a:p>
          <a:endParaRPr lang="en-GB" sz="800">
            <a:latin typeface="Expert Sans Regular" pitchFamily="34" charset="0"/>
            <a:ea typeface="+mn-ea"/>
            <a:cs typeface="+mn-cs"/>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Retail\Models\Wendy'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Retail\Models\Yum!.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Retail\Models\Safeway.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Retail\Models\CV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Retail\Models\Walgreen.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Nyk\mkts\Cred\InvestmentGradeResearch\New%20Reza%20Files\Rezav\Food&amp;Bev\B&amp;G%20Foods\B&amp;G%20Food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ntranet.barcapint.com\dfs-amer\New%20Reza%20Files\Rezav\Food&amp;Bev\Cott\Cott.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Ldn\Mkts\cred\INDEXPRODUCTSPRIV\Structured%20Indices\Fixed%20Income\Short-Vol\USD%20Short-Vol%20Strategy%20(Charles)%20V2%20-%20Light%20version%20(Delta,%20selection%20lagged,%20pin%20risk)%20TEST.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Retail\Models\Neiman%20Marcu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
      <sheetName val="Model"/>
      <sheetName val="Model Aug5.08"/>
      <sheetName val="Sheet1 - 5-8-08"/>
      <sheetName val="Sheet1 - Apr 4"/>
      <sheetName val="Sheet1 (2)"/>
      <sheetName val="Sheet1 pre-10k"/>
      <sheetName val="Sheet1 (3)"/>
      <sheetName val="Historical"/>
      <sheetName val="M&amp;A Local"/>
      <sheetName val="LBO (2)"/>
      <sheetName val="all stock TRY"/>
      <sheetName val="TRY WEN (2)"/>
      <sheetName val="LBO"/>
      <sheetName val="Sheet1"/>
      <sheetName val="2002"/>
      <sheetName val="TRY YUM WEN"/>
    </sheetNames>
    <sheetDataSet>
      <sheetData sheetId="0"/>
      <sheetData sheetId="1"/>
      <sheetData sheetId="2"/>
      <sheetData sheetId="3"/>
      <sheetData sheetId="4"/>
      <sheetData sheetId="5"/>
      <sheetData sheetId="6"/>
      <sheetData sheetId="7"/>
      <sheetData sheetId="8"/>
      <sheetData sheetId="9">
        <row r="5">
          <cell r="E5" t="str">
            <v>TRY US Equity</v>
          </cell>
        </row>
        <row r="6">
          <cell r="E6" t="str">
            <v>WEN US Equity</v>
          </cell>
        </row>
        <row r="7">
          <cell r="E7">
            <v>1</v>
          </cell>
        </row>
        <row r="11">
          <cell r="E11">
            <v>739.33</v>
          </cell>
        </row>
        <row r="12">
          <cell r="E12">
            <v>78.12</v>
          </cell>
        </row>
        <row r="13">
          <cell r="E13">
            <v>398</v>
          </cell>
        </row>
        <row r="14">
          <cell r="E14">
            <v>73.06</v>
          </cell>
        </row>
        <row r="18">
          <cell r="E18">
            <v>1890.0509999999999</v>
          </cell>
        </row>
        <row r="19">
          <cell r="E19">
            <v>569.61</v>
          </cell>
        </row>
        <row r="20">
          <cell r="E20">
            <v>211.2</v>
          </cell>
        </row>
        <row r="21">
          <cell r="E21">
            <v>271</v>
          </cell>
        </row>
        <row r="22">
          <cell r="E22">
            <v>89.74</v>
          </cell>
        </row>
        <row r="28">
          <cell r="C28">
            <v>0</v>
          </cell>
        </row>
        <row r="29">
          <cell r="C29">
            <v>0.1</v>
          </cell>
        </row>
        <row r="30">
          <cell r="C30">
            <v>0.2</v>
          </cell>
        </row>
        <row r="31">
          <cell r="C31">
            <v>0.3</v>
          </cell>
        </row>
        <row r="32">
          <cell r="C32">
            <v>0.4</v>
          </cell>
        </row>
        <row r="36">
          <cell r="C36" t="str">
            <v>Premium</v>
          </cell>
        </row>
        <row r="37">
          <cell r="C37">
            <v>0</v>
          </cell>
        </row>
        <row r="38">
          <cell r="C38">
            <v>0.1</v>
          </cell>
        </row>
        <row r="39">
          <cell r="C39">
            <v>0.2</v>
          </cell>
        </row>
        <row r="40">
          <cell r="C40">
            <v>0.3</v>
          </cell>
        </row>
        <row r="41">
          <cell r="C41">
            <v>0.4</v>
          </cell>
        </row>
        <row r="45">
          <cell r="C45" t="str">
            <v>Premium</v>
          </cell>
        </row>
        <row r="46">
          <cell r="C46">
            <v>0</v>
          </cell>
        </row>
        <row r="47">
          <cell r="C47">
            <v>0.1</v>
          </cell>
        </row>
        <row r="48">
          <cell r="C48">
            <v>0.2</v>
          </cell>
        </row>
        <row r="49">
          <cell r="C49">
            <v>0.3</v>
          </cell>
        </row>
        <row r="50">
          <cell r="C50">
            <v>0.4</v>
          </cell>
        </row>
      </sheetData>
      <sheetData sheetId="10"/>
      <sheetData sheetId="11"/>
      <sheetData sheetId="12"/>
      <sheetData sheetId="13"/>
      <sheetData sheetId="14"/>
      <sheetData sheetId="15"/>
      <sheetData sheetId="1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
      <sheetName val="Instructions"/>
      <sheetName val="Model"/>
      <sheetName val="Model Jul16.08"/>
      <sheetName val="Model Jul08.08"/>
      <sheetName val="Sheet1"/>
      <sheetName val="Historical"/>
      <sheetName val="YUM"/>
      <sheetName val="New Segments"/>
      <sheetName val="Equity Comps (2)"/>
      <sheetName val="Real Estate"/>
      <sheetName val="Sheet2"/>
      <sheetName val="Sheet3"/>
      <sheetName val="Yum! SSS History"/>
      <sheetName val="Int'l sales growth"/>
      <sheetName val="debt"/>
      <sheetName val="Comps"/>
    </sheetNames>
    <sheetDataSet>
      <sheetData sheetId="0"/>
      <sheetData sheetId="1"/>
      <sheetData sheetId="2"/>
      <sheetData sheetId="3"/>
      <sheetData sheetId="4"/>
      <sheetData sheetId="5">
        <row r="6">
          <cell r="B6">
            <v>10416</v>
          </cell>
          <cell r="C6">
            <v>7757</v>
          </cell>
          <cell r="D6">
            <v>7757</v>
          </cell>
          <cell r="E6">
            <v>3262</v>
          </cell>
          <cell r="F6">
            <v>3016</v>
          </cell>
          <cell r="G6">
            <v>2899</v>
          </cell>
          <cell r="H6">
            <v>2785</v>
          </cell>
          <cell r="I6">
            <v>2653</v>
          </cell>
          <cell r="J6">
            <v>2564</v>
          </cell>
          <cell r="K6">
            <v>2278</v>
          </cell>
          <cell r="L6">
            <v>2243</v>
          </cell>
          <cell r="M6">
            <v>2179</v>
          </cell>
          <cell r="N6">
            <v>1989</v>
          </cell>
          <cell r="O6">
            <v>2367</v>
          </cell>
          <cell r="P6">
            <v>2182</v>
          </cell>
          <cell r="Q6">
            <v>2153</v>
          </cell>
          <cell r="R6">
            <v>2077</v>
          </cell>
          <cell r="S6">
            <v>1936</v>
          </cell>
          <cell r="T6">
            <v>2223</v>
          </cell>
          <cell r="U6">
            <v>2085</v>
          </cell>
          <cell r="V6">
            <v>2054</v>
          </cell>
          <cell r="W6">
            <v>1970</v>
          </cell>
          <cell r="X6">
            <v>1802</v>
          </cell>
          <cell r="Y6">
            <v>2461</v>
          </cell>
          <cell r="Z6">
            <v>1915</v>
          </cell>
          <cell r="AA6">
            <v>3738</v>
          </cell>
          <cell r="AB6">
            <v>3381</v>
          </cell>
          <cell r="AC6">
            <v>11336.006154983426</v>
          </cell>
          <cell r="AD6">
            <v>10416</v>
          </cell>
          <cell r="AE6">
            <v>9561</v>
          </cell>
          <cell r="AF6">
            <v>9349</v>
          </cell>
          <cell r="AG6">
            <v>9011</v>
          </cell>
          <cell r="AH6">
            <v>8380</v>
          </cell>
        </row>
        <row r="7">
          <cell r="B7">
            <v>7773</v>
          </cell>
          <cell r="E7">
            <v>2466</v>
          </cell>
          <cell r="F7">
            <v>2280</v>
          </cell>
          <cell r="G7">
            <v>2202</v>
          </cell>
          <cell r="H7">
            <v>2126</v>
          </cell>
          <cell r="I7">
            <v>2000</v>
          </cell>
          <cell r="J7">
            <v>1890</v>
          </cell>
          <cell r="K7">
            <v>1668</v>
          </cell>
          <cell r="L7">
            <v>1679</v>
          </cell>
          <cell r="M7">
            <v>1640</v>
          </cell>
          <cell r="N7">
            <v>1498</v>
          </cell>
          <cell r="O7">
            <v>1763</v>
          </cell>
          <cell r="P7">
            <v>1611</v>
          </cell>
          <cell r="Q7">
            <v>1634</v>
          </cell>
          <cell r="R7">
            <v>1576</v>
          </cell>
          <cell r="S7">
            <v>1467</v>
          </cell>
          <cell r="T7">
            <v>1654</v>
          </cell>
          <cell r="U7">
            <v>1535</v>
          </cell>
          <cell r="V7">
            <v>1548</v>
          </cell>
          <cell r="W7">
            <v>1491</v>
          </cell>
          <cell r="X7">
            <v>1372</v>
          </cell>
          <cell r="Y7">
            <v>1854</v>
          </cell>
          <cell r="Z7">
            <v>1424</v>
          </cell>
          <cell r="AA7">
            <v>2839</v>
          </cell>
          <cell r="AB7">
            <v>2512</v>
          </cell>
          <cell r="AC7">
            <v>8448.2238865760228</v>
          </cell>
          <cell r="AD7">
            <v>7773</v>
          </cell>
          <cell r="AE7">
            <v>7094</v>
          </cell>
          <cell r="AF7">
            <v>7070</v>
          </cell>
          <cell r="AG7">
            <v>6833</v>
          </cell>
          <cell r="AH7">
            <v>6337</v>
          </cell>
        </row>
        <row r="8">
          <cell r="B8">
            <v>2643</v>
          </cell>
          <cell r="C8">
            <v>7757</v>
          </cell>
          <cell r="D8">
            <v>7757</v>
          </cell>
          <cell r="E8">
            <v>796</v>
          </cell>
          <cell r="F8">
            <v>736</v>
          </cell>
          <cell r="G8">
            <v>697</v>
          </cell>
          <cell r="H8">
            <v>659</v>
          </cell>
          <cell r="I8">
            <v>653</v>
          </cell>
          <cell r="J8">
            <v>674</v>
          </cell>
          <cell r="K8">
            <v>610</v>
          </cell>
          <cell r="L8">
            <v>564</v>
          </cell>
          <cell r="M8">
            <v>539</v>
          </cell>
          <cell r="N8">
            <v>491</v>
          </cell>
          <cell r="O8">
            <v>604</v>
          </cell>
          <cell r="P8">
            <v>571</v>
          </cell>
          <cell r="Q8">
            <v>519</v>
          </cell>
          <cell r="R8">
            <v>501</v>
          </cell>
          <cell r="S8">
            <v>469</v>
          </cell>
          <cell r="T8">
            <v>569</v>
          </cell>
          <cell r="U8">
            <v>550</v>
          </cell>
          <cell r="V8">
            <v>506</v>
          </cell>
          <cell r="W8">
            <v>479</v>
          </cell>
          <cell r="X8">
            <v>430</v>
          </cell>
          <cell r="Y8">
            <v>607</v>
          </cell>
          <cell r="Z8">
            <v>491</v>
          </cell>
          <cell r="AA8">
            <v>899</v>
          </cell>
          <cell r="AB8">
            <v>869</v>
          </cell>
          <cell r="AC8">
            <v>2887.7822684074026</v>
          </cell>
          <cell r="AD8">
            <v>2643</v>
          </cell>
          <cell r="AE8">
            <v>2467</v>
          </cell>
          <cell r="AF8">
            <v>2279</v>
          </cell>
          <cell r="AG8">
            <v>2178</v>
          </cell>
          <cell r="AH8">
            <v>2043</v>
          </cell>
        </row>
        <row r="9">
          <cell r="B9">
            <v>1286</v>
          </cell>
          <cell r="E9">
            <v>466</v>
          </cell>
          <cell r="F9">
            <v>407</v>
          </cell>
          <cell r="G9">
            <v>374</v>
          </cell>
          <cell r="H9">
            <v>335</v>
          </cell>
          <cell r="I9">
            <v>325</v>
          </cell>
          <cell r="J9">
            <v>273</v>
          </cell>
          <cell r="K9">
            <v>279</v>
          </cell>
          <cell r="L9">
            <v>271</v>
          </cell>
          <cell r="M9">
            <v>261</v>
          </cell>
          <cell r="N9">
            <v>212</v>
          </cell>
          <cell r="O9">
            <v>306</v>
          </cell>
          <cell r="P9">
            <v>291</v>
          </cell>
          <cell r="Q9">
            <v>262</v>
          </cell>
          <cell r="R9">
            <v>250</v>
          </cell>
          <cell r="S9">
            <v>220</v>
          </cell>
          <cell r="T9">
            <v>274</v>
          </cell>
          <cell r="U9">
            <v>268</v>
          </cell>
          <cell r="V9">
            <v>256</v>
          </cell>
          <cell r="W9">
            <v>248</v>
          </cell>
          <cell r="X9">
            <v>219</v>
          </cell>
          <cell r="Y9">
            <v>305</v>
          </cell>
          <cell r="Z9">
            <v>240</v>
          </cell>
          <cell r="AA9">
            <v>418</v>
          </cell>
          <cell r="AB9">
            <v>428</v>
          </cell>
          <cell r="AC9">
            <v>1410.9235556277836</v>
          </cell>
          <cell r="AD9">
            <v>1286</v>
          </cell>
          <cell r="AE9">
            <v>1205</v>
          </cell>
          <cell r="AF9">
            <v>1126</v>
          </cell>
          <cell r="AG9">
            <v>1023</v>
          </cell>
          <cell r="AH9">
            <v>945</v>
          </cell>
        </row>
        <row r="10">
          <cell r="B10">
            <v>2401.44</v>
          </cell>
          <cell r="C10">
            <v>8527</v>
          </cell>
          <cell r="D10">
            <v>8507</v>
          </cell>
          <cell r="E10">
            <v>635.61</v>
          </cell>
          <cell r="F10">
            <v>607.5</v>
          </cell>
          <cell r="G10">
            <v>610.75</v>
          </cell>
          <cell r="H10">
            <v>430.25</v>
          </cell>
          <cell r="I10">
            <v>542</v>
          </cell>
          <cell r="J10">
            <v>648.5</v>
          </cell>
          <cell r="K10">
            <v>558.5</v>
          </cell>
          <cell r="L10">
            <v>510.25</v>
          </cell>
          <cell r="M10">
            <v>478.25</v>
          </cell>
          <cell r="N10">
            <v>456.75</v>
          </cell>
          <cell r="O10">
            <v>537.5</v>
          </cell>
          <cell r="P10">
            <v>509.5</v>
          </cell>
          <cell r="Q10">
            <v>474.25</v>
          </cell>
          <cell r="R10">
            <v>444.25</v>
          </cell>
          <cell r="S10">
            <v>428.75</v>
          </cell>
          <cell r="T10">
            <v>525.5</v>
          </cell>
          <cell r="U10">
            <v>488.75</v>
          </cell>
          <cell r="V10">
            <v>453.25</v>
          </cell>
          <cell r="W10">
            <v>419.25</v>
          </cell>
          <cell r="X10">
            <v>383.75</v>
          </cell>
          <cell r="Y10">
            <v>514</v>
          </cell>
          <cell r="Z10">
            <v>422.75</v>
          </cell>
          <cell r="AA10">
            <v>833.5</v>
          </cell>
          <cell r="AB10">
            <v>770.5</v>
          </cell>
          <cell r="AC10">
            <v>2904.8468125260961</v>
          </cell>
          <cell r="AD10">
            <v>2401.44</v>
          </cell>
          <cell r="AE10">
            <v>2215</v>
          </cell>
          <cell r="AF10">
            <v>2053</v>
          </cell>
          <cell r="AG10">
            <v>2028</v>
          </cell>
          <cell r="AH10">
            <v>1872</v>
          </cell>
        </row>
        <row r="11">
          <cell r="B11">
            <v>502.44</v>
          </cell>
          <cell r="C11">
            <v>360</v>
          </cell>
          <cell r="D11">
            <v>350</v>
          </cell>
          <cell r="E11">
            <v>125.61</v>
          </cell>
          <cell r="F11">
            <v>118.5</v>
          </cell>
          <cell r="G11">
            <v>107.75</v>
          </cell>
          <cell r="H11">
            <v>106.25</v>
          </cell>
          <cell r="I11">
            <v>86</v>
          </cell>
          <cell r="J11">
            <v>118.5</v>
          </cell>
          <cell r="K11">
            <v>118.5</v>
          </cell>
          <cell r="L11">
            <v>106.25</v>
          </cell>
          <cell r="M11">
            <v>93.25</v>
          </cell>
          <cell r="N11">
            <v>85.75</v>
          </cell>
          <cell r="O11">
            <v>118.5</v>
          </cell>
          <cell r="P11">
            <v>118.5</v>
          </cell>
          <cell r="Q11">
            <v>106.25</v>
          </cell>
          <cell r="R11">
            <v>93.25</v>
          </cell>
          <cell r="S11">
            <v>85.75</v>
          </cell>
          <cell r="T11">
            <v>118.5</v>
          </cell>
          <cell r="U11">
            <v>107.75</v>
          </cell>
          <cell r="V11">
            <v>106.25</v>
          </cell>
          <cell r="W11">
            <v>93.25</v>
          </cell>
          <cell r="X11">
            <v>85.75</v>
          </cell>
          <cell r="Y11">
            <v>86</v>
          </cell>
          <cell r="Z11">
            <v>85.75</v>
          </cell>
          <cell r="AA11">
            <v>171.5</v>
          </cell>
          <cell r="AB11">
            <v>171.5</v>
          </cell>
          <cell r="AC11">
            <v>537.61080000000004</v>
          </cell>
          <cell r="AD11">
            <v>502.44</v>
          </cell>
          <cell r="AE11">
            <v>474</v>
          </cell>
          <cell r="AF11">
            <v>431</v>
          </cell>
          <cell r="AG11">
            <v>425</v>
          </cell>
          <cell r="AH11">
            <v>373</v>
          </cell>
        </row>
        <row r="12">
          <cell r="B12">
            <v>1899</v>
          </cell>
          <cell r="C12">
            <v>8167</v>
          </cell>
          <cell r="D12">
            <v>8157</v>
          </cell>
          <cell r="E12">
            <v>510</v>
          </cell>
          <cell r="F12">
            <v>489</v>
          </cell>
          <cell r="G12">
            <v>503</v>
          </cell>
          <cell r="H12">
            <v>324</v>
          </cell>
          <cell r="I12">
            <v>456</v>
          </cell>
          <cell r="J12">
            <v>530</v>
          </cell>
          <cell r="K12">
            <v>440</v>
          </cell>
          <cell r="L12">
            <v>404</v>
          </cell>
          <cell r="M12">
            <v>385</v>
          </cell>
          <cell r="N12">
            <v>371</v>
          </cell>
          <cell r="O12">
            <v>419</v>
          </cell>
          <cell r="P12">
            <v>391</v>
          </cell>
          <cell r="Q12">
            <v>368</v>
          </cell>
          <cell r="R12">
            <v>351</v>
          </cell>
          <cell r="S12">
            <v>343</v>
          </cell>
          <cell r="T12">
            <v>407</v>
          </cell>
          <cell r="U12">
            <v>381</v>
          </cell>
          <cell r="V12">
            <v>347</v>
          </cell>
          <cell r="W12">
            <v>326</v>
          </cell>
          <cell r="X12">
            <v>298</v>
          </cell>
          <cell r="Y12">
            <v>428</v>
          </cell>
          <cell r="Z12">
            <v>337</v>
          </cell>
          <cell r="AA12">
            <v>662</v>
          </cell>
          <cell r="AB12">
            <v>599</v>
          </cell>
          <cell r="AC12">
            <v>2367.2360125260961</v>
          </cell>
          <cell r="AD12">
            <v>1899</v>
          </cell>
          <cell r="AE12">
            <v>1741</v>
          </cell>
          <cell r="AF12">
            <v>1622</v>
          </cell>
          <cell r="AG12">
            <v>1603</v>
          </cell>
          <cell r="AH12">
            <v>1499</v>
          </cell>
        </row>
        <row r="13">
          <cell r="B13">
            <v>542</v>
          </cell>
          <cell r="C13">
            <v>410</v>
          </cell>
          <cell r="D13">
            <v>400</v>
          </cell>
          <cell r="E13">
            <v>180</v>
          </cell>
          <cell r="F13">
            <v>160</v>
          </cell>
          <cell r="G13">
            <v>150</v>
          </cell>
          <cell r="H13">
            <v>146</v>
          </cell>
          <cell r="I13">
            <v>128</v>
          </cell>
          <cell r="J13">
            <v>129</v>
          </cell>
          <cell r="K13">
            <v>109</v>
          </cell>
          <cell r="L13">
            <v>111</v>
          </cell>
          <cell r="M13">
            <v>107</v>
          </cell>
          <cell r="N13">
            <v>92</v>
          </cell>
          <cell r="O13">
            <v>121</v>
          </cell>
          <cell r="P13">
            <v>111</v>
          </cell>
          <cell r="Q13">
            <v>111</v>
          </cell>
          <cell r="R13">
            <v>100</v>
          </cell>
          <cell r="S13">
            <v>94</v>
          </cell>
          <cell r="T13">
            <v>112</v>
          </cell>
          <cell r="U13">
            <v>99</v>
          </cell>
          <cell r="V13">
            <v>97</v>
          </cell>
          <cell r="W13">
            <v>95</v>
          </cell>
          <cell r="X13">
            <v>87</v>
          </cell>
          <cell r="Y13">
            <v>126</v>
          </cell>
          <cell r="Z13">
            <v>86</v>
          </cell>
          <cell r="AA13">
            <v>181</v>
          </cell>
          <cell r="AB13">
            <v>158</v>
          </cell>
          <cell r="AC13">
            <v>613.2860125260961</v>
          </cell>
          <cell r="AD13">
            <v>542</v>
          </cell>
          <cell r="AE13">
            <v>479</v>
          </cell>
          <cell r="AF13">
            <v>469</v>
          </cell>
          <cell r="AG13">
            <v>448</v>
          </cell>
          <cell r="AH13">
            <v>401</v>
          </cell>
        </row>
        <row r="14">
          <cell r="B14">
            <v>1357</v>
          </cell>
          <cell r="C14">
            <v>7757</v>
          </cell>
          <cell r="D14">
            <v>7757</v>
          </cell>
          <cell r="E14">
            <v>330</v>
          </cell>
          <cell r="F14">
            <v>329</v>
          </cell>
          <cell r="G14">
            <v>353</v>
          </cell>
          <cell r="H14">
            <v>324</v>
          </cell>
          <cell r="I14">
            <v>328</v>
          </cell>
          <cell r="J14">
            <v>401</v>
          </cell>
          <cell r="K14">
            <v>331</v>
          </cell>
          <cell r="L14">
            <v>293</v>
          </cell>
          <cell r="M14">
            <v>278</v>
          </cell>
          <cell r="N14">
            <v>279</v>
          </cell>
          <cell r="O14">
            <v>298</v>
          </cell>
          <cell r="P14">
            <v>280</v>
          </cell>
          <cell r="Q14">
            <v>257</v>
          </cell>
          <cell r="R14">
            <v>251</v>
          </cell>
          <cell r="S14">
            <v>249</v>
          </cell>
          <cell r="T14">
            <v>295</v>
          </cell>
          <cell r="U14">
            <v>282</v>
          </cell>
          <cell r="V14">
            <v>250</v>
          </cell>
          <cell r="W14">
            <v>231</v>
          </cell>
          <cell r="X14">
            <v>211</v>
          </cell>
          <cell r="Y14">
            <v>302</v>
          </cell>
          <cell r="Z14">
            <v>251</v>
          </cell>
          <cell r="AA14">
            <v>481</v>
          </cell>
          <cell r="AB14">
            <v>441</v>
          </cell>
          <cell r="AC14">
            <v>1753.95</v>
          </cell>
          <cell r="AD14">
            <v>1357</v>
          </cell>
          <cell r="AE14">
            <v>1262</v>
          </cell>
          <cell r="AF14">
            <v>1153</v>
          </cell>
          <cell r="AG14">
            <v>1155</v>
          </cell>
          <cell r="AH14">
            <v>1098</v>
          </cell>
        </row>
        <row r="15">
          <cell r="B15">
            <v>166</v>
          </cell>
          <cell r="C15">
            <v>175</v>
          </cell>
          <cell r="D15">
            <v>180</v>
          </cell>
          <cell r="E15">
            <v>54</v>
          </cell>
          <cell r="F15">
            <v>49</v>
          </cell>
          <cell r="G15">
            <v>41</v>
          </cell>
          <cell r="H15">
            <v>33</v>
          </cell>
          <cell r="I15">
            <v>50</v>
          </cell>
          <cell r="J15">
            <v>38</v>
          </cell>
          <cell r="K15">
            <v>34</v>
          </cell>
          <cell r="L15">
            <v>28</v>
          </cell>
          <cell r="M15">
            <v>29</v>
          </cell>
          <cell r="N15">
            <v>43</v>
          </cell>
          <cell r="O15">
            <v>38</v>
          </cell>
          <cell r="P15">
            <v>36</v>
          </cell>
          <cell r="Q15">
            <v>30</v>
          </cell>
          <cell r="R15">
            <v>32</v>
          </cell>
          <cell r="S15">
            <v>42</v>
          </cell>
          <cell r="T15">
            <v>36</v>
          </cell>
          <cell r="U15">
            <v>35</v>
          </cell>
          <cell r="V15">
            <v>28</v>
          </cell>
          <cell r="W15">
            <v>35</v>
          </cell>
          <cell r="X15">
            <v>42</v>
          </cell>
          <cell r="Y15">
            <v>60</v>
          </cell>
          <cell r="Z15">
            <v>48</v>
          </cell>
          <cell r="AA15">
            <v>88</v>
          </cell>
          <cell r="AB15">
            <v>70</v>
          </cell>
          <cell r="AC15">
            <v>219.46375</v>
          </cell>
          <cell r="AD15">
            <v>166</v>
          </cell>
          <cell r="AE15">
            <v>154</v>
          </cell>
          <cell r="AF15">
            <v>127</v>
          </cell>
          <cell r="AG15">
            <v>129</v>
          </cell>
          <cell r="AH15">
            <v>173</v>
          </cell>
        </row>
        <row r="16">
          <cell r="B16">
            <v>909</v>
          </cell>
          <cell r="C16">
            <v>7582</v>
          </cell>
          <cell r="D16">
            <v>7577</v>
          </cell>
          <cell r="E16">
            <v>231</v>
          </cell>
          <cell r="F16">
            <v>232</v>
          </cell>
          <cell r="G16">
            <v>226</v>
          </cell>
          <cell r="H16">
            <v>235</v>
          </cell>
          <cell r="I16">
            <v>198</v>
          </cell>
          <cell r="J16">
            <v>270</v>
          </cell>
          <cell r="K16">
            <v>230</v>
          </cell>
          <cell r="L16">
            <v>214</v>
          </cell>
          <cell r="M16">
            <v>185</v>
          </cell>
          <cell r="N16">
            <v>164</v>
          </cell>
          <cell r="O16">
            <v>214</v>
          </cell>
          <cell r="P16">
            <v>192</v>
          </cell>
          <cell r="Q16">
            <v>187</v>
          </cell>
          <cell r="R16">
            <v>178</v>
          </cell>
          <cell r="T16">
            <v>194</v>
          </cell>
          <cell r="U16">
            <v>170</v>
          </cell>
          <cell r="V16">
            <v>161</v>
          </cell>
          <cell r="W16">
            <v>142</v>
          </cell>
          <cell r="X16">
            <v>117</v>
          </cell>
          <cell r="Y16">
            <v>171</v>
          </cell>
          <cell r="Z16">
            <v>147</v>
          </cell>
          <cell r="AA16">
            <v>239</v>
          </cell>
          <cell r="AB16">
            <v>264</v>
          </cell>
          <cell r="AC16">
            <v>999.90000000000009</v>
          </cell>
          <cell r="AD16">
            <v>909</v>
          </cell>
          <cell r="AE16">
            <v>824</v>
          </cell>
          <cell r="AF16">
            <v>762</v>
          </cell>
          <cell r="AG16">
            <v>740</v>
          </cell>
          <cell r="AH16">
            <v>617</v>
          </cell>
        </row>
        <row r="17">
          <cell r="B17">
            <v>1.68</v>
          </cell>
          <cell r="C17">
            <v>24.859016393442623</v>
          </cell>
          <cell r="D17">
            <v>24.842622950819671</v>
          </cell>
          <cell r="E17">
            <v>0.44</v>
          </cell>
          <cell r="F17">
            <v>0.42</v>
          </cell>
          <cell r="G17">
            <v>0.77</v>
          </cell>
          <cell r="H17">
            <v>0.73</v>
          </cell>
          <cell r="I17">
            <v>0.65</v>
          </cell>
          <cell r="J17">
            <v>0.5</v>
          </cell>
          <cell r="K17">
            <v>0.83</v>
          </cell>
          <cell r="L17">
            <v>0.72</v>
          </cell>
          <cell r="M17">
            <v>0.61</v>
          </cell>
          <cell r="N17">
            <v>0.53</v>
          </cell>
          <cell r="O17">
            <v>0.39</v>
          </cell>
          <cell r="P17">
            <v>0.71</v>
          </cell>
          <cell r="Q17">
            <v>0.62</v>
          </cell>
          <cell r="R17">
            <v>0.57999999999999996</v>
          </cell>
          <cell r="T17">
            <v>0.7</v>
          </cell>
          <cell r="U17">
            <v>0.62</v>
          </cell>
          <cell r="V17">
            <v>0.53</v>
          </cell>
          <cell r="W17">
            <v>0.47</v>
          </cell>
          <cell r="X17">
            <v>0.39</v>
          </cell>
          <cell r="Y17">
            <v>0.55000000000000004</v>
          </cell>
          <cell r="Z17">
            <v>0.47</v>
          </cell>
          <cell r="AA17">
            <v>0.79</v>
          </cell>
          <cell r="AB17">
            <v>0.85</v>
          </cell>
          <cell r="AC17">
            <v>1.85</v>
          </cell>
          <cell r="AD17">
            <v>1.68</v>
          </cell>
          <cell r="AE17">
            <v>1.46</v>
          </cell>
          <cell r="AF17">
            <v>2.5499999999999998</v>
          </cell>
          <cell r="AG17">
            <v>2.42</v>
          </cell>
          <cell r="AH17">
            <v>1.97</v>
          </cell>
        </row>
        <row r="19">
          <cell r="B19">
            <v>1451</v>
          </cell>
          <cell r="C19">
            <v>7992</v>
          </cell>
          <cell r="D19">
            <v>7977</v>
          </cell>
          <cell r="E19">
            <v>411</v>
          </cell>
          <cell r="F19">
            <v>392</v>
          </cell>
          <cell r="G19">
            <v>350</v>
          </cell>
          <cell r="H19">
            <v>381</v>
          </cell>
          <cell r="I19">
            <v>326</v>
          </cell>
          <cell r="J19">
            <v>399</v>
          </cell>
          <cell r="K19">
            <v>339</v>
          </cell>
          <cell r="L19">
            <v>325</v>
          </cell>
          <cell r="M19">
            <v>292</v>
          </cell>
          <cell r="N19">
            <v>256</v>
          </cell>
          <cell r="O19">
            <v>335</v>
          </cell>
          <cell r="P19">
            <v>303</v>
          </cell>
          <cell r="Q19">
            <v>298</v>
          </cell>
          <cell r="R19">
            <v>278</v>
          </cell>
          <cell r="S19">
            <v>94</v>
          </cell>
          <cell r="T19">
            <v>306</v>
          </cell>
          <cell r="U19">
            <v>269</v>
          </cell>
          <cell r="V19">
            <v>258</v>
          </cell>
          <cell r="W19">
            <v>237</v>
          </cell>
          <cell r="X19">
            <v>204</v>
          </cell>
          <cell r="Y19">
            <v>297</v>
          </cell>
          <cell r="Z19">
            <v>233</v>
          </cell>
          <cell r="AA19">
            <v>420</v>
          </cell>
          <cell r="AB19">
            <v>422</v>
          </cell>
          <cell r="AC19">
            <v>1613.1860125260962</v>
          </cell>
          <cell r="AD19">
            <v>1451</v>
          </cell>
          <cell r="AE19">
            <v>1303</v>
          </cell>
          <cell r="AF19">
            <v>1231</v>
          </cell>
          <cell r="AG19">
            <v>1188</v>
          </cell>
          <cell r="AH19">
            <v>1018</v>
          </cell>
        </row>
        <row r="20">
          <cell r="B20">
            <v>114</v>
          </cell>
          <cell r="C20">
            <v>-6942</v>
          </cell>
          <cell r="D20">
            <v>-6977</v>
          </cell>
          <cell r="E20">
            <v>-15</v>
          </cell>
          <cell r="F20">
            <v>-100</v>
          </cell>
          <cell r="G20">
            <v>-153</v>
          </cell>
          <cell r="H20">
            <v>-41</v>
          </cell>
          <cell r="I20">
            <v>-42</v>
          </cell>
          <cell r="J20">
            <v>177</v>
          </cell>
          <cell r="K20">
            <v>110</v>
          </cell>
          <cell r="L20">
            <v>111</v>
          </cell>
          <cell r="M20">
            <v>109</v>
          </cell>
          <cell r="N20">
            <v>149</v>
          </cell>
          <cell r="O20">
            <v>-83</v>
          </cell>
          <cell r="P20">
            <v>-42</v>
          </cell>
          <cell r="Q20">
            <v>52</v>
          </cell>
          <cell r="R20">
            <v>-77</v>
          </cell>
          <cell r="S20">
            <v>141</v>
          </cell>
          <cell r="T20">
            <v>35</v>
          </cell>
          <cell r="U20">
            <v>28</v>
          </cell>
          <cell r="V20">
            <v>-3</v>
          </cell>
          <cell r="W20">
            <v>-48</v>
          </cell>
          <cell r="X20">
            <v>-75</v>
          </cell>
          <cell r="Y20">
            <v>-44</v>
          </cell>
          <cell r="Z20">
            <v>104</v>
          </cell>
          <cell r="AA20">
            <v>-56</v>
          </cell>
          <cell r="AB20">
            <v>76</v>
          </cell>
          <cell r="AC20">
            <v>0</v>
          </cell>
          <cell r="AD20">
            <v>114</v>
          </cell>
          <cell r="AE20">
            <v>-4</v>
          </cell>
          <cell r="AF20">
            <v>7</v>
          </cell>
          <cell r="AG20">
            <v>-57</v>
          </cell>
          <cell r="AH20">
            <v>35</v>
          </cell>
        </row>
        <row r="21">
          <cell r="B21">
            <v>1565</v>
          </cell>
          <cell r="C21">
            <v>1050</v>
          </cell>
          <cell r="D21">
            <v>1000</v>
          </cell>
          <cell r="E21">
            <v>396</v>
          </cell>
          <cell r="F21">
            <v>292</v>
          </cell>
          <cell r="G21">
            <v>197</v>
          </cell>
          <cell r="H21">
            <v>340</v>
          </cell>
          <cell r="I21">
            <v>284</v>
          </cell>
          <cell r="J21">
            <v>576</v>
          </cell>
          <cell r="K21">
            <v>449</v>
          </cell>
          <cell r="L21">
            <v>436</v>
          </cell>
          <cell r="M21">
            <v>401</v>
          </cell>
          <cell r="N21">
            <v>405</v>
          </cell>
          <cell r="O21">
            <v>252</v>
          </cell>
          <cell r="P21">
            <v>261</v>
          </cell>
          <cell r="Q21">
            <v>350</v>
          </cell>
          <cell r="R21">
            <v>201</v>
          </cell>
          <cell r="S21">
            <v>235</v>
          </cell>
          <cell r="T21">
            <v>341</v>
          </cell>
          <cell r="U21">
            <v>297</v>
          </cell>
          <cell r="V21">
            <v>255</v>
          </cell>
          <cell r="W21">
            <v>189</v>
          </cell>
          <cell r="X21">
            <v>129</v>
          </cell>
          <cell r="Y21">
            <v>253</v>
          </cell>
          <cell r="Z21">
            <v>337</v>
          </cell>
          <cell r="AA21">
            <v>364</v>
          </cell>
          <cell r="AB21">
            <v>498</v>
          </cell>
          <cell r="AC21">
            <v>1613.1860125260962</v>
          </cell>
          <cell r="AD21">
            <v>1565</v>
          </cell>
          <cell r="AE21">
            <v>1299</v>
          </cell>
          <cell r="AF21">
            <v>1238</v>
          </cell>
          <cell r="AG21">
            <v>1131</v>
          </cell>
          <cell r="AH21">
            <v>1053</v>
          </cell>
        </row>
        <row r="22">
          <cell r="B22">
            <v>-742</v>
          </cell>
          <cell r="C22">
            <v>-750</v>
          </cell>
          <cell r="D22">
            <v>-750</v>
          </cell>
          <cell r="E22">
            <v>-351</v>
          </cell>
          <cell r="F22">
            <v>-291</v>
          </cell>
          <cell r="G22">
            <v>-247</v>
          </cell>
          <cell r="H22">
            <v>-262</v>
          </cell>
          <cell r="I22">
            <v>-305</v>
          </cell>
          <cell r="J22">
            <v>-174</v>
          </cell>
          <cell r="K22">
            <v>-137</v>
          </cell>
          <cell r="L22">
            <v>-152</v>
          </cell>
          <cell r="M22">
            <v>-162</v>
          </cell>
          <cell r="N22">
            <v>-137</v>
          </cell>
          <cell r="O22">
            <v>-124</v>
          </cell>
          <cell r="P22">
            <v>-114</v>
          </cell>
          <cell r="Q22">
            <v>-116</v>
          </cell>
          <cell r="R22">
            <v>-118</v>
          </cell>
          <cell r="S22">
            <v>-109</v>
          </cell>
          <cell r="T22">
            <v>-93</v>
          </cell>
          <cell r="U22">
            <v>-72</v>
          </cell>
          <cell r="V22">
            <v>-94</v>
          </cell>
          <cell r="W22">
            <v>-103</v>
          </cell>
          <cell r="X22">
            <v>-112</v>
          </cell>
          <cell r="Y22">
            <v>-299</v>
          </cell>
          <cell r="Z22">
            <v>-188</v>
          </cell>
          <cell r="AA22">
            <v>-221</v>
          </cell>
          <cell r="AB22">
            <v>-273</v>
          </cell>
          <cell r="AC22">
            <v>-750</v>
          </cell>
          <cell r="AD22">
            <v>-742</v>
          </cell>
          <cell r="AE22">
            <v>-614</v>
          </cell>
          <cell r="AF22">
            <v>-609</v>
          </cell>
          <cell r="AG22">
            <v>-645</v>
          </cell>
          <cell r="AH22">
            <v>-663</v>
          </cell>
        </row>
        <row r="23">
          <cell r="B23">
            <v>-273</v>
          </cell>
          <cell r="D23">
            <v>0</v>
          </cell>
          <cell r="E23">
            <v>-77</v>
          </cell>
          <cell r="F23">
            <v>-40</v>
          </cell>
          <cell r="G23">
            <v>-32</v>
          </cell>
          <cell r="H23">
            <v>-29</v>
          </cell>
          <cell r="I23">
            <v>0</v>
          </cell>
          <cell r="J23">
            <v>-77</v>
          </cell>
          <cell r="K23">
            <v>-41</v>
          </cell>
          <cell r="L23">
            <v>-33</v>
          </cell>
          <cell r="M23">
            <v>-29</v>
          </cell>
          <cell r="N23">
            <v>0</v>
          </cell>
          <cell r="O23">
            <v>-79</v>
          </cell>
          <cell r="P23">
            <v>-31</v>
          </cell>
          <cell r="Q23">
            <v>-29</v>
          </cell>
          <cell r="R23">
            <v>0</v>
          </cell>
          <cell r="S23">
            <v>0</v>
          </cell>
          <cell r="T23">
            <v>-40</v>
          </cell>
          <cell r="U23">
            <v>-32</v>
          </cell>
          <cell r="V23">
            <v>-29</v>
          </cell>
          <cell r="W23">
            <v>0</v>
          </cell>
          <cell r="X23">
            <v>0</v>
          </cell>
          <cell r="Y23">
            <v>0</v>
          </cell>
          <cell r="Z23">
            <v>0</v>
          </cell>
          <cell r="AA23">
            <v>0</v>
          </cell>
          <cell r="AB23">
            <v>0</v>
          </cell>
          <cell r="AC23">
            <v>-373</v>
          </cell>
          <cell r="AD23">
            <v>-273</v>
          </cell>
          <cell r="AE23">
            <v>-144</v>
          </cell>
          <cell r="AF23">
            <v>-123</v>
          </cell>
          <cell r="AG23">
            <v>-58</v>
          </cell>
          <cell r="AH23">
            <v>0</v>
          </cell>
        </row>
        <row r="24">
          <cell r="B24">
            <v>550</v>
          </cell>
          <cell r="C24">
            <v>300</v>
          </cell>
          <cell r="D24">
            <v>250</v>
          </cell>
          <cell r="E24">
            <v>-32</v>
          </cell>
          <cell r="F24">
            <v>-39</v>
          </cell>
          <cell r="G24">
            <v>-82</v>
          </cell>
          <cell r="H24">
            <v>49</v>
          </cell>
          <cell r="I24">
            <v>-21</v>
          </cell>
          <cell r="J24">
            <v>325</v>
          </cell>
          <cell r="K24">
            <v>271</v>
          </cell>
          <cell r="L24">
            <v>251</v>
          </cell>
          <cell r="M24">
            <v>210</v>
          </cell>
          <cell r="N24">
            <v>268</v>
          </cell>
          <cell r="O24">
            <v>49</v>
          </cell>
          <cell r="P24">
            <v>116</v>
          </cell>
          <cell r="Q24">
            <v>205</v>
          </cell>
          <cell r="R24">
            <v>83</v>
          </cell>
          <cell r="S24">
            <v>126</v>
          </cell>
          <cell r="T24">
            <v>208</v>
          </cell>
          <cell r="U24">
            <v>193</v>
          </cell>
          <cell r="V24">
            <v>132</v>
          </cell>
          <cell r="W24">
            <v>86</v>
          </cell>
          <cell r="X24">
            <v>17</v>
          </cell>
          <cell r="Y24">
            <v>-46</v>
          </cell>
          <cell r="Z24">
            <v>149</v>
          </cell>
          <cell r="AA24">
            <v>143</v>
          </cell>
          <cell r="AB24">
            <v>225</v>
          </cell>
          <cell r="AC24">
            <v>490.18601252609619</v>
          </cell>
          <cell r="AD24">
            <v>550</v>
          </cell>
          <cell r="AE24">
            <v>541</v>
          </cell>
          <cell r="AF24">
            <v>506</v>
          </cell>
          <cell r="AG24">
            <v>428</v>
          </cell>
          <cell r="AH24">
            <v>390</v>
          </cell>
        </row>
        <row r="25">
          <cell r="B25">
            <v>310</v>
          </cell>
          <cell r="C25">
            <v>0</v>
          </cell>
          <cell r="D25">
            <v>0</v>
          </cell>
          <cell r="E25">
            <v>175</v>
          </cell>
          <cell r="F25">
            <v>115</v>
          </cell>
          <cell r="G25">
            <v>151</v>
          </cell>
          <cell r="H25">
            <v>184</v>
          </cell>
          <cell r="J25">
            <v>34</v>
          </cell>
          <cell r="K25">
            <v>-4</v>
          </cell>
          <cell r="L25">
            <v>43</v>
          </cell>
          <cell r="M25">
            <v>-46</v>
          </cell>
          <cell r="O25">
            <v>50</v>
          </cell>
          <cell r="P25">
            <v>16</v>
          </cell>
          <cell r="Q25">
            <v>81</v>
          </cell>
          <cell r="R25">
            <v>23</v>
          </cell>
          <cell r="T25">
            <v>51</v>
          </cell>
          <cell r="U25">
            <v>11</v>
          </cell>
          <cell r="V25">
            <v>-11</v>
          </cell>
          <cell r="W25">
            <v>0</v>
          </cell>
          <cell r="X25">
            <v>-7</v>
          </cell>
          <cell r="Y25">
            <v>64</v>
          </cell>
          <cell r="Z25">
            <v>67</v>
          </cell>
          <cell r="AA25">
            <v>13</v>
          </cell>
          <cell r="AB25">
            <v>-256</v>
          </cell>
          <cell r="AC25">
            <v>310</v>
          </cell>
          <cell r="AF25">
            <v>264</v>
          </cell>
          <cell r="AG25">
            <v>161</v>
          </cell>
          <cell r="AH25">
            <v>144</v>
          </cell>
        </row>
        <row r="26">
          <cell r="B26">
            <v>831</v>
          </cell>
          <cell r="C26">
            <v>-200</v>
          </cell>
          <cell r="D26">
            <v>-241</v>
          </cell>
          <cell r="E26">
            <v>713</v>
          </cell>
          <cell r="F26">
            <v>23</v>
          </cell>
          <cell r="G26">
            <v>77</v>
          </cell>
          <cell r="H26">
            <v>-343</v>
          </cell>
          <cell r="I26">
            <v>-89</v>
          </cell>
          <cell r="J26">
            <v>-19</v>
          </cell>
          <cell r="K26">
            <v>51</v>
          </cell>
          <cell r="L26">
            <v>21</v>
          </cell>
          <cell r="M26">
            <v>0</v>
          </cell>
          <cell r="N26">
            <v>-137</v>
          </cell>
          <cell r="O26">
            <v>167</v>
          </cell>
          <cell r="P26">
            <v>100</v>
          </cell>
          <cell r="Q26">
            <v>43</v>
          </cell>
          <cell r="R26">
            <v>-13</v>
          </cell>
          <cell r="T26">
            <v>-30</v>
          </cell>
          <cell r="U26">
            <v>78</v>
          </cell>
          <cell r="V26">
            <v>-29</v>
          </cell>
          <cell r="W26">
            <v>4</v>
          </cell>
          <cell r="X26">
            <v>72</v>
          </cell>
          <cell r="Y26">
            <v>-23</v>
          </cell>
          <cell r="Z26">
            <v>-104</v>
          </cell>
          <cell r="AA26">
            <v>-81</v>
          </cell>
          <cell r="AB26">
            <v>58</v>
          </cell>
          <cell r="AC26">
            <v>831</v>
          </cell>
          <cell r="AD26">
            <v>831</v>
          </cell>
          <cell r="AE26">
            <v>252</v>
          </cell>
          <cell r="AF26">
            <v>112</v>
          </cell>
          <cell r="AG26">
            <v>-352</v>
          </cell>
          <cell r="AH26">
            <v>-307</v>
          </cell>
        </row>
        <row r="27">
          <cell r="B27">
            <v>-1222</v>
          </cell>
          <cell r="C27">
            <v>-100</v>
          </cell>
          <cell r="D27">
            <v>-80</v>
          </cell>
          <cell r="E27">
            <v>-566</v>
          </cell>
          <cell r="F27">
            <v>-59</v>
          </cell>
          <cell r="G27">
            <v>-256</v>
          </cell>
          <cell r="H27">
            <v>-217</v>
          </cell>
          <cell r="I27">
            <v>-117</v>
          </cell>
          <cell r="J27">
            <v>-272</v>
          </cell>
          <cell r="K27">
            <v>-312</v>
          </cell>
          <cell r="L27">
            <v>-165</v>
          </cell>
          <cell r="M27">
            <v>40</v>
          </cell>
          <cell r="N27">
            <v>-3</v>
          </cell>
          <cell r="O27">
            <v>-177</v>
          </cell>
          <cell r="P27">
            <v>-101</v>
          </cell>
          <cell r="Q27">
            <v>-330</v>
          </cell>
          <cell r="R27">
            <v>-39</v>
          </cell>
          <cell r="T27">
            <v>-207</v>
          </cell>
          <cell r="U27">
            <v>-307</v>
          </cell>
          <cell r="V27">
            <v>-70</v>
          </cell>
          <cell r="W27">
            <v>-153</v>
          </cell>
          <cell r="X27">
            <v>-38</v>
          </cell>
          <cell r="Y27">
            <v>-52</v>
          </cell>
          <cell r="Z27">
            <v>-82</v>
          </cell>
          <cell r="AA27">
            <v>-48</v>
          </cell>
          <cell r="AB27">
            <v>31</v>
          </cell>
          <cell r="AC27">
            <v>-1631.6255135135123</v>
          </cell>
          <cell r="AD27">
            <v>-1222</v>
          </cell>
          <cell r="AE27">
            <v>-779</v>
          </cell>
          <cell r="AF27">
            <v>-821</v>
          </cell>
          <cell r="AG27">
            <v>-369</v>
          </cell>
          <cell r="AH27">
            <v>-168</v>
          </cell>
        </row>
        <row r="28">
          <cell r="B28">
            <v>1</v>
          </cell>
          <cell r="D28">
            <v>50</v>
          </cell>
          <cell r="E28">
            <v>-8</v>
          </cell>
          <cell r="F28">
            <v>5</v>
          </cell>
          <cell r="G28">
            <v>5</v>
          </cell>
          <cell r="H28">
            <v>4</v>
          </cell>
          <cell r="J28">
            <v>3</v>
          </cell>
          <cell r="K28">
            <v>-2</v>
          </cell>
          <cell r="L28">
            <v>0</v>
          </cell>
          <cell r="M28">
            <v>0</v>
          </cell>
          <cell r="O28">
            <v>6</v>
          </cell>
          <cell r="P28">
            <v>2</v>
          </cell>
          <cell r="Q28">
            <v>-4</v>
          </cell>
          <cell r="R28">
            <v>0</v>
          </cell>
          <cell r="T28">
            <v>0</v>
          </cell>
          <cell r="U28">
            <v>1</v>
          </cell>
          <cell r="V28">
            <v>34</v>
          </cell>
          <cell r="W28">
            <v>0</v>
          </cell>
          <cell r="X28">
            <v>1</v>
          </cell>
          <cell r="Y28">
            <v>1</v>
          </cell>
          <cell r="Z28">
            <v>-13</v>
          </cell>
          <cell r="AA28">
            <v>7</v>
          </cell>
          <cell r="AB28">
            <v>1</v>
          </cell>
          <cell r="AC28">
            <v>0</v>
          </cell>
          <cell r="AF28">
            <v>35</v>
          </cell>
          <cell r="AG28">
            <v>4</v>
          </cell>
          <cell r="AH28">
            <v>3</v>
          </cell>
        </row>
        <row r="29">
          <cell r="B29">
            <v>470</v>
          </cell>
          <cell r="C29">
            <v>0</v>
          </cell>
          <cell r="D29">
            <v>-21</v>
          </cell>
          <cell r="E29">
            <v>282</v>
          </cell>
          <cell r="F29">
            <v>45</v>
          </cell>
          <cell r="G29">
            <v>-105</v>
          </cell>
          <cell r="H29">
            <v>-323</v>
          </cell>
          <cell r="J29">
            <v>71</v>
          </cell>
          <cell r="K29">
            <v>4</v>
          </cell>
          <cell r="L29">
            <v>150</v>
          </cell>
          <cell r="M29">
            <v>204</v>
          </cell>
          <cell r="O29">
            <v>95</v>
          </cell>
          <cell r="P29">
            <v>133</v>
          </cell>
          <cell r="Q29">
            <v>-5</v>
          </cell>
          <cell r="R29">
            <v>54</v>
          </cell>
          <cell r="S29">
            <v>126</v>
          </cell>
          <cell r="T29">
            <v>22</v>
          </cell>
          <cell r="U29">
            <v>-24</v>
          </cell>
          <cell r="V29">
            <v>56</v>
          </cell>
          <cell r="W29">
            <v>-63</v>
          </cell>
          <cell r="X29">
            <v>45</v>
          </cell>
          <cell r="Y29">
            <v>-56</v>
          </cell>
          <cell r="Z29">
            <v>17</v>
          </cell>
          <cell r="AA29">
            <v>34</v>
          </cell>
          <cell r="AB29">
            <v>59</v>
          </cell>
          <cell r="AC29">
            <v>-0.4395009874160678</v>
          </cell>
          <cell r="AF29">
            <v>96</v>
          </cell>
          <cell r="AG29">
            <v>-128</v>
          </cell>
          <cell r="AH29">
            <v>62</v>
          </cell>
        </row>
        <row r="31">
          <cell r="B31">
            <v>789</v>
          </cell>
          <cell r="C31">
            <v>109</v>
          </cell>
          <cell r="D31">
            <v>109</v>
          </cell>
          <cell r="E31">
            <v>789</v>
          </cell>
          <cell r="F31">
            <v>319</v>
          </cell>
          <cell r="G31">
            <v>158</v>
          </cell>
          <cell r="H31">
            <v>62</v>
          </cell>
          <cell r="I31">
            <v>192</v>
          </cell>
          <cell r="J31">
            <v>507</v>
          </cell>
          <cell r="K31">
            <v>271</v>
          </cell>
          <cell r="L31">
            <v>263</v>
          </cell>
          <cell r="M31">
            <v>387</v>
          </cell>
          <cell r="N31">
            <v>298</v>
          </cell>
          <cell r="O31">
            <v>436</v>
          </cell>
          <cell r="P31">
            <v>267</v>
          </cell>
          <cell r="Q31">
            <v>113</v>
          </cell>
          <cell r="R31">
            <v>183</v>
          </cell>
          <cell r="T31">
            <v>341</v>
          </cell>
          <cell r="U31">
            <v>134</v>
          </cell>
          <cell r="V31">
            <v>118</v>
          </cell>
          <cell r="W31">
            <v>129</v>
          </cell>
          <cell r="X31">
            <v>175</v>
          </cell>
          <cell r="Y31">
            <v>130</v>
          </cell>
          <cell r="Z31">
            <v>186</v>
          </cell>
          <cell r="AC31">
            <v>788.56049901258393</v>
          </cell>
          <cell r="AD31">
            <v>789</v>
          </cell>
          <cell r="AE31">
            <v>319</v>
          </cell>
          <cell r="AF31">
            <v>158</v>
          </cell>
          <cell r="AG31">
            <v>62</v>
          </cell>
          <cell r="AH31">
            <v>192</v>
          </cell>
        </row>
        <row r="32">
          <cell r="B32">
            <v>225</v>
          </cell>
          <cell r="E32">
            <v>225</v>
          </cell>
          <cell r="F32">
            <v>220</v>
          </cell>
          <cell r="G32">
            <v>236</v>
          </cell>
          <cell r="H32">
            <v>192</v>
          </cell>
          <cell r="I32">
            <v>169</v>
          </cell>
          <cell r="J32">
            <v>250</v>
          </cell>
          <cell r="K32">
            <v>223</v>
          </cell>
          <cell r="L32">
            <v>227</v>
          </cell>
          <cell r="M32">
            <v>168</v>
          </cell>
          <cell r="N32">
            <v>186</v>
          </cell>
          <cell r="O32">
            <v>252</v>
          </cell>
          <cell r="P32">
            <v>223</v>
          </cell>
          <cell r="Q32">
            <v>211</v>
          </cell>
          <cell r="R32">
            <v>254</v>
          </cell>
          <cell r="T32">
            <v>278</v>
          </cell>
          <cell r="U32">
            <v>258</v>
          </cell>
          <cell r="V32">
            <v>200</v>
          </cell>
          <cell r="W32">
            <v>204</v>
          </cell>
          <cell r="X32">
            <v>175</v>
          </cell>
          <cell r="Y32">
            <v>168</v>
          </cell>
          <cell r="Z32">
            <v>163</v>
          </cell>
          <cell r="AA32">
            <v>204</v>
          </cell>
          <cell r="AB32">
            <v>188</v>
          </cell>
          <cell r="AC32">
            <v>225</v>
          </cell>
          <cell r="AD32">
            <v>225</v>
          </cell>
          <cell r="AE32">
            <v>220</v>
          </cell>
          <cell r="AF32">
            <v>236</v>
          </cell>
          <cell r="AG32">
            <v>192</v>
          </cell>
          <cell r="AH32">
            <v>169</v>
          </cell>
        </row>
        <row r="33">
          <cell r="B33">
            <v>128</v>
          </cell>
          <cell r="E33">
            <v>128</v>
          </cell>
          <cell r="F33">
            <v>93</v>
          </cell>
          <cell r="G33">
            <v>85</v>
          </cell>
          <cell r="H33">
            <v>76</v>
          </cell>
          <cell r="I33">
            <v>67</v>
          </cell>
          <cell r="J33">
            <v>96</v>
          </cell>
          <cell r="K33">
            <v>80</v>
          </cell>
          <cell r="L33">
            <v>74</v>
          </cell>
          <cell r="M33">
            <v>72</v>
          </cell>
          <cell r="N33">
            <v>67</v>
          </cell>
          <cell r="O33">
            <v>98</v>
          </cell>
          <cell r="P33">
            <v>84</v>
          </cell>
          <cell r="Q33">
            <v>68</v>
          </cell>
          <cell r="R33">
            <v>70</v>
          </cell>
          <cell r="T33">
            <v>97</v>
          </cell>
          <cell r="U33">
            <v>84</v>
          </cell>
          <cell r="V33">
            <v>81</v>
          </cell>
          <cell r="W33">
            <v>71</v>
          </cell>
          <cell r="X33">
            <v>70</v>
          </cell>
          <cell r="Y33">
            <v>63</v>
          </cell>
          <cell r="Z33">
            <v>63</v>
          </cell>
          <cell r="AA33">
            <v>67</v>
          </cell>
          <cell r="AB33">
            <v>77</v>
          </cell>
          <cell r="AC33">
            <v>128</v>
          </cell>
          <cell r="AD33">
            <v>128</v>
          </cell>
          <cell r="AE33">
            <v>93</v>
          </cell>
          <cell r="AF33">
            <v>85</v>
          </cell>
          <cell r="AG33">
            <v>76</v>
          </cell>
          <cell r="AH33">
            <v>67</v>
          </cell>
        </row>
        <row r="34">
          <cell r="B34">
            <v>7224</v>
          </cell>
          <cell r="E34">
            <v>7224</v>
          </cell>
          <cell r="F34">
            <v>6368</v>
          </cell>
          <cell r="G34">
            <v>5698</v>
          </cell>
          <cell r="H34">
            <v>5696</v>
          </cell>
          <cell r="I34">
            <v>5620</v>
          </cell>
          <cell r="J34">
            <v>6598</v>
          </cell>
          <cell r="K34">
            <v>5901</v>
          </cell>
          <cell r="L34">
            <v>5874</v>
          </cell>
          <cell r="M34">
            <v>5984</v>
          </cell>
          <cell r="N34">
            <v>5655</v>
          </cell>
          <cell r="O34">
            <v>6430</v>
          </cell>
          <cell r="P34">
            <v>5864</v>
          </cell>
          <cell r="Q34">
            <v>5675</v>
          </cell>
          <cell r="R34">
            <v>5683</v>
          </cell>
          <cell r="T34">
            <v>6379</v>
          </cell>
          <cell r="U34">
            <v>5717</v>
          </cell>
          <cell r="V34">
            <v>5798</v>
          </cell>
          <cell r="W34">
            <v>5694</v>
          </cell>
          <cell r="X34">
            <v>5538</v>
          </cell>
          <cell r="Y34">
            <v>5400</v>
          </cell>
          <cell r="Z34">
            <v>5158</v>
          </cell>
          <cell r="AC34">
            <v>7223.560499012583</v>
          </cell>
          <cell r="AD34">
            <v>7224</v>
          </cell>
          <cell r="AE34">
            <v>6368</v>
          </cell>
          <cell r="AF34">
            <v>5698</v>
          </cell>
          <cell r="AG34">
            <v>5696</v>
          </cell>
          <cell r="AH34">
            <v>5620</v>
          </cell>
        </row>
        <row r="35">
          <cell r="B35">
            <v>1650</v>
          </cell>
          <cell r="E35">
            <v>1650</v>
          </cell>
          <cell r="F35">
            <v>1386</v>
          </cell>
          <cell r="G35">
            <v>1238</v>
          </cell>
          <cell r="H35">
            <v>1160</v>
          </cell>
          <cell r="I35">
            <v>1213</v>
          </cell>
          <cell r="J35">
            <v>1400</v>
          </cell>
          <cell r="K35">
            <v>1212</v>
          </cell>
          <cell r="L35">
            <v>1240</v>
          </cell>
          <cell r="M35">
            <v>1176</v>
          </cell>
          <cell r="N35">
            <v>1199</v>
          </cell>
          <cell r="O35">
            <v>1264</v>
          </cell>
          <cell r="P35">
            <v>1185</v>
          </cell>
          <cell r="Q35">
            <v>1222</v>
          </cell>
          <cell r="T35">
            <v>1278</v>
          </cell>
          <cell r="U35">
            <v>1208</v>
          </cell>
          <cell r="V35">
            <v>1184</v>
          </cell>
          <cell r="W35">
            <v>1236</v>
          </cell>
          <cell r="X35">
            <v>1110</v>
          </cell>
          <cell r="Y35">
            <v>1166</v>
          </cell>
          <cell r="Z35">
            <v>1031</v>
          </cell>
          <cell r="AA35">
            <v>1131</v>
          </cell>
          <cell r="AB35">
            <v>994</v>
          </cell>
          <cell r="AC35">
            <v>1650</v>
          </cell>
          <cell r="AD35">
            <v>1650</v>
          </cell>
          <cell r="AE35">
            <v>1386</v>
          </cell>
          <cell r="AF35">
            <v>1238</v>
          </cell>
          <cell r="AG35">
            <v>1160</v>
          </cell>
          <cell r="AH35">
            <v>1213</v>
          </cell>
        </row>
        <row r="36">
          <cell r="B36">
            <v>288</v>
          </cell>
          <cell r="E36">
            <v>288</v>
          </cell>
          <cell r="F36">
            <v>227</v>
          </cell>
          <cell r="G36">
            <v>211</v>
          </cell>
          <cell r="H36">
            <v>11</v>
          </cell>
          <cell r="I36">
            <v>10</v>
          </cell>
          <cell r="J36">
            <v>291</v>
          </cell>
          <cell r="K36">
            <v>173</v>
          </cell>
          <cell r="L36">
            <v>213</v>
          </cell>
          <cell r="M36">
            <v>375</v>
          </cell>
          <cell r="N36">
            <v>97</v>
          </cell>
          <cell r="O36">
            <v>306</v>
          </cell>
          <cell r="P36">
            <v>13</v>
          </cell>
          <cell r="Q36">
            <v>222</v>
          </cell>
          <cell r="R36">
            <v>379</v>
          </cell>
          <cell r="S36">
            <v>99</v>
          </cell>
          <cell r="T36">
            <v>34</v>
          </cell>
          <cell r="U36">
            <v>223</v>
          </cell>
          <cell r="V36">
            <v>16</v>
          </cell>
          <cell r="W36">
            <v>17</v>
          </cell>
          <cell r="X36">
            <v>123</v>
          </cell>
          <cell r="Y36">
            <v>146</v>
          </cell>
          <cell r="Z36">
            <v>138</v>
          </cell>
          <cell r="AC36">
            <v>0</v>
          </cell>
          <cell r="AD36">
            <v>288</v>
          </cell>
          <cell r="AE36">
            <v>227</v>
          </cell>
          <cell r="AF36">
            <v>211</v>
          </cell>
          <cell r="AG36">
            <v>11</v>
          </cell>
          <cell r="AH36">
            <v>10</v>
          </cell>
        </row>
        <row r="37">
          <cell r="B37">
            <v>2924</v>
          </cell>
          <cell r="E37">
            <v>2924</v>
          </cell>
          <cell r="F37">
            <v>2045</v>
          </cell>
          <cell r="G37">
            <v>1649</v>
          </cell>
          <cell r="H37">
            <v>1731</v>
          </cell>
          <cell r="I37">
            <v>2056</v>
          </cell>
          <cell r="J37">
            <v>2124</v>
          </cell>
          <cell r="K37">
            <v>1932</v>
          </cell>
          <cell r="L37">
            <v>1590</v>
          </cell>
          <cell r="M37">
            <v>1699</v>
          </cell>
          <cell r="N37">
            <v>2046</v>
          </cell>
          <cell r="O37">
            <v>2088</v>
          </cell>
          <cell r="P37">
            <v>2027</v>
          </cell>
          <cell r="Q37">
            <v>1562</v>
          </cell>
          <cell r="R37">
            <v>1669</v>
          </cell>
          <cell r="S37">
            <v>2272</v>
          </cell>
          <cell r="T37">
            <v>2208</v>
          </cell>
          <cell r="U37">
            <v>1710</v>
          </cell>
          <cell r="V37">
            <v>1708</v>
          </cell>
          <cell r="W37">
            <v>2054</v>
          </cell>
          <cell r="X37">
            <v>2391</v>
          </cell>
          <cell r="Y37">
            <v>2299</v>
          </cell>
          <cell r="Z37">
            <v>2317</v>
          </cell>
          <cell r="AC37">
            <v>4043</v>
          </cell>
          <cell r="AD37">
            <v>2924</v>
          </cell>
          <cell r="AE37">
            <v>2045</v>
          </cell>
          <cell r="AF37">
            <v>1649</v>
          </cell>
          <cell r="AG37">
            <v>1731</v>
          </cell>
          <cell r="AH37">
            <v>2056</v>
          </cell>
        </row>
        <row r="38">
          <cell r="B38">
            <v>3212</v>
          </cell>
          <cell r="C38">
            <v>2004</v>
          </cell>
          <cell r="D38">
            <v>2204</v>
          </cell>
          <cell r="E38">
            <v>3212</v>
          </cell>
          <cell r="F38">
            <v>2272</v>
          </cell>
          <cell r="G38">
            <v>1860</v>
          </cell>
          <cell r="H38">
            <v>1742</v>
          </cell>
          <cell r="I38">
            <v>2066</v>
          </cell>
          <cell r="J38">
            <v>2800</v>
          </cell>
          <cell r="K38">
            <v>2105</v>
          </cell>
          <cell r="L38">
            <v>1803</v>
          </cell>
          <cell r="M38">
            <v>2074</v>
          </cell>
          <cell r="N38">
            <v>2143</v>
          </cell>
          <cell r="O38">
            <v>2394</v>
          </cell>
          <cell r="P38">
            <v>2040</v>
          </cell>
          <cell r="Q38">
            <v>1784</v>
          </cell>
          <cell r="R38">
            <v>2048</v>
          </cell>
          <cell r="S38">
            <v>2371</v>
          </cell>
          <cell r="T38">
            <v>2242</v>
          </cell>
          <cell r="U38">
            <v>1933</v>
          </cell>
          <cell r="V38">
            <v>1724</v>
          </cell>
          <cell r="W38">
            <v>2071</v>
          </cell>
          <cell r="X38">
            <v>2514</v>
          </cell>
          <cell r="Y38">
            <v>2445</v>
          </cell>
          <cell r="Z38">
            <v>2455</v>
          </cell>
          <cell r="AA38">
            <v>0</v>
          </cell>
          <cell r="AB38">
            <v>0</v>
          </cell>
          <cell r="AC38">
            <v>4043</v>
          </cell>
          <cell r="AD38">
            <v>3212</v>
          </cell>
          <cell r="AE38">
            <v>2272</v>
          </cell>
          <cell r="AF38">
            <v>1860</v>
          </cell>
          <cell r="AG38">
            <v>1742</v>
          </cell>
          <cell r="AH38">
            <v>2066</v>
          </cell>
        </row>
        <row r="39">
          <cell r="B39">
            <v>4019.52</v>
          </cell>
          <cell r="C39">
            <v>2880</v>
          </cell>
          <cell r="D39">
            <v>2800</v>
          </cell>
          <cell r="E39">
            <v>4019.52</v>
          </cell>
          <cell r="F39">
            <v>3792</v>
          </cell>
          <cell r="G39">
            <v>3448</v>
          </cell>
          <cell r="H39">
            <v>3400</v>
          </cell>
          <cell r="I39">
            <v>2752</v>
          </cell>
          <cell r="J39">
            <v>3792</v>
          </cell>
          <cell r="K39">
            <v>3792</v>
          </cell>
          <cell r="L39">
            <v>3400</v>
          </cell>
          <cell r="M39">
            <v>2984</v>
          </cell>
          <cell r="N39">
            <v>2744</v>
          </cell>
          <cell r="O39">
            <v>3792</v>
          </cell>
          <cell r="P39">
            <v>3792</v>
          </cell>
          <cell r="Q39">
            <v>3400</v>
          </cell>
          <cell r="R39">
            <v>2984</v>
          </cell>
          <cell r="S39">
            <v>2744</v>
          </cell>
          <cell r="T39">
            <v>3792</v>
          </cell>
          <cell r="U39">
            <v>3448</v>
          </cell>
          <cell r="V39">
            <v>3400</v>
          </cell>
          <cell r="W39">
            <v>2984</v>
          </cell>
          <cell r="X39">
            <v>2744</v>
          </cell>
          <cell r="Y39">
            <v>2752</v>
          </cell>
          <cell r="Z39">
            <v>2744</v>
          </cell>
          <cell r="AC39">
            <v>4300.8864000000003</v>
          </cell>
          <cell r="AD39">
            <v>4019.52</v>
          </cell>
          <cell r="AE39">
            <v>3792</v>
          </cell>
          <cell r="AF39">
            <v>3448</v>
          </cell>
          <cell r="AG39">
            <v>3400</v>
          </cell>
          <cell r="AH39">
            <v>2984</v>
          </cell>
        </row>
        <row r="40">
          <cell r="B40">
            <v>7231.52</v>
          </cell>
          <cell r="C40">
            <v>4884</v>
          </cell>
          <cell r="D40">
            <v>5004</v>
          </cell>
          <cell r="E40">
            <v>7231.52</v>
          </cell>
          <cell r="F40">
            <v>6064</v>
          </cell>
          <cell r="G40">
            <v>5308</v>
          </cell>
          <cell r="H40">
            <v>5142</v>
          </cell>
          <cell r="I40">
            <v>4818</v>
          </cell>
          <cell r="J40">
            <v>6592</v>
          </cell>
          <cell r="K40">
            <v>5897</v>
          </cell>
          <cell r="L40">
            <v>5203</v>
          </cell>
          <cell r="M40">
            <v>5058</v>
          </cell>
          <cell r="N40">
            <v>4887</v>
          </cell>
          <cell r="O40">
            <v>6186</v>
          </cell>
          <cell r="P40">
            <v>5832</v>
          </cell>
          <cell r="Q40">
            <v>5184</v>
          </cell>
          <cell r="R40">
            <v>5032</v>
          </cell>
          <cell r="S40">
            <v>5115</v>
          </cell>
          <cell r="T40">
            <v>6034</v>
          </cell>
          <cell r="U40">
            <v>5381</v>
          </cell>
          <cell r="V40">
            <v>5124</v>
          </cell>
          <cell r="W40">
            <v>5055</v>
          </cell>
          <cell r="X40">
            <v>5258</v>
          </cell>
          <cell r="Y40">
            <v>5197</v>
          </cell>
          <cell r="Z40">
            <v>5199</v>
          </cell>
          <cell r="AC40">
            <v>8343.8863999999994</v>
          </cell>
          <cell r="AD40">
            <v>7231.52</v>
          </cell>
          <cell r="AE40">
            <v>6064</v>
          </cell>
          <cell r="AF40">
            <v>5308</v>
          </cell>
          <cell r="AG40">
            <v>5142</v>
          </cell>
          <cell r="AH40">
            <v>5050</v>
          </cell>
        </row>
        <row r="41">
          <cell r="B41">
            <v>6442.52</v>
          </cell>
          <cell r="C41">
            <v>4775</v>
          </cell>
          <cell r="D41">
            <v>4895</v>
          </cell>
          <cell r="E41">
            <v>6442.52</v>
          </cell>
          <cell r="F41">
            <v>5745</v>
          </cell>
          <cell r="G41">
            <v>5150</v>
          </cell>
          <cell r="H41">
            <v>5080</v>
          </cell>
          <cell r="I41">
            <v>4626</v>
          </cell>
          <cell r="J41">
            <v>6085</v>
          </cell>
          <cell r="K41">
            <v>5626</v>
          </cell>
          <cell r="L41">
            <v>4940</v>
          </cell>
          <cell r="M41">
            <v>4671</v>
          </cell>
          <cell r="N41">
            <v>4589</v>
          </cell>
          <cell r="O41">
            <v>5750</v>
          </cell>
          <cell r="P41">
            <v>5565</v>
          </cell>
          <cell r="Q41">
            <v>5071</v>
          </cell>
          <cell r="R41">
            <v>4849</v>
          </cell>
          <cell r="S41">
            <v>5115</v>
          </cell>
          <cell r="T41">
            <v>5693</v>
          </cell>
          <cell r="U41">
            <v>5247</v>
          </cell>
          <cell r="V41">
            <v>5006</v>
          </cell>
          <cell r="W41">
            <v>4926</v>
          </cell>
          <cell r="X41">
            <v>5083</v>
          </cell>
          <cell r="Y41">
            <v>5067</v>
          </cell>
          <cell r="Z41">
            <v>5013</v>
          </cell>
          <cell r="AC41">
            <v>7555.3259009874155</v>
          </cell>
          <cell r="AD41">
            <v>6442.52</v>
          </cell>
          <cell r="AE41">
            <v>5745</v>
          </cell>
          <cell r="AF41">
            <v>5150</v>
          </cell>
          <cell r="AG41">
            <v>5080</v>
          </cell>
          <cell r="AH41">
            <v>4858</v>
          </cell>
        </row>
        <row r="42">
          <cell r="B42">
            <v>1141</v>
          </cell>
          <cell r="C42">
            <v>15573</v>
          </cell>
          <cell r="D42">
            <v>8091</v>
          </cell>
          <cell r="E42">
            <v>1141</v>
          </cell>
          <cell r="F42">
            <v>1452</v>
          </cell>
          <cell r="G42">
            <v>1449</v>
          </cell>
          <cell r="H42">
            <v>1595</v>
          </cell>
          <cell r="I42">
            <v>1120</v>
          </cell>
          <cell r="J42">
            <v>1422</v>
          </cell>
          <cell r="K42">
            <v>1328</v>
          </cell>
          <cell r="L42">
            <v>1600</v>
          </cell>
          <cell r="M42">
            <v>1514</v>
          </cell>
          <cell r="N42">
            <v>1003</v>
          </cell>
          <cell r="O42">
            <v>1457</v>
          </cell>
          <cell r="P42">
            <v>1405</v>
          </cell>
          <cell r="Q42">
            <v>1547</v>
          </cell>
          <cell r="R42">
            <v>1273</v>
          </cell>
          <cell r="S42">
            <v>830</v>
          </cell>
          <cell r="T42">
            <v>1459</v>
          </cell>
          <cell r="U42">
            <v>1330</v>
          </cell>
          <cell r="V42">
            <v>1708</v>
          </cell>
          <cell r="W42">
            <v>1192</v>
          </cell>
          <cell r="X42">
            <v>690</v>
          </cell>
          <cell r="Y42">
            <v>594</v>
          </cell>
          <cell r="Z42">
            <v>533</v>
          </cell>
          <cell r="AC42">
            <v>1767.9</v>
          </cell>
          <cell r="AD42">
            <v>1141</v>
          </cell>
          <cell r="AE42">
            <v>1452</v>
          </cell>
          <cell r="AF42">
            <v>1449</v>
          </cell>
          <cell r="AG42">
            <v>1595</v>
          </cell>
          <cell r="AH42">
            <v>1120</v>
          </cell>
        </row>
        <row r="43">
          <cell r="B43">
            <v>4353</v>
          </cell>
          <cell r="C43">
            <v>17577</v>
          </cell>
          <cell r="D43">
            <v>10295</v>
          </cell>
          <cell r="E43">
            <v>4353</v>
          </cell>
          <cell r="F43">
            <v>3724</v>
          </cell>
          <cell r="G43">
            <v>3309</v>
          </cell>
          <cell r="H43">
            <v>3337</v>
          </cell>
          <cell r="I43">
            <v>3186</v>
          </cell>
          <cell r="J43">
            <v>4222</v>
          </cell>
          <cell r="K43">
            <v>3433</v>
          </cell>
          <cell r="L43">
            <v>3403</v>
          </cell>
          <cell r="M43">
            <v>3588</v>
          </cell>
          <cell r="N43">
            <v>3146</v>
          </cell>
          <cell r="O43">
            <v>3851</v>
          </cell>
          <cell r="P43">
            <v>3445</v>
          </cell>
          <cell r="Q43">
            <v>3331</v>
          </cell>
          <cell r="R43">
            <v>3321</v>
          </cell>
          <cell r="S43">
            <v>3201</v>
          </cell>
          <cell r="T43">
            <v>3701</v>
          </cell>
          <cell r="U43">
            <v>3263</v>
          </cell>
          <cell r="V43">
            <v>3432</v>
          </cell>
          <cell r="W43">
            <v>3263</v>
          </cell>
          <cell r="X43">
            <v>3204</v>
          </cell>
          <cell r="Y43">
            <v>3039</v>
          </cell>
          <cell r="Z43">
            <v>2988</v>
          </cell>
          <cell r="AA43">
            <v>0</v>
          </cell>
          <cell r="AB43">
            <v>0</v>
          </cell>
          <cell r="AC43">
            <v>5810.9</v>
          </cell>
          <cell r="AD43">
            <v>4353</v>
          </cell>
          <cell r="AE43">
            <v>3724</v>
          </cell>
          <cell r="AF43">
            <v>3309</v>
          </cell>
          <cell r="AG43">
            <v>3337</v>
          </cell>
          <cell r="AH43">
            <v>3186</v>
          </cell>
        </row>
        <row r="44">
          <cell r="B44">
            <v>8372.52</v>
          </cell>
          <cell r="C44">
            <v>20457</v>
          </cell>
          <cell r="D44">
            <v>13095</v>
          </cell>
          <cell r="E44">
            <v>8372.52</v>
          </cell>
          <cell r="F44">
            <v>7516</v>
          </cell>
          <cell r="G44">
            <v>6757</v>
          </cell>
          <cell r="H44">
            <v>6737</v>
          </cell>
          <cell r="I44">
            <v>5938</v>
          </cell>
          <cell r="J44">
            <v>8014</v>
          </cell>
          <cell r="K44">
            <v>7225</v>
          </cell>
          <cell r="L44">
            <v>6803</v>
          </cell>
          <cell r="M44">
            <v>6572</v>
          </cell>
          <cell r="N44">
            <v>5890</v>
          </cell>
          <cell r="O44">
            <v>7643</v>
          </cell>
          <cell r="P44">
            <v>7237</v>
          </cell>
          <cell r="Q44">
            <v>6731</v>
          </cell>
          <cell r="R44">
            <v>6305</v>
          </cell>
          <cell r="S44">
            <v>5945</v>
          </cell>
          <cell r="T44">
            <v>7493</v>
          </cell>
          <cell r="U44">
            <v>6711</v>
          </cell>
          <cell r="V44">
            <v>6832</v>
          </cell>
          <cell r="W44">
            <v>6247</v>
          </cell>
          <cell r="X44">
            <v>5948</v>
          </cell>
          <cell r="Y44">
            <v>5791</v>
          </cell>
          <cell r="Z44">
            <v>5732</v>
          </cell>
          <cell r="AA44">
            <v>0</v>
          </cell>
          <cell r="AB44">
            <v>0</v>
          </cell>
          <cell r="AC44">
            <v>10111.786400000001</v>
          </cell>
          <cell r="AD44">
            <v>8372.52</v>
          </cell>
          <cell r="AE44">
            <v>7516</v>
          </cell>
          <cell r="AF44">
            <v>6757</v>
          </cell>
          <cell r="AG44">
            <v>6737</v>
          </cell>
          <cell r="AH44">
            <v>6170</v>
          </cell>
        </row>
        <row r="46">
          <cell r="B46">
            <v>0.25374423963133641</v>
          </cell>
          <cell r="C46">
            <v>1</v>
          </cell>
          <cell r="D46">
            <v>1</v>
          </cell>
          <cell r="E46">
            <v>0.2440220723482526</v>
          </cell>
          <cell r="F46">
            <v>0.24403183023872679</v>
          </cell>
          <cell r="G46">
            <v>0.24042773370127629</v>
          </cell>
          <cell r="H46">
            <v>0.23662477558348294</v>
          </cell>
          <cell r="J46">
            <v>0.26287051482059282</v>
          </cell>
          <cell r="K46">
            <v>0.26777875329236173</v>
          </cell>
          <cell r="L46">
            <v>0.25144895229603209</v>
          </cell>
          <cell r="M46">
            <v>0.24736117485084902</v>
          </cell>
          <cell r="O46">
            <v>0.25517532741867344</v>
          </cell>
          <cell r="P46">
            <v>0.26168652612282312</v>
          </cell>
          <cell r="Q46">
            <v>0.24105898745935903</v>
          </cell>
          <cell r="R46">
            <v>0.24121328839672604</v>
          </cell>
          <cell r="S46">
            <v>0.24225206611570249</v>
          </cell>
          <cell r="T46">
            <v>0.25596041385515067</v>
          </cell>
          <cell r="U46">
            <v>0.26378896882494007</v>
          </cell>
          <cell r="V46">
            <v>0.24634858812074001</v>
          </cell>
          <cell r="W46">
            <v>0.24314720812182741</v>
          </cell>
          <cell r="X46">
            <v>0.2386237513873474</v>
          </cell>
          <cell r="Y46">
            <v>0.24664770418529053</v>
          </cell>
          <cell r="Z46">
            <v>0.2563968668407311</v>
          </cell>
          <cell r="AA46">
            <v>0.24050294275013376</v>
          </cell>
          <cell r="AB46">
            <v>0.25702454895001481</v>
          </cell>
          <cell r="AC46">
            <v>0.25474423963133641</v>
          </cell>
          <cell r="AF46">
            <v>0.24376938710022461</v>
          </cell>
          <cell r="AG46">
            <v>0.24170458328709354</v>
          </cell>
          <cell r="AH46">
            <v>0.24379474940334128</v>
          </cell>
        </row>
        <row r="47">
          <cell r="B47">
            <v>0.12346390168970814</v>
          </cell>
          <cell r="C47">
            <v>0</v>
          </cell>
          <cell r="D47">
            <v>0</v>
          </cell>
          <cell r="E47">
            <v>0.14285714285714285</v>
          </cell>
          <cell r="F47">
            <v>0.13494694960212203</v>
          </cell>
          <cell r="G47">
            <v>0.12901000344946534</v>
          </cell>
          <cell r="H47">
            <v>0.12028725314183124</v>
          </cell>
          <cell r="J47">
            <v>0.10647425897035881</v>
          </cell>
          <cell r="K47">
            <v>0.12247585601404741</v>
          </cell>
          <cell r="L47">
            <v>0.12082032991529201</v>
          </cell>
          <cell r="M47">
            <v>0.11977971546581001</v>
          </cell>
          <cell r="O47">
            <v>0.12927756653992395</v>
          </cell>
          <cell r="P47">
            <v>0.13336388634280477</v>
          </cell>
          <cell r="Q47">
            <v>0.12169066418950301</v>
          </cell>
          <cell r="R47">
            <v>0.1203659123736158</v>
          </cell>
          <cell r="S47">
            <v>0.11363636363636363</v>
          </cell>
          <cell r="T47">
            <v>0.12325686009896536</v>
          </cell>
          <cell r="U47">
            <v>0.12853717026378897</v>
          </cell>
          <cell r="V47">
            <v>0.12463485881207401</v>
          </cell>
          <cell r="W47">
            <v>0.12588832487309645</v>
          </cell>
          <cell r="X47">
            <v>0.12153163152053274</v>
          </cell>
          <cell r="Y47">
            <v>0.12393336042259244</v>
          </cell>
          <cell r="Z47">
            <v>0.12532637075718014</v>
          </cell>
          <cell r="AA47">
            <v>0.11182450508293205</v>
          </cell>
          <cell r="AB47">
            <v>0.12658976634131913</v>
          </cell>
          <cell r="AC47">
            <v>0.12446390168970814</v>
          </cell>
          <cell r="AF47">
            <v>0.12044068884372661</v>
          </cell>
          <cell r="AG47">
            <v>0.11352791033181667</v>
          </cell>
          <cell r="AH47">
            <v>0.11276849642004773</v>
          </cell>
        </row>
        <row r="48">
          <cell r="B48">
            <v>0.23055299539170507</v>
          </cell>
          <cell r="C48">
            <v>1.0992651798375661</v>
          </cell>
          <cell r="D48">
            <v>1.0966868634781488</v>
          </cell>
          <cell r="E48">
            <v>0.19485285101164929</v>
          </cell>
          <cell r="F48">
            <v>0.20142572944297082</v>
          </cell>
          <cell r="G48">
            <v>0.21067609520524319</v>
          </cell>
          <cell r="H48">
            <v>0.15448833034111312</v>
          </cell>
          <cell r="J48">
            <v>0.25292511700468018</v>
          </cell>
          <cell r="K48">
            <v>0.24517120280948201</v>
          </cell>
          <cell r="L48">
            <v>0.22748551047703969</v>
          </cell>
          <cell r="M48">
            <v>0.21948141349242772</v>
          </cell>
          <cell r="O48">
            <v>0.22708069286016055</v>
          </cell>
          <cell r="P48">
            <v>0.23350137488542622</v>
          </cell>
          <cell r="Q48">
            <v>0.22027403622851835</v>
          </cell>
          <cell r="R48">
            <v>0.21389022628791526</v>
          </cell>
          <cell r="S48">
            <v>0.22146177685950413</v>
          </cell>
          <cell r="T48">
            <v>0.23639226270805219</v>
          </cell>
          <cell r="U48">
            <v>0.23441247002398083</v>
          </cell>
          <cell r="V48">
            <v>0.22066699123661149</v>
          </cell>
          <cell r="W48">
            <v>0.21281725888324873</v>
          </cell>
          <cell r="X48">
            <v>0.21295782463928967</v>
          </cell>
          <cell r="Y48">
            <v>0.20885818772856563</v>
          </cell>
          <cell r="Z48">
            <v>0.22075718015665796</v>
          </cell>
          <cell r="AA48">
            <v>0.22298020331728197</v>
          </cell>
          <cell r="AB48">
            <v>0.22789115646258504</v>
          </cell>
          <cell r="AC48">
            <v>0.25624957968544287</v>
          </cell>
          <cell r="AF48">
            <v>0.219595678682212</v>
          </cell>
          <cell r="AG48">
            <v>0.22505826212407057</v>
          </cell>
          <cell r="AH48">
            <v>0.2233890214797136</v>
          </cell>
        </row>
        <row r="49">
          <cell r="B49">
            <v>5.2803379416282645E-2</v>
          </cell>
          <cell r="C49">
            <v>3.8674745391259507E-2</v>
          </cell>
          <cell r="D49">
            <v>3.2228954492716254E-2</v>
          </cell>
          <cell r="E49">
            <v>-9.8099325567136721E-3</v>
          </cell>
          <cell r="F49">
            <v>-1.2931034482758621E-2</v>
          </cell>
          <cell r="G49">
            <v>-2.8285615729561918E-2</v>
          </cell>
          <cell r="H49">
            <v>1.7594254937163375E-2</v>
          </cell>
          <cell r="J49">
            <v>0.1267550702028081</v>
          </cell>
          <cell r="K49">
            <v>0.1189640035118525</v>
          </cell>
          <cell r="L49">
            <v>0.11190370040124833</v>
          </cell>
          <cell r="M49">
            <v>9.6374483708122988E-2</v>
          </cell>
          <cell r="O49">
            <v>2.0701309674693705E-2</v>
          </cell>
          <cell r="P49">
            <v>5.3162236480293307E-2</v>
          </cell>
          <cell r="Q49">
            <v>9.5215977705527172E-2</v>
          </cell>
          <cell r="R49">
            <v>3.9961482908040441E-2</v>
          </cell>
          <cell r="S49">
            <v>6.5082644628099179E-2</v>
          </cell>
          <cell r="T49">
            <v>9.3567251461988299E-2</v>
          </cell>
          <cell r="U49">
            <v>9.2565947242206237E-2</v>
          </cell>
          <cell r="V49">
            <v>6.4264849074975663E-2</v>
          </cell>
          <cell r="W49">
            <v>4.3654822335025378E-2</v>
          </cell>
          <cell r="X49">
            <v>9.433962264150943E-3</v>
          </cell>
          <cell r="Y49">
            <v>-1.8691588785046728E-2</v>
          </cell>
          <cell r="Z49">
            <v>7.7806788511749353E-2</v>
          </cell>
          <cell r="AA49">
            <v>3.8255751738897809E-2</v>
          </cell>
          <cell r="AB49">
            <v>6.6548358473824315E-2</v>
          </cell>
          <cell r="AC49">
            <v>4.3241509030991949E-2</v>
          </cell>
          <cell r="AF49">
            <v>5.4123435661568083E-2</v>
          </cell>
          <cell r="AG49">
            <v>4.7497503051825547E-2</v>
          </cell>
          <cell r="AH49">
            <v>4.6539379474940336E-2</v>
          </cell>
        </row>
        <row r="50">
          <cell r="B50">
            <v>0.13028033794162827</v>
          </cell>
          <cell r="E50">
            <v>0.10116492949110975</v>
          </cell>
          <cell r="F50">
            <v>0.10908488063660478</v>
          </cell>
          <cell r="AC50">
            <v>0.15472380448813935</v>
          </cell>
          <cell r="AF50">
            <v>0.12332869825649802</v>
          </cell>
        </row>
        <row r="51">
          <cell r="B51">
            <v>5.1887945452206354</v>
          </cell>
          <cell r="E51">
            <v>4.1443633414436336</v>
          </cell>
          <cell r="F51">
            <v>3.4618969298245617</v>
          </cell>
          <cell r="G51">
            <v>3.2944482288828336</v>
          </cell>
          <cell r="H51">
            <v>3.1761523988711193</v>
          </cell>
          <cell r="J51">
            <v>4.6832010582010586</v>
          </cell>
          <cell r="K51">
            <v>4.4859112709832134</v>
          </cell>
          <cell r="M51">
            <v>3.7557164634146338</v>
          </cell>
          <cell r="O51">
            <v>5.0464407260351676</v>
          </cell>
          <cell r="P51">
            <v>4.7579143389199263</v>
          </cell>
          <cell r="R51">
            <v>4.0819321065989849</v>
          </cell>
          <cell r="S51">
            <v>2.1770620313565101</v>
          </cell>
          <cell r="T51">
            <v>5.2410822249093103</v>
          </cell>
          <cell r="U51">
            <v>5.0232084690553744</v>
          </cell>
          <cell r="V51">
            <v>4.6273417312661493</v>
          </cell>
          <cell r="W51">
            <v>4.2228370221327962</v>
          </cell>
          <cell r="X51">
            <v>4.422831632653061</v>
          </cell>
          <cell r="Y51">
            <v>3.1007281553398061</v>
          </cell>
          <cell r="Z51">
            <v>4.4856039325842696</v>
          </cell>
          <cell r="AB51" t="e">
            <v>#DIV/0!</v>
          </cell>
          <cell r="AC51">
            <v>5.5301564716149025</v>
          </cell>
          <cell r="AF51">
            <v>4.1559405940594063</v>
          </cell>
          <cell r="AG51">
            <v>3.8193326503731893</v>
          </cell>
          <cell r="AH51">
            <v>3.7438851191415496</v>
          </cell>
        </row>
        <row r="52">
          <cell r="B52">
            <v>7.7968990015360982</v>
          </cell>
          <cell r="E52">
            <v>6.6437385039852845</v>
          </cell>
          <cell r="F52">
            <v>6.701550066312997</v>
          </cell>
          <cell r="G52">
            <v>7.2867799241117623</v>
          </cell>
          <cell r="H52">
            <v>5.8976660682226214</v>
          </cell>
          <cell r="J52">
            <v>8.9328198127925127</v>
          </cell>
          <cell r="K52">
            <v>8.9327260755048279</v>
          </cell>
          <cell r="M52">
            <v>6.9306447911886186</v>
          </cell>
          <cell r="O52">
            <v>10.215990705534432</v>
          </cell>
          <cell r="P52">
            <v>10.057573327222732</v>
          </cell>
          <cell r="R52">
            <v>10.060784785748675</v>
          </cell>
          <cell r="S52">
            <v>4.1241606404958677</v>
          </cell>
          <cell r="T52">
            <v>10.220985155195681</v>
          </cell>
          <cell r="U52">
            <v>10.809952038369305</v>
          </cell>
          <cell r="V52">
            <v>8.7074001947419681</v>
          </cell>
          <cell r="W52">
            <v>8.6386421319796955</v>
          </cell>
          <cell r="X52">
            <v>8.6844478357380694</v>
          </cell>
          <cell r="Y52">
            <v>6.1364790735473385</v>
          </cell>
          <cell r="Z52">
            <v>8.3625979112271551</v>
          </cell>
          <cell r="AB52" t="e">
            <v>#DIV/0!</v>
          </cell>
          <cell r="AC52">
            <v>7.2446149796678609</v>
          </cell>
          <cell r="AF52">
            <v>8.3549042678361314</v>
          </cell>
          <cell r="AG52">
            <v>7.3113416934857396</v>
          </cell>
          <cell r="AH52">
            <v>7.339200477326969</v>
          </cell>
        </row>
        <row r="53">
          <cell r="B53">
            <v>71.281358548822837</v>
          </cell>
          <cell r="E53">
            <v>56.429947283049472</v>
          </cell>
          <cell r="F53">
            <v>51.988486842105267</v>
          </cell>
          <cell r="G53">
            <v>51.343664850136243</v>
          </cell>
          <cell r="H53">
            <v>50.131702728127941</v>
          </cell>
          <cell r="J53">
            <v>64.30952380952381</v>
          </cell>
          <cell r="K53">
            <v>65.5654226618705</v>
          </cell>
          <cell r="M53">
            <v>61.399009146341463</v>
          </cell>
          <cell r="O53">
            <v>65.784883720930225</v>
          </cell>
          <cell r="P53">
            <v>67.771958410924896</v>
          </cell>
          <cell r="R53">
            <v>35.782043147208121</v>
          </cell>
          <cell r="S53">
            <v>34.5219836400818</v>
          </cell>
          <cell r="T53">
            <v>73.485489721886339</v>
          </cell>
          <cell r="U53">
            <v>72.70276872964169</v>
          </cell>
          <cell r="V53">
            <v>69.085917312661493</v>
          </cell>
          <cell r="W53">
            <v>74.940057008718981</v>
          </cell>
          <cell r="X53">
            <v>75.686953352769677</v>
          </cell>
          <cell r="Y53">
            <v>54.065871089536138</v>
          </cell>
          <cell r="Z53">
            <v>64.881056882022477</v>
          </cell>
          <cell r="AB53" t="e">
            <v>#DIV/0!</v>
          </cell>
          <cell r="AC53">
            <v>71.28717326691087</v>
          </cell>
          <cell r="AF53">
            <v>61.900282885431402</v>
          </cell>
          <cell r="AG53">
            <v>63.379555100248794</v>
          </cell>
          <cell r="AH53">
            <v>68.513097680290358</v>
          </cell>
        </row>
        <row r="57">
          <cell r="B57" t="str">
            <v>Baa2↓/BBB-/BBB-</v>
          </cell>
          <cell r="C57" t="str">
            <v>BB+/Ba1</v>
          </cell>
          <cell r="D57" t="str">
            <v>BB+/Ba1</v>
          </cell>
          <cell r="E57" t="str">
            <v>Baa2↓/BBB-/BBB-</v>
          </cell>
          <cell r="F57" t="str">
            <v>Baa2/BBB/BBB</v>
          </cell>
          <cell r="G57" t="str">
            <v>Baa3/BBB-</v>
          </cell>
          <cell r="H57" t="str">
            <v>Ba1/BB+</v>
          </cell>
          <cell r="J57" t="str">
            <v>Baa2/BBB/BBB</v>
          </cell>
          <cell r="K57" t="str">
            <v>Baa2/BBB/BBB</v>
          </cell>
          <cell r="L57" t="str">
            <v>Baa3/BBB-</v>
          </cell>
          <cell r="M57" t="str">
            <v>Ba1/BB+</v>
          </cell>
          <cell r="O57" t="str">
            <v>Baa2/BBB/BBB</v>
          </cell>
          <cell r="P57" t="str">
            <v>Baa2/BBB/BBB</v>
          </cell>
          <cell r="Q57" t="str">
            <v>Baa3/BBB-</v>
          </cell>
          <cell r="R57" t="str">
            <v>Ba1/BB</v>
          </cell>
          <cell r="T57" t="str">
            <v>Baa2/BBB/BBB</v>
          </cell>
          <cell r="U57" t="str">
            <v>Baa3/BBB/BBB</v>
          </cell>
          <cell r="V57" t="str">
            <v>Baa3/BBB-</v>
          </cell>
          <cell r="W57" t="str">
            <v>Baa3/BBB-</v>
          </cell>
          <cell r="X57" t="str">
            <v>Ba1/BB+</v>
          </cell>
          <cell r="Y57" t="str">
            <v>Ba1/BB+</v>
          </cell>
          <cell r="Z57" t="str">
            <v>Ba1/BB</v>
          </cell>
          <cell r="AB57" t="str">
            <v>Ba1/BB</v>
          </cell>
          <cell r="AF57" t="str">
            <v>Baa3/BBB- *+/BBB</v>
          </cell>
          <cell r="AG57" t="str">
            <v>Baa3/BBB-</v>
          </cell>
          <cell r="AH57" t="str">
            <v>Ba1/BB</v>
          </cell>
        </row>
        <row r="58">
          <cell r="B58">
            <v>1.6914165350184307</v>
          </cell>
          <cell r="C58">
            <v>0.24537773968409451</v>
          </cell>
          <cell r="D58">
            <v>0.27019737648645337</v>
          </cell>
          <cell r="E58">
            <v>1.6914165350184307</v>
          </cell>
          <cell r="F58">
            <v>1.3049971280873061</v>
          </cell>
          <cell r="G58">
            <v>1.1467324290998766</v>
          </cell>
          <cell r="H58">
            <v>1.3441358024691359</v>
          </cell>
          <cell r="J58">
            <v>1.5176151761517616</v>
          </cell>
          <cell r="K58">
            <v>1.227405247813411</v>
          </cell>
          <cell r="L58" t="e">
            <v>#DIV/0!</v>
          </cell>
          <cell r="M58">
            <v>1.3467532467532468</v>
          </cell>
          <cell r="O58">
            <v>1.3641025641025641</v>
          </cell>
          <cell r="P58">
            <v>1.2150089338892198</v>
          </cell>
          <cell r="Q58">
            <v>1.2119565217391304</v>
          </cell>
          <cell r="R58">
            <v>1.4586894586894588</v>
          </cell>
          <cell r="S58">
            <v>1.7281341107871719</v>
          </cell>
          <cell r="T58">
            <v>1.2982049797336421</v>
          </cell>
          <cell r="U58" t="e">
            <v>#DIV/0!</v>
          </cell>
          <cell r="V58">
            <v>1.2420749279538905</v>
          </cell>
          <cell r="W58">
            <v>1.5881901840490797</v>
          </cell>
          <cell r="X58">
            <v>2.1090604026845639</v>
          </cell>
          <cell r="Y58">
            <v>1.4281542056074767</v>
          </cell>
          <cell r="Z58">
            <v>1.8212166172106825</v>
          </cell>
          <cell r="AA58" t="e">
            <v>#DIV/0!</v>
          </cell>
          <cell r="AB58" t="e">
            <v>#DIV/0!</v>
          </cell>
          <cell r="AC58">
            <v>1.7078989921607701</v>
          </cell>
          <cell r="AF58">
            <v>1.1467324290998766</v>
          </cell>
          <cell r="AG58">
            <v>1.0867124142233313</v>
          </cell>
          <cell r="AH58">
            <v>1.3782521681120747</v>
          </cell>
        </row>
        <row r="59">
          <cell r="B59">
            <v>3.0113265374108868</v>
          </cell>
          <cell r="C59">
            <v>0.57276885188225635</v>
          </cell>
          <cell r="D59">
            <v>0.58822146467614911</v>
          </cell>
          <cell r="E59">
            <v>3.0113265374108868</v>
          </cell>
          <cell r="F59">
            <v>2.7376975169300226</v>
          </cell>
          <cell r="G59">
            <v>2.5854846566000975</v>
          </cell>
          <cell r="H59">
            <v>2.9877977919814063</v>
          </cell>
          <cell r="J59">
            <v>2.8426045709357481</v>
          </cell>
          <cell r="K59">
            <v>2.7206459054209917</v>
          </cell>
          <cell r="L59" t="e">
            <v>#DIV/0!</v>
          </cell>
          <cell r="M59">
            <v>2.6440146366962884</v>
          </cell>
          <cell r="O59">
            <v>2.7752355316285331</v>
          </cell>
          <cell r="P59">
            <v>2.7519169517517992</v>
          </cell>
          <cell r="Q59">
            <v>2.7327358987875594</v>
          </cell>
          <cell r="R59">
            <v>2.8317388857625212</v>
          </cell>
          <cell r="S59">
            <v>2.9825072886297375</v>
          </cell>
          <cell r="T59">
            <v>2.741481144934121</v>
          </cell>
          <cell r="U59" t="e">
            <v>#DIV/0!</v>
          </cell>
          <cell r="V59">
            <v>2.8262548262548264</v>
          </cell>
          <cell r="W59">
            <v>3.0143112701252237</v>
          </cell>
          <cell r="X59">
            <v>3.4254071661237786</v>
          </cell>
          <cell r="Y59">
            <v>2.5277237354085602</v>
          </cell>
          <cell r="Z59">
            <v>3.0745121230041397</v>
          </cell>
          <cell r="AA59" t="e">
            <v>#DIV/0!</v>
          </cell>
          <cell r="AB59" t="e">
            <v>#DIV/0!</v>
          </cell>
          <cell r="AC59">
            <v>2.8724015201145967</v>
          </cell>
          <cell r="AF59">
            <v>2.5854846566000975</v>
          </cell>
          <cell r="AG59">
            <v>2.5355029585798818</v>
          </cell>
          <cell r="AH59">
            <v>2.6976495726495728</v>
          </cell>
        </row>
        <row r="60">
          <cell r="B60">
            <v>11.439759036144578</v>
          </cell>
          <cell r="C60">
            <v>46.668571428571425</v>
          </cell>
          <cell r="D60">
            <v>45.31666666666667</v>
          </cell>
          <cell r="E60">
            <v>9.4444444444444446</v>
          </cell>
          <cell r="F60">
            <v>9.9795918367346932</v>
          </cell>
          <cell r="G60">
            <v>12.268292682926829</v>
          </cell>
          <cell r="H60">
            <v>9.8181818181818183</v>
          </cell>
          <cell r="J60">
            <v>13.947368421052632</v>
          </cell>
          <cell r="K60">
            <v>12.941176470588236</v>
          </cell>
          <cell r="L60">
            <v>14.428571428571429</v>
          </cell>
          <cell r="M60">
            <v>13.275862068965518</v>
          </cell>
          <cell r="O60">
            <v>11.026315789473685</v>
          </cell>
          <cell r="P60">
            <v>10.861111111111111</v>
          </cell>
          <cell r="Q60">
            <v>12.266666666666667</v>
          </cell>
          <cell r="R60">
            <v>10.96875</v>
          </cell>
          <cell r="S60">
            <v>8.1666666666666661</v>
          </cell>
          <cell r="T60">
            <v>11.305555555555555</v>
          </cell>
          <cell r="U60">
            <v>10.885714285714286</v>
          </cell>
          <cell r="V60">
            <v>12.392857142857142</v>
          </cell>
          <cell r="W60">
            <v>9.3142857142857149</v>
          </cell>
          <cell r="X60">
            <v>7.0952380952380949</v>
          </cell>
          <cell r="Y60">
            <v>7.1333333333333337</v>
          </cell>
          <cell r="Z60">
            <v>7.020833333333333</v>
          </cell>
          <cell r="AA60">
            <v>7.5227272727272725</v>
          </cell>
          <cell r="AB60">
            <v>8.5571428571428569</v>
          </cell>
          <cell r="AC60">
            <v>10.786455679018044</v>
          </cell>
          <cell r="AF60">
            <v>12.771653543307087</v>
          </cell>
          <cell r="AG60">
            <v>12.426356589147288</v>
          </cell>
          <cell r="AH60">
            <v>8.6647398843930628</v>
          </cell>
        </row>
        <row r="61">
          <cell r="B61">
            <v>4.459242383840138</v>
          </cell>
          <cell r="C61">
            <v>20.25727448844853</v>
          </cell>
          <cell r="D61">
            <v>20.298648828460482</v>
          </cell>
          <cell r="E61">
            <v>4.3104845288316955</v>
          </cell>
          <cell r="F61">
            <v>4.4373939241718725</v>
          </cell>
          <cell r="G61">
            <v>5.0944043804809462</v>
          </cell>
          <cell r="H61">
            <v>3.8024726283413286</v>
          </cell>
          <cell r="I61">
            <v>4.7825076721553401</v>
          </cell>
          <cell r="J61">
            <v>5.2049862419174744</v>
          </cell>
          <cell r="K61">
            <v>4.5927947651387413</v>
          </cell>
          <cell r="L61">
            <v>4.8042481614276049</v>
          </cell>
          <cell r="M61">
            <v>4.9048028801211814</v>
          </cell>
          <cell r="N61">
            <v>4.2744489903491107</v>
          </cell>
          <cell r="O61">
            <v>4.2563003214848729</v>
          </cell>
          <cell r="P61">
            <v>4.0868504951351676</v>
          </cell>
          <cell r="Q61">
            <v>4.3519483819783193</v>
          </cell>
          <cell r="R61">
            <v>4.3874988020306951</v>
          </cell>
          <cell r="S61">
            <v>4.0352066322794231</v>
          </cell>
          <cell r="T61">
            <v>4.2259761512539358</v>
          </cell>
          <cell r="U61">
            <v>4.238580668621827</v>
          </cell>
          <cell r="V61">
            <v>4.2275403284452286</v>
          </cell>
          <cell r="W61">
            <v>3.9947584009533834</v>
          </cell>
          <cell r="X61">
            <v>3.5814381988821671</v>
          </cell>
          <cell r="Y61">
            <v>4.1362870111696139</v>
          </cell>
          <cell r="Z61">
            <v>3.7479443308315794</v>
          </cell>
          <cell r="AA61">
            <v>3.8368226499037141</v>
          </cell>
          <cell r="AB61">
            <v>3.869712087590774</v>
          </cell>
          <cell r="AC61">
            <v>4.7165835382642447</v>
          </cell>
          <cell r="AD61">
            <v>4.459242383840138</v>
          </cell>
          <cell r="AE61">
            <v>4.3764822374056367</v>
          </cell>
          <cell r="AF61">
            <v>4.6080808461106457</v>
          </cell>
          <cell r="AG61">
            <v>4.5746548724073746</v>
          </cell>
          <cell r="AH61">
            <v>4.1445713102688755</v>
          </cell>
        </row>
        <row r="62">
          <cell r="B62">
            <v>1899</v>
          </cell>
          <cell r="E62">
            <v>1899</v>
          </cell>
          <cell r="F62">
            <v>1741</v>
          </cell>
          <cell r="G62">
            <v>1622</v>
          </cell>
          <cell r="J62">
            <v>1845</v>
          </cell>
          <cell r="K62">
            <v>1715</v>
          </cell>
          <cell r="O62">
            <v>1755</v>
          </cell>
          <cell r="P62">
            <v>1679</v>
          </cell>
          <cell r="T62">
            <v>1727</v>
          </cell>
          <cell r="AC62">
            <v>2367.2360125260961</v>
          </cell>
          <cell r="AD62">
            <v>1899</v>
          </cell>
          <cell r="AE62">
            <v>1741</v>
          </cell>
          <cell r="AF62">
            <v>1622</v>
          </cell>
          <cell r="AG62">
            <v>1603</v>
          </cell>
        </row>
        <row r="63">
          <cell r="B63">
            <v>2401.44</v>
          </cell>
          <cell r="E63">
            <v>2401.44</v>
          </cell>
          <cell r="F63">
            <v>2215</v>
          </cell>
          <cell r="G63">
            <v>2053</v>
          </cell>
          <cell r="J63">
            <v>2319</v>
          </cell>
          <cell r="K63">
            <v>2167.5</v>
          </cell>
          <cell r="O63">
            <v>2229</v>
          </cell>
          <cell r="P63">
            <v>2119.25</v>
          </cell>
          <cell r="T63">
            <v>2201</v>
          </cell>
          <cell r="AC63">
            <v>2904.8468125260961</v>
          </cell>
          <cell r="AF63">
            <v>2053</v>
          </cell>
          <cell r="AG63">
            <v>2028</v>
          </cell>
        </row>
        <row r="64">
          <cell r="B64">
            <v>0.73788192051458767</v>
          </cell>
          <cell r="C64">
            <v>0.11401263014166239</v>
          </cell>
          <cell r="D64">
            <v>0.21408450704225351</v>
          </cell>
          <cell r="E64">
            <v>0.73788192051458767</v>
          </cell>
          <cell r="F64">
            <v>0.61009667024704617</v>
          </cell>
          <cell r="G64">
            <v>0.56210335448776061</v>
          </cell>
          <cell r="H64">
            <v>0.52202577165118369</v>
          </cell>
          <cell r="J64">
            <v>0.66319279962103272</v>
          </cell>
          <cell r="K64">
            <v>0.61316632682784733</v>
          </cell>
          <cell r="L64">
            <v>0.52982662356744048</v>
          </cell>
          <cell r="M64">
            <v>0.57803790412486067</v>
          </cell>
          <cell r="O64">
            <v>0.62165671254219679</v>
          </cell>
          <cell r="P64">
            <v>0.5921625544267054</v>
          </cell>
          <cell r="Q64">
            <v>0.53557490243170214</v>
          </cell>
          <cell r="R64">
            <v>0.6166817223727793</v>
          </cell>
          <cell r="S64">
            <v>0.74070602936582319</v>
          </cell>
          <cell r="T64">
            <v>0.6057822210213456</v>
          </cell>
          <cell r="U64">
            <v>0.5923996322402697</v>
          </cell>
          <cell r="V64">
            <v>0.50233100233100236</v>
          </cell>
          <cell r="W64">
            <v>0.63469200122586578</v>
          </cell>
          <cell r="X64">
            <v>0.78464419475655434</v>
          </cell>
          <cell r="Y64">
            <v>0.80454096742349457</v>
          </cell>
          <cell r="Z64">
            <v>0.82161981258366801</v>
          </cell>
          <cell r="AA64" t="e">
            <v>#DIV/0!</v>
          </cell>
          <cell r="AB64" t="e">
            <v>#DIV/0!</v>
          </cell>
          <cell r="AC64">
            <v>0.69576141389457746</v>
          </cell>
          <cell r="AF64">
            <v>0.56210335448776061</v>
          </cell>
          <cell r="AG64">
            <v>0.52202577165118369</v>
          </cell>
          <cell r="AH64">
            <v>0.64846202134337727</v>
          </cell>
        </row>
        <row r="65">
          <cell r="B65">
            <v>0.86372083912609343</v>
          </cell>
          <cell r="C65">
            <v>0.23874468397125678</v>
          </cell>
          <cell r="D65">
            <v>0.38213058419243984</v>
          </cell>
          <cell r="E65">
            <v>0.86372083912609343</v>
          </cell>
          <cell r="F65">
            <v>0.80681213411389041</v>
          </cell>
          <cell r="G65">
            <v>0.78555571999408025</v>
          </cell>
          <cell r="H65">
            <v>0.7632477363811786</v>
          </cell>
          <cell r="J65">
            <v>0.82256051909158967</v>
          </cell>
          <cell r="K65">
            <v>0.81619377162629758</v>
          </cell>
          <cell r="L65">
            <v>0.76480964280464503</v>
          </cell>
          <cell r="M65">
            <v>0.76962872793670112</v>
          </cell>
          <cell r="O65">
            <v>0.80936804919534211</v>
          </cell>
          <cell r="P65">
            <v>0.80585878126295429</v>
          </cell>
          <cell r="Q65">
            <v>0.77016787995840141</v>
          </cell>
          <cell r="R65">
            <v>0.79809674861221258</v>
          </cell>
          <cell r="S65">
            <v>0.86038687973086625</v>
          </cell>
          <cell r="T65">
            <v>0.80528493260376355</v>
          </cell>
          <cell r="U65">
            <v>0.80181791089256449</v>
          </cell>
          <cell r="V65">
            <v>0.75</v>
          </cell>
          <cell r="W65">
            <v>0.80918841043700973</v>
          </cell>
          <cell r="X65">
            <v>0.88399462004034968</v>
          </cell>
          <cell r="Y65">
            <v>0.89742704196166467</v>
          </cell>
          <cell r="Z65">
            <v>0.90701325889741802</v>
          </cell>
          <cell r="AA65" t="e">
            <v>#DIV/0!</v>
          </cell>
          <cell r="AB65" t="e">
            <v>#DIV/0!</v>
          </cell>
          <cell r="AC65">
            <v>0.82516442396370226</v>
          </cell>
          <cell r="AF65">
            <v>0.78555571999408025</v>
          </cell>
          <cell r="AG65">
            <v>0.7632477363811786</v>
          </cell>
          <cell r="AH65">
            <v>0.81847649918962728</v>
          </cell>
        </row>
        <row r="66">
          <cell r="B66">
            <v>5.84</v>
          </cell>
          <cell r="C66">
            <v>6.68</v>
          </cell>
          <cell r="D66">
            <v>8.8160000000000007</v>
          </cell>
          <cell r="E66">
            <v>-25.09375</v>
          </cell>
          <cell r="F66">
            <v>-14.564102564102564</v>
          </cell>
          <cell r="G66">
            <v>-5.6707317073170733</v>
          </cell>
          <cell r="H66">
            <v>8.887755102040817</v>
          </cell>
          <cell r="J66">
            <v>2.1538461538461537</v>
          </cell>
          <cell r="K66">
            <v>1.9418819188191883</v>
          </cell>
          <cell r="L66">
            <v>1.795816733067729</v>
          </cell>
          <cell r="M66">
            <v>2.4690476190476192</v>
          </cell>
          <cell r="O66">
            <v>12.214285714285714</v>
          </cell>
          <cell r="P66">
            <v>4.3965517241379306</v>
          </cell>
          <cell r="Q66">
            <v>2.1756097560975611</v>
          </cell>
          <cell r="R66">
            <v>6.168674698795181</v>
          </cell>
          <cell r="S66">
            <v>4.7043650793650791</v>
          </cell>
          <cell r="T66">
            <v>2.6947115384615383</v>
          </cell>
          <cell r="U66">
            <v>2.5038860103626943</v>
          </cell>
          <cell r="V66">
            <v>3.2651515151515151</v>
          </cell>
          <cell r="W66">
            <v>6.0203488372093021</v>
          </cell>
          <cell r="X66">
            <v>36.970588235294116</v>
          </cell>
          <cell r="Y66">
            <v>-13.288043478260869</v>
          </cell>
          <cell r="Z66">
            <v>4.1191275167785237</v>
          </cell>
          <cell r="AA66" t="e">
            <v>#DIV/0!</v>
          </cell>
          <cell r="AB66" t="e">
            <v>#DIV/0!</v>
          </cell>
          <cell r="AC66">
            <v>8.2478893658450971</v>
          </cell>
          <cell r="AF66">
            <v>3.6758893280632412</v>
          </cell>
          <cell r="AG66">
            <v>4.0700934579439254</v>
          </cell>
          <cell r="AH66">
            <v>5.2974358974358973</v>
          </cell>
        </row>
        <row r="67">
          <cell r="B67">
            <v>13.148218181818182</v>
          </cell>
          <cell r="C67">
            <v>16.28</v>
          </cell>
          <cell r="D67">
            <v>20.015999999999998</v>
          </cell>
          <cell r="E67">
            <v>-56.496250000000003</v>
          </cell>
          <cell r="F67">
            <v>-38.871794871794869</v>
          </cell>
          <cell r="G67">
            <v>-16.182926829268293</v>
          </cell>
          <cell r="H67">
            <v>26.23469387755102</v>
          </cell>
          <cell r="J67">
            <v>5.0707692307692307</v>
          </cell>
          <cell r="K67">
            <v>5.4400369003690034</v>
          </cell>
          <cell r="L67">
            <v>5.1822709163346614</v>
          </cell>
          <cell r="M67">
            <v>6.0214285714285714</v>
          </cell>
          <cell r="O67">
            <v>31.561224489795919</v>
          </cell>
          <cell r="P67">
            <v>12.568965517241379</v>
          </cell>
          <cell r="Q67">
            <v>6.3219512195121954</v>
          </cell>
          <cell r="R67">
            <v>15.156626506024097</v>
          </cell>
          <cell r="S67">
            <v>10.148809523809524</v>
          </cell>
          <cell r="T67">
            <v>7.2524038461538458</v>
          </cell>
          <cell r="U67">
            <v>6.9702072538860103</v>
          </cell>
          <cell r="V67">
            <v>9.704545454545455</v>
          </cell>
          <cell r="W67">
            <v>14.694767441860465</v>
          </cell>
          <cell r="X67">
            <v>77.32352941176471</v>
          </cell>
          <cell r="Y67">
            <v>-28.244565217391305</v>
          </cell>
          <cell r="Z67">
            <v>8.723154362416107</v>
          </cell>
          <cell r="AA67" t="e">
            <v>#DIV/0!</v>
          </cell>
          <cell r="AB67" t="e">
            <v>#DIV/0!</v>
          </cell>
          <cell r="AC67">
            <v>17.021877790843313</v>
          </cell>
          <cell r="AF67">
            <v>10.4901185770751</v>
          </cell>
          <cell r="AG67">
            <v>12.014018691588785</v>
          </cell>
          <cell r="AH67">
            <v>12.948717948717949</v>
          </cell>
        </row>
        <row r="70">
          <cell r="B70">
            <v>5197</v>
          </cell>
          <cell r="E70">
            <v>1555</v>
          </cell>
          <cell r="F70">
            <v>1634</v>
          </cell>
          <cell r="G70">
            <v>1816</v>
          </cell>
          <cell r="H70">
            <v>1748</v>
          </cell>
          <cell r="J70">
            <v>1224</v>
          </cell>
          <cell r="K70">
            <v>1300</v>
          </cell>
          <cell r="L70">
            <v>1393</v>
          </cell>
          <cell r="M70">
            <v>1369</v>
          </cell>
          <cell r="O70">
            <v>1218</v>
          </cell>
          <cell r="P70">
            <v>1330</v>
          </cell>
          <cell r="Q70">
            <v>1385</v>
          </cell>
          <cell r="R70">
            <v>1349</v>
          </cell>
          <cell r="S70">
            <v>1265</v>
          </cell>
          <cell r="T70">
            <v>1200</v>
          </cell>
          <cell r="U70">
            <v>1339</v>
          </cell>
          <cell r="V70">
            <v>1335</v>
          </cell>
          <cell r="W70">
            <v>1297</v>
          </cell>
          <cell r="X70">
            <v>1252</v>
          </cell>
          <cell r="Y70">
            <v>1691</v>
          </cell>
          <cell r="Z70">
            <v>1322</v>
          </cell>
          <cell r="AA70">
            <v>2580</v>
          </cell>
          <cell r="AB70">
            <v>2334</v>
          </cell>
          <cell r="AC70">
            <v>5344.1031631705127</v>
          </cell>
          <cell r="AF70">
            <v>5929</v>
          </cell>
          <cell r="AG70">
            <v>5763</v>
          </cell>
          <cell r="AH70">
            <v>5655</v>
          </cell>
        </row>
        <row r="71">
          <cell r="B71">
            <v>2144</v>
          </cell>
          <cell r="E71">
            <v>749</v>
          </cell>
          <cell r="F71">
            <v>538</v>
          </cell>
          <cell r="J71">
            <v>600</v>
          </cell>
          <cell r="K71">
            <v>460</v>
          </cell>
          <cell r="AC71">
            <v>2587.5941382195806</v>
          </cell>
        </row>
        <row r="72">
          <cell r="B72">
            <v>3075</v>
          </cell>
          <cell r="E72">
            <v>958</v>
          </cell>
          <cell r="F72">
            <v>844</v>
          </cell>
          <cell r="G72">
            <v>1069</v>
          </cell>
          <cell r="H72">
            <v>1037</v>
          </cell>
          <cell r="J72">
            <v>740</v>
          </cell>
          <cell r="K72">
            <v>518</v>
          </cell>
          <cell r="L72">
            <v>850</v>
          </cell>
          <cell r="M72">
            <v>810</v>
          </cell>
          <cell r="O72">
            <v>1149</v>
          </cell>
          <cell r="P72">
            <v>852</v>
          </cell>
          <cell r="Q72">
            <v>768</v>
          </cell>
          <cell r="R72">
            <v>728</v>
          </cell>
          <cell r="S72">
            <v>711</v>
          </cell>
          <cell r="T72">
            <v>1023</v>
          </cell>
          <cell r="U72">
            <v>738</v>
          </cell>
          <cell r="V72">
            <v>719</v>
          </cell>
          <cell r="W72">
            <v>673</v>
          </cell>
          <cell r="X72">
            <v>550</v>
          </cell>
          <cell r="Y72">
            <v>770</v>
          </cell>
          <cell r="Z72">
            <v>593</v>
          </cell>
          <cell r="AA72">
            <v>1158</v>
          </cell>
          <cell r="AB72">
            <v>1047</v>
          </cell>
          <cell r="AC72">
            <v>3404.3088535933325</v>
          </cell>
          <cell r="AF72">
            <v>3420</v>
          </cell>
          <cell r="AG72">
            <v>3248</v>
          </cell>
          <cell r="AH72">
            <v>2725</v>
          </cell>
        </row>
        <row r="74">
          <cell r="B74">
            <v>1282</v>
          </cell>
          <cell r="E74">
            <v>370</v>
          </cell>
          <cell r="F74">
            <v>392</v>
          </cell>
        </row>
        <row r="75">
          <cell r="B75">
            <v>486</v>
          </cell>
          <cell r="E75">
            <v>152</v>
          </cell>
          <cell r="F75">
            <v>110</v>
          </cell>
        </row>
        <row r="76">
          <cell r="B76">
            <v>875</v>
          </cell>
          <cell r="E76">
            <v>274</v>
          </cell>
          <cell r="F76">
            <v>234</v>
          </cell>
        </row>
        <row r="78">
          <cell r="B78">
            <v>739</v>
          </cell>
          <cell r="E78">
            <v>196</v>
          </cell>
          <cell r="F78">
            <v>198</v>
          </cell>
          <cell r="G78">
            <v>224</v>
          </cell>
          <cell r="H78">
            <v>210</v>
          </cell>
          <cell r="J78">
            <v>187</v>
          </cell>
          <cell r="K78">
            <v>183</v>
          </cell>
          <cell r="L78">
            <v>189</v>
          </cell>
          <cell r="M78">
            <v>196</v>
          </cell>
          <cell r="O78">
            <v>191</v>
          </cell>
          <cell r="P78">
            <v>194</v>
          </cell>
          <cell r="Q78">
            <v>190</v>
          </cell>
          <cell r="R78">
            <v>199</v>
          </cell>
          <cell r="S78">
            <v>190</v>
          </cell>
          <cell r="T78">
            <v>165</v>
          </cell>
          <cell r="U78">
            <v>188</v>
          </cell>
          <cell r="V78">
            <v>157</v>
          </cell>
          <cell r="W78">
            <v>172</v>
          </cell>
          <cell r="X78">
            <v>163</v>
          </cell>
          <cell r="Y78">
            <v>240</v>
          </cell>
          <cell r="Z78">
            <v>205</v>
          </cell>
          <cell r="AA78">
            <v>368</v>
          </cell>
          <cell r="AB78">
            <v>358</v>
          </cell>
          <cell r="AC78">
            <v>775.95</v>
          </cell>
          <cell r="AF78">
            <v>760</v>
          </cell>
          <cell r="AG78">
            <v>777</v>
          </cell>
          <cell r="AH78">
            <v>812</v>
          </cell>
        </row>
        <row r="79">
          <cell r="B79">
            <v>375</v>
          </cell>
          <cell r="E79">
            <v>99</v>
          </cell>
          <cell r="F79">
            <v>70</v>
          </cell>
          <cell r="J79">
            <v>135</v>
          </cell>
          <cell r="K79">
            <v>105</v>
          </cell>
          <cell r="AC79">
            <v>450</v>
          </cell>
        </row>
      </sheetData>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
      <sheetName val="Instructions"/>
      <sheetName val="Safeway"/>
      <sheetName val="Historical"/>
      <sheetName val="Strike Adjustment"/>
      <sheetName val="Charts"/>
      <sheetName val="Sheet1"/>
      <sheetName val="SWY 2Q01"/>
      <sheetName val="2001 Comps"/>
      <sheetName val="Sheet3"/>
      <sheetName val="Sheet2"/>
      <sheetName val="Model"/>
      <sheetName val="Model May.08"/>
      <sheetName val="Model Apr.08"/>
    </sheetNames>
    <sheetDataSet>
      <sheetData sheetId="0"/>
      <sheetData sheetId="1"/>
      <sheetData sheetId="2" refreshError="1">
        <row r="8">
          <cell r="V8">
            <v>8191.3000000000029</v>
          </cell>
          <cell r="W8">
            <v>0</v>
          </cell>
          <cell r="X8">
            <v>10533.799999999996</v>
          </cell>
          <cell r="Y8">
            <v>0</v>
          </cell>
          <cell r="AD8">
            <v>0</v>
          </cell>
          <cell r="AE8">
            <v>0</v>
          </cell>
          <cell r="AF8">
            <v>0</v>
          </cell>
          <cell r="AG8">
            <v>0</v>
          </cell>
          <cell r="AH8">
            <v>0</v>
          </cell>
          <cell r="AI8">
            <v>0</v>
          </cell>
          <cell r="AJ8">
            <v>0</v>
          </cell>
          <cell r="AK8">
            <v>0</v>
          </cell>
          <cell r="AL8">
            <v>0</v>
          </cell>
        </row>
        <row r="9">
          <cell r="V9">
            <v>3092.5</v>
          </cell>
          <cell r="W9">
            <v>2122</v>
          </cell>
          <cell r="X9">
            <v>3036.5999999999995</v>
          </cell>
          <cell r="Y9">
            <v>2048.1999999999998</v>
          </cell>
          <cell r="AD9">
            <v>1809</v>
          </cell>
          <cell r="AE9">
            <v>1727.9</v>
          </cell>
          <cell r="AF9">
            <v>2327.9</v>
          </cell>
          <cell r="AG9">
            <v>1927.2</v>
          </cell>
          <cell r="AH9">
            <v>1865.7</v>
          </cell>
          <cell r="AI9">
            <v>1907.1</v>
          </cell>
          <cell r="AJ9">
            <v>1842.2</v>
          </cell>
          <cell r="AK9">
            <v>1875.6</v>
          </cell>
          <cell r="AL9">
            <v>1763.3</v>
          </cell>
        </row>
        <row r="10">
          <cell r="V10">
            <v>5484.7250000000031</v>
          </cell>
          <cell r="W10">
            <v>-1809.0250000000001</v>
          </cell>
          <cell r="X10">
            <v>7904.3999999999969</v>
          </cell>
          <cell r="Y10">
            <v>-1761.3</v>
          </cell>
          <cell r="AD10">
            <v>-1529.6000000000001</v>
          </cell>
          <cell r="AE10">
            <v>-1453.1000000000001</v>
          </cell>
          <cell r="AF10">
            <v>-1760.65</v>
          </cell>
          <cell r="AG10">
            <v>-1634.8500000000001</v>
          </cell>
          <cell r="AH10">
            <v>-1551.95</v>
          </cell>
          <cell r="AI10">
            <v>-1618.35</v>
          </cell>
          <cell r="AJ10">
            <v>-1538.65</v>
          </cell>
          <cell r="AK10">
            <v>-1589.85</v>
          </cell>
          <cell r="AL10">
            <v>-1464.95</v>
          </cell>
        </row>
        <row r="11">
          <cell r="V11">
            <v>106.125</v>
          </cell>
          <cell r="W11">
            <v>104.175</v>
          </cell>
          <cell r="X11">
            <v>128.50000000000003</v>
          </cell>
          <cell r="Y11">
            <v>93.6</v>
          </cell>
          <cell r="AD11">
            <v>93.6</v>
          </cell>
          <cell r="AE11">
            <v>93.6</v>
          </cell>
          <cell r="AF11">
            <v>87.85</v>
          </cell>
          <cell r="AG11">
            <v>87.85</v>
          </cell>
          <cell r="AH11">
            <v>87.85</v>
          </cell>
          <cell r="AI11">
            <v>87.85</v>
          </cell>
          <cell r="AJ11">
            <v>87.85</v>
          </cell>
          <cell r="AK11">
            <v>87.85</v>
          </cell>
          <cell r="AL11">
            <v>87.85</v>
          </cell>
        </row>
        <row r="12">
          <cell r="V12">
            <v>5378.6000000000031</v>
          </cell>
          <cell r="W12">
            <v>-1913.2</v>
          </cell>
          <cell r="X12">
            <v>7775.899999999996</v>
          </cell>
          <cell r="Y12">
            <v>-1854.8999999999999</v>
          </cell>
          <cell r="AD12">
            <v>-1623.2</v>
          </cell>
          <cell r="AE12">
            <v>-1546.7</v>
          </cell>
          <cell r="AF12">
            <v>-1848.5</v>
          </cell>
          <cell r="AG12">
            <v>-1722.7</v>
          </cell>
          <cell r="AH12">
            <v>-1639.8</v>
          </cell>
          <cell r="AI12">
            <v>-1706.1999999999998</v>
          </cell>
          <cell r="AJ12">
            <v>-1626.5</v>
          </cell>
          <cell r="AK12">
            <v>-1677.6999999999998</v>
          </cell>
          <cell r="AL12">
            <v>-1552.8</v>
          </cell>
        </row>
        <row r="13">
          <cell r="V13">
            <v>279.80000000000007</v>
          </cell>
          <cell r="W13">
            <v>208.79999999999995</v>
          </cell>
          <cell r="X13">
            <v>278.70000000000005</v>
          </cell>
          <cell r="Y13">
            <v>193.29999999999995</v>
          </cell>
          <cell r="AD13">
            <v>185.8</v>
          </cell>
          <cell r="AE13">
            <v>181.2</v>
          </cell>
          <cell r="AF13">
            <v>479.4</v>
          </cell>
          <cell r="AG13">
            <v>204.49999999999997</v>
          </cell>
          <cell r="AH13">
            <v>225.90000000000003</v>
          </cell>
          <cell r="AI13">
            <v>200.9</v>
          </cell>
          <cell r="AJ13">
            <v>215.7</v>
          </cell>
          <cell r="AK13">
            <v>197.9</v>
          </cell>
          <cell r="AL13">
            <v>210.5</v>
          </cell>
        </row>
        <row r="14">
          <cell r="V14">
            <v>5098.8000000000029</v>
          </cell>
          <cell r="W14">
            <v>-2122</v>
          </cell>
          <cell r="X14">
            <v>7497.1999999999962</v>
          </cell>
          <cell r="Y14">
            <v>-2048.1999999999998</v>
          </cell>
          <cell r="AD14">
            <v>-1809</v>
          </cell>
          <cell r="AE14">
            <v>-1727.9</v>
          </cell>
          <cell r="AF14">
            <v>-2327.9</v>
          </cell>
          <cell r="AG14">
            <v>-1927.2</v>
          </cell>
          <cell r="AH14">
            <v>-1865.7</v>
          </cell>
          <cell r="AI14">
            <v>-1907.1</v>
          </cell>
          <cell r="AJ14">
            <v>-1842.2</v>
          </cell>
          <cell r="AK14">
            <v>-1875.6</v>
          </cell>
          <cell r="AL14">
            <v>-1763.3</v>
          </cell>
        </row>
        <row r="15">
          <cell r="V15">
            <v>122.69999999999999</v>
          </cell>
          <cell r="W15">
            <v>96.5</v>
          </cell>
          <cell r="X15">
            <v>135.39999999999998</v>
          </cell>
          <cell r="Y15">
            <v>101</v>
          </cell>
          <cell r="AD15">
            <v>81</v>
          </cell>
          <cell r="AE15">
            <v>80.099999999999994</v>
          </cell>
          <cell r="AF15">
            <v>106</v>
          </cell>
          <cell r="AG15">
            <v>101.5</v>
          </cell>
          <cell r="AH15">
            <v>101.2</v>
          </cell>
          <cell r="AI15">
            <v>95.4</v>
          </cell>
          <cell r="AJ15">
            <v>105.6</v>
          </cell>
          <cell r="AK15">
            <v>94.6</v>
          </cell>
          <cell r="AL15">
            <v>109.2</v>
          </cell>
        </row>
        <row r="16">
          <cell r="V16">
            <v>205.80000000000007</v>
          </cell>
          <cell r="W16">
            <v>159.19999999999999</v>
          </cell>
          <cell r="X16">
            <v>-696.1</v>
          </cell>
          <cell r="Y16">
            <v>202.5</v>
          </cell>
          <cell r="AD16">
            <v>309.3</v>
          </cell>
          <cell r="AE16">
            <v>-367.9</v>
          </cell>
          <cell r="AF16">
            <v>353.6</v>
          </cell>
          <cell r="AG16">
            <v>281.3</v>
          </cell>
          <cell r="AH16">
            <v>309.2</v>
          </cell>
          <cell r="AI16">
            <v>309.3</v>
          </cell>
          <cell r="AJ16">
            <v>307.3</v>
          </cell>
          <cell r="AK16">
            <v>-367.9</v>
          </cell>
          <cell r="AL16">
            <v>283.89999999999998</v>
          </cell>
        </row>
        <row r="17">
          <cell r="V17">
            <v>0.12000000000000005</v>
          </cell>
          <cell r="W17">
            <v>0.35</v>
          </cell>
          <cell r="X17">
            <v>-1.6400000000000001</v>
          </cell>
          <cell r="Y17">
            <v>0.45</v>
          </cell>
          <cell r="AD17">
            <v>0.62</v>
          </cell>
          <cell r="AE17">
            <v>0.66</v>
          </cell>
          <cell r="AF17">
            <v>0.75</v>
          </cell>
          <cell r="AG17">
            <v>0.6</v>
          </cell>
          <cell r="AH17">
            <v>0.6</v>
          </cell>
          <cell r="AI17">
            <v>0.63</v>
          </cell>
          <cell r="AJ17">
            <v>0.59</v>
          </cell>
          <cell r="AK17">
            <v>0.67</v>
          </cell>
          <cell r="AL17">
            <v>0.55000000000000004</v>
          </cell>
        </row>
        <row r="19">
          <cell r="V19">
            <v>485.60000000000014</v>
          </cell>
          <cell r="W19">
            <v>367.99999999999994</v>
          </cell>
          <cell r="Y19">
            <v>395.79999999999995</v>
          </cell>
          <cell r="AD19">
            <v>495.1</v>
          </cell>
          <cell r="AE19">
            <v>-186.7</v>
          </cell>
          <cell r="AF19">
            <v>833</v>
          </cell>
          <cell r="AG19">
            <v>485.79999999999995</v>
          </cell>
          <cell r="AH19">
            <v>535.1</v>
          </cell>
          <cell r="AI19">
            <v>510.20000000000005</v>
          </cell>
          <cell r="AJ19">
            <v>523</v>
          </cell>
          <cell r="AK19">
            <v>-169.99999999999997</v>
          </cell>
          <cell r="AL19">
            <v>494.4</v>
          </cell>
        </row>
        <row r="20">
          <cell r="V20">
            <v>1740.8</v>
          </cell>
          <cell r="W20">
            <v>-367.99999999999994</v>
          </cell>
          <cell r="AD20">
            <v>-495.1</v>
          </cell>
          <cell r="AE20">
            <v>186.7</v>
          </cell>
          <cell r="AF20">
            <v>-833</v>
          </cell>
          <cell r="AG20">
            <v>-485.79999999999995</v>
          </cell>
          <cell r="AH20">
            <v>-535.1</v>
          </cell>
          <cell r="AI20">
            <v>-510.20000000000005</v>
          </cell>
          <cell r="AJ20">
            <v>-523</v>
          </cell>
          <cell r="AK20">
            <v>169.99999999999997</v>
          </cell>
          <cell r="AL20">
            <v>-494.4</v>
          </cell>
        </row>
        <row r="22">
          <cell r="V22">
            <v>-460.70000000000005</v>
          </cell>
          <cell r="W22">
            <v>-272.79999999999995</v>
          </cell>
          <cell r="X22">
            <v>-353.20000000000005</v>
          </cell>
          <cell r="Y22">
            <v>-212.79999999999998</v>
          </cell>
          <cell r="AD22">
            <v>-325.5</v>
          </cell>
          <cell r="AE22">
            <v>-172.6</v>
          </cell>
          <cell r="AF22">
            <v>-736.8</v>
          </cell>
          <cell r="AG22">
            <v>-394.69999999999993</v>
          </cell>
          <cell r="AH22">
            <v>-376.59999999999997</v>
          </cell>
          <cell r="AI22">
            <v>-345.1</v>
          </cell>
          <cell r="AJ22">
            <v>-401.40000000000003</v>
          </cell>
          <cell r="AK22">
            <v>-191.6</v>
          </cell>
          <cell r="AL22">
            <v>-278.2</v>
          </cell>
        </row>
        <row r="23">
          <cell r="V23">
            <v>0</v>
          </cell>
          <cell r="W23">
            <v>0</v>
          </cell>
          <cell r="AD23">
            <v>0</v>
          </cell>
          <cell r="AE23">
            <v>0</v>
          </cell>
          <cell r="AF23">
            <v>0</v>
          </cell>
          <cell r="AG23">
            <v>0</v>
          </cell>
          <cell r="AH23">
            <v>0</v>
          </cell>
          <cell r="AI23">
            <v>0</v>
          </cell>
          <cell r="AJ23">
            <v>0</v>
          </cell>
          <cell r="AK23">
            <v>0</v>
          </cell>
          <cell r="AL23">
            <v>0</v>
          </cell>
        </row>
        <row r="24">
          <cell r="V24">
            <v>1765.7</v>
          </cell>
          <cell r="W24">
            <v>-272.79999999999995</v>
          </cell>
          <cell r="AD24">
            <v>-325.5</v>
          </cell>
          <cell r="AE24">
            <v>-172.6</v>
          </cell>
          <cell r="AF24">
            <v>1495.2</v>
          </cell>
          <cell r="AG24">
            <v>-394.69999999999993</v>
          </cell>
          <cell r="AH24">
            <v>-376.59999999999997</v>
          </cell>
          <cell r="AI24">
            <v>-345.1</v>
          </cell>
          <cell r="AJ24">
            <v>-401.40000000000003</v>
          </cell>
          <cell r="AK24">
            <v>-191.6</v>
          </cell>
          <cell r="AL24">
            <v>-278.2</v>
          </cell>
        </row>
        <row r="25">
          <cell r="V25">
            <v>37.099999999999966</v>
          </cell>
          <cell r="W25">
            <v>57.90000000000002</v>
          </cell>
          <cell r="AD25">
            <v>-3</v>
          </cell>
          <cell r="AE25">
            <v>12.399999999999999</v>
          </cell>
          <cell r="AF25">
            <v>-12.5</v>
          </cell>
          <cell r="AG25">
            <v>22.799999999999986</v>
          </cell>
          <cell r="AH25">
            <v>11.399999999999977</v>
          </cell>
          <cell r="AI25">
            <v>-5.5999999999999979</v>
          </cell>
          <cell r="AJ25">
            <v>58.300000000000011</v>
          </cell>
          <cell r="AK25">
            <v>23.7</v>
          </cell>
          <cell r="AL25">
            <v>-506.2</v>
          </cell>
        </row>
        <row r="26">
          <cell r="V26">
            <v>-502.79999999999973</v>
          </cell>
          <cell r="W26">
            <v>1.0999999999999943</v>
          </cell>
          <cell r="AD26">
            <v>-241.40000000000003</v>
          </cell>
          <cell r="AE26">
            <v>60.199999999999989</v>
          </cell>
          <cell r="AF26">
            <v>922.70000000000027</v>
          </cell>
          <cell r="AG26">
            <v>788.9</v>
          </cell>
          <cell r="AH26">
            <v>-491.90000000000009</v>
          </cell>
          <cell r="AI26">
            <v>-248.20000000000007</v>
          </cell>
          <cell r="AJ26">
            <v>-202.09999999999991</v>
          </cell>
          <cell r="AK26">
            <v>50.900000000000006</v>
          </cell>
          <cell r="AL26">
            <v>498.5</v>
          </cell>
        </row>
        <row r="27">
          <cell r="V27">
            <v>2.4000000000000021</v>
          </cell>
          <cell r="W27">
            <v>-1.9000000000000004</v>
          </cell>
          <cell r="AD27">
            <v>-227.5</v>
          </cell>
          <cell r="AE27">
            <v>-171.39999999999998</v>
          </cell>
          <cell r="AF27">
            <v>-730.19999999999993</v>
          </cell>
          <cell r="AG27">
            <v>-862.50000000000011</v>
          </cell>
          <cell r="AH27">
            <v>-41.499999999999993</v>
          </cell>
          <cell r="AI27">
            <v>-227.5</v>
          </cell>
          <cell r="AJ27">
            <v>12.799999999999997</v>
          </cell>
          <cell r="AK27">
            <v>-171.39999999999998</v>
          </cell>
          <cell r="AL27">
            <v>19.5</v>
          </cell>
        </row>
        <row r="28">
          <cell r="V28">
            <v>13.5303</v>
          </cell>
          <cell r="W28">
            <v>7.5696999999999992</v>
          </cell>
          <cell r="AD28">
            <v>24.400000000000002</v>
          </cell>
          <cell r="AE28">
            <v>-1.7</v>
          </cell>
          <cell r="AF28">
            <v>22.6</v>
          </cell>
          <cell r="AG28">
            <v>-11.799999999999999</v>
          </cell>
          <cell r="AH28">
            <v>-1.9000000000000021</v>
          </cell>
          <cell r="AI28">
            <v>0.1</v>
          </cell>
          <cell r="AJ28">
            <v>-0.30000000000000071</v>
          </cell>
          <cell r="AK28">
            <v>0</v>
          </cell>
          <cell r="AL28">
            <v>-20.399999999999999</v>
          </cell>
        </row>
        <row r="29">
          <cell r="V29">
            <v>1315.9303</v>
          </cell>
          <cell r="W29">
            <v>-208.13029999999992</v>
          </cell>
          <cell r="AD29">
            <v>-773.00000000000011</v>
          </cell>
          <cell r="AE29">
            <v>-273.09999999999997</v>
          </cell>
          <cell r="AF29">
            <v>1697.8000000000002</v>
          </cell>
          <cell r="AG29">
            <v>-457.30000000000007</v>
          </cell>
          <cell r="AH29">
            <v>-900.50000000000011</v>
          </cell>
          <cell r="AI29">
            <v>-826.30000000000007</v>
          </cell>
          <cell r="AJ29">
            <v>-532.69999999999993</v>
          </cell>
          <cell r="AK29">
            <v>-288.39999999999998</v>
          </cell>
          <cell r="AL29">
            <v>-286.79999999999995</v>
          </cell>
        </row>
        <row r="31">
          <cell r="V31">
            <v>266.8</v>
          </cell>
          <cell r="W31">
            <v>476.6</v>
          </cell>
          <cell r="X31">
            <v>174.8</v>
          </cell>
          <cell r="AD31">
            <v>50.5</v>
          </cell>
          <cell r="AE31">
            <v>65</v>
          </cell>
          <cell r="AF31">
            <v>65.7</v>
          </cell>
          <cell r="AG31">
            <v>70</v>
          </cell>
          <cell r="AH31">
            <v>91.7</v>
          </cell>
          <cell r="AI31">
            <v>50.5</v>
          </cell>
          <cell r="AJ31">
            <v>102.5</v>
          </cell>
          <cell r="AK31">
            <v>65</v>
          </cell>
          <cell r="AL31">
            <v>91.7</v>
          </cell>
        </row>
        <row r="32">
          <cell r="V32">
            <v>339</v>
          </cell>
          <cell r="W32">
            <v>336.5</v>
          </cell>
          <cell r="X32">
            <v>383.2</v>
          </cell>
          <cell r="AD32">
            <v>397.8</v>
          </cell>
          <cell r="AE32">
            <v>404.7</v>
          </cell>
          <cell r="AF32">
            <v>373</v>
          </cell>
          <cell r="AG32">
            <v>385.3</v>
          </cell>
          <cell r="AH32">
            <v>375.5</v>
          </cell>
          <cell r="AI32">
            <v>397.8</v>
          </cell>
          <cell r="AJ32">
            <v>365.4</v>
          </cell>
          <cell r="AK32">
            <v>404.7</v>
          </cell>
          <cell r="AL32">
            <v>374.5</v>
          </cell>
        </row>
        <row r="33">
          <cell r="V33">
            <v>2740.7</v>
          </cell>
          <cell r="W33">
            <v>2638.1</v>
          </cell>
          <cell r="X33">
            <v>2642.2</v>
          </cell>
          <cell r="AD33">
            <v>2460.6999999999998</v>
          </cell>
          <cell r="AE33">
            <v>2449</v>
          </cell>
          <cell r="AF33">
            <v>2354.6999999999998</v>
          </cell>
          <cell r="AG33">
            <v>2527.1</v>
          </cell>
          <cell r="AH33">
            <v>2410.6999999999998</v>
          </cell>
          <cell r="AI33">
            <v>2460.6999999999998</v>
          </cell>
          <cell r="AJ33">
            <v>2369.1999999999998</v>
          </cell>
          <cell r="AK33">
            <v>2499</v>
          </cell>
          <cell r="AL33">
            <v>2508.1999999999998</v>
          </cell>
        </row>
        <row r="34">
          <cell r="V34">
            <v>8689.4</v>
          </cell>
          <cell r="W34">
            <v>15242.3</v>
          </cell>
          <cell r="X34">
            <v>15096.7</v>
          </cell>
          <cell r="AE34">
            <v>16616.5</v>
          </cell>
          <cell r="AF34">
            <v>17462.599999999999</v>
          </cell>
          <cell r="AG34">
            <v>17054.8</v>
          </cell>
          <cell r="AH34">
            <v>16726.7</v>
          </cell>
          <cell r="AI34">
            <v>16751</v>
          </cell>
          <cell r="AJ34">
            <v>16631.900000000001</v>
          </cell>
          <cell r="AK34">
            <v>16616.5</v>
          </cell>
          <cell r="AL34">
            <v>15965.3</v>
          </cell>
        </row>
        <row r="35">
          <cell r="V35">
            <v>1759.4</v>
          </cell>
          <cell r="W35">
            <v>1693.1</v>
          </cell>
          <cell r="X35">
            <v>1509.6</v>
          </cell>
          <cell r="AD35">
            <v>1572.4</v>
          </cell>
          <cell r="AE35">
            <v>1572.9</v>
          </cell>
          <cell r="AF35">
            <v>1858.5</v>
          </cell>
          <cell r="AG35">
            <v>1688.8</v>
          </cell>
          <cell r="AH35">
            <v>1717.8</v>
          </cell>
          <cell r="AI35">
            <v>1572.4</v>
          </cell>
          <cell r="AJ35">
            <v>1541</v>
          </cell>
          <cell r="AK35">
            <v>1572.9</v>
          </cell>
          <cell r="AL35">
            <v>1613.1</v>
          </cell>
        </row>
        <row r="36">
          <cell r="V36">
            <v>639.69999999999993</v>
          </cell>
          <cell r="W36">
            <v>879.7</v>
          </cell>
          <cell r="X36">
            <v>750</v>
          </cell>
          <cell r="AE36">
            <v>667.3</v>
          </cell>
          <cell r="AF36">
            <v>676.30000000000007</v>
          </cell>
          <cell r="AG36">
            <v>678.8</v>
          </cell>
          <cell r="AH36">
            <v>567.29999999999995</v>
          </cell>
          <cell r="AI36">
            <v>678.19999999999993</v>
          </cell>
          <cell r="AJ36">
            <v>576.79999999999995</v>
          </cell>
          <cell r="AK36">
            <v>667.3</v>
          </cell>
          <cell r="AL36">
            <v>615.69999999999993</v>
          </cell>
        </row>
        <row r="37">
          <cell r="V37">
            <v>6123.7</v>
          </cell>
          <cell r="W37">
            <v>6363</v>
          </cell>
          <cell r="X37">
            <v>7072.3</v>
          </cell>
          <cell r="AE37">
            <v>6796.8</v>
          </cell>
          <cell r="AF37">
            <v>6595.2</v>
          </cell>
          <cell r="AG37">
            <v>7448.5</v>
          </cell>
          <cell r="AH37">
            <v>5839</v>
          </cell>
          <cell r="AI37">
            <v>6584</v>
          </cell>
          <cell r="AJ37">
            <v>6323</v>
          </cell>
          <cell r="AK37">
            <v>6796.8</v>
          </cell>
          <cell r="AL37">
            <v>6414.7999999999993</v>
          </cell>
        </row>
        <row r="38">
          <cell r="V38">
            <v>6763.4</v>
          </cell>
          <cell r="W38">
            <v>7242.7</v>
          </cell>
          <cell r="X38">
            <v>7822.3</v>
          </cell>
          <cell r="AD38">
            <v>0</v>
          </cell>
          <cell r="AE38">
            <v>7464.1</v>
          </cell>
          <cell r="AF38">
            <v>7271.5</v>
          </cell>
          <cell r="AG38">
            <v>8127.3</v>
          </cell>
          <cell r="AH38">
            <v>6406.3</v>
          </cell>
          <cell r="AI38">
            <v>7262.2</v>
          </cell>
          <cell r="AJ38">
            <v>6899.8</v>
          </cell>
          <cell r="AK38">
            <v>7464.1</v>
          </cell>
          <cell r="AL38">
            <v>7030.4999999999991</v>
          </cell>
        </row>
        <row r="39">
          <cell r="V39">
            <v>3298.4</v>
          </cell>
          <cell r="W39">
            <v>3333.6</v>
          </cell>
          <cell r="X39">
            <v>1028.0000000000002</v>
          </cell>
          <cell r="AE39">
            <v>2995.2</v>
          </cell>
          <cell r="AF39">
            <v>2811.2</v>
          </cell>
          <cell r="AG39">
            <v>2811.2</v>
          </cell>
          <cell r="AH39">
            <v>2811.2</v>
          </cell>
          <cell r="AI39">
            <v>2811.2</v>
          </cell>
          <cell r="AJ39">
            <v>2811.2</v>
          </cell>
          <cell r="AK39">
            <v>2811.2</v>
          </cell>
          <cell r="AL39">
            <v>2811.2</v>
          </cell>
        </row>
        <row r="40">
          <cell r="V40">
            <v>10061.799999999999</v>
          </cell>
          <cell r="W40">
            <v>10576.3</v>
          </cell>
          <cell r="X40">
            <v>8850.3000000000011</v>
          </cell>
          <cell r="AE40">
            <v>10459.299999999999</v>
          </cell>
          <cell r="AF40">
            <v>10082.700000000001</v>
          </cell>
          <cell r="AG40">
            <v>10938.5</v>
          </cell>
          <cell r="AH40">
            <v>9217.5</v>
          </cell>
          <cell r="AI40">
            <v>10073.4</v>
          </cell>
          <cell r="AJ40">
            <v>9711</v>
          </cell>
          <cell r="AK40">
            <v>10275.299999999999</v>
          </cell>
          <cell r="AL40">
            <v>9841.6999999999989</v>
          </cell>
        </row>
        <row r="41">
          <cell r="V41">
            <v>9795</v>
          </cell>
          <cell r="W41">
            <v>10099.699999999999</v>
          </cell>
          <cell r="X41">
            <v>8675.5000000000018</v>
          </cell>
          <cell r="AE41">
            <v>10394.299999999999</v>
          </cell>
          <cell r="AF41">
            <v>10017</v>
          </cell>
          <cell r="AG41">
            <v>10868.5</v>
          </cell>
          <cell r="AH41">
            <v>9125.7999999999993</v>
          </cell>
          <cell r="AI41">
            <v>10022.9</v>
          </cell>
          <cell r="AJ41">
            <v>9608.5</v>
          </cell>
          <cell r="AK41">
            <v>10210.299999999999</v>
          </cell>
          <cell r="AL41">
            <v>9749.9999999999982</v>
          </cell>
        </row>
        <row r="42">
          <cell r="V42">
            <v>4306.8999999999996</v>
          </cell>
          <cell r="W42">
            <v>4026.2</v>
          </cell>
          <cell r="X42">
            <v>3644.3</v>
          </cell>
          <cell r="AE42">
            <v>5352.7</v>
          </cell>
          <cell r="AF42">
            <v>5889.6</v>
          </cell>
          <cell r="AG42">
            <v>4840.8</v>
          </cell>
          <cell r="AH42">
            <v>6256.6</v>
          </cell>
          <cell r="AI42">
            <v>5480.7</v>
          </cell>
          <cell r="AJ42">
            <v>6016</v>
          </cell>
          <cell r="AK42">
            <v>5352.7</v>
          </cell>
          <cell r="AL42">
            <v>5674.8</v>
          </cell>
        </row>
        <row r="43">
          <cell r="V43">
            <v>11070.3</v>
          </cell>
          <cell r="W43">
            <v>11268.9</v>
          </cell>
          <cell r="X43">
            <v>11466.6</v>
          </cell>
          <cell r="AE43">
            <v>12816.8</v>
          </cell>
          <cell r="AF43">
            <v>13161.1</v>
          </cell>
          <cell r="AG43">
            <v>12968.1</v>
          </cell>
          <cell r="AH43">
            <v>12662.900000000001</v>
          </cell>
          <cell r="AI43">
            <v>12742.9</v>
          </cell>
          <cell r="AJ43">
            <v>12915.8</v>
          </cell>
          <cell r="AK43">
            <v>12816.8</v>
          </cell>
          <cell r="AL43">
            <v>12705.3</v>
          </cell>
        </row>
        <row r="44">
          <cell r="V44">
            <v>14368.699999999999</v>
          </cell>
          <cell r="W44">
            <v>14602.5</v>
          </cell>
          <cell r="X44">
            <v>12494.6</v>
          </cell>
          <cell r="AE44">
            <v>15812</v>
          </cell>
          <cell r="AF44">
            <v>15972.3</v>
          </cell>
          <cell r="AG44">
            <v>15779.3</v>
          </cell>
          <cell r="AH44">
            <v>15474.100000000002</v>
          </cell>
          <cell r="AI44">
            <v>15554.099999999999</v>
          </cell>
          <cell r="AJ44">
            <v>15727</v>
          </cell>
          <cell r="AK44">
            <v>15628</v>
          </cell>
          <cell r="AL44">
            <v>15516.5</v>
          </cell>
        </row>
        <row r="46">
          <cell r="V46" t="e">
            <v>#DIV/0!</v>
          </cell>
          <cell r="W46" t="e">
            <v>#DIV/0!</v>
          </cell>
          <cell r="X46" t="e">
            <v>#DIV/0!</v>
          </cell>
          <cell r="Y46" t="e">
            <v>#DIV/0!</v>
          </cell>
          <cell r="AD46" t="e">
            <v>#DIV/0!</v>
          </cell>
          <cell r="AE46" t="e">
            <v>#DIV/0!</v>
          </cell>
          <cell r="AF46" t="e">
            <v>#DIV/0!</v>
          </cell>
          <cell r="AG46" t="e">
            <v>#DIV/0!</v>
          </cell>
          <cell r="AH46" t="e">
            <v>#DIV/0!</v>
          </cell>
          <cell r="AI46" t="e">
            <v>#DIV/0!</v>
          </cell>
          <cell r="AJ46" t="e">
            <v>#DIV/0!</v>
          </cell>
          <cell r="AK46" t="e">
            <v>#DIV/0!</v>
          </cell>
          <cell r="AL46" t="e">
            <v>#DIV/0!</v>
          </cell>
        </row>
        <row r="47">
          <cell r="V47" t="e">
            <v>#DIV/0!</v>
          </cell>
          <cell r="W47" t="e">
            <v>#DIV/0!</v>
          </cell>
          <cell r="X47" t="e">
            <v>#DIV/0!</v>
          </cell>
          <cell r="Y47" t="e">
            <v>#DIV/0!</v>
          </cell>
          <cell r="AD47" t="e">
            <v>#DIV/0!</v>
          </cell>
          <cell r="AE47" t="e">
            <v>#DIV/0!</v>
          </cell>
          <cell r="AF47" t="e">
            <v>#DIV/0!</v>
          </cell>
          <cell r="AG47" t="e">
            <v>#DIV/0!</v>
          </cell>
          <cell r="AH47" t="e">
            <v>#DIV/0!</v>
          </cell>
          <cell r="AI47" t="e">
            <v>#DIV/0!</v>
          </cell>
          <cell r="AJ47" t="e">
            <v>#DIV/0!</v>
          </cell>
          <cell r="AK47" t="e">
            <v>#DIV/0!</v>
          </cell>
          <cell r="AL47" t="e">
            <v>#DIV/0!</v>
          </cell>
        </row>
        <row r="48">
          <cell r="V48" t="e">
            <v>#DIV/0!</v>
          </cell>
          <cell r="W48" t="e">
            <v>#DIV/0!</v>
          </cell>
          <cell r="X48" t="e">
            <v>#DIV/0!</v>
          </cell>
          <cell r="Y48" t="e">
            <v>#DIV/0!</v>
          </cell>
          <cell r="AD48" t="e">
            <v>#DIV/0!</v>
          </cell>
          <cell r="AE48" t="e">
            <v>#DIV/0!</v>
          </cell>
          <cell r="AF48" t="e">
            <v>#DIV/0!</v>
          </cell>
          <cell r="AG48" t="e">
            <v>#DIV/0!</v>
          </cell>
          <cell r="AH48" t="e">
            <v>#DIV/0!</v>
          </cell>
          <cell r="AI48" t="e">
            <v>#DIV/0!</v>
          </cell>
          <cell r="AJ48" t="e">
            <v>#DIV/0!</v>
          </cell>
          <cell r="AK48" t="e">
            <v>#DIV/0!</v>
          </cell>
          <cell r="AL48" t="e">
            <v>#DIV/0!</v>
          </cell>
        </row>
        <row r="49">
          <cell r="V49" t="e">
            <v>#DIV/0!</v>
          </cell>
          <cell r="W49" t="e">
            <v>#DIV/0!</v>
          </cell>
          <cell r="X49" t="e">
            <v>#DIV/0!</v>
          </cell>
          <cell r="Y49" t="e">
            <v>#DIV/0!</v>
          </cell>
          <cell r="AD49" t="e">
            <v>#DIV/0!</v>
          </cell>
          <cell r="AE49" t="e">
            <v>#DIV/0!</v>
          </cell>
          <cell r="AF49" t="e">
            <v>#DIV/0!</v>
          </cell>
          <cell r="AG49" t="e">
            <v>#DIV/0!</v>
          </cell>
          <cell r="AH49" t="e">
            <v>#DIV/0!</v>
          </cell>
          <cell r="AI49" t="e">
            <v>#DIV/0!</v>
          </cell>
          <cell r="AJ49" t="e">
            <v>#DIV/0!</v>
          </cell>
          <cell r="AK49" t="e">
            <v>#DIV/0!</v>
          </cell>
          <cell r="AL49" t="e">
            <v>#DIV/0!</v>
          </cell>
        </row>
        <row r="50">
          <cell r="V50" t="e">
            <v>#DIV/0!</v>
          </cell>
          <cell r="W50" t="e">
            <v>#DIV/0!</v>
          </cell>
          <cell r="AE50" t="e">
            <v>#DIV/0!</v>
          </cell>
          <cell r="AF50" t="e">
            <v>#DIV/0!</v>
          </cell>
          <cell r="AG50" t="e">
            <v>#DIV/0!</v>
          </cell>
          <cell r="AH50" t="e">
            <v>#DIV/0!</v>
          </cell>
        </row>
        <row r="51">
          <cell r="V51" t="e">
            <v>#DIV/0!</v>
          </cell>
          <cell r="W51" t="e">
            <v>#DIV/0!</v>
          </cell>
          <cell r="AE51" t="e">
            <v>#DIV/0!</v>
          </cell>
          <cell r="AF51" t="e">
            <v>#DIV/0!</v>
          </cell>
          <cell r="AG51" t="e">
            <v>#DIV/0!</v>
          </cell>
          <cell r="AH51" t="e">
            <v>#DIV/0!</v>
          </cell>
        </row>
        <row r="52">
          <cell r="V52" t="e">
            <v>#DIV/0!</v>
          </cell>
          <cell r="W52" t="e">
            <v>#DIV/0!</v>
          </cell>
          <cell r="AE52" t="e">
            <v>#DIV/0!</v>
          </cell>
          <cell r="AF52" t="e">
            <v>#DIV/0!</v>
          </cell>
          <cell r="AG52" t="e">
            <v>#DIV/0!</v>
          </cell>
          <cell r="AH52" t="e">
            <v>#DIV/0!</v>
          </cell>
        </row>
        <row r="53">
          <cell r="V53">
            <v>81</v>
          </cell>
          <cell r="W53">
            <v>81</v>
          </cell>
          <cell r="AE53">
            <v>71.8</v>
          </cell>
          <cell r="AF53">
            <v>71.8</v>
          </cell>
          <cell r="AG53">
            <v>78.8</v>
          </cell>
          <cell r="AH53">
            <v>77</v>
          </cell>
        </row>
        <row r="54">
          <cell r="V54">
            <v>0</v>
          </cell>
          <cell r="W54">
            <v>0</v>
          </cell>
          <cell r="AE54">
            <v>0</v>
          </cell>
          <cell r="AF54">
            <v>0</v>
          </cell>
          <cell r="AG54">
            <v>0</v>
          </cell>
          <cell r="AH54">
            <v>0</v>
          </cell>
          <cell r="AI54" t="e">
            <v>#DIV/0!</v>
          </cell>
          <cell r="AJ54" t="e">
            <v>#DIV/0!</v>
          </cell>
          <cell r="AK54" t="e">
            <v>#DIV/0!</v>
          </cell>
          <cell r="AL54" t="e">
            <v>#DIV/0!</v>
          </cell>
        </row>
        <row r="56">
          <cell r="V56" t="str">
            <v>Baa2/BBB</v>
          </cell>
          <cell r="W56" t="str">
            <v>Baa2/BBB</v>
          </cell>
          <cell r="AE56" t="str">
            <v>Baa2/BBB</v>
          </cell>
          <cell r="AF56" t="str">
            <v>Baa2/BBB</v>
          </cell>
          <cell r="AG56" t="str">
            <v>Baa2/BBB</v>
          </cell>
          <cell r="AH56" t="str">
            <v>Baa2/BBB</v>
          </cell>
          <cell r="AI56" t="str">
            <v>Baa2/BBB</v>
          </cell>
          <cell r="AJ56" t="str">
            <v>Baa2/BBB</v>
          </cell>
          <cell r="AK56" t="str">
            <v>Baa2/BBB</v>
          </cell>
          <cell r="AL56" t="str">
            <v>Baa2/BBB</v>
          </cell>
        </row>
        <row r="57">
          <cell r="V57">
            <v>0.3143661919458593</v>
          </cell>
          <cell r="W57">
            <v>-0.94641177085511186</v>
          </cell>
          <cell r="X57" t="e">
            <v>#DIV/0!</v>
          </cell>
          <cell r="Y57" t="e">
            <v>#DIV/0!</v>
          </cell>
          <cell r="AD57">
            <v>0</v>
          </cell>
          <cell r="AE57">
            <v>-1.2064556798344863</v>
          </cell>
          <cell r="AF57">
            <v>-0.98343251284825539</v>
          </cell>
          <cell r="AG57">
            <v>-1.1794421547570675</v>
          </cell>
          <cell r="AH57">
            <v>-0.9766892303939505</v>
          </cell>
          <cell r="AI57">
            <v>-1.0640897901770017</v>
          </cell>
          <cell r="AJ57">
            <v>-1.0605287426990471</v>
          </cell>
          <cell r="AK57">
            <v>-1.1122518924718365</v>
          </cell>
          <cell r="AL57">
            <v>-1.1319068778979906</v>
          </cell>
        </row>
        <row r="58">
          <cell r="V58">
            <v>0.45862828127207805</v>
          </cell>
          <cell r="W58">
            <v>-1.4616022443028702</v>
          </cell>
          <cell r="X58" t="e">
            <v>#DIV/0!</v>
          </cell>
          <cell r="Y58" t="e">
            <v>#DIV/0!</v>
          </cell>
          <cell r="AD58">
            <v>0</v>
          </cell>
          <cell r="AE58">
            <v>-1.799480421168536</v>
          </cell>
          <cell r="AF58">
            <v>-1.4316729616902848</v>
          </cell>
          <cell r="AG58">
            <v>-1.672706976175184</v>
          </cell>
          <cell r="AH58">
            <v>-1.484825542059989</v>
          </cell>
          <cell r="AI58">
            <v>-1.5561219760867551</v>
          </cell>
          <cell r="AJ58">
            <v>-1.5778442140837747</v>
          </cell>
          <cell r="AK58">
            <v>-1.615765638267761</v>
          </cell>
          <cell r="AL58">
            <v>-1.679528311546469</v>
          </cell>
        </row>
        <row r="59">
          <cell r="V59">
            <v>43.835370823145915</v>
          </cell>
          <cell r="W59">
            <v>-19.825906735751296</v>
          </cell>
          <cell r="X59">
            <v>57.429098966026565</v>
          </cell>
          <cell r="Y59">
            <v>-18.365346534653465</v>
          </cell>
          <cell r="AD59">
            <v>-20.039506172839506</v>
          </cell>
          <cell r="AE59">
            <v>-19.30961298377029</v>
          </cell>
          <cell r="AF59">
            <v>-17.438679245283019</v>
          </cell>
          <cell r="AG59">
            <v>-16.972413793103449</v>
          </cell>
          <cell r="AH59">
            <v>-16.203557312252965</v>
          </cell>
          <cell r="AI59">
            <v>-17.884696016771485</v>
          </cell>
          <cell r="AJ59">
            <v>-15.402462121212123</v>
          </cell>
          <cell r="AK59">
            <v>-17.734672304439744</v>
          </cell>
          <cell r="AL59">
            <v>-14.219780219780219</v>
          </cell>
        </row>
        <row r="60">
          <cell r="V60">
            <v>28.168797572388684</v>
          </cell>
          <cell r="W60">
            <v>-11.110020777058462</v>
          </cell>
          <cell r="X60">
            <v>35.561302604435348</v>
          </cell>
          <cell r="Y60">
            <v>-10.969783685892901</v>
          </cell>
          <cell r="AD60">
            <v>-10.883981324813575</v>
          </cell>
          <cell r="AE60">
            <v>-10.415890402961002</v>
          </cell>
          <cell r="AF60">
            <v>-10.876434404544778</v>
          </cell>
          <cell r="AG60">
            <v>-10.396292968692775</v>
          </cell>
          <cell r="AH60">
            <v>-9.8969419369185996</v>
          </cell>
          <cell r="AI60">
            <v>-10.701011488664369</v>
          </cell>
          <cell r="AJ60">
            <v>-9.5506747458322003</v>
          </cell>
          <cell r="AK60">
            <v>-10.570834276868069</v>
          </cell>
          <cell r="AL60">
            <v>-8.9064434172354066</v>
          </cell>
        </row>
        <row r="63">
          <cell r="V63">
            <v>0.61095001942133453</v>
          </cell>
          <cell r="W63">
            <v>0.64271579302327642</v>
          </cell>
          <cell r="X63">
            <v>0.68218129175169617</v>
          </cell>
          <cell r="Y63" t="e">
            <v>#DIV/0!</v>
          </cell>
          <cell r="AD63" t="e">
            <v>#DIV/0!</v>
          </cell>
          <cell r="AE63">
            <v>0.58236845390425074</v>
          </cell>
          <cell r="AF63">
            <v>0.55249941114344547</v>
          </cell>
          <cell r="AG63">
            <v>0.62671478474101838</v>
          </cell>
          <cell r="AH63">
            <v>0.50591096826161464</v>
          </cell>
          <cell r="AI63">
            <v>0.56990167073429121</v>
          </cell>
          <cell r="AJ63">
            <v>0.53421390854612183</v>
          </cell>
          <cell r="AK63">
            <v>0.58236845390425074</v>
          </cell>
          <cell r="AL63">
            <v>0.5533517508441359</v>
          </cell>
        </row>
        <row r="64">
          <cell r="V64">
            <v>0.70025820011552886</v>
          </cell>
          <cell r="W64">
            <v>0.72428008902585173</v>
          </cell>
          <cell r="X64">
            <v>0.70832999855937773</v>
          </cell>
          <cell r="Y64" t="e">
            <v>#DIV/0!</v>
          </cell>
          <cell r="AD64" t="e">
            <v>#DIV/0!</v>
          </cell>
          <cell r="AE64">
            <v>0.66147862383000244</v>
          </cell>
          <cell r="AF64">
            <v>0.63126162168253797</v>
          </cell>
          <cell r="AG64">
            <v>0.69321833034418512</v>
          </cell>
          <cell r="AH64">
            <v>0.59567276933715041</v>
          </cell>
          <cell r="AI64">
            <v>0.64763631454086068</v>
          </cell>
          <cell r="AJ64">
            <v>0.61747313537228965</v>
          </cell>
          <cell r="AK64">
            <v>0.65749296135142044</v>
          </cell>
          <cell r="AL64">
            <v>0.63427319305255692</v>
          </cell>
        </row>
        <row r="65">
          <cell r="V65">
            <v>0.95760888033074698</v>
          </cell>
          <cell r="W65">
            <v>-6.6373717008797666</v>
          </cell>
          <cell r="AE65">
            <v>-10.811268829663964</v>
          </cell>
          <cell r="AF65">
            <v>1.2158072498662387</v>
          </cell>
          <cell r="AG65">
            <v>-5.1477704585761348</v>
          </cell>
          <cell r="AH65">
            <v>-4.2527217206585242</v>
          </cell>
          <cell r="AI65">
            <v>-5.260938858301941</v>
          </cell>
          <cell r="AJ65">
            <v>-4.2973343298455404</v>
          </cell>
          <cell r="AK65">
            <v>-9.7391701461377878</v>
          </cell>
          <cell r="AL65">
            <v>-6.3178468727534138</v>
          </cell>
        </row>
        <row r="66">
          <cell r="V66">
            <v>1.4246191312227443</v>
          </cell>
          <cell r="W66">
            <v>-9.6923570381231681</v>
          </cell>
          <cell r="AE66">
            <v>-15.149623406720741</v>
          </cell>
          <cell r="AF66">
            <v>1.6858447030497592</v>
          </cell>
          <cell r="AG66">
            <v>-6.9283633139092995</v>
          </cell>
          <cell r="AH66">
            <v>-6.1188927243759963</v>
          </cell>
          <cell r="AI66">
            <v>-7.297450014488553</v>
          </cell>
          <cell r="AJ66">
            <v>-6.048206278026905</v>
          </cell>
          <cell r="AK66">
            <v>-13.407228601252609</v>
          </cell>
          <cell r="AL66">
            <v>-8.8440869877785762</v>
          </cell>
        </row>
      </sheetData>
      <sheetData sheetId="3"/>
      <sheetData sheetId="4"/>
      <sheetData sheetId="5"/>
      <sheetData sheetId="6"/>
      <sheetData sheetId="7"/>
      <sheetData sheetId="8"/>
      <sheetData sheetId="9"/>
      <sheetData sheetId="10"/>
      <sheetData sheetId="11" refreshError="1"/>
      <sheetData sheetId="12" refreshError="1"/>
      <sheetData sheetId="1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
      <sheetName val="Instructions"/>
      <sheetName val="Sheet1"/>
      <sheetName val="Recovery Analysis v3"/>
      <sheetName val="Recovery Analysis v2"/>
      <sheetName val="Recovery Analysis v1"/>
      <sheetName val="Sheet1 B4 10-K"/>
      <sheetName val="Sheet1 -same buyback"/>
      <sheetName val="FCF"/>
      <sheetName val="Sheet5"/>
      <sheetName val="Historical"/>
      <sheetName val="CVS CMX"/>
      <sheetName val="Sheet2"/>
      <sheetName val="Sheet3"/>
      <sheetName val="Recovery Analysis"/>
      <sheetName val="Model"/>
      <sheetName val="Stores"/>
      <sheetName val="Longs"/>
      <sheetName val="Sheet1 (2)"/>
      <sheetName val="leaseback"/>
    </sheetNames>
    <sheetDataSet>
      <sheetData sheetId="0"/>
      <sheetData sheetId="1"/>
      <sheetData sheetId="2">
        <row r="6">
          <cell r="M6">
            <v>6378.1</v>
          </cell>
          <cell r="AB6">
            <v>5876.4</v>
          </cell>
          <cell r="AF6">
            <v>76329.5</v>
          </cell>
          <cell r="AG6">
            <v>43821.4</v>
          </cell>
        </row>
        <row r="7">
          <cell r="M7">
            <v>4719.5</v>
          </cell>
          <cell r="AB7">
            <v>4395.1000000000004</v>
          </cell>
          <cell r="AF7">
            <v>60221.8</v>
          </cell>
          <cell r="AG7">
            <v>32079.200000000001</v>
          </cell>
        </row>
        <row r="8">
          <cell r="M8">
            <v>1658.6000000000004</v>
          </cell>
          <cell r="AB8">
            <v>1481.2999999999993</v>
          </cell>
          <cell r="AF8">
            <v>16107.699999999997</v>
          </cell>
          <cell r="AG8">
            <v>11742.2</v>
          </cell>
        </row>
        <row r="9">
          <cell r="M9">
            <v>1256.0999999999999</v>
          </cell>
          <cell r="AB9">
            <v>1127.7</v>
          </cell>
          <cell r="AF9">
            <v>11314.4</v>
          </cell>
          <cell r="AG9">
            <v>9300.6</v>
          </cell>
        </row>
        <row r="10">
          <cell r="M10">
            <v>614.17500000000041</v>
          </cell>
          <cell r="N10">
            <v>470.25</v>
          </cell>
          <cell r="O10">
            <v>7958.7499999999982</v>
          </cell>
          <cell r="AB10">
            <v>642.37499999999932</v>
          </cell>
          <cell r="AF10">
            <v>7488.4999999999982</v>
          </cell>
          <cell r="AG10">
            <v>4571.2000000000007</v>
          </cell>
        </row>
        <row r="11">
          <cell r="M11">
            <v>211.67500000000001</v>
          </cell>
          <cell r="N11">
            <v>45.25</v>
          </cell>
          <cell r="O11">
            <v>1645.85</v>
          </cell>
          <cell r="AB11">
            <v>211.67500000000001</v>
          </cell>
          <cell r="AF11">
            <v>1600.6</v>
          </cell>
          <cell r="AG11">
            <v>1396.3</v>
          </cell>
        </row>
        <row r="12">
          <cell r="M12">
            <v>402.50000000000045</v>
          </cell>
          <cell r="N12">
            <v>425</v>
          </cell>
          <cell r="O12">
            <v>6312.8999999999978</v>
          </cell>
          <cell r="AB12">
            <v>430.69999999999925</v>
          </cell>
          <cell r="AF12">
            <v>5887.8999999999978</v>
          </cell>
          <cell r="AG12">
            <v>3174.9000000000005</v>
          </cell>
        </row>
        <row r="13">
          <cell r="M13">
            <v>85.8</v>
          </cell>
          <cell r="AB13">
            <v>77.099999999999994</v>
          </cell>
          <cell r="AF13">
            <v>1094.5999999999999</v>
          </cell>
          <cell r="AG13">
            <v>733.3</v>
          </cell>
        </row>
        <row r="14">
          <cell r="M14">
            <v>316.70000000000044</v>
          </cell>
          <cell r="AB14">
            <v>353.59999999999923</v>
          </cell>
          <cell r="AF14">
            <v>4793.2999999999975</v>
          </cell>
          <cell r="AG14">
            <v>2441.6000000000004</v>
          </cell>
        </row>
        <row r="15">
          <cell r="M15">
            <v>13.3</v>
          </cell>
          <cell r="AB15">
            <v>12.1</v>
          </cell>
          <cell r="AF15">
            <v>434.6</v>
          </cell>
          <cell r="AG15">
            <v>215.8</v>
          </cell>
        </row>
        <row r="16">
          <cell r="M16">
            <v>184.1</v>
          </cell>
          <cell r="AB16">
            <v>160.69999999999999</v>
          </cell>
          <cell r="AF16">
            <v>2637</v>
          </cell>
          <cell r="AG16">
            <v>1368.9</v>
          </cell>
        </row>
        <row r="17">
          <cell r="M17">
            <v>0.46</v>
          </cell>
          <cell r="AB17">
            <v>0.4</v>
          </cell>
          <cell r="AF17">
            <v>2.0699999999999998</v>
          </cell>
          <cell r="AG17">
            <v>1.72</v>
          </cell>
        </row>
        <row r="19">
          <cell r="M19">
            <v>269.89999999999998</v>
          </cell>
          <cell r="AB19">
            <v>237.79999999999998</v>
          </cell>
          <cell r="AF19">
            <v>3731.6</v>
          </cell>
          <cell r="AG19">
            <v>2102.1999999999998</v>
          </cell>
        </row>
        <row r="20">
          <cell r="M20">
            <v>141.80000000000007</v>
          </cell>
          <cell r="AB20">
            <v>136.79999999999998</v>
          </cell>
          <cell r="AF20">
            <v>-501.90000000000009</v>
          </cell>
          <cell r="AG20">
            <v>-359.79999999999973</v>
          </cell>
        </row>
        <row r="21">
          <cell r="M21">
            <v>411.70000000000005</v>
          </cell>
          <cell r="AB21">
            <v>374.59999999999997</v>
          </cell>
          <cell r="AF21">
            <v>3229.7</v>
          </cell>
          <cell r="AG21">
            <v>1742.4</v>
          </cell>
        </row>
        <row r="22">
          <cell r="M22">
            <v>-353.50000000000006</v>
          </cell>
          <cell r="AB22">
            <v>-214.40000000000009</v>
          </cell>
          <cell r="AF22">
            <v>-1805.3</v>
          </cell>
          <cell r="AG22">
            <v>-1768.9</v>
          </cell>
        </row>
        <row r="23">
          <cell r="M23">
            <v>-22.700000000000003</v>
          </cell>
          <cell r="AB23">
            <v>-22.599999999999994</v>
          </cell>
          <cell r="AF23">
            <v>-322.39999999999998</v>
          </cell>
          <cell r="AG23">
            <v>-140.9</v>
          </cell>
        </row>
        <row r="24">
          <cell r="M24">
            <v>35.499999999999986</v>
          </cell>
          <cell r="AB24">
            <v>137.59999999999988</v>
          </cell>
          <cell r="AF24">
            <v>1102</v>
          </cell>
          <cell r="AG24">
            <v>-167.4</v>
          </cell>
        </row>
        <row r="25">
          <cell r="M25">
            <v>111.39999999999998</v>
          </cell>
          <cell r="AB25">
            <v>61.5</v>
          </cell>
          <cell r="AF25">
            <v>-1276.3999999999999</v>
          </cell>
          <cell r="AG25">
            <v>-2824.2999999999997</v>
          </cell>
        </row>
        <row r="26">
          <cell r="M26">
            <v>-0.20000000000000018</v>
          </cell>
          <cell r="AB26">
            <v>-330.3</v>
          </cell>
          <cell r="AF26">
            <v>5420.5</v>
          </cell>
          <cell r="AG26">
            <v>2778.8</v>
          </cell>
        </row>
        <row r="27">
          <cell r="M27">
            <v>13.799999999999999</v>
          </cell>
          <cell r="AB27">
            <v>15.2</v>
          </cell>
          <cell r="AF27">
            <v>-4720.2</v>
          </cell>
          <cell r="AG27">
            <v>230.2</v>
          </cell>
        </row>
        <row r="28">
          <cell r="M28">
            <v>0</v>
          </cell>
          <cell r="AB28">
            <v>0</v>
          </cell>
          <cell r="AF28">
            <v>0</v>
          </cell>
          <cell r="AG28">
            <v>0</v>
          </cell>
        </row>
        <row r="29">
          <cell r="M29">
            <v>160.5</v>
          </cell>
          <cell r="AB29">
            <v>-116.00000000000013</v>
          </cell>
          <cell r="AF29">
            <v>525.90000000000055</v>
          </cell>
          <cell r="AG29">
            <v>17.300000000000352</v>
          </cell>
        </row>
        <row r="31">
          <cell r="M31">
            <v>727.3</v>
          </cell>
          <cell r="AB31">
            <v>217.3</v>
          </cell>
          <cell r="AF31">
            <v>1056.5999999999999</v>
          </cell>
          <cell r="AG31">
            <v>530.70000000000005</v>
          </cell>
        </row>
        <row r="32">
          <cell r="AB32">
            <v>986.3</v>
          </cell>
          <cell r="AF32">
            <v>4579.6000000000004</v>
          </cell>
          <cell r="AG32">
            <v>2381.6999999999998</v>
          </cell>
        </row>
        <row r="33">
          <cell r="AB33">
            <v>3983</v>
          </cell>
          <cell r="AF33">
            <v>8008.2</v>
          </cell>
          <cell r="AG33">
            <v>7108.9</v>
          </cell>
        </row>
        <row r="34">
          <cell r="M34">
            <v>10149.299999999999</v>
          </cell>
          <cell r="AB34">
            <v>9053.7999999999993</v>
          </cell>
          <cell r="AF34">
            <v>54721.9</v>
          </cell>
          <cell r="AG34">
            <v>20574.099999999999</v>
          </cell>
        </row>
        <row r="35">
          <cell r="AB35">
            <v>1560.8</v>
          </cell>
          <cell r="AF35">
            <v>3593</v>
          </cell>
          <cell r="AG35">
            <v>2521.5</v>
          </cell>
        </row>
        <row r="36">
          <cell r="M36">
            <v>332.1</v>
          </cell>
          <cell r="AB36">
            <v>184.5</v>
          </cell>
          <cell r="AF36">
            <v>2132.1999999999998</v>
          </cell>
          <cell r="AG36">
            <v>2187</v>
          </cell>
        </row>
        <row r="37">
          <cell r="M37">
            <v>775.6</v>
          </cell>
          <cell r="AB37">
            <v>807.7</v>
          </cell>
          <cell r="AF37">
            <v>8349.7000000000007</v>
          </cell>
          <cell r="AG37">
            <v>2870.4</v>
          </cell>
        </row>
        <row r="38">
          <cell r="B38">
            <v>203</v>
          </cell>
          <cell r="D38">
            <v>203</v>
          </cell>
          <cell r="E38">
            <v>213.3</v>
          </cell>
          <cell r="F38">
            <v>222.6</v>
          </cell>
          <cell r="G38">
            <v>228.4</v>
          </cell>
          <cell r="H38">
            <v>242.7</v>
          </cell>
          <cell r="I38">
            <v>206</v>
          </cell>
          <cell r="J38">
            <v>215.6</v>
          </cell>
          <cell r="K38">
            <v>224.4</v>
          </cell>
          <cell r="L38">
            <v>234</v>
          </cell>
          <cell r="M38">
            <v>243.9</v>
          </cell>
          <cell r="P38">
            <v>208.3</v>
          </cell>
          <cell r="Q38">
            <v>208.3</v>
          </cell>
          <cell r="R38">
            <v>217.9</v>
          </cell>
          <cell r="S38">
            <v>225.7</v>
          </cell>
          <cell r="T38">
            <v>235.2</v>
          </cell>
          <cell r="U38">
            <v>245.2</v>
          </cell>
          <cell r="V38">
            <v>210.9</v>
          </cell>
          <cell r="W38">
            <v>220.7</v>
          </cell>
          <cell r="X38">
            <v>227.3</v>
          </cell>
          <cell r="Y38">
            <v>236.6</v>
          </cell>
          <cell r="Z38">
            <v>250.4</v>
          </cell>
          <cell r="AA38">
            <v>250.4</v>
          </cell>
          <cell r="AB38">
            <v>252</v>
          </cell>
          <cell r="AC38">
            <v>252</v>
          </cell>
          <cell r="AD38">
            <v>213.3</v>
          </cell>
          <cell r="AE38">
            <v>203</v>
          </cell>
          <cell r="AF38">
            <v>203</v>
          </cell>
          <cell r="AG38">
            <v>213.3</v>
          </cell>
          <cell r="AH38">
            <v>222.6</v>
          </cell>
          <cell r="AI38">
            <v>228.4</v>
          </cell>
          <cell r="AJ38">
            <v>242.7</v>
          </cell>
          <cell r="AK38">
            <v>250.4</v>
          </cell>
        </row>
        <row r="39">
          <cell r="M39">
            <v>1351.6000000000001</v>
          </cell>
          <cell r="N39">
            <v>3000</v>
          </cell>
          <cell r="O39">
            <v>13684.900000000001</v>
          </cell>
          <cell r="AB39">
            <v>1244.2</v>
          </cell>
          <cell r="AF39">
            <v>10684.900000000001</v>
          </cell>
          <cell r="AG39">
            <v>5270.7</v>
          </cell>
        </row>
        <row r="40">
          <cell r="M40">
            <v>6773.6</v>
          </cell>
          <cell r="N40">
            <v>362</v>
          </cell>
          <cell r="O40">
            <v>13166.8</v>
          </cell>
          <cell r="AB40">
            <v>1693.4</v>
          </cell>
          <cell r="AF40">
            <v>12804.8</v>
          </cell>
          <cell r="AG40">
            <v>11170.4</v>
          </cell>
        </row>
        <row r="41">
          <cell r="M41">
            <v>8125.2000000000007</v>
          </cell>
          <cell r="N41">
            <v>3362</v>
          </cell>
          <cell r="O41">
            <v>26851.7</v>
          </cell>
          <cell r="AB41">
            <v>2937.6000000000004</v>
          </cell>
          <cell r="AF41">
            <v>23489.7</v>
          </cell>
          <cell r="AG41">
            <v>16441.099999999999</v>
          </cell>
        </row>
        <row r="42">
          <cell r="M42">
            <v>7397.9000000000005</v>
          </cell>
          <cell r="AB42">
            <v>2720.3</v>
          </cell>
          <cell r="AF42">
            <v>22433.100000000002</v>
          </cell>
          <cell r="AG42">
            <v>15910.399999999998</v>
          </cell>
        </row>
        <row r="43">
          <cell r="M43">
            <v>5743.6</v>
          </cell>
          <cell r="AB43">
            <v>5050.8999999999996</v>
          </cell>
          <cell r="AF43">
            <v>31118.9</v>
          </cell>
          <cell r="AG43">
            <v>9704.3000000000011</v>
          </cell>
        </row>
        <row r="44">
          <cell r="M44">
            <v>6851.3000000000011</v>
          </cell>
          <cell r="AB44">
            <v>6043.0999999999995</v>
          </cell>
          <cell r="AF44">
            <v>41600.800000000003</v>
          </cell>
          <cell r="AG44">
            <v>14761.7</v>
          </cell>
        </row>
        <row r="45">
          <cell r="M45">
            <v>13624.900000000001</v>
          </cell>
          <cell r="AB45">
            <v>7736.5</v>
          </cell>
          <cell r="AF45">
            <v>54405.600000000006</v>
          </cell>
          <cell r="AG45">
            <v>25932.1</v>
          </cell>
        </row>
        <row r="47">
          <cell r="M47">
            <v>0.26004609523212247</v>
          </cell>
          <cell r="N47" t="e">
            <v>#DIV/0!</v>
          </cell>
          <cell r="O47" t="e">
            <v>#DIV/0!</v>
          </cell>
          <cell r="AB47">
            <v>0.25207610101422628</v>
          </cell>
          <cell r="AF47">
            <v>0.21102850143129454</v>
          </cell>
          <cell r="AG47">
            <v>0.26795583892801234</v>
          </cell>
        </row>
        <row r="48">
          <cell r="M48">
            <v>0.19693952744547746</v>
          </cell>
          <cell r="N48" t="e">
            <v>#DIV/0!</v>
          </cell>
          <cell r="O48" t="e">
            <v>#DIV/0!</v>
          </cell>
          <cell r="AB48">
            <v>0.19190320604451708</v>
          </cell>
          <cell r="AF48">
            <v>0.14823102470211386</v>
          </cell>
          <cell r="AG48">
            <v>0.21223876918583159</v>
          </cell>
        </row>
        <row r="49">
          <cell r="M49">
            <v>9.6294350982267504E-2</v>
          </cell>
          <cell r="N49" t="e">
            <v>#DIV/0!</v>
          </cell>
          <cell r="O49" t="e">
            <v>#DIV/0!</v>
          </cell>
          <cell r="AB49">
            <v>0.10931437614866234</v>
          </cell>
          <cell r="AF49">
            <v>9.8107546885542268E-2</v>
          </cell>
          <cell r="AG49">
            <v>0.10431433044129125</v>
          </cell>
        </row>
        <row r="50">
          <cell r="M50">
            <v>5.5659208855301711E-3</v>
          </cell>
          <cell r="N50" t="e">
            <v>#DIV/0!</v>
          </cell>
          <cell r="O50" t="e">
            <v>#DIV/0!</v>
          </cell>
          <cell r="AB50">
            <v>2.3415696685045246E-2</v>
          </cell>
          <cell r="AF50">
            <v>1.4437406245291794E-2</v>
          </cell>
          <cell r="AG50">
            <v>-3.8200513904165546E-3</v>
          </cell>
        </row>
        <row r="51">
          <cell r="M51">
            <v>36.742650174806649</v>
          </cell>
          <cell r="AB51">
            <v>81.583325749129699</v>
          </cell>
          <cell r="AF51">
            <v>45.811828108757943</v>
          </cell>
          <cell r="AG51">
            <v>72.983046647048553</v>
          </cell>
        </row>
        <row r="52">
          <cell r="M52">
            <v>7.7871740800551876</v>
          </cell>
          <cell r="AB52">
            <v>15.453679123272753</v>
          </cell>
          <cell r="AF52">
            <v>16.644118591108288</v>
          </cell>
          <cell r="AG52">
            <v>17.580160606461678</v>
          </cell>
        </row>
        <row r="53">
          <cell r="M53">
            <v>14.149115372391142</v>
          </cell>
          <cell r="AB53">
            <v>30.063024732088003</v>
          </cell>
          <cell r="AF53">
            <v>18.529772441208998</v>
          </cell>
          <cell r="AG53">
            <v>28.382643582134218</v>
          </cell>
        </row>
        <row r="54">
          <cell r="M54">
            <v>31.5</v>
          </cell>
          <cell r="AB54">
            <v>31.5</v>
          </cell>
          <cell r="AF54">
            <v>56.5</v>
          </cell>
          <cell r="AG54">
            <v>55.5</v>
          </cell>
        </row>
        <row r="55">
          <cell r="M55">
            <v>809.91746031746038</v>
          </cell>
          <cell r="AB55">
            <v>746.20952380952372</v>
          </cell>
          <cell r="AF55">
            <v>1350.9646017699115</v>
          </cell>
          <cell r="AG55">
            <v>789.57477477477482</v>
          </cell>
        </row>
        <row r="57">
          <cell r="M57" t="str">
            <v>A2/A</v>
          </cell>
          <cell r="AB57" t="str">
            <v>Baa1/BBB+</v>
          </cell>
          <cell r="AF57" t="str">
            <v>Baa2/BBB+</v>
          </cell>
          <cell r="AG57" t="str">
            <v>Baa2/BBB+ *+</v>
          </cell>
        </row>
        <row r="58">
          <cell r="M58">
            <v>0.83950310559006125</v>
          </cell>
          <cell r="N58" t="e">
            <v>#DIV/0!</v>
          </cell>
          <cell r="O58">
            <v>2.1677675870043887</v>
          </cell>
          <cell r="AB58">
            <v>0.72219642442535537</v>
          </cell>
          <cell r="AF58">
            <v>1.8147217174204735</v>
          </cell>
          <cell r="AG58">
            <v>1.6601152792213925</v>
          </cell>
        </row>
        <row r="59">
          <cell r="M59">
            <v>3.3073635364513354</v>
          </cell>
          <cell r="N59" t="e">
            <v>#DIV/0!</v>
          </cell>
          <cell r="O59">
            <v>3.3738589602638616</v>
          </cell>
          <cell r="AB59">
            <v>1.143257443082313</v>
          </cell>
          <cell r="AF59">
            <v>3.1367697135607941</v>
          </cell>
          <cell r="AG59">
            <v>3.5966704585229254</v>
          </cell>
        </row>
        <row r="60">
          <cell r="M60">
            <v>30.263157894736874</v>
          </cell>
          <cell r="N60" t="e">
            <v>#DIV/0!</v>
          </cell>
          <cell r="O60" t="e">
            <v>#DIV/0!</v>
          </cell>
          <cell r="AB60">
            <v>35.595041322313989</v>
          </cell>
          <cell r="AF60">
            <v>13.547860101242517</v>
          </cell>
          <cell r="AG60">
            <v>14.712233549582949</v>
          </cell>
        </row>
        <row r="61">
          <cell r="M61">
            <v>3.5203381559462179</v>
          </cell>
          <cell r="N61">
            <v>15.08769340538498</v>
          </cell>
          <cell r="O61">
            <v>6.7531831917685023</v>
          </cell>
          <cell r="AB61">
            <v>3.7319529454716083</v>
          </cell>
          <cell r="AF61">
            <v>4.6313693147674755</v>
          </cell>
          <cell r="AG61">
            <v>3.5805057220889611</v>
          </cell>
        </row>
        <row r="62">
          <cell r="AF62">
            <v>5887.8999999999978</v>
          </cell>
          <cell r="AG62">
            <v>3174.9000000000005</v>
          </cell>
        </row>
        <row r="63">
          <cell r="AF63">
            <v>7488.4999999999982</v>
          </cell>
          <cell r="AG63">
            <v>4571.2000000000007</v>
          </cell>
        </row>
        <row r="64">
          <cell r="M64">
            <v>0.19727642929079151</v>
          </cell>
          <cell r="N64" t="e">
            <v>#DIV/0!</v>
          </cell>
          <cell r="O64" t="e">
            <v>#DIV/0!</v>
          </cell>
          <cell r="AB64">
            <v>0.2058877066406315</v>
          </cell>
          <cell r="AF64">
            <v>0.25684361839195402</v>
          </cell>
          <cell r="AG64">
            <v>0.35705237201677309</v>
          </cell>
        </row>
        <row r="65">
          <cell r="M65">
            <v>0.59634933100426424</v>
          </cell>
          <cell r="N65" t="e">
            <v>#DIV/0!</v>
          </cell>
          <cell r="O65" t="e">
            <v>#DIV/0!</v>
          </cell>
          <cell r="AB65">
            <v>0.37970658566535259</v>
          </cell>
          <cell r="AF65">
            <v>0.43175151087388058</v>
          </cell>
          <cell r="AG65">
            <v>0.6340057303496438</v>
          </cell>
        </row>
      </sheetData>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
      <sheetName val="Instructions"/>
      <sheetName val="Sheet1"/>
      <sheetName val="Sheet1 pre-2q 10q"/>
      <sheetName val="M&amp;A Local"/>
      <sheetName val="Historical"/>
      <sheetName val="SSS"/>
    </sheetNames>
    <sheetDataSet>
      <sheetData sheetId="0"/>
      <sheetData sheetId="1"/>
      <sheetData sheetId="2">
        <row r="6">
          <cell r="W6">
            <v>8720.7999999999993</v>
          </cell>
        </row>
        <row r="7">
          <cell r="W7">
            <v>6420.7</v>
          </cell>
        </row>
        <row r="8">
          <cell r="W8">
            <v>2300.0999999999995</v>
          </cell>
        </row>
        <row r="9">
          <cell r="W9">
            <v>1895.1</v>
          </cell>
        </row>
        <row r="10">
          <cell r="W10">
            <v>748.37499999999955</v>
          </cell>
        </row>
        <row r="11">
          <cell r="W11">
            <v>256.85000000000002</v>
          </cell>
        </row>
        <row r="12">
          <cell r="W12">
            <v>491.52499999999952</v>
          </cell>
        </row>
        <row r="13">
          <cell r="W13">
            <v>86.525000000000006</v>
          </cell>
        </row>
        <row r="14">
          <cell r="W14">
            <v>404.99999999999955</v>
          </cell>
        </row>
        <row r="15">
          <cell r="W15">
            <v>0</v>
          </cell>
        </row>
        <row r="16">
          <cell r="W16">
            <v>254.9</v>
          </cell>
        </row>
        <row r="17">
          <cell r="W17">
            <v>0.25</v>
          </cell>
        </row>
        <row r="19">
          <cell r="W19">
            <v>341.42500000000001</v>
          </cell>
        </row>
        <row r="20">
          <cell r="W20">
            <v>-211.72500000000002</v>
          </cell>
        </row>
        <row r="21">
          <cell r="W21">
            <v>129.69999999999999</v>
          </cell>
        </row>
        <row r="22">
          <cell r="W22">
            <v>-203.6</v>
          </cell>
        </row>
        <row r="23">
          <cell r="W23">
            <v>-44.2</v>
          </cell>
        </row>
        <row r="24">
          <cell r="W24">
            <v>-118.10000000000001</v>
          </cell>
        </row>
        <row r="25">
          <cell r="W25">
            <v>0.4</v>
          </cell>
        </row>
        <row r="26">
          <cell r="W26">
            <v>0</v>
          </cell>
        </row>
        <row r="27">
          <cell r="W27">
            <v>-23.700000000000003</v>
          </cell>
        </row>
        <row r="28">
          <cell r="W28">
            <v>-7.6</v>
          </cell>
        </row>
        <row r="29">
          <cell r="W29">
            <v>-149</v>
          </cell>
        </row>
        <row r="31">
          <cell r="W31">
            <v>1119</v>
          </cell>
        </row>
        <row r="32">
          <cell r="W32">
            <v>1101</v>
          </cell>
        </row>
        <row r="33">
          <cell r="W33">
            <v>4838.7</v>
          </cell>
        </row>
        <row r="34">
          <cell r="W34">
            <v>12505</v>
          </cell>
        </row>
        <row r="35">
          <cell r="W35">
            <v>2536.6999999999998</v>
          </cell>
        </row>
        <row r="36">
          <cell r="W36">
            <v>0</v>
          </cell>
        </row>
        <row r="37">
          <cell r="W37">
            <v>0</v>
          </cell>
        </row>
        <row r="38">
          <cell r="W38">
            <v>878.5</v>
          </cell>
        </row>
        <row r="39">
          <cell r="W39">
            <v>8219.2000000000007</v>
          </cell>
        </row>
        <row r="40">
          <cell r="W40">
            <v>8219.2000000000007</v>
          </cell>
        </row>
        <row r="41">
          <cell r="W41">
            <v>7100.2000000000007</v>
          </cell>
        </row>
        <row r="42">
          <cell r="W42">
            <v>11090.9</v>
          </cell>
        </row>
        <row r="43">
          <cell r="W43">
            <v>11969.4</v>
          </cell>
        </row>
        <row r="44">
          <cell r="W44">
            <v>24524.299200000001</v>
          </cell>
        </row>
        <row r="46">
          <cell r="W46">
            <v>0.26374873864783044</v>
          </cell>
        </row>
        <row r="47">
          <cell r="W47">
            <v>0.21730804513347399</v>
          </cell>
        </row>
        <row r="48">
          <cell r="W48">
            <v>8.581494816989263E-2</v>
          </cell>
        </row>
        <row r="49">
          <cell r="W49">
            <v>-1.3542335565544447E-2</v>
          </cell>
        </row>
        <row r="50">
          <cell r="W50">
            <v>60.840598316116314</v>
          </cell>
        </row>
        <row r="51">
          <cell r="W51">
            <v>14.594025519883932</v>
          </cell>
        </row>
        <row r="52">
          <cell r="W52">
            <v>36.826355661364396</v>
          </cell>
        </row>
        <row r="53">
          <cell r="W53">
            <v>50.9</v>
          </cell>
        </row>
        <row r="54">
          <cell r="W54">
            <v>685.32809430255395</v>
          </cell>
        </row>
        <row r="56">
          <cell r="W56" t="str">
            <v>Aa3/A+</v>
          </cell>
        </row>
        <row r="57">
          <cell r="W57">
            <v>0</v>
          </cell>
        </row>
        <row r="58">
          <cell r="W58">
            <v>2.7456823116752984</v>
          </cell>
        </row>
        <row r="59">
          <cell r="W59" t="e">
            <v>#DIV/0!</v>
          </cell>
        </row>
        <row r="60">
          <cell r="W60">
            <v>3.8703548275963633</v>
          </cell>
        </row>
        <row r="61">
          <cell r="W61">
            <v>3826.6000000000008</v>
          </cell>
        </row>
        <row r="62">
          <cell r="W62">
            <v>5395.9624000000013</v>
          </cell>
        </row>
        <row r="63">
          <cell r="W63" t="e">
            <v>#DIV/0!</v>
          </cell>
        </row>
        <row r="64">
          <cell r="W64" t="e">
            <v>#DIV/0!</v>
          </cell>
        </row>
        <row r="65">
          <cell r="W65">
            <v>0</v>
          </cell>
        </row>
        <row r="66">
          <cell r="W66">
            <v>-17.398814563928873</v>
          </cell>
        </row>
        <row r="68">
          <cell r="W68" t="e">
            <v>#DIV/0!</v>
          </cell>
        </row>
      </sheetData>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sheetName val="BGF Data Sheet"/>
      <sheetName val="Preview"/>
      <sheetName val="Sales by Segment"/>
      <sheetName val="ACQ"/>
      <sheetName val="BGF vs. BGS"/>
      <sheetName val="Mk-to-MKT"/>
      <sheetName val="Bk Covts"/>
      <sheetName val="Notes"/>
      <sheetName val="OLD"/>
      <sheetName val="2Q02"/>
      <sheetName val="IDS"/>
      <sheetName val="COGS"/>
      <sheetName val="Quarterly "/>
      <sheetName val="IRIData"/>
      <sheetName val="ACN"/>
      <sheetName val="Custm"/>
      <sheetName val="SUM"/>
      <sheetName val="CreamofWHt"/>
      <sheetName val="BDInvestors"/>
      <sheetName val="Valuation"/>
      <sheetName val="Covts"/>
      <sheetName val="B&amp;R-Data"/>
      <sheetName val="Acqstns"/>
      <sheetName val="Brandsshares"/>
      <sheetName val="Sales growth"/>
      <sheetName val="SalesChnls"/>
      <sheetName val="Brand  OCf"/>
      <sheetName val="SF-4q99"/>
      <sheetName val="SalesForce"/>
      <sheetName val="Cost saves"/>
      <sheetName val="CF Sentvty"/>
      <sheetName val="Investor Issues"/>
      <sheetName val="BG-AOR"/>
      <sheetName val="Retail Mkt Position"/>
      <sheetName val="B&amp;R"/>
    </sheetNames>
    <sheetDataSet>
      <sheetData sheetId="0" refreshError="1">
        <row r="8">
          <cell r="BW8">
            <v>724.97300000000007</v>
          </cell>
        </row>
        <row r="31">
          <cell r="BW31">
            <v>187.28300000000004</v>
          </cell>
        </row>
        <row r="38">
          <cell r="BW38">
            <v>0.3350786856889843</v>
          </cell>
        </row>
        <row r="39">
          <cell r="BW39">
            <v>0.10902888797237965</v>
          </cell>
        </row>
        <row r="40">
          <cell r="BW40">
            <v>0</v>
          </cell>
        </row>
        <row r="45">
          <cell r="BW45">
            <v>37.4</v>
          </cell>
        </row>
        <row r="46">
          <cell r="BW46">
            <v>0</v>
          </cell>
        </row>
        <row r="47">
          <cell r="BW47">
            <v>14.600000000000001</v>
          </cell>
        </row>
        <row r="48">
          <cell r="BW48">
            <v>9.3339999999999996</v>
          </cell>
        </row>
        <row r="53">
          <cell r="BW53">
            <v>12.408999999999999</v>
          </cell>
        </row>
        <row r="83">
          <cell r="BW83">
            <v>4.1070000000000002</v>
          </cell>
        </row>
        <row r="110">
          <cell r="BW110">
            <v>110.26600000000002</v>
          </cell>
        </row>
        <row r="117">
          <cell r="BW117">
            <v>31.512528052768861</v>
          </cell>
        </row>
        <row r="118">
          <cell r="BW118">
            <v>76.455479722020542</v>
          </cell>
        </row>
        <row r="119">
          <cell r="BW119">
            <v>32.196311585935064</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sheetName val="COT Data Sheet"/>
      <sheetName val="Mk-to-Mkt"/>
      <sheetName val="SUM"/>
      <sheetName val="WMT-Senst"/>
      <sheetName val="AsstValu"/>
      <sheetName val="PP&amp;E"/>
      <sheetName val="ABL Covt"/>
      <sheetName val="INV Q"/>
      <sheetName val="BkCov"/>
      <sheetName val="Indenture"/>
      <sheetName val="3Q4Q"/>
      <sheetName val="BOTTLG COGS "/>
      <sheetName val="Pack Mix"/>
      <sheetName val="Qstns"/>
      <sheetName val="Cost Structure"/>
      <sheetName val="Pricing"/>
      <sheetName val="PLCOMPTN"/>
      <sheetName val="SalesEBIT Mix"/>
      <sheetName val="SoftDrinkData"/>
      <sheetName val="Sheet1 (2)"/>
      <sheetName val="Sheet3"/>
      <sheetName val="Bank Covt"/>
      <sheetName val="adjEbit"/>
      <sheetName val="Bank Covenant"/>
      <sheetName val="COGS breakdown"/>
      <sheetName val="Prod Mix"/>
      <sheetName val="Senst"/>
      <sheetName val="ABL Covenant"/>
    </sheetNames>
    <sheetDataSet>
      <sheetData sheetId="0" refreshError="1">
        <row r="76">
          <cell r="AV76">
            <v>4.9000000000000004</v>
          </cell>
        </row>
        <row r="77">
          <cell r="AV77">
            <v>10.299999999999986</v>
          </cell>
        </row>
      </sheetData>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ic"/>
      <sheetName val="Data"/>
      <sheetName val="Calc"/>
    </sheetNames>
    <sheetDataSet>
      <sheetData sheetId="0">
        <row r="4">
          <cell r="B4" t="str">
            <v>Index YC::HOL;00:00:00</v>
          </cell>
        </row>
      </sheetData>
      <sheetData sheetId="1"/>
      <sheetData sheetId="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
      <sheetName val="Estimates"/>
      <sheetName val="Model"/>
      <sheetName val="Recovery Analysis"/>
      <sheetName val="Real Estate 10-k filing"/>
      <sheetName val="Historical DB LevFin Sep25.08"/>
      <sheetName val="Model Sep24.08"/>
      <sheetName val="Model Aug9.08"/>
      <sheetName val="Model Aug7.08"/>
      <sheetName val="HY Model FINAL Jul2.08"/>
      <sheetName val="HY Model FINAL Jun2.08"/>
      <sheetName val="HY Model FINAL"/>
      <sheetName val="HY Model FINAL b4 2q08"/>
      <sheetName val="SSS"/>
      <sheetName val="Historical"/>
      <sheetName val="Sub-Sr"/>
      <sheetName val="Sheet1"/>
      <sheetName val="Dividend Deal and RP"/>
      <sheetName val="Covenants"/>
      <sheetName val="ORG CHART"/>
      <sheetName val="Notes"/>
      <sheetName val="Future Stores"/>
      <sheetName val="Stores"/>
      <sheetName val="SVU NMG Leverage Comparison"/>
      <sheetName val="DIVIDEND SRATCH"/>
      <sheetName val="Asset Coverage"/>
      <sheetName val="Sheet2"/>
      <sheetName val="Sheet3"/>
      <sheetName val="Sheet5"/>
      <sheetName val="Sheet4"/>
      <sheetName val="Sheet6"/>
    </sheetNames>
    <sheetDataSet>
      <sheetData sheetId="0"/>
      <sheetData sheetId="1"/>
      <sheetData sheetId="2"/>
      <sheetData sheetId="3"/>
      <sheetData sheetId="4"/>
      <sheetData sheetId="5"/>
      <sheetData sheetId="6"/>
      <sheetData sheetId="7"/>
      <sheetData sheetId="8"/>
      <sheetData sheetId="9"/>
      <sheetData sheetId="10"/>
      <sheetData sheetId="11">
        <row r="1">
          <cell r="V1" t="str">
            <v>updated</v>
          </cell>
        </row>
        <row r="3">
          <cell r="R3">
            <v>39108</v>
          </cell>
          <cell r="S3" t="str">
            <v>April 2007</v>
          </cell>
          <cell r="T3">
            <v>39291</v>
          </cell>
          <cell r="V3">
            <v>39382</v>
          </cell>
        </row>
        <row r="4">
          <cell r="R4" t="str">
            <v>Q2 07</v>
          </cell>
          <cell r="S4" t="str">
            <v>Q3 07</v>
          </cell>
          <cell r="T4" t="str">
            <v>Q4 07</v>
          </cell>
          <cell r="V4" t="str">
            <v>Q1 08</v>
          </cell>
        </row>
        <row r="6">
          <cell r="R6">
            <v>1295.836</v>
          </cell>
          <cell r="S6">
            <v>1073.374</v>
          </cell>
          <cell r="T6">
            <v>981.6550000000002</v>
          </cell>
          <cell r="V6">
            <v>1132.2429999999999</v>
          </cell>
        </row>
        <row r="7">
          <cell r="R7">
            <v>850.25800000000004</v>
          </cell>
          <cell r="S7">
            <v>627.87900000000002</v>
          </cell>
          <cell r="T7">
            <v>668.89899999999989</v>
          </cell>
          <cell r="V7">
            <v>667.13699999999994</v>
          </cell>
        </row>
        <row r="8">
          <cell r="R8">
            <v>445.57799999999997</v>
          </cell>
          <cell r="S8">
            <v>445.495</v>
          </cell>
          <cell r="T8">
            <v>312.75600000000031</v>
          </cell>
          <cell r="V8">
            <v>465.10599999999999</v>
          </cell>
        </row>
        <row r="9">
          <cell r="R9">
            <v>0.34385369753579925</v>
          </cell>
          <cell r="S9">
            <v>0.415041728232657</v>
          </cell>
          <cell r="T9">
            <v>0.31860073039917308</v>
          </cell>
          <cell r="V9">
            <v>0.41078284431875489</v>
          </cell>
        </row>
        <row r="10">
          <cell r="R10">
            <v>260.58100000000002</v>
          </cell>
          <cell r="S10">
            <v>225.77699999999999</v>
          </cell>
          <cell r="T10">
            <v>218.96200000000005</v>
          </cell>
          <cell r="V10">
            <v>249.97500000000002</v>
          </cell>
        </row>
        <row r="11">
          <cell r="R11">
            <v>23</v>
          </cell>
          <cell r="S11">
            <v>21.875</v>
          </cell>
          <cell r="T11">
            <v>21.875</v>
          </cell>
          <cell r="V11">
            <v>22</v>
          </cell>
        </row>
        <row r="12">
          <cell r="R12">
            <v>52.122999999999998</v>
          </cell>
          <cell r="S12">
            <v>52.345000000000006</v>
          </cell>
          <cell r="T12">
            <v>53.056000000000019</v>
          </cell>
          <cell r="V12">
            <v>53.131</v>
          </cell>
        </row>
        <row r="13">
          <cell r="R13">
            <v>0.21884019274043939</v>
          </cell>
          <cell r="S13">
            <v>0.23072293534220131</v>
          </cell>
          <cell r="T13">
            <v>0.24533772048224681</v>
          </cell>
          <cell r="V13">
            <v>0.2402090363994302</v>
          </cell>
        </row>
        <row r="14">
          <cell r="R14">
            <v>17.93</v>
          </cell>
          <cell r="S14">
            <v>17.068999999999999</v>
          </cell>
          <cell r="T14">
            <v>14.352999999999998</v>
          </cell>
          <cell r="V14">
            <v>17.294</v>
          </cell>
        </row>
        <row r="15">
          <cell r="T15">
            <v>1.3089999999999999</v>
          </cell>
          <cell r="V15">
            <v>0</v>
          </cell>
        </row>
        <row r="16">
          <cell r="R16">
            <v>127.80399999999997</v>
          </cell>
          <cell r="S16">
            <v>162.56700000000001</v>
          </cell>
          <cell r="T16">
            <v>31.907000000000249</v>
          </cell>
          <cell r="V16">
            <v>157.29399999999998</v>
          </cell>
        </row>
        <row r="17">
          <cell r="R17">
            <v>9.8626678067286269E-2</v>
          </cell>
          <cell r="S17">
            <v>0.15145419956138309</v>
          </cell>
          <cell r="T17">
            <v>3.2503272534648367E-2</v>
          </cell>
          <cell r="V17">
            <v>0.13892247512238981</v>
          </cell>
        </row>
        <row r="18">
          <cell r="R18">
            <v>0</v>
          </cell>
          <cell r="S18">
            <v>0</v>
          </cell>
          <cell r="T18">
            <v>0</v>
          </cell>
          <cell r="V18">
            <v>-32.450000000000003</v>
          </cell>
        </row>
        <row r="19">
          <cell r="R19">
            <v>65.537000000000006</v>
          </cell>
          <cell r="S19">
            <v>63.786999999999999</v>
          </cell>
          <cell r="T19">
            <v>61.662999999999997</v>
          </cell>
          <cell r="V19">
            <v>61.232999999999997</v>
          </cell>
        </row>
        <row r="20">
          <cell r="R20">
            <v>62.266999999999967</v>
          </cell>
          <cell r="S20">
            <v>98.78</v>
          </cell>
          <cell r="T20">
            <v>-29.505999999999815</v>
          </cell>
          <cell r="V20">
            <v>128.51099999999997</v>
          </cell>
        </row>
        <row r="21">
          <cell r="R21">
            <v>24.088999999999999</v>
          </cell>
          <cell r="S21">
            <v>37.841999999999999</v>
          </cell>
          <cell r="T21">
            <v>-13.637999999999998</v>
          </cell>
          <cell r="V21">
            <v>49.762999999999998</v>
          </cell>
        </row>
        <row r="22">
          <cell r="R22">
            <v>0</v>
          </cell>
          <cell r="S22">
            <v>0</v>
          </cell>
          <cell r="T22">
            <v>0</v>
          </cell>
          <cell r="V22">
            <v>0</v>
          </cell>
        </row>
        <row r="23">
          <cell r="R23">
            <v>38.177999999999969</v>
          </cell>
          <cell r="S23">
            <v>60.938000000000002</v>
          </cell>
          <cell r="T23">
            <v>-15.867999999999817</v>
          </cell>
          <cell r="V23">
            <v>78.747999999999962</v>
          </cell>
        </row>
        <row r="24">
          <cell r="R24">
            <v>2.8450000000000002</v>
          </cell>
          <cell r="S24">
            <v>0</v>
          </cell>
          <cell r="T24">
            <v>-1.3900000000000006</v>
          </cell>
          <cell r="V24">
            <v>0</v>
          </cell>
        </row>
        <row r="25">
          <cell r="R25">
            <v>0</v>
          </cell>
        </row>
        <row r="26">
          <cell r="R26">
            <v>41.022999999999968</v>
          </cell>
          <cell r="S26">
            <v>60.938000000000002</v>
          </cell>
          <cell r="T26">
            <v>-17.257999999999818</v>
          </cell>
          <cell r="V26">
            <v>78.747999999999962</v>
          </cell>
        </row>
        <row r="27">
          <cell r="R27">
            <v>0</v>
          </cell>
          <cell r="S27">
            <v>0</v>
          </cell>
          <cell r="T27">
            <v>0</v>
          </cell>
        </row>
        <row r="28">
          <cell r="R28">
            <v>41.022999999999968</v>
          </cell>
        </row>
        <row r="29">
          <cell r="R29">
            <v>179.92699999999996</v>
          </cell>
          <cell r="S29">
            <v>214.91200000000001</v>
          </cell>
          <cell r="T29">
            <v>84.963000000000264</v>
          </cell>
          <cell r="V29">
            <v>210.42499999999998</v>
          </cell>
        </row>
        <row r="30">
          <cell r="R30">
            <v>0.13885013226982423</v>
          </cell>
          <cell r="S30">
            <v>0.20022098541608052</v>
          </cell>
          <cell r="T30">
            <v>8.6550773948077739E-2</v>
          </cell>
          <cell r="V30">
            <v>0.18584791427281952</v>
          </cell>
        </row>
        <row r="32">
          <cell r="R32">
            <v>41.022999999999968</v>
          </cell>
          <cell r="S32">
            <v>60.938000000000002</v>
          </cell>
          <cell r="T32">
            <v>-17.25799999999979</v>
          </cell>
          <cell r="V32">
            <v>78.747999999999962</v>
          </cell>
        </row>
        <row r="33">
          <cell r="R33">
            <v>34.073999999999998</v>
          </cell>
          <cell r="S33">
            <v>34.254000000000005</v>
          </cell>
          <cell r="T33">
            <v>34.964999999999989</v>
          </cell>
          <cell r="V33">
            <v>35.134999999999998</v>
          </cell>
        </row>
        <row r="34">
          <cell r="R34">
            <v>25.081000000000003</v>
          </cell>
          <cell r="S34">
            <v>21.644999999999989</v>
          </cell>
          <cell r="T34">
            <v>21.646000000000022</v>
          </cell>
          <cell r="V34">
            <v>17.996000000000002</v>
          </cell>
        </row>
        <row r="35">
          <cell r="R35">
            <v>82.103000000000023</v>
          </cell>
          <cell r="S35">
            <v>-102.06300000000002</v>
          </cell>
          <cell r="T35">
            <v>42.765999999999806</v>
          </cell>
          <cell r="V35">
            <v>-145.70299999999997</v>
          </cell>
        </row>
        <row r="36">
          <cell r="R36">
            <v>182.28100000000001</v>
          </cell>
          <cell r="S36">
            <v>14.773999999999987</v>
          </cell>
          <cell r="T36">
            <v>82.118999999999986</v>
          </cell>
          <cell r="V36">
            <v>-13.824</v>
          </cell>
        </row>
        <row r="37">
          <cell r="R37">
            <v>-29.263000000000005</v>
          </cell>
          <cell r="S37">
            <v>-33.480999999999995</v>
          </cell>
          <cell r="T37">
            <v>-43.714000000000013</v>
          </cell>
          <cell r="V37">
            <v>-46.037999999999997</v>
          </cell>
        </row>
        <row r="38">
          <cell r="R38">
            <v>62.204999999999998</v>
          </cell>
          <cell r="S38">
            <v>-0.12800000000000278</v>
          </cell>
          <cell r="T38">
            <v>0.12799999999999734</v>
          </cell>
          <cell r="V38">
            <v>0</v>
          </cell>
        </row>
        <row r="39">
          <cell r="R39">
            <v>32.941999999999993</v>
          </cell>
          <cell r="S39">
            <v>-33.608999999999995</v>
          </cell>
          <cell r="T39">
            <v>-43.58600000000002</v>
          </cell>
          <cell r="V39">
            <v>-46.037999999999997</v>
          </cell>
        </row>
        <row r="40">
          <cell r="R40">
            <v>0</v>
          </cell>
          <cell r="S40">
            <v>0</v>
          </cell>
          <cell r="T40">
            <v>0</v>
          </cell>
          <cell r="V40">
            <v>0</v>
          </cell>
        </row>
        <row r="41">
          <cell r="R41">
            <v>0.15</v>
          </cell>
          <cell r="S41">
            <v>0</v>
          </cell>
          <cell r="T41">
            <v>0.99799999999999989</v>
          </cell>
          <cell r="V41">
            <v>0</v>
          </cell>
        </row>
        <row r="42">
          <cell r="R42">
            <v>0</v>
          </cell>
          <cell r="S42">
            <v>0</v>
          </cell>
          <cell r="T42">
            <v>0</v>
          </cell>
          <cell r="V42">
            <v>0</v>
          </cell>
        </row>
        <row r="43">
          <cell r="R43">
            <v>-9.0200000000000014</v>
          </cell>
          <cell r="S43">
            <v>9.2910000000000021</v>
          </cell>
          <cell r="T43">
            <v>-0.12799999999999989</v>
          </cell>
          <cell r="V43">
            <v>0</v>
          </cell>
        </row>
        <row r="44">
          <cell r="R44">
            <v>206.35300000000001</v>
          </cell>
          <cell r="S44">
            <v>-9.5440000000000058</v>
          </cell>
          <cell r="T44">
            <v>39.40299999999997</v>
          </cell>
          <cell r="V44">
            <v>-59.861999999999995</v>
          </cell>
        </row>
        <row r="46">
          <cell r="R46">
            <v>-3.8029999999999999</v>
          </cell>
          <cell r="S46">
            <v>-2.2000000000000002</v>
          </cell>
          <cell r="T46">
            <v>-0.36399999999999988</v>
          </cell>
          <cell r="V46">
            <v>0</v>
          </cell>
        </row>
        <row r="47">
          <cell r="R47">
            <v>-173.43299999999999</v>
          </cell>
          <cell r="S47">
            <v>-7.1054273576010019E-15</v>
          </cell>
          <cell r="T47">
            <v>-75</v>
          </cell>
          <cell r="V47">
            <v>-0.78900000000000003</v>
          </cell>
        </row>
        <row r="49">
          <cell r="R49">
            <v>159.43</v>
          </cell>
          <cell r="S49">
            <v>188.547</v>
          </cell>
          <cell r="T49">
            <v>176.803</v>
          </cell>
          <cell r="V49">
            <v>141.20699999999994</v>
          </cell>
        </row>
        <row r="50">
          <cell r="R50">
            <v>29.117000000000019</v>
          </cell>
          <cell r="S50">
            <v>-11.744000000000014</v>
          </cell>
          <cell r="T50">
            <v>-35.961000000000055</v>
          </cell>
          <cell r="V50">
            <v>-60.650999999999996</v>
          </cell>
        </row>
        <row r="52">
          <cell r="R52">
            <v>188.547</v>
          </cell>
          <cell r="S52">
            <v>176.803</v>
          </cell>
          <cell r="T52">
            <v>141.20699999999994</v>
          </cell>
          <cell r="V52">
            <v>80.555999999999941</v>
          </cell>
        </row>
        <row r="53">
          <cell r="R53">
            <v>812.29100000000005</v>
          </cell>
          <cell r="S53">
            <v>908.06</v>
          </cell>
          <cell r="T53">
            <v>918.26900000000001</v>
          </cell>
          <cell r="V53">
            <v>1085.511</v>
          </cell>
        </row>
        <row r="54">
          <cell r="R54">
            <v>35.493000000000002</v>
          </cell>
          <cell r="S54">
            <v>0</v>
          </cell>
          <cell r="T54">
            <v>0</v>
          </cell>
          <cell r="V54">
            <v>0</v>
          </cell>
        </row>
        <row r="55">
          <cell r="R55">
            <v>1035.0139999999999</v>
          </cell>
          <cell r="S55">
            <v>1034.2280000000001</v>
          </cell>
          <cell r="T55">
            <v>1043.711</v>
          </cell>
          <cell r="V55">
            <v>1057.9939999999999</v>
          </cell>
        </row>
        <row r="56">
          <cell r="R56">
            <v>6509.1530000000002</v>
          </cell>
          <cell r="S56">
            <v>6550.9840000000004</v>
          </cell>
          <cell r="T56">
            <v>6500.9989999999998</v>
          </cell>
          <cell r="V56">
            <v>6611.7150000000001</v>
          </cell>
        </row>
        <row r="57">
          <cell r="R57">
            <v>300.48500000000001</v>
          </cell>
          <cell r="S57">
            <v>297.84100000000001</v>
          </cell>
          <cell r="T57">
            <v>361.29899999999998</v>
          </cell>
          <cell r="V57">
            <v>350.36500000000001</v>
          </cell>
        </row>
        <row r="58">
          <cell r="R58">
            <v>1494.6130000000001</v>
          </cell>
          <cell r="S58">
            <v>1551.434</v>
          </cell>
          <cell r="T58">
            <v>1558.0119999999999</v>
          </cell>
          <cell r="V58">
            <v>1625.7170000000001</v>
          </cell>
        </row>
        <row r="59">
          <cell r="R59">
            <v>87.17536765311236</v>
          </cell>
          <cell r="S59">
            <v>131.96885864951685</v>
          </cell>
          <cell r="T59">
            <v>125.26860744297721</v>
          </cell>
          <cell r="V59">
            <v>148.47456931634733</v>
          </cell>
        </row>
        <row r="60">
          <cell r="R60">
            <v>2.4993411589120846</v>
          </cell>
          <cell r="S60">
            <v>0</v>
          </cell>
          <cell r="T60">
            <v>0</v>
          </cell>
          <cell r="V60">
            <v>0</v>
          </cell>
        </row>
        <row r="61">
          <cell r="R61">
            <v>32.248160264296253</v>
          </cell>
          <cell r="S61">
            <v>43.285396151169252</v>
          </cell>
          <cell r="T61">
            <v>49.287760558768966</v>
          </cell>
          <cell r="V61">
            <v>47.922400121714134</v>
          </cell>
        </row>
        <row r="63">
          <cell r="R63">
            <v>0</v>
          </cell>
          <cell r="S63">
            <v>-7.1054273576010019E-15</v>
          </cell>
          <cell r="T63">
            <v>0</v>
          </cell>
          <cell r="V63">
            <v>0</v>
          </cell>
        </row>
        <row r="64">
          <cell r="R64">
            <v>1700</v>
          </cell>
          <cell r="S64">
            <v>1700</v>
          </cell>
          <cell r="T64">
            <v>1625</v>
          </cell>
          <cell r="V64">
            <v>1625</v>
          </cell>
        </row>
        <row r="65">
          <cell r="R65">
            <v>1700</v>
          </cell>
          <cell r="S65">
            <v>1700</v>
          </cell>
          <cell r="T65">
            <v>1625</v>
          </cell>
          <cell r="V65">
            <v>1625</v>
          </cell>
        </row>
        <row r="66">
          <cell r="R66">
            <v>0</v>
          </cell>
          <cell r="S66">
            <v>0</v>
          </cell>
          <cell r="T66">
            <v>0</v>
          </cell>
          <cell r="V66">
            <v>0</v>
          </cell>
        </row>
        <row r="67">
          <cell r="R67">
            <v>120.809</v>
          </cell>
          <cell r="S67">
            <v>120.858</v>
          </cell>
          <cell r="T67">
            <v>125</v>
          </cell>
          <cell r="V67">
            <v>125</v>
          </cell>
        </row>
        <row r="68">
          <cell r="R68">
            <v>1820.809</v>
          </cell>
          <cell r="S68">
            <v>1820.8579999999999</v>
          </cell>
          <cell r="T68">
            <v>1750</v>
          </cell>
          <cell r="V68">
            <v>1750</v>
          </cell>
        </row>
        <row r="69">
          <cell r="R69">
            <v>700</v>
          </cell>
          <cell r="S69">
            <v>700</v>
          </cell>
          <cell r="T69">
            <v>700</v>
          </cell>
          <cell r="V69">
            <v>700</v>
          </cell>
        </row>
        <row r="70">
          <cell r="R70">
            <v>2520.8090000000002</v>
          </cell>
          <cell r="S70">
            <v>2520.8580000000002</v>
          </cell>
          <cell r="T70">
            <v>2450</v>
          </cell>
          <cell r="V70">
            <v>2450</v>
          </cell>
        </row>
        <row r="71">
          <cell r="R71">
            <v>500</v>
          </cell>
          <cell r="S71">
            <v>500</v>
          </cell>
          <cell r="T71">
            <v>500</v>
          </cell>
          <cell r="V71">
            <v>500</v>
          </cell>
        </row>
        <row r="72">
          <cell r="R72">
            <v>3020.8090000000002</v>
          </cell>
          <cell r="S72">
            <v>3020.8580000000002</v>
          </cell>
          <cell r="T72">
            <v>2950</v>
          </cell>
          <cell r="V72">
            <v>2945.9549999999999</v>
          </cell>
        </row>
        <row r="73">
          <cell r="R73">
            <v>2832.2620000000002</v>
          </cell>
          <cell r="S73">
            <v>2844.0550000000003</v>
          </cell>
          <cell r="T73">
            <v>2808.7930000000001</v>
          </cell>
          <cell r="V73">
            <v>2865.3989999999999</v>
          </cell>
        </row>
        <row r="75">
          <cell r="R75">
            <v>2.7454262477684352</v>
          </cell>
          <cell r="S75">
            <v>3.3692131625566337</v>
          </cell>
          <cell r="T75">
            <v>1.377860305207341</v>
          </cell>
          <cell r="V75">
            <v>3.4364639981709209</v>
          </cell>
        </row>
        <row r="76">
          <cell r="R76">
            <v>2.2989151166516617</v>
          </cell>
          <cell r="S76">
            <v>2.8443256462915643</v>
          </cell>
          <cell r="T76">
            <v>0.66894247766083803</v>
          </cell>
          <cell r="V76">
            <v>2.6846145052504369</v>
          </cell>
        </row>
        <row r="77">
          <cell r="R77">
            <v>2.6462768441436335</v>
          </cell>
          <cell r="S77">
            <v>2.524442543687706</v>
          </cell>
          <cell r="T77">
            <v>2.3712727240889198</v>
          </cell>
          <cell r="V77">
            <v>2.3542979338681325</v>
          </cell>
        </row>
        <row r="78">
          <cell r="R78">
            <v>2.8343321731225442</v>
          </cell>
          <cell r="S78">
            <v>2.7039125889494757</v>
          </cell>
          <cell r="T78">
            <v>2.5536783182496055</v>
          </cell>
          <cell r="V78">
            <v>2.5353977749349119</v>
          </cell>
        </row>
        <row r="79">
          <cell r="R79">
            <v>3.9239755795346292</v>
          </cell>
          <cell r="S79">
            <v>3.7433889304679431</v>
          </cell>
          <cell r="T79">
            <v>3.5751496455494478</v>
          </cell>
          <cell r="V79">
            <v>3.5495568849088768</v>
          </cell>
        </row>
        <row r="80">
          <cell r="R80">
            <v>4.7022922984004039</v>
          </cell>
          <cell r="S80">
            <v>4.4858720315525629</v>
          </cell>
          <cell r="T80">
            <v>4.3047720221921928</v>
          </cell>
          <cell r="V80">
            <v>4.2680958583190733</v>
          </cell>
        </row>
        <row r="81">
          <cell r="R81">
            <v>2.7687949361100301</v>
          </cell>
          <cell r="S81">
            <v>2.3472540722252488</v>
          </cell>
          <cell r="T81">
            <v>5.1100568149909087</v>
          </cell>
          <cell r="V81">
            <v>2.4184618694202431</v>
          </cell>
        </row>
        <row r="82">
          <cell r="R82">
            <v>4.4087937336164327</v>
          </cell>
          <cell r="S82">
            <v>4.2233255521104347</v>
          </cell>
          <cell r="T82">
            <v>4.0987164483150087</v>
          </cell>
          <cell r="V82">
            <v>4.1513864279432697</v>
          </cell>
        </row>
        <row r="83">
          <cell r="R83">
            <v>5.1822558374038019</v>
          </cell>
          <cell r="S83">
            <v>4.8875633627614148</v>
          </cell>
          <cell r="T83">
            <v>4.7492895583290808</v>
          </cell>
          <cell r="V83">
            <v>4.6932772084413266</v>
          </cell>
        </row>
        <row r="86">
          <cell r="R86">
            <v>5.5E-2</v>
          </cell>
          <cell r="S86">
            <v>5.5E-2</v>
          </cell>
          <cell r="T86">
            <v>5.5E-2</v>
          </cell>
          <cell r="V86">
            <v>5.7000000000000002E-2</v>
          </cell>
        </row>
        <row r="87">
          <cell r="R87">
            <v>1.7500000000000002E-2</v>
          </cell>
          <cell r="S87">
            <v>1.7500000000000002E-2</v>
          </cell>
          <cell r="T87">
            <v>1.7500000000000002E-2</v>
          </cell>
          <cell r="V87">
            <v>1.7500000000000002E-2</v>
          </cell>
        </row>
        <row r="88">
          <cell r="R88">
            <v>2.5000000000000001E-2</v>
          </cell>
          <cell r="S88">
            <v>2.5000000000000001E-2</v>
          </cell>
          <cell r="T88">
            <v>2.5000000000000001E-2</v>
          </cell>
          <cell r="V88">
            <v>1.7500000000000002E-2</v>
          </cell>
        </row>
        <row r="89">
          <cell r="R89">
            <v>7.1249999999999994E-2</v>
          </cell>
          <cell r="S89">
            <v>7.1249999999999994E-2</v>
          </cell>
          <cell r="T89">
            <v>7.1249999999999994E-2</v>
          </cell>
          <cell r="V89">
            <v>7.1249999999999994E-2</v>
          </cell>
        </row>
        <row r="90">
          <cell r="R90">
            <v>0.09</v>
          </cell>
          <cell r="S90">
            <v>0.09</v>
          </cell>
          <cell r="T90">
            <v>0.09</v>
          </cell>
          <cell r="V90">
            <v>0.09</v>
          </cell>
        </row>
        <row r="91">
          <cell r="R91">
            <v>0.10375</v>
          </cell>
          <cell r="S91">
            <v>0.10375</v>
          </cell>
          <cell r="T91">
            <v>0.10375</v>
          </cell>
          <cell r="V91">
            <v>0.10375</v>
          </cell>
        </row>
        <row r="93">
          <cell r="R93">
            <v>0.82858200634212775</v>
          </cell>
          <cell r="S93">
            <v>0</v>
          </cell>
          <cell r="T93">
            <v>-1.2878587085651817E-16</v>
          </cell>
          <cell r="V93">
            <v>0</v>
          </cell>
        </row>
        <row r="94">
          <cell r="R94">
            <v>37.5</v>
          </cell>
          <cell r="S94">
            <v>34</v>
          </cell>
          <cell r="T94">
            <v>34</v>
          </cell>
          <cell r="V94">
            <v>30.265625000000004</v>
          </cell>
        </row>
        <row r="95">
          <cell r="R95">
            <v>2.1493096874999997</v>
          </cell>
          <cell r="S95">
            <v>2.1519103124999996</v>
          </cell>
          <cell r="T95">
            <v>2.152783125</v>
          </cell>
          <cell r="V95">
            <v>2.2265625</v>
          </cell>
        </row>
        <row r="96">
          <cell r="R96">
            <v>15.75</v>
          </cell>
          <cell r="S96">
            <v>15.75</v>
          </cell>
          <cell r="T96">
            <v>15.75</v>
          </cell>
          <cell r="V96">
            <v>15.75</v>
          </cell>
        </row>
        <row r="97">
          <cell r="R97">
            <v>12.96875</v>
          </cell>
          <cell r="S97">
            <v>12.96875</v>
          </cell>
          <cell r="T97">
            <v>12.96875</v>
          </cell>
          <cell r="V97">
            <v>12.96875</v>
          </cell>
        </row>
        <row r="99">
          <cell r="R99">
            <v>61</v>
          </cell>
          <cell r="S99">
            <v>65</v>
          </cell>
          <cell r="T99">
            <v>62</v>
          </cell>
          <cell r="V99">
            <v>62</v>
          </cell>
        </row>
        <row r="100">
          <cell r="R100">
            <v>39</v>
          </cell>
          <cell r="S100">
            <v>41</v>
          </cell>
          <cell r="T100">
            <v>40</v>
          </cell>
          <cell r="V100">
            <v>41</v>
          </cell>
        </row>
        <row r="101">
          <cell r="R101">
            <v>20</v>
          </cell>
          <cell r="S101">
            <v>22</v>
          </cell>
          <cell r="T101">
            <v>20</v>
          </cell>
          <cell r="V101">
            <v>21</v>
          </cell>
        </row>
        <row r="102">
          <cell r="R102">
            <v>2</v>
          </cell>
          <cell r="S102">
            <v>2</v>
          </cell>
          <cell r="T102">
            <v>2</v>
          </cell>
        </row>
        <row r="106">
          <cell r="V106">
            <v>961.6</v>
          </cell>
        </row>
        <row r="107">
          <cell r="V107">
            <v>170.6</v>
          </cell>
        </row>
        <row r="110">
          <cell r="V110">
            <v>165.5</v>
          </cell>
        </row>
        <row r="111">
          <cell r="V111">
            <v>23.2</v>
          </cell>
        </row>
        <row r="112">
          <cell r="V112">
            <v>0.89999999999999858</v>
          </cell>
        </row>
        <row r="118">
          <cell r="S118" t="str">
            <v>Debt Maturities</v>
          </cell>
        </row>
        <row r="119">
          <cell r="T119">
            <v>2006</v>
          </cell>
          <cell r="V119">
            <v>2008</v>
          </cell>
        </row>
        <row r="120">
          <cell r="S120" t="str">
            <v>Banks/Other</v>
          </cell>
          <cell r="T120">
            <v>0</v>
          </cell>
          <cell r="V120">
            <v>0</v>
          </cell>
        </row>
        <row r="121">
          <cell r="S121" t="str">
            <v>Bonds</v>
          </cell>
          <cell r="T121">
            <v>0</v>
          </cell>
          <cell r="V121">
            <v>0</v>
          </cell>
        </row>
        <row r="122">
          <cell r="S122" t="str">
            <v xml:space="preserve">          Total</v>
          </cell>
          <cell r="T122">
            <v>0</v>
          </cell>
          <cell r="V122">
            <v>0</v>
          </cell>
        </row>
        <row r="125">
          <cell r="S125" t="str">
            <v>Liquidity at Q2 08</v>
          </cell>
          <cell r="V125" t="str">
            <v>($mn)</v>
          </cell>
        </row>
        <row r="126">
          <cell r="T126" t="str">
            <v>Asset -based revolver</v>
          </cell>
          <cell r="V126">
            <v>600</v>
          </cell>
        </row>
        <row r="127">
          <cell r="T127" t="str">
            <v>Amount outstanding</v>
          </cell>
          <cell r="V127">
            <v>0</v>
          </cell>
        </row>
        <row r="128">
          <cell r="T128" t="str">
            <v>LOC's outstanding</v>
          </cell>
          <cell r="V128">
            <v>23.9</v>
          </cell>
        </row>
        <row r="129">
          <cell r="T129" t="str">
            <v>Revolver availability</v>
          </cell>
          <cell r="V129">
            <v>576.1</v>
          </cell>
        </row>
        <row r="130">
          <cell r="T130" t="str">
            <v>Cash</v>
          </cell>
          <cell r="V130">
            <v>235.74700000000001</v>
          </cell>
        </row>
        <row r="131">
          <cell r="T131" t="str">
            <v>Total liquidity</v>
          </cell>
          <cell r="V131">
            <v>811.84699999999998</v>
          </cell>
        </row>
        <row r="133">
          <cell r="R133">
            <v>642.41200000000003</v>
          </cell>
          <cell r="S133">
            <v>673.41599999999994</v>
          </cell>
          <cell r="T133">
            <v>685.28600000000029</v>
          </cell>
          <cell r="V133">
            <v>690.2270000000002</v>
          </cell>
        </row>
        <row r="134">
          <cell r="R134">
            <v>724.93700000000001</v>
          </cell>
          <cell r="S134">
            <v>761.29099999999994</v>
          </cell>
          <cell r="T134">
            <v>768.53600000000029</v>
          </cell>
          <cell r="V134">
            <v>778.9770000000002</v>
          </cell>
        </row>
        <row r="135">
          <cell r="R135">
            <v>82.525000000000006</v>
          </cell>
          <cell r="S135">
            <v>87.875</v>
          </cell>
          <cell r="T135">
            <v>87.5</v>
          </cell>
          <cell r="V135">
            <v>88.75</v>
          </cell>
        </row>
        <row r="136">
          <cell r="S136">
            <v>265.04839456875004</v>
          </cell>
        </row>
        <row r="137">
          <cell r="R137">
            <v>9.8022796283015694</v>
          </cell>
          <cell r="S137">
            <v>2.5407284624216984</v>
          </cell>
          <cell r="T137">
            <v>11.113406743103649</v>
          </cell>
        </row>
        <row r="139">
          <cell r="R139">
            <v>4.7022922984004039</v>
          </cell>
        </row>
        <row r="149">
          <cell r="V149">
            <v>4483.1079999999993</v>
          </cell>
        </row>
        <row r="150">
          <cell r="V150">
            <v>2814.1729999999998</v>
          </cell>
        </row>
        <row r="151">
          <cell r="V151">
            <v>1668.9349999999995</v>
          </cell>
        </row>
        <row r="152">
          <cell r="V152">
            <v>955.29500000000007</v>
          </cell>
        </row>
        <row r="155">
          <cell r="R155">
            <v>268.99700000000001</v>
          </cell>
          <cell r="S155">
            <v>265.56799999999998</v>
          </cell>
          <cell r="T155">
            <v>259.80500000000001</v>
          </cell>
          <cell r="V155">
            <v>252.22000000000003</v>
          </cell>
        </row>
        <row r="156">
          <cell r="V156">
            <v>98.055999999999983</v>
          </cell>
        </row>
        <row r="157">
          <cell r="V157">
            <v>-152.49600000000004</v>
          </cell>
        </row>
        <row r="158">
          <cell r="V158">
            <v>0</v>
          </cell>
        </row>
        <row r="161">
          <cell r="V161">
            <v>80.555999999999941</v>
          </cell>
        </row>
        <row r="162">
          <cell r="S162">
            <v>575</v>
          </cell>
          <cell r="V162">
            <v>575.70000000000005</v>
          </cell>
        </row>
        <row r="163">
          <cell r="S163">
            <v>3.6859999999999999</v>
          </cell>
        </row>
        <row r="164">
          <cell r="S164">
            <v>3017.172</v>
          </cell>
          <cell r="V164">
            <v>2945.9549999999999</v>
          </cell>
        </row>
        <row r="167">
          <cell r="V167" t="str">
            <v>NA</v>
          </cell>
        </row>
        <row r="168">
          <cell r="V168" t="str">
            <v>NA</v>
          </cell>
        </row>
        <row r="169">
          <cell r="V169">
            <v>1625.7170000000001</v>
          </cell>
        </row>
        <row r="172">
          <cell r="V172">
            <v>0.37227187031853787</v>
          </cell>
        </row>
        <row r="173">
          <cell r="V173">
            <v>0.21308766150625866</v>
          </cell>
        </row>
        <row r="176">
          <cell r="V176">
            <v>2450</v>
          </cell>
        </row>
        <row r="177">
          <cell r="V177">
            <v>2945.9549999999999</v>
          </cell>
        </row>
        <row r="178">
          <cell r="V178">
            <v>2945.9549999999999</v>
          </cell>
        </row>
        <row r="179">
          <cell r="V179">
            <v>3.5495568849088768</v>
          </cell>
        </row>
        <row r="180">
          <cell r="V180">
            <v>4.2680958583190733</v>
          </cell>
        </row>
        <row r="181">
          <cell r="V181">
            <v>4.2680958583190733</v>
          </cell>
        </row>
        <row r="184">
          <cell r="V184">
            <v>1750</v>
          </cell>
        </row>
        <row r="185">
          <cell r="V185">
            <v>2945.9549999999999</v>
          </cell>
        </row>
        <row r="186">
          <cell r="V186">
            <v>2.5353977749349119</v>
          </cell>
        </row>
        <row r="187">
          <cell r="V187">
            <v>4.2680958583190733</v>
          </cell>
        </row>
        <row r="256">
          <cell r="S256">
            <v>7.4499999999999993</v>
          </cell>
        </row>
        <row r="277">
          <cell r="R277">
            <v>7.6987060998151575</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Barclays">
      <a:dk1>
        <a:sysClr val="windowText" lastClr="000000"/>
      </a:dk1>
      <a:lt1>
        <a:sysClr val="window" lastClr="FFFFFF"/>
      </a:lt1>
      <a:dk2>
        <a:srgbClr val="00BDF2"/>
      </a:dk2>
      <a:lt2>
        <a:srgbClr val="00395C"/>
      </a:lt2>
      <a:accent1>
        <a:srgbClr val="BFEBFB"/>
      </a:accent1>
      <a:accent2>
        <a:srgbClr val="ACACAD"/>
      </a:accent2>
      <a:accent3>
        <a:srgbClr val="58595B"/>
      </a:accent3>
      <a:accent4>
        <a:srgbClr val="80D7F7"/>
      </a:accent4>
      <a:accent5>
        <a:srgbClr val="809CAE"/>
      </a:accent5>
      <a:accent6>
        <a:srgbClr val="BFCED6"/>
      </a:accent6>
      <a:hlink>
        <a:srgbClr val="000000"/>
      </a:hlink>
      <a:folHlink>
        <a:srgbClr val="000000"/>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H37"/>
  <sheetViews>
    <sheetView tabSelected="1" workbookViewId="0">
      <selection activeCell="D19" sqref="D19"/>
    </sheetView>
  </sheetViews>
  <sheetFormatPr defaultRowHeight="12.75"/>
  <cols>
    <col min="1" max="1" width="4.5" style="91" customWidth="1"/>
    <col min="2" max="2" width="4.25" style="91" customWidth="1"/>
    <col min="3" max="3" width="12.625" style="91" customWidth="1"/>
    <col min="4" max="4" width="61.375" style="91" customWidth="1"/>
    <col min="5" max="5" width="4.25" style="91" customWidth="1"/>
    <col min="6" max="6" width="3.625" style="91" customWidth="1"/>
    <col min="7" max="7" width="31.375" style="91" customWidth="1"/>
    <col min="8" max="8" width="4.5" style="91" customWidth="1"/>
    <col min="9" max="16384" width="9" style="91"/>
  </cols>
  <sheetData>
    <row r="1" spans="1:8" ht="24" customHeight="1">
      <c r="A1" s="90"/>
      <c r="B1" s="90"/>
      <c r="C1" s="90"/>
      <c r="D1" s="90"/>
      <c r="E1" s="90"/>
      <c r="F1" s="90"/>
      <c r="G1" s="90"/>
      <c r="H1" s="90"/>
    </row>
    <row r="2" spans="1:8" ht="60" customHeight="1">
      <c r="A2" s="90"/>
      <c r="B2" s="90"/>
      <c r="C2" s="90"/>
      <c r="D2" s="90"/>
      <c r="E2" s="90"/>
      <c r="F2" s="90"/>
      <c r="G2" s="90"/>
      <c r="H2" s="90"/>
    </row>
    <row r="3" spans="1:8" ht="33.75" customHeight="1">
      <c r="A3" s="90"/>
      <c r="B3" s="90"/>
      <c r="C3" s="90"/>
      <c r="D3" s="90"/>
      <c r="E3" s="90"/>
      <c r="F3" s="90"/>
      <c r="G3" s="90"/>
      <c r="H3" s="90"/>
    </row>
    <row r="4" spans="1:8">
      <c r="A4" s="90"/>
      <c r="B4" s="90"/>
      <c r="C4" s="90"/>
      <c r="D4" s="92"/>
      <c r="E4" s="92"/>
      <c r="F4" s="92"/>
      <c r="G4" s="93" t="s">
        <v>156</v>
      </c>
      <c r="H4" s="90"/>
    </row>
    <row r="5" spans="1:8" ht="12.75" customHeight="1">
      <c r="A5" s="90"/>
      <c r="B5" s="92"/>
      <c r="C5" s="270" t="str">
        <f>'3Q19 Actual'!$B$1&amp;" E&amp;P Margin Calculator"</f>
        <v>3Q19 E&amp;P Margin Calculator</v>
      </c>
      <c r="D5" s="271"/>
      <c r="E5" s="92"/>
      <c r="F5" s="92"/>
      <c r="G5" s="94" t="s">
        <v>220</v>
      </c>
      <c r="H5" s="90"/>
    </row>
    <row r="6" spans="1:8">
      <c r="A6" s="90"/>
      <c r="B6" s="92"/>
      <c r="C6" s="271"/>
      <c r="D6" s="271"/>
      <c r="E6" s="92"/>
      <c r="F6" s="92"/>
      <c r="G6" s="162" t="s">
        <v>157</v>
      </c>
      <c r="H6" s="90"/>
    </row>
    <row r="7" spans="1:8">
      <c r="A7" s="90"/>
      <c r="B7" s="92"/>
      <c r="C7" s="271"/>
      <c r="D7" s="271"/>
      <c r="E7" s="92"/>
      <c r="F7" s="92"/>
      <c r="G7" s="94" t="s">
        <v>158</v>
      </c>
      <c r="H7" s="90"/>
    </row>
    <row r="8" spans="1:8">
      <c r="A8" s="90"/>
      <c r="B8" s="92"/>
      <c r="C8" s="271"/>
      <c r="D8" s="271"/>
      <c r="E8" s="92"/>
      <c r="F8" s="92"/>
      <c r="G8" s="94"/>
      <c r="H8" s="90"/>
    </row>
    <row r="9" spans="1:8" ht="12.75" customHeight="1">
      <c r="A9" s="90"/>
      <c r="B9" s="92"/>
      <c r="C9" s="271"/>
      <c r="D9" s="271"/>
      <c r="E9" s="92"/>
      <c r="F9" s="92"/>
      <c r="G9" s="93" t="s">
        <v>202</v>
      </c>
      <c r="H9" s="90"/>
    </row>
    <row r="10" spans="1:8">
      <c r="A10" s="90"/>
      <c r="B10" s="95"/>
      <c r="C10" s="271"/>
      <c r="D10" s="271"/>
      <c r="E10" s="95"/>
      <c r="F10" s="95"/>
      <c r="G10" s="94" t="s">
        <v>225</v>
      </c>
      <c r="H10" s="90"/>
    </row>
    <row r="11" spans="1:8">
      <c r="A11" s="90"/>
      <c r="B11" s="95"/>
      <c r="C11" s="95"/>
      <c r="D11" s="95"/>
      <c r="E11" s="95"/>
      <c r="F11" s="95"/>
      <c r="G11" s="162" t="s">
        <v>203</v>
      </c>
      <c r="H11" s="90"/>
    </row>
    <row r="12" spans="1:8" ht="12.75" customHeight="1">
      <c r="A12" s="90"/>
      <c r="B12" s="90"/>
      <c r="C12" s="90"/>
      <c r="D12" s="90"/>
      <c r="E12" s="96"/>
      <c r="F12" s="90"/>
      <c r="G12" s="94" t="s">
        <v>158</v>
      </c>
      <c r="H12" s="90"/>
    </row>
    <row r="13" spans="1:8" ht="12.75" customHeight="1">
      <c r="A13" s="90"/>
      <c r="B13" s="90"/>
      <c r="C13" s="90"/>
      <c r="D13" s="90"/>
      <c r="E13" s="96"/>
      <c r="F13" s="90"/>
      <c r="G13" s="97"/>
      <c r="H13" s="90"/>
    </row>
    <row r="14" spans="1:8" ht="12.75" customHeight="1">
      <c r="A14" s="90"/>
      <c r="B14" s="90"/>
      <c r="C14" s="98"/>
      <c r="D14" s="99"/>
      <c r="E14" s="96"/>
      <c r="F14" s="90"/>
      <c r="G14" s="97"/>
      <c r="H14" s="90"/>
    </row>
    <row r="15" spans="1:8" ht="12.75" customHeight="1">
      <c r="A15" s="90"/>
      <c r="B15" s="100"/>
      <c r="C15" s="101"/>
      <c r="D15" s="102"/>
      <c r="E15" s="96"/>
      <c r="F15" s="90"/>
      <c r="G15" s="97"/>
      <c r="H15" s="90"/>
    </row>
    <row r="16" spans="1:8" ht="12.75" customHeight="1">
      <c r="A16" s="90"/>
      <c r="B16" s="100"/>
      <c r="C16" s="101"/>
      <c r="D16" s="102"/>
      <c r="E16" s="96"/>
      <c r="F16" s="90"/>
      <c r="G16" s="97"/>
      <c r="H16" s="90"/>
    </row>
    <row r="17" spans="1:8" ht="12.75" customHeight="1">
      <c r="A17" s="90"/>
      <c r="B17" s="100"/>
      <c r="C17" s="101"/>
      <c r="D17" s="102"/>
      <c r="E17" s="96"/>
      <c r="F17" s="90"/>
      <c r="G17" s="97"/>
      <c r="H17" s="90"/>
    </row>
    <row r="18" spans="1:8" ht="12.75" customHeight="1">
      <c r="A18" s="90"/>
      <c r="B18" s="100"/>
      <c r="C18" s="101"/>
      <c r="D18" s="102"/>
      <c r="E18" s="96"/>
      <c r="F18" s="90"/>
      <c r="G18" s="97"/>
      <c r="H18" s="90"/>
    </row>
    <row r="19" spans="1:8" ht="12.75" customHeight="1">
      <c r="A19" s="90"/>
      <c r="B19" s="100"/>
      <c r="C19" s="101"/>
      <c r="D19" s="102"/>
      <c r="E19" s="96"/>
      <c r="F19" s="90"/>
      <c r="G19" s="97"/>
      <c r="H19" s="90"/>
    </row>
    <row r="20" spans="1:8" s="105" customFormat="1" ht="12.75" customHeight="1">
      <c r="A20" s="103"/>
      <c r="B20" s="272"/>
      <c r="C20" s="273"/>
      <c r="D20" s="273"/>
      <c r="E20" s="104"/>
      <c r="F20" s="104"/>
      <c r="G20" s="97"/>
      <c r="H20" s="103"/>
    </row>
    <row r="21" spans="1:8" s="105" customFormat="1" ht="15.75">
      <c r="A21" s="103"/>
      <c r="B21" s="106"/>
      <c r="C21" s="107"/>
      <c r="D21" s="108"/>
      <c r="E21" s="103"/>
      <c r="F21" s="103"/>
      <c r="G21" s="97"/>
      <c r="H21" s="103"/>
    </row>
    <row r="22" spans="1:8" s="105" customFormat="1" ht="15">
      <c r="A22" s="103"/>
      <c r="B22" s="106"/>
      <c r="C22" s="106"/>
      <c r="D22" s="106"/>
      <c r="E22" s="103"/>
      <c r="F22" s="103"/>
      <c r="G22" s="109"/>
      <c r="H22" s="103"/>
    </row>
    <row r="23" spans="1:8" ht="15">
      <c r="A23" s="90"/>
      <c r="B23" s="100"/>
      <c r="C23" s="100"/>
      <c r="D23" s="100"/>
      <c r="E23" s="90"/>
      <c r="F23" s="90"/>
      <c r="G23" s="109"/>
      <c r="H23" s="90"/>
    </row>
    <row r="24" spans="1:8" ht="15">
      <c r="A24" s="90"/>
      <c r="B24" s="110"/>
      <c r="C24" s="110"/>
      <c r="D24" s="110"/>
      <c r="E24" s="90"/>
      <c r="F24" s="90"/>
      <c r="G24" s="109"/>
      <c r="H24" s="90"/>
    </row>
    <row r="25" spans="1:8" ht="12.75" customHeight="1">
      <c r="A25" s="90"/>
      <c r="B25" s="110"/>
      <c r="C25" s="111"/>
      <c r="D25" s="111"/>
      <c r="E25" s="90"/>
      <c r="F25" s="90"/>
      <c r="G25" s="97"/>
      <c r="H25" s="90"/>
    </row>
    <row r="26" spans="1:8" ht="12.75" customHeight="1">
      <c r="A26" s="90"/>
      <c r="B26" s="111"/>
      <c r="C26" s="111"/>
      <c r="D26" s="111"/>
      <c r="E26" s="90"/>
      <c r="F26" s="90"/>
      <c r="G26" s="97"/>
      <c r="H26" s="90"/>
    </row>
    <row r="27" spans="1:8" ht="12.75" customHeight="1">
      <c r="A27" s="90"/>
      <c r="B27" s="274"/>
      <c r="C27" s="274"/>
      <c r="D27" s="274"/>
      <c r="E27" s="112"/>
      <c r="F27" s="112"/>
      <c r="G27" s="97"/>
      <c r="H27" s="90"/>
    </row>
    <row r="28" spans="1:8" ht="12.75" customHeight="1">
      <c r="A28" s="90"/>
      <c r="B28" s="275"/>
      <c r="C28" s="275"/>
      <c r="D28" s="275"/>
      <c r="E28" s="112"/>
      <c r="F28" s="112"/>
      <c r="G28" s="90"/>
      <c r="H28" s="90"/>
    </row>
    <row r="29" spans="1:8" ht="12.75" customHeight="1">
      <c r="A29" s="90"/>
      <c r="B29" s="275"/>
      <c r="C29" s="275"/>
      <c r="D29" s="275"/>
      <c r="E29" s="112"/>
      <c r="F29" s="112"/>
      <c r="G29" s="112"/>
      <c r="H29" s="90"/>
    </row>
    <row r="30" spans="1:8" ht="12.75" customHeight="1">
      <c r="A30" s="90"/>
      <c r="B30" s="275"/>
      <c r="C30" s="275"/>
      <c r="D30" s="275"/>
      <c r="E30" s="95"/>
      <c r="F30" s="95"/>
      <c r="G30" s="112"/>
      <c r="H30" s="90"/>
    </row>
    <row r="31" spans="1:8">
      <c r="A31" s="90"/>
      <c r="B31" s="275"/>
      <c r="C31" s="275"/>
      <c r="D31" s="275"/>
      <c r="E31" s="95"/>
      <c r="F31" s="95"/>
      <c r="G31" s="112"/>
      <c r="H31" s="90"/>
    </row>
    <row r="32" spans="1:8" ht="6" customHeight="1">
      <c r="A32" s="90"/>
      <c r="B32" s="275"/>
      <c r="C32" s="275"/>
      <c r="D32" s="275"/>
      <c r="E32" s="95"/>
      <c r="F32" s="95"/>
      <c r="G32" s="95"/>
      <c r="H32" s="90"/>
    </row>
    <row r="33" spans="1:8">
      <c r="A33" s="90"/>
      <c r="B33" s="275"/>
      <c r="C33" s="275"/>
      <c r="D33" s="275"/>
      <c r="E33" s="95"/>
      <c r="F33" s="95"/>
      <c r="G33" s="95"/>
      <c r="H33" s="90"/>
    </row>
    <row r="34" spans="1:8" ht="6" customHeight="1">
      <c r="A34" s="90"/>
      <c r="B34" s="95"/>
      <c r="C34" s="95"/>
      <c r="D34" s="95"/>
      <c r="E34" s="95"/>
      <c r="F34" s="95"/>
      <c r="G34" s="95"/>
      <c r="H34" s="90"/>
    </row>
    <row r="35" spans="1:8">
      <c r="A35" s="90"/>
      <c r="B35" s="113"/>
      <c r="C35" s="113"/>
      <c r="D35" s="113"/>
      <c r="E35" s="113"/>
      <c r="F35" s="113"/>
      <c r="G35" s="113"/>
      <c r="H35" s="90"/>
    </row>
    <row r="36" spans="1:8">
      <c r="A36" s="90"/>
      <c r="B36" s="161" t="s">
        <v>159</v>
      </c>
      <c r="C36" s="95"/>
      <c r="D36" s="95"/>
      <c r="E36" s="95"/>
      <c r="F36" s="95"/>
      <c r="G36" s="95"/>
      <c r="H36" s="90"/>
    </row>
    <row r="37" spans="1:8">
      <c r="A37" s="90"/>
      <c r="B37" s="92"/>
      <c r="C37" s="92"/>
      <c r="D37" s="92"/>
      <c r="E37" s="92"/>
      <c r="F37" s="92"/>
      <c r="G37" s="92"/>
      <c r="H37" s="90"/>
    </row>
  </sheetData>
  <mergeCells count="4">
    <mergeCell ref="C5:D10"/>
    <mergeCell ref="B20:D20"/>
    <mergeCell ref="B27:D27"/>
    <mergeCell ref="B28:D33"/>
  </mergeCells>
  <pageMargins left="0.5" right="0.5" top="0.5" bottom="0.25" header="0.5" footer="0.5"/>
  <pageSetup orientation="landscape" r:id="rId1"/>
  <headerFooter alignWithMargins="0">
    <oddFooter>&amp;C&amp;"Expert Sans Regular,Regular"&amp;10&amp;K000000 Restricted - External_x000D_&amp;1#&amp;"Calibri"&amp;10 Restricted - External</oddFooter>
    <evenFooter>&amp;C&amp;"Expert Sans Regular,Regular"&amp;10&amp;K000000 Restricted - External</evenFooter>
    <firstFooter>&amp;C&amp;"Expert Sans Regular,Regular"&amp;10&amp;K000000 Restricted - External</first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Z204"/>
  <sheetViews>
    <sheetView showGridLines="0" zoomScale="85" zoomScaleNormal="85" workbookViewId="0">
      <pane xSplit="1" ySplit="7" topLeftCell="B8" activePane="bottomRight" state="frozen"/>
      <selection pane="topRight" activeCell="B1" sqref="B1"/>
      <selection pane="bottomLeft" activeCell="A8" sqref="A8"/>
      <selection pane="bottomRight" activeCell="I21" sqref="I21"/>
    </sheetView>
  </sheetViews>
  <sheetFormatPr defaultRowHeight="14.25"/>
  <cols>
    <col min="1" max="1" width="12.5" style="1" customWidth="1"/>
    <col min="2" max="2" width="12.5" style="2" customWidth="1"/>
    <col min="3" max="3" width="11.875" style="2" customWidth="1"/>
    <col min="4" max="4" width="9.25" style="190" customWidth="1"/>
    <col min="5" max="8" width="9.25" style="2" customWidth="1"/>
    <col min="9" max="9" width="10.25" style="2" customWidth="1"/>
    <col min="10" max="24" width="9.25" style="2" customWidth="1"/>
    <col min="25" max="26" width="11.5" style="1" customWidth="1"/>
    <col min="27" max="27" width="10.75" style="1" bestFit="1" customWidth="1"/>
    <col min="28" max="16384" width="9" style="1"/>
  </cols>
  <sheetData>
    <row r="1" spans="1:26" s="9" customFormat="1" ht="15" thickBot="1">
      <c r="A1" s="196" t="str">
        <f>$B$1&amp;" Benchmarks"</f>
        <v>3Q18 Benchmarks</v>
      </c>
      <c r="B1" s="172" t="s">
        <v>201</v>
      </c>
      <c r="D1" s="183" t="str">
        <f>"Days in "&amp;$B$1</f>
        <v>Days in 3Q18</v>
      </c>
      <c r="E1" s="8"/>
      <c r="F1" s="8"/>
      <c r="G1" s="8"/>
      <c r="H1" s="8"/>
      <c r="I1" s="8"/>
      <c r="J1" s="8"/>
      <c r="K1" s="8"/>
      <c r="L1" s="8"/>
      <c r="M1" s="8"/>
      <c r="N1" s="8"/>
      <c r="O1" s="8"/>
      <c r="P1" s="8"/>
      <c r="Q1" s="19"/>
      <c r="R1" s="8"/>
      <c r="S1" s="8"/>
      <c r="T1" s="8"/>
      <c r="U1" s="8"/>
      <c r="V1" s="8"/>
      <c r="W1" s="8"/>
      <c r="X1" s="8"/>
    </row>
    <row r="2" spans="1:26" s="9" customFormat="1" ht="15" thickBot="1">
      <c r="A2" s="196" t="s">
        <v>1</v>
      </c>
      <c r="B2" s="10">
        <v>69.608253968253962</v>
      </c>
      <c r="D2" s="184">
        <f>31+31+30</f>
        <v>92</v>
      </c>
      <c r="E2" s="8"/>
      <c r="F2" s="8"/>
      <c r="G2" s="8"/>
      <c r="H2" s="8"/>
      <c r="I2" s="8"/>
      <c r="J2" s="8"/>
      <c r="K2" s="8"/>
      <c r="L2" s="8"/>
      <c r="M2" s="8"/>
      <c r="N2" s="8"/>
      <c r="O2" s="8"/>
      <c r="P2" s="8"/>
      <c r="Q2" s="19"/>
      <c r="R2" s="8"/>
      <c r="S2" s="8"/>
      <c r="T2" s="8"/>
      <c r="U2" s="8"/>
      <c r="V2" s="8"/>
      <c r="W2" s="8"/>
      <c r="X2" s="8"/>
    </row>
    <row r="3" spans="1:26" s="9" customFormat="1">
      <c r="A3" s="196" t="s">
        <v>0</v>
      </c>
      <c r="B3" s="10">
        <v>36.633372881355925</v>
      </c>
      <c r="C3" s="10"/>
      <c r="D3" s="8"/>
      <c r="E3" s="8"/>
      <c r="F3" s="8"/>
      <c r="G3" s="8"/>
      <c r="H3" s="8"/>
      <c r="I3" s="8"/>
      <c r="J3" s="8"/>
      <c r="K3" s="8"/>
      <c r="L3" s="135"/>
      <c r="M3" s="135"/>
      <c r="N3" s="8"/>
      <c r="O3" s="8"/>
      <c r="P3" s="8"/>
      <c r="Q3" s="19"/>
      <c r="R3" s="8"/>
      <c r="S3" s="8"/>
      <c r="T3" s="8"/>
      <c r="U3" s="8"/>
      <c r="V3" s="8"/>
      <c r="W3" s="8"/>
      <c r="X3" s="8"/>
    </row>
    <row r="4" spans="1:26" s="9" customFormat="1" ht="25.5">
      <c r="A4" s="196" t="s">
        <v>2</v>
      </c>
      <c r="B4" s="10">
        <v>2.9121557377049201</v>
      </c>
      <c r="C4" s="10"/>
      <c r="D4" s="8"/>
      <c r="E4" s="8"/>
      <c r="F4" s="8"/>
      <c r="G4" s="8"/>
      <c r="H4" s="8"/>
      <c r="I4" s="8"/>
      <c r="J4" s="135"/>
      <c r="K4" s="8"/>
      <c r="L4" s="8"/>
      <c r="M4" s="8"/>
      <c r="N4" s="8"/>
      <c r="O4" s="8"/>
      <c r="P4" s="8"/>
      <c r="Q4" s="19"/>
      <c r="R4" s="8"/>
      <c r="S4" s="8"/>
      <c r="T4" s="8"/>
      <c r="U4" s="8"/>
      <c r="V4" s="8"/>
      <c r="W4" s="8"/>
      <c r="X4" s="8"/>
    </row>
    <row r="5" spans="1:26" s="9" customFormat="1" ht="15" thickBot="1">
      <c r="A5" s="196"/>
      <c r="B5" s="8"/>
      <c r="C5" s="181"/>
      <c r="D5" s="8"/>
      <c r="E5" s="8"/>
      <c r="F5" s="8"/>
      <c r="G5" s="8"/>
      <c r="H5" s="8"/>
      <c r="I5" s="8"/>
      <c r="J5" s="175"/>
      <c r="K5" s="175"/>
      <c r="L5" s="175"/>
      <c r="M5" s="175"/>
      <c r="N5" s="181"/>
      <c r="O5" s="175"/>
      <c r="P5" s="175"/>
      <c r="Q5" s="176"/>
      <c r="R5" s="175"/>
      <c r="S5" s="175"/>
      <c r="T5" s="175"/>
      <c r="U5" s="175"/>
      <c r="V5" s="181"/>
      <c r="W5" s="181"/>
      <c r="X5" s="175"/>
      <c r="Y5" s="177"/>
      <c r="Z5" s="177"/>
    </row>
    <row r="6" spans="1:26" ht="26.25" thickBot="1">
      <c r="A6" s="173" t="s">
        <v>15</v>
      </c>
      <c r="B6" s="172" t="s">
        <v>17</v>
      </c>
      <c r="C6" s="172" t="s">
        <v>189</v>
      </c>
      <c r="D6" s="172" t="s">
        <v>18</v>
      </c>
      <c r="E6" s="172" t="s">
        <v>19</v>
      </c>
      <c r="F6" s="172" t="s">
        <v>21</v>
      </c>
      <c r="G6" s="172" t="s">
        <v>191</v>
      </c>
      <c r="H6" s="172" t="s">
        <v>22</v>
      </c>
      <c r="I6" s="172" t="s">
        <v>20</v>
      </c>
      <c r="J6" s="172" t="s">
        <v>23</v>
      </c>
      <c r="K6" s="172" t="s">
        <v>139</v>
      </c>
      <c r="L6" s="172" t="s">
        <v>24</v>
      </c>
      <c r="M6" s="253" t="s">
        <v>227</v>
      </c>
      <c r="N6" s="172" t="s">
        <v>25</v>
      </c>
      <c r="O6" s="172" t="s">
        <v>26</v>
      </c>
      <c r="P6" s="172" t="s">
        <v>187</v>
      </c>
      <c r="Q6" s="172" t="s">
        <v>27</v>
      </c>
      <c r="R6" s="172" t="s">
        <v>28</v>
      </c>
      <c r="S6" s="172" t="s">
        <v>193</v>
      </c>
      <c r="T6" s="172" t="s">
        <v>162</v>
      </c>
      <c r="U6" s="172" t="s">
        <v>29</v>
      </c>
      <c r="V6" s="172" t="s">
        <v>30</v>
      </c>
      <c r="W6" s="172" t="s">
        <v>31</v>
      </c>
      <c r="X6" s="172" t="s">
        <v>32</v>
      </c>
    </row>
    <row r="7" spans="1:26" ht="15" thickBot="1">
      <c r="A7" s="178" t="s">
        <v>16</v>
      </c>
      <c r="B7" s="179" t="s">
        <v>33</v>
      </c>
      <c r="C7" s="179" t="s">
        <v>190</v>
      </c>
      <c r="D7" s="179" t="s">
        <v>34</v>
      </c>
      <c r="E7" s="179" t="s">
        <v>35</v>
      </c>
      <c r="F7" s="179" t="s">
        <v>37</v>
      </c>
      <c r="G7" s="179" t="s">
        <v>192</v>
      </c>
      <c r="H7" s="179" t="s">
        <v>38</v>
      </c>
      <c r="I7" s="179" t="s">
        <v>36</v>
      </c>
      <c r="J7" s="179" t="s">
        <v>39</v>
      </c>
      <c r="K7" s="179" t="s">
        <v>140</v>
      </c>
      <c r="L7" s="179" t="s">
        <v>40</v>
      </c>
      <c r="M7" s="179" t="s">
        <v>226</v>
      </c>
      <c r="N7" s="179" t="s">
        <v>41</v>
      </c>
      <c r="O7" s="179" t="s">
        <v>42</v>
      </c>
      <c r="P7" s="179" t="s">
        <v>188</v>
      </c>
      <c r="Q7" s="179" t="s">
        <v>43</v>
      </c>
      <c r="R7" s="179" t="s">
        <v>44</v>
      </c>
      <c r="S7" s="179" t="s">
        <v>194</v>
      </c>
      <c r="T7" s="179" t="s">
        <v>163</v>
      </c>
      <c r="U7" s="179" t="s">
        <v>45</v>
      </c>
      <c r="V7" s="179" t="s">
        <v>46</v>
      </c>
      <c r="W7" s="179" t="s">
        <v>47</v>
      </c>
      <c r="X7" s="179" t="s">
        <v>48</v>
      </c>
    </row>
    <row r="8" spans="1:26" s="9" customFormat="1">
      <c r="A8" s="214"/>
      <c r="B8" s="186"/>
      <c r="C8" s="186"/>
      <c r="D8" s="186"/>
      <c r="E8" s="186"/>
      <c r="F8" s="186"/>
      <c r="G8" s="186"/>
      <c r="H8" s="186"/>
      <c r="I8" s="186"/>
      <c r="J8" s="186"/>
      <c r="K8" s="186"/>
      <c r="L8" s="186"/>
      <c r="M8" s="186"/>
      <c r="N8" s="186"/>
      <c r="O8" s="186"/>
      <c r="P8" s="186"/>
      <c r="Q8" s="186"/>
      <c r="R8" s="186"/>
      <c r="S8" s="186"/>
      <c r="T8" s="186"/>
      <c r="U8" s="186"/>
      <c r="V8" s="186"/>
      <c r="W8" s="186"/>
      <c r="X8" s="186"/>
    </row>
    <row r="9" spans="1:26" s="9" customFormat="1">
      <c r="A9" s="214" t="s">
        <v>50</v>
      </c>
      <c r="B9" s="74">
        <v>70.37</v>
      </c>
      <c r="C9" s="74">
        <v>61.06</v>
      </c>
      <c r="D9" s="74">
        <v>69.12</v>
      </c>
      <c r="E9" s="74">
        <f>+E75/E58</f>
        <v>57.924625006910034</v>
      </c>
      <c r="F9" s="74">
        <f>49.38/E58</f>
        <v>37.694656488549619</v>
      </c>
      <c r="G9" s="74">
        <f>594/((G44*$D$2)/1000)</f>
        <v>72.545188080117242</v>
      </c>
      <c r="H9" s="74">
        <v>58.25</v>
      </c>
      <c r="I9" s="74">
        <f>+((72.97*622)+(34.15*65))/I44</f>
        <v>69.297074235807855</v>
      </c>
      <c r="J9" s="74">
        <f>1038.558/(J44*$D$2/1000)</f>
        <v>68.580382813665921</v>
      </c>
      <c r="K9" s="74">
        <v>56.38</v>
      </c>
      <c r="L9" s="74">
        <v>50.47</v>
      </c>
      <c r="M9" s="74">
        <v>55.99</v>
      </c>
      <c r="N9" s="74">
        <v>66.819999999999993</v>
      </c>
      <c r="O9" s="74">
        <v>69.55</v>
      </c>
      <c r="P9" s="74">
        <v>51.73</v>
      </c>
      <c r="Q9" s="74">
        <v>69.22</v>
      </c>
      <c r="R9" s="74">
        <f>(68.51*173+64.08*27)/R44</f>
        <v>67.911950000000004</v>
      </c>
      <c r="S9" s="74">
        <f>+S83</f>
        <v>69.379527510066097</v>
      </c>
      <c r="T9" s="74">
        <v>66.22</v>
      </c>
      <c r="U9" s="74">
        <f>+U66</f>
        <v>66.409508196721319</v>
      </c>
      <c r="V9" s="74">
        <v>62.67</v>
      </c>
      <c r="W9" s="74">
        <v>57.54</v>
      </c>
      <c r="X9" s="74">
        <v>61.2</v>
      </c>
    </row>
    <row r="10" spans="1:26" s="9" customFormat="1">
      <c r="A10" s="214" t="s">
        <v>3</v>
      </c>
      <c r="B10" s="74">
        <f t="shared" ref="B10:X10" si="0">+B9-$B$2</f>
        <v>0.76174603174604272</v>
      </c>
      <c r="C10" s="74">
        <f t="shared" si="0"/>
        <v>-8.5482539682539596</v>
      </c>
      <c r="D10" s="74">
        <f t="shared" si="0"/>
        <v>-0.48825396825395728</v>
      </c>
      <c r="E10" s="74">
        <f t="shared" si="0"/>
        <v>-11.683628961343928</v>
      </c>
      <c r="F10" s="74">
        <f t="shared" si="0"/>
        <v>-31.913597479704343</v>
      </c>
      <c r="G10" s="74">
        <f t="shared" si="0"/>
        <v>2.9369341118632804</v>
      </c>
      <c r="H10" s="74">
        <f t="shared" si="0"/>
        <v>-11.358253968253962</v>
      </c>
      <c r="I10" s="74">
        <f t="shared" si="0"/>
        <v>-0.31117973244610653</v>
      </c>
      <c r="J10" s="74">
        <f t="shared" si="0"/>
        <v>-1.0278711545880412</v>
      </c>
      <c r="K10" s="74">
        <f t="shared" si="0"/>
        <v>-13.228253968253959</v>
      </c>
      <c r="L10" s="74">
        <f t="shared" si="0"/>
        <v>-19.138253968253963</v>
      </c>
      <c r="M10" s="74">
        <f t="shared" si="0"/>
        <v>-13.61825396825396</v>
      </c>
      <c r="N10" s="74">
        <f t="shared" si="0"/>
        <v>-2.7882539682539687</v>
      </c>
      <c r="O10" s="74">
        <f t="shared" si="0"/>
        <v>-5.8253968253964672E-2</v>
      </c>
      <c r="P10" s="74">
        <f t="shared" si="0"/>
        <v>-17.878253968253965</v>
      </c>
      <c r="Q10" s="74">
        <f t="shared" si="0"/>
        <v>-0.38825396825396297</v>
      </c>
      <c r="R10" s="74">
        <f t="shared" si="0"/>
        <v>-1.6963039682539574</v>
      </c>
      <c r="S10" s="74">
        <f t="shared" si="0"/>
        <v>-0.22872645818786452</v>
      </c>
      <c r="T10" s="74">
        <f t="shared" si="0"/>
        <v>-3.388253968253963</v>
      </c>
      <c r="U10" s="74">
        <f t="shared" si="0"/>
        <v>-3.1987457715326428</v>
      </c>
      <c r="V10" s="74">
        <f t="shared" si="0"/>
        <v>-6.9382539682539601</v>
      </c>
      <c r="W10" s="74">
        <f t="shared" si="0"/>
        <v>-12.068253968253963</v>
      </c>
      <c r="X10" s="74">
        <f t="shared" si="0"/>
        <v>-8.408253968253959</v>
      </c>
    </row>
    <row r="11" spans="1:26" s="9" customFormat="1">
      <c r="A11" s="214" t="s">
        <v>51</v>
      </c>
      <c r="B11" s="74">
        <v>39.159999999999997</v>
      </c>
      <c r="C11" s="74">
        <f>(38.41*79819+15.7*38901)/(79819+38901)</f>
        <v>30.968610933288403</v>
      </c>
      <c r="D11" s="74">
        <v>31.42</v>
      </c>
      <c r="E11" s="74"/>
      <c r="F11" s="74">
        <f>41.4/E58</f>
        <v>31.6030534351145</v>
      </c>
      <c r="G11" s="74">
        <f>159/((G46*$D$2)/1000)</f>
        <v>0.74174286247434218</v>
      </c>
      <c r="H11" s="74">
        <v>25.72</v>
      </c>
      <c r="I11" s="74">
        <v>33.799999999999997</v>
      </c>
      <c r="J11" s="74"/>
      <c r="K11" s="74"/>
      <c r="L11" s="74">
        <v>29.59</v>
      </c>
      <c r="M11" s="74">
        <v>30.44</v>
      </c>
      <c r="N11" s="74">
        <v>46.07</v>
      </c>
      <c r="O11" s="74">
        <v>30.09</v>
      </c>
      <c r="P11" s="74">
        <f>+((7.88*1501)+(40.73*2328))/(2328+1501)</f>
        <v>27.85252546356751</v>
      </c>
      <c r="Q11" s="74">
        <v>24.29</v>
      </c>
      <c r="R11" s="74">
        <f>(28.07*58+2.04*11)/R45</f>
        <v>23.920289855072465</v>
      </c>
      <c r="S11" s="74">
        <f>+S88</f>
        <v>33.330922103516222</v>
      </c>
      <c r="T11" s="74">
        <v>31.73</v>
      </c>
      <c r="U11" s="74">
        <f>+U73</f>
        <v>28.58</v>
      </c>
      <c r="V11" s="74">
        <v>29.55</v>
      </c>
      <c r="W11" s="74">
        <v>35.97</v>
      </c>
      <c r="X11" s="74">
        <v>21.6</v>
      </c>
    </row>
    <row r="12" spans="1:26" s="9" customFormat="1">
      <c r="A12" s="214" t="s">
        <v>3</v>
      </c>
      <c r="B12" s="74">
        <f t="shared" ref="B12:X12" si="1">+B11-$B$3</f>
        <v>2.5266271186440719</v>
      </c>
      <c r="C12" s="74">
        <f t="shared" si="1"/>
        <v>-5.6647619480675218</v>
      </c>
      <c r="D12" s="74">
        <f t="shared" si="1"/>
        <v>-5.213372881355923</v>
      </c>
      <c r="E12" s="74">
        <f t="shared" si="1"/>
        <v>-36.633372881355925</v>
      </c>
      <c r="F12" s="74">
        <f t="shared" si="1"/>
        <v>-5.0303194462414247</v>
      </c>
      <c r="G12" s="74">
        <f t="shared" si="1"/>
        <v>-35.891630018881585</v>
      </c>
      <c r="H12" s="74">
        <f t="shared" si="1"/>
        <v>-10.913372881355926</v>
      </c>
      <c r="I12" s="74">
        <f t="shared" si="1"/>
        <v>-2.8333728813559276</v>
      </c>
      <c r="J12" s="74"/>
      <c r="K12" s="74">
        <f t="shared" si="1"/>
        <v>-36.633372881355925</v>
      </c>
      <c r="L12" s="74">
        <f t="shared" si="1"/>
        <v>-7.0433728813559249</v>
      </c>
      <c r="M12" s="74">
        <f t="shared" si="1"/>
        <v>-6.1933728813559235</v>
      </c>
      <c r="N12" s="74">
        <f t="shared" si="1"/>
        <v>9.4366271186440756</v>
      </c>
      <c r="O12" s="74">
        <f t="shared" si="1"/>
        <v>-6.5433728813559249</v>
      </c>
      <c r="P12" s="74">
        <f t="shared" si="1"/>
        <v>-8.780847417788415</v>
      </c>
      <c r="Q12" s="74">
        <f t="shared" si="1"/>
        <v>-12.343372881355926</v>
      </c>
      <c r="R12" s="74">
        <f t="shared" si="1"/>
        <v>-12.71308302628346</v>
      </c>
      <c r="S12" s="74">
        <f t="shared" si="1"/>
        <v>-3.3024507778397023</v>
      </c>
      <c r="T12" s="74">
        <f t="shared" si="1"/>
        <v>-4.9033728813559243</v>
      </c>
      <c r="U12" s="74">
        <f t="shared" si="1"/>
        <v>-8.0533728813559264</v>
      </c>
      <c r="V12" s="74">
        <f t="shared" si="1"/>
        <v>-7.083372881355924</v>
      </c>
      <c r="W12" s="74">
        <f t="shared" si="1"/>
        <v>-0.66337288135592587</v>
      </c>
      <c r="X12" s="74">
        <f t="shared" si="1"/>
        <v>-15.033372881355923</v>
      </c>
    </row>
    <row r="13" spans="1:26" s="9" customFormat="1">
      <c r="A13" s="214" t="s">
        <v>52</v>
      </c>
      <c r="B13" s="74">
        <v>2.35</v>
      </c>
      <c r="C13" s="74">
        <v>2.95</v>
      </c>
      <c r="D13" s="74">
        <v>2.56</v>
      </c>
      <c r="E13" s="74">
        <f>2.32/E58</f>
        <v>1.7709923664122136</v>
      </c>
      <c r="F13" s="74">
        <f>1.31/E58</f>
        <v>1</v>
      </c>
      <c r="G13" s="74">
        <f>578/((G46*$D$2)/1000)</f>
        <v>2.6963985818249672</v>
      </c>
      <c r="H13" s="74">
        <v>1.84</v>
      </c>
      <c r="I13" s="74">
        <v>5.48</v>
      </c>
      <c r="J13" s="74">
        <f>234.68/(J46*$D$2/1000)</f>
        <v>3.2135198536865293</v>
      </c>
      <c r="K13" s="74">
        <v>4.18</v>
      </c>
      <c r="L13" s="74">
        <v>2.19</v>
      </c>
      <c r="M13" s="74">
        <v>1.9</v>
      </c>
      <c r="N13" s="74">
        <v>1.99</v>
      </c>
      <c r="O13" s="74">
        <v>2.74</v>
      </c>
      <c r="P13" s="74">
        <f>3.07-0.41</f>
        <v>2.6599999999999997</v>
      </c>
      <c r="Q13" s="74">
        <v>4.1100000000000003</v>
      </c>
      <c r="R13" s="74">
        <f>(2.55*433+0.5*441)/R46</f>
        <v>1.5156178489702516</v>
      </c>
      <c r="S13" s="74">
        <f>+S94</f>
        <v>2.1233649105622803</v>
      </c>
      <c r="T13" s="74">
        <v>2.34</v>
      </c>
      <c r="U13" s="74">
        <f>+U84</f>
        <v>2.6610845986984821</v>
      </c>
      <c r="V13" s="74">
        <v>1.62</v>
      </c>
      <c r="W13" s="74">
        <v>2.21</v>
      </c>
      <c r="X13" s="74">
        <v>2.14</v>
      </c>
    </row>
    <row r="14" spans="1:26" s="9" customFormat="1">
      <c r="A14" s="214" t="s">
        <v>3</v>
      </c>
      <c r="B14" s="74">
        <f t="shared" ref="B14:X14" si="2">+B13-$B$4</f>
        <v>-0.56215573770492</v>
      </c>
      <c r="C14" s="74">
        <f t="shared" si="2"/>
        <v>3.7844262295080089E-2</v>
      </c>
      <c r="D14" s="74">
        <f t="shared" si="2"/>
        <v>-0.35215573770492004</v>
      </c>
      <c r="E14" s="74">
        <f t="shared" si="2"/>
        <v>-1.1411633712927065</v>
      </c>
      <c r="F14" s="74">
        <f t="shared" si="2"/>
        <v>-1.9121557377049201</v>
      </c>
      <c r="G14" s="74">
        <f t="shared" si="2"/>
        <v>-0.21575715587995292</v>
      </c>
      <c r="H14" s="74">
        <f t="shared" si="2"/>
        <v>-1.07215573770492</v>
      </c>
      <c r="I14" s="74">
        <f t="shared" si="2"/>
        <v>2.5678442622950803</v>
      </c>
      <c r="J14" s="74">
        <f t="shared" si="2"/>
        <v>0.30136411598160917</v>
      </c>
      <c r="K14" s="74">
        <f t="shared" si="2"/>
        <v>1.2678442622950796</v>
      </c>
      <c r="L14" s="74">
        <f t="shared" si="2"/>
        <v>-0.72215573770492014</v>
      </c>
      <c r="M14" s="74">
        <f t="shared" si="2"/>
        <v>-1.0121557377049202</v>
      </c>
      <c r="N14" s="74">
        <f t="shared" si="2"/>
        <v>-0.9221557377049201</v>
      </c>
      <c r="O14" s="74">
        <f t="shared" si="2"/>
        <v>-0.17215573770491988</v>
      </c>
      <c r="P14" s="74">
        <f t="shared" si="2"/>
        <v>-0.25215573770492039</v>
      </c>
      <c r="Q14" s="74">
        <f t="shared" si="2"/>
        <v>1.1978442622950802</v>
      </c>
      <c r="R14" s="74">
        <f t="shared" si="2"/>
        <v>-1.3965378887346684</v>
      </c>
      <c r="S14" s="74">
        <f t="shared" si="2"/>
        <v>-0.78879082714263982</v>
      </c>
      <c r="T14" s="74">
        <f t="shared" si="2"/>
        <v>-0.57215573770492023</v>
      </c>
      <c r="U14" s="74">
        <f t="shared" si="2"/>
        <v>-0.25107113900643796</v>
      </c>
      <c r="V14" s="74">
        <f t="shared" si="2"/>
        <v>-1.29215573770492</v>
      </c>
      <c r="W14" s="74">
        <f t="shared" si="2"/>
        <v>-0.70215573770492012</v>
      </c>
      <c r="X14" s="74">
        <f t="shared" si="2"/>
        <v>-0.77215573770491996</v>
      </c>
    </row>
    <row r="15" spans="1:26" s="9" customFormat="1">
      <c r="A15" s="214" t="s">
        <v>49</v>
      </c>
      <c r="B15" s="182">
        <f>+(2572+232+382)/B$48</f>
        <v>50.815018022903445</v>
      </c>
      <c r="C15" s="182">
        <f>3.7*6</f>
        <v>22.200000000000003</v>
      </c>
      <c r="D15" s="182">
        <f>(1983-74.92*26.389*$D$2/1000-2.85*62.373*$D$2/1000)/D48</f>
        <v>44.142875272637042</v>
      </c>
      <c r="E15" s="182">
        <f>(2652+3219)/E48/E58</f>
        <v>45.931585314614615</v>
      </c>
      <c r="F15" s="74">
        <f>45.73/$E$58</f>
        <v>34.908396946564885</v>
      </c>
      <c r="G15" s="182">
        <f>1331/G48</f>
        <v>26.974626422028269</v>
      </c>
      <c r="H15" s="182">
        <f>+(342.495+240.087)/H48</f>
        <v>28.967728509202836</v>
      </c>
      <c r="I15" s="182">
        <f>I67</f>
        <v>56.357035998129966</v>
      </c>
      <c r="J15" s="182">
        <f>1273.238/J$48</f>
        <v>46.612882436998532</v>
      </c>
      <c r="K15" s="182">
        <v>45.23</v>
      </c>
      <c r="L15" s="182">
        <v>33.5</v>
      </c>
      <c r="M15" s="74">
        <v>46.59</v>
      </c>
      <c r="N15" s="182">
        <v>33.299999999999997</v>
      </c>
      <c r="O15" s="182">
        <f>+(2655.278+353.704+311.713)/O48</f>
        <v>48.203139515979203</v>
      </c>
      <c r="P15" s="182">
        <f>+(1046.989)/P48</f>
        <v>16.785708750731477</v>
      </c>
      <c r="Q15" s="182">
        <f>Q67</f>
        <v>47.878416619876475</v>
      </c>
      <c r="R15" s="182">
        <f>1538/R48</f>
        <v>40.315252341674821</v>
      </c>
      <c r="S15" s="182">
        <f>676.9/S48</f>
        <v>43.764810790414856</v>
      </c>
      <c r="T15" s="182">
        <f>709/T48</f>
        <v>38.131946934385084</v>
      </c>
      <c r="U15" s="182">
        <f>1136/U48</f>
        <v>36.460116398493668</v>
      </c>
      <c r="V15" s="182">
        <f>V67</f>
        <v>45.940905088062621</v>
      </c>
      <c r="W15" s="182">
        <v>44.64</v>
      </c>
      <c r="X15" s="182">
        <f>633/X48</f>
        <v>15.067004133706767</v>
      </c>
    </row>
    <row r="16" spans="1:26" s="9" customFormat="1">
      <c r="A16" s="214"/>
      <c r="B16" s="74"/>
      <c r="C16" s="74"/>
      <c r="D16" s="74"/>
      <c r="E16" s="74"/>
      <c r="F16" s="74"/>
      <c r="G16" s="74"/>
      <c r="H16" s="74"/>
      <c r="I16" s="74"/>
      <c r="J16" s="74"/>
      <c r="K16" s="74"/>
      <c r="L16" s="74"/>
      <c r="M16" s="74"/>
      <c r="N16" s="74"/>
      <c r="O16" s="74"/>
      <c r="P16" s="74"/>
      <c r="Q16" s="74"/>
      <c r="R16" s="74"/>
      <c r="S16" s="74"/>
      <c r="T16" s="74"/>
      <c r="U16" s="74"/>
      <c r="V16" s="74"/>
      <c r="W16" s="74"/>
      <c r="X16" s="74"/>
    </row>
    <row r="17" spans="1:25" s="9" customFormat="1">
      <c r="A17" s="214" t="s">
        <v>4</v>
      </c>
      <c r="B17" s="74"/>
      <c r="C17" s="74"/>
      <c r="D17" s="74"/>
      <c r="E17" s="74"/>
      <c r="F17" s="74"/>
      <c r="G17" s="74"/>
      <c r="H17" s="74"/>
      <c r="I17" s="74"/>
      <c r="J17" s="74"/>
      <c r="K17" s="74"/>
      <c r="L17" s="74"/>
      <c r="M17" s="74"/>
      <c r="N17" s="74"/>
      <c r="O17" s="74"/>
      <c r="P17" s="74"/>
      <c r="Q17" s="74"/>
      <c r="R17" s="74"/>
      <c r="S17" s="74"/>
      <c r="T17" s="74"/>
      <c r="U17" s="74"/>
      <c r="V17" s="74"/>
      <c r="W17" s="74"/>
      <c r="X17" s="74"/>
    </row>
    <row r="18" spans="1:25" s="9" customFormat="1">
      <c r="A18" s="216" t="s">
        <v>75</v>
      </c>
      <c r="B18" s="74">
        <f>(294+228)/B$48</f>
        <v>8.3256244218316375</v>
      </c>
      <c r="C18" s="74">
        <f>(0.14+1.77)*6</f>
        <v>11.46</v>
      </c>
      <c r="D18" s="74">
        <f>(382+92)/D48</f>
        <v>11.723576661745675</v>
      </c>
      <c r="E18" s="74">
        <f>(842+265+724+619)/E48/E58</f>
        <v>19.167498555749582</v>
      </c>
      <c r="F18" s="74">
        <f>(5.66+7.1)/$E$58</f>
        <v>9.7404580152671745</v>
      </c>
      <c r="G18" s="74">
        <f>+(132+364)/G48</f>
        <v>10.052152295511661</v>
      </c>
      <c r="H18" s="74">
        <f>+(76.272+49.72)/H48</f>
        <v>6.2647010211978467</v>
      </c>
      <c r="I18" s="74">
        <f>(1367)/I48</f>
        <v>13.893123564444986</v>
      </c>
      <c r="J18" s="74">
        <f>(103.032+46.008)/J48</f>
        <v>5.4563121729089614</v>
      </c>
      <c r="K18" s="74">
        <f>(156+16)/K48</f>
        <v>6.5224899752109984</v>
      </c>
      <c r="L18" s="74">
        <f>(234+219)/L48</f>
        <v>9.8314403530347967</v>
      </c>
      <c r="M18" s="74">
        <f>4.34+0.62</f>
        <v>4.96</v>
      </c>
      <c r="N18" s="182">
        <f>7.05+3.22</f>
        <v>10.27</v>
      </c>
      <c r="O18" s="74">
        <f>+(321.568+196.027+114.063)/O48</f>
        <v>9.1691343831289505</v>
      </c>
      <c r="P18" s="74">
        <f>+(199.475+182.932+38.34+21.48)/P48</f>
        <v>7.0899442340938901</v>
      </c>
      <c r="Q18" s="74">
        <f>(215+169)/Q48</f>
        <v>14.061470107169887</v>
      </c>
      <c r="R18" s="74">
        <f>(215+152)/R48</f>
        <v>9.620089472948413</v>
      </c>
      <c r="S18" s="74">
        <f>133.1/S48</f>
        <v>8.6055492926639339</v>
      </c>
      <c r="T18" s="74">
        <f>+(66+92)/T48</f>
        <v>8.4976694155611323</v>
      </c>
      <c r="U18" s="74">
        <f>+(114+7+15+129)/U48</f>
        <v>8.5052208147894568</v>
      </c>
      <c r="V18" s="74">
        <v>11.69</v>
      </c>
      <c r="W18" s="74">
        <v>6.71</v>
      </c>
      <c r="X18" s="74">
        <f>232/X48</f>
        <v>5.5221879289415003</v>
      </c>
    </row>
    <row r="19" spans="1:25" s="9" customFormat="1">
      <c r="A19" s="216" t="s">
        <v>74</v>
      </c>
      <c r="B19" s="74"/>
      <c r="C19" s="74"/>
      <c r="D19" s="74"/>
      <c r="E19" s="74">
        <f>(269+159)/E48/E58</f>
        <v>3.3484446456574783</v>
      </c>
      <c r="F19" s="74">
        <f>6.91/$E$58</f>
        <v>5.2748091603053435</v>
      </c>
      <c r="G19" s="74"/>
      <c r="H19" s="74"/>
      <c r="I19" s="74"/>
      <c r="J19" s="74"/>
      <c r="K19" s="74"/>
      <c r="L19" s="74"/>
      <c r="M19" s="74"/>
      <c r="N19" s="182"/>
      <c r="O19" s="74"/>
      <c r="P19" s="74"/>
      <c r="Q19" s="74"/>
      <c r="R19" s="74"/>
      <c r="S19" s="74"/>
      <c r="T19" s="74"/>
      <c r="U19" s="74">
        <f>+(5)/U48</f>
        <v>0.16047586442998973</v>
      </c>
      <c r="V19" s="74"/>
      <c r="W19" s="74"/>
      <c r="X19" s="74"/>
    </row>
    <row r="20" spans="1:25" s="9" customFormat="1">
      <c r="A20" s="216" t="s">
        <v>10</v>
      </c>
      <c r="B20" s="74">
        <f>(246-10.954)/B$48</f>
        <v>3.7488596127468181</v>
      </c>
      <c r="C20" s="74">
        <f>0.12*6</f>
        <v>0.72</v>
      </c>
      <c r="D20" s="74">
        <f>58/D48</f>
        <v>1.434530477597572</v>
      </c>
      <c r="E20" s="74"/>
      <c r="F20" s="74">
        <f>0.01/$E$58</f>
        <v>7.6335877862595417E-3</v>
      </c>
      <c r="G20" s="74">
        <f>34/G48</f>
        <v>0.68905882670846064</v>
      </c>
      <c r="H20" s="74">
        <f>28.431/H48</f>
        <v>1.4136747946986792</v>
      </c>
      <c r="I20" s="74">
        <f>312/I48</f>
        <v>3.1709250564058782</v>
      </c>
      <c r="J20" s="74">
        <f>98.572/J48</f>
        <v>3.6086929918678354</v>
      </c>
      <c r="K20" s="74">
        <f>89/K48</f>
        <v>3.3750093476382492</v>
      </c>
      <c r="L20" s="74">
        <f>(82+19)/L48</f>
        <v>2.1919988425088621</v>
      </c>
      <c r="M20" s="74">
        <v>2.96</v>
      </c>
      <c r="N20" s="182">
        <v>1.31</v>
      </c>
      <c r="O20" s="74">
        <f>209.043/O48</f>
        <v>3.0344638377926429</v>
      </c>
      <c r="P20" s="74">
        <f>21.254/P48</f>
        <v>0.34075186443033001</v>
      </c>
      <c r="Q20" s="74">
        <f>47/Q48</f>
        <v>1.7210653516588141</v>
      </c>
      <c r="R20" s="74">
        <f>86/R48</f>
        <v>2.2542988955682932</v>
      </c>
      <c r="S20" s="74">
        <f>15.1/S48</f>
        <v>0.97628695957344402</v>
      </c>
      <c r="T20" s="74">
        <f>39/T48</f>
        <v>2.0975259949802796</v>
      </c>
      <c r="U20" s="74">
        <f>46/U48</f>
        <v>1.4763779527559056</v>
      </c>
      <c r="V20" s="74">
        <v>1.63</v>
      </c>
      <c r="W20" s="74">
        <v>2.8</v>
      </c>
      <c r="X20" s="74">
        <f>25/X48</f>
        <v>0.59506335441179969</v>
      </c>
    </row>
    <row r="21" spans="1:25" s="9" customFormat="1">
      <c r="A21" s="216" t="s">
        <v>11</v>
      </c>
      <c r="B21" s="74">
        <f>(248-14.467)/B$48</f>
        <v>3.724728061501164</v>
      </c>
      <c r="C21" s="74">
        <f>(33.8+11.674)/C48</f>
        <v>1.0896325878594249</v>
      </c>
      <c r="D21" s="74">
        <f>99/D48</f>
        <v>2.4485951255544762</v>
      </c>
      <c r="E21" s="74">
        <f>(77-85)/E48/E58</f>
        <v>-6.2587750386121091E-2</v>
      </c>
      <c r="F21" s="74">
        <f>(78)/F48/E58</f>
        <v>1.3058625395753611</v>
      </c>
      <c r="G21" s="74">
        <f>66/G48</f>
        <v>1.3375847812576001</v>
      </c>
      <c r="H21" s="74">
        <f>+(41.584+12.179)/H48</f>
        <v>2.6732579925920681</v>
      </c>
      <c r="I21" s="74">
        <f>119/I48</f>
        <v>1.2094233388214728</v>
      </c>
      <c r="J21" s="74">
        <f>44.151/J48</f>
        <v>1.6163556008192672</v>
      </c>
      <c r="K21" s="74">
        <f>84/K48</f>
        <v>3.1854020809169996</v>
      </c>
      <c r="L21" s="74">
        <f>(147)/L48</f>
        <v>3.1903349489980468</v>
      </c>
      <c r="M21" s="74">
        <f>0.78+0.47</f>
        <v>1.25</v>
      </c>
      <c r="N21" s="74">
        <v>1.64</v>
      </c>
      <c r="O21" s="74">
        <f>111.284/O48</f>
        <v>1.6153962281679677</v>
      </c>
      <c r="P21" s="74">
        <f>42.109/P48</f>
        <v>0.67510681562514196</v>
      </c>
      <c r="Q21" s="74">
        <f>(143-3)/Q48</f>
        <v>5.1265776432390213</v>
      </c>
      <c r="R21" s="74">
        <f>101/R48</f>
        <v>2.6474905633999724</v>
      </c>
      <c r="S21" s="74">
        <f>30/S48</f>
        <v>1.9396429660399552</v>
      </c>
      <c r="T21" s="74">
        <f>54/T48</f>
        <v>2.904266762280387</v>
      </c>
      <c r="U21" s="74">
        <f>(107-4.204)/U48</f>
        <v>3.2992553919890453</v>
      </c>
      <c r="V21" s="74">
        <v>3.17</v>
      </c>
      <c r="W21" s="74">
        <f>96/W48</f>
        <v>3.254176469967442</v>
      </c>
      <c r="X21" s="74">
        <f>44/X48</f>
        <v>1.0473115037647673</v>
      </c>
    </row>
    <row r="22" spans="1:25" s="9" customFormat="1">
      <c r="A22" s="216" t="s">
        <v>12</v>
      </c>
      <c r="B22" s="74">
        <f>(240-47.991)/B$48</f>
        <v>3.0624421831637374</v>
      </c>
      <c r="C22" s="74">
        <f>57.633/C48</f>
        <v>1.380982428115016</v>
      </c>
      <c r="D22" s="74">
        <f>113/D48</f>
        <v>2.7948611029056143</v>
      </c>
      <c r="E22" s="74">
        <f>(180)/E48/E58</f>
        <v>1.4082243836877244</v>
      </c>
      <c r="F22" s="74">
        <f>133/F48/E58</f>
        <v>2.2266630482502956</v>
      </c>
      <c r="G22" s="74">
        <f>127/G48</f>
        <v>2.5738373821168974</v>
      </c>
      <c r="H22" s="74">
        <f>17.159/H48</f>
        <v>0.85319706666085016</v>
      </c>
      <c r="I22" s="74">
        <f>186/I48</f>
        <v>1.8903591682419658</v>
      </c>
      <c r="J22" s="74">
        <f>73.409/J48</f>
        <v>2.6874826912310388</v>
      </c>
      <c r="K22" s="74">
        <f>46/K48</f>
        <v>1.7443868538354996</v>
      </c>
      <c r="L22" s="74">
        <f>(75+6)/L48</f>
        <v>1.7579396657744339</v>
      </c>
      <c r="M22" s="74">
        <v>1.64</v>
      </c>
      <c r="N22" s="74">
        <f>92/N48</f>
        <v>2.6441036488630352</v>
      </c>
      <c r="O22" s="74">
        <f>63.632/O48</f>
        <v>0.92368078781122276</v>
      </c>
      <c r="P22" s="74">
        <f>+(93.042-41.005)/P48</f>
        <v>0.83427612540515117</v>
      </c>
      <c r="Q22" s="74">
        <f>(99+5-15)/Q48</f>
        <v>3.2590386446305204</v>
      </c>
      <c r="R22" s="74">
        <f>(58)/R48</f>
        <v>1.5203411156158255</v>
      </c>
      <c r="S22" s="74">
        <f>(44.492+3.338-2.377)/S48</f>
        <v>2.9387530578471357</v>
      </c>
      <c r="T22" s="74">
        <f>38/T48</f>
        <v>2.0437432771602726</v>
      </c>
      <c r="U22" s="74">
        <f>(88-4.86)/U48</f>
        <v>2.6683926737418697</v>
      </c>
      <c r="V22" s="74">
        <f>96/V48</f>
        <v>1.5315238662469155</v>
      </c>
      <c r="W22" s="74">
        <f>30/W48</f>
        <v>1.0169301468648257</v>
      </c>
      <c r="X22" s="74">
        <f>56/X48</f>
        <v>1.3329419138824312</v>
      </c>
    </row>
    <row r="23" spans="1:25" s="9" customFormat="1">
      <c r="A23" s="216" t="s">
        <v>13</v>
      </c>
      <c r="B23" s="74">
        <f>(1130-82.553)/B$48</f>
        <v>16.706226673897095</v>
      </c>
      <c r="C23" s="74">
        <f>204.465/C48</f>
        <v>4.8993210862619812</v>
      </c>
      <c r="D23" s="74">
        <f>(575+35)/D48</f>
        <v>15.087303298871017</v>
      </c>
      <c r="E23" s="74">
        <f>(917+385)/E48/E58</f>
        <v>10.186156375341207</v>
      </c>
      <c r="F23" s="74">
        <f>(374+95)/F48/E58</f>
        <v>7.8519170648826204</v>
      </c>
      <c r="G23" s="74">
        <f>(274)/G48</f>
        <v>5.5530034858270065</v>
      </c>
      <c r="H23" s="74">
        <f>138.195/H48</f>
        <v>6.8714708681855701</v>
      </c>
      <c r="I23" s="74">
        <f>1494/I48</f>
        <v>15.183852673943532</v>
      </c>
      <c r="J23" s="74">
        <f>469.333/J48</f>
        <v>17.182148155179025</v>
      </c>
      <c r="K23" s="74">
        <f>406/K48</f>
        <v>15.396110057765497</v>
      </c>
      <c r="L23" s="74">
        <f>+(416)/L48</f>
        <v>9.0284308760761043</v>
      </c>
      <c r="M23" s="74">
        <v>12.93</v>
      </c>
      <c r="N23" s="74">
        <f>(95+241)/N48</f>
        <v>9.6567263697606496</v>
      </c>
      <c r="O23" s="74">
        <f>918.18/O48</f>
        <v>13.328281772575252</v>
      </c>
      <c r="P23" s="74">
        <f>391.083/P48</f>
        <v>6.2699850097396608</v>
      </c>
      <c r="Q23" s="74">
        <f>(457)/Q48</f>
        <v>16.734614164001663</v>
      </c>
      <c r="R23" s="74">
        <f>626/R48</f>
        <v>16.409198937508737</v>
      </c>
      <c r="S23" s="74">
        <f>236.5/S48</f>
        <v>15.290852048948313</v>
      </c>
      <c r="T23" s="74">
        <f>163/T48</f>
        <v>8.7665830046611681</v>
      </c>
      <c r="U23" s="74">
        <f>+(485-17)/U48</f>
        <v>15.020540910647041</v>
      </c>
      <c r="V23" s="74">
        <v>13.22</v>
      </c>
      <c r="W23" s="74">
        <f>394/W48</f>
        <v>13.355682595491377</v>
      </c>
      <c r="X23" s="74">
        <f>140/X48</f>
        <v>3.3323547847060779</v>
      </c>
    </row>
    <row r="24" spans="1:25" s="9" customFormat="1">
      <c r="A24" s="216"/>
      <c r="B24" s="74"/>
      <c r="C24" s="74"/>
      <c r="D24" s="74"/>
      <c r="E24" s="74"/>
      <c r="F24" s="74"/>
      <c r="G24" s="74"/>
      <c r="H24" s="74"/>
      <c r="I24" s="74"/>
      <c r="J24" s="74"/>
      <c r="K24" s="74"/>
      <c r="L24" s="74"/>
      <c r="M24" s="74"/>
      <c r="N24" s="74"/>
      <c r="O24" s="74"/>
      <c r="P24" s="74"/>
      <c r="Q24" s="74"/>
      <c r="R24" s="74"/>
      <c r="S24" s="74"/>
      <c r="T24" s="74"/>
      <c r="U24" s="74"/>
      <c r="V24" s="74"/>
      <c r="W24" s="74"/>
      <c r="X24" s="74"/>
    </row>
    <row r="25" spans="1:25" s="9" customFormat="1">
      <c r="A25" s="214" t="s">
        <v>9</v>
      </c>
      <c r="B25" s="186"/>
      <c r="C25" s="186"/>
      <c r="D25" s="186"/>
      <c r="E25" s="186"/>
      <c r="F25" s="186"/>
      <c r="G25" s="186"/>
      <c r="H25" s="186"/>
      <c r="I25" s="186"/>
      <c r="J25" s="186"/>
      <c r="K25" s="186"/>
      <c r="L25" s="186"/>
      <c r="M25" s="186"/>
      <c r="N25" s="186"/>
      <c r="O25" s="186"/>
      <c r="P25" s="186"/>
      <c r="Q25" s="186"/>
      <c r="R25" s="186"/>
      <c r="S25" s="186"/>
      <c r="T25" s="186"/>
      <c r="U25" s="186"/>
      <c r="V25" s="186"/>
      <c r="W25" s="186"/>
      <c r="X25" s="186"/>
    </row>
    <row r="26" spans="1:25" s="9" customFormat="1">
      <c r="A26" s="216" t="s">
        <v>165</v>
      </c>
      <c r="B26" s="74">
        <f>+B18+B20</f>
        <v>12.074484034578456</v>
      </c>
      <c r="C26" s="74">
        <f>+C18+C20</f>
        <v>12.180000000000001</v>
      </c>
      <c r="D26" s="74">
        <f>+D18+D20</f>
        <v>13.158107139343247</v>
      </c>
      <c r="E26" s="74">
        <f>+E18+E20+E19</f>
        <v>22.515943201407062</v>
      </c>
      <c r="F26" s="74">
        <f>+F18+F20+F19</f>
        <v>15.022900763358777</v>
      </c>
      <c r="G26" s="74">
        <f>+G18+G20+G19</f>
        <v>10.741211122220122</v>
      </c>
      <c r="H26" s="74">
        <f>+H18+H20</f>
        <v>7.6783758158965263</v>
      </c>
      <c r="I26" s="74">
        <f>+I18+I20</f>
        <v>17.064048620850865</v>
      </c>
      <c r="J26" s="74">
        <f t="shared" ref="J26:X26" si="3">+J18+J20</f>
        <v>9.065005164776796</v>
      </c>
      <c r="K26" s="74">
        <f>+K18+K20</f>
        <v>9.8974993228492476</v>
      </c>
      <c r="L26" s="74">
        <f t="shared" si="3"/>
        <v>12.023439195543659</v>
      </c>
      <c r="M26" s="74">
        <f t="shared" ref="M26" si="4">+M18+M20</f>
        <v>7.92</v>
      </c>
      <c r="N26" s="74">
        <f t="shared" si="3"/>
        <v>11.58</v>
      </c>
      <c r="O26" s="74">
        <f t="shared" si="3"/>
        <v>12.203598220921593</v>
      </c>
      <c r="P26" s="74">
        <f t="shared" si="3"/>
        <v>7.4306960985242201</v>
      </c>
      <c r="Q26" s="74">
        <f t="shared" si="3"/>
        <v>15.782535458828701</v>
      </c>
      <c r="R26" s="74">
        <f t="shared" si="3"/>
        <v>11.874388368516707</v>
      </c>
      <c r="S26" s="74">
        <f t="shared" si="3"/>
        <v>9.5818362522373786</v>
      </c>
      <c r="T26" s="74">
        <f t="shared" si="3"/>
        <v>10.595195410541411</v>
      </c>
      <c r="U26" s="74">
        <f t="shared" si="3"/>
        <v>9.9815987675453623</v>
      </c>
      <c r="V26" s="74">
        <f t="shared" si="3"/>
        <v>13.32</v>
      </c>
      <c r="W26" s="74">
        <f t="shared" si="3"/>
        <v>9.51</v>
      </c>
      <c r="X26" s="74">
        <f t="shared" si="3"/>
        <v>6.1172512833533004</v>
      </c>
    </row>
    <row r="27" spans="1:25" s="9" customFormat="1">
      <c r="A27" s="216" t="s">
        <v>6</v>
      </c>
      <c r="B27" s="74">
        <f t="shared" ref="B27:X29" si="5">+B26+B21</f>
        <v>15.79921209607962</v>
      </c>
      <c r="C27" s="74">
        <f t="shared" si="5"/>
        <v>13.269632587859427</v>
      </c>
      <c r="D27" s="74">
        <f t="shared" si="5"/>
        <v>15.606702264897724</v>
      </c>
      <c r="E27" s="74">
        <f t="shared" si="5"/>
        <v>22.45335545102094</v>
      </c>
      <c r="F27" s="74">
        <f t="shared" si="5"/>
        <v>16.328763302934139</v>
      </c>
      <c r="G27" s="74">
        <f t="shared" si="5"/>
        <v>12.078795903477722</v>
      </c>
      <c r="H27" s="74">
        <f t="shared" si="5"/>
        <v>10.351633808488595</v>
      </c>
      <c r="I27" s="74">
        <f t="shared" si="5"/>
        <v>18.273471959672339</v>
      </c>
      <c r="J27" s="74">
        <f t="shared" si="5"/>
        <v>10.681360765596063</v>
      </c>
      <c r="K27" s="74">
        <f t="shared" si="5"/>
        <v>13.082901403766247</v>
      </c>
      <c r="L27" s="74">
        <f t="shared" si="5"/>
        <v>15.213774144541706</v>
      </c>
      <c r="M27" s="74">
        <f t="shared" ref="M27" si="6">+M26+M21</f>
        <v>9.17</v>
      </c>
      <c r="N27" s="74">
        <f t="shared" si="5"/>
        <v>13.22</v>
      </c>
      <c r="O27" s="74">
        <f t="shared" si="5"/>
        <v>13.818994449089562</v>
      </c>
      <c r="P27" s="74">
        <f t="shared" si="5"/>
        <v>8.1058029141493613</v>
      </c>
      <c r="Q27" s="74">
        <f t="shared" si="5"/>
        <v>20.909113102067721</v>
      </c>
      <c r="R27" s="74">
        <f t="shared" si="5"/>
        <v>14.521878931916678</v>
      </c>
      <c r="S27" s="74">
        <f t="shared" si="5"/>
        <v>11.521479218277333</v>
      </c>
      <c r="T27" s="74">
        <f t="shared" si="5"/>
        <v>13.499462172821797</v>
      </c>
      <c r="U27" s="74">
        <f t="shared" si="5"/>
        <v>13.280854159534407</v>
      </c>
      <c r="V27" s="74">
        <f t="shared" si="5"/>
        <v>16.490000000000002</v>
      </c>
      <c r="W27" s="74">
        <f t="shared" si="5"/>
        <v>12.764176469967442</v>
      </c>
      <c r="X27" s="74">
        <f t="shared" si="5"/>
        <v>7.1645627871180677</v>
      </c>
    </row>
    <row r="28" spans="1:25" s="9" customFormat="1">
      <c r="A28" s="216" t="s">
        <v>7</v>
      </c>
      <c r="B28" s="74">
        <f t="shared" si="5"/>
        <v>18.861654279243357</v>
      </c>
      <c r="C28" s="74">
        <f t="shared" si="5"/>
        <v>14.650615015974443</v>
      </c>
      <c r="D28" s="74">
        <f t="shared" si="5"/>
        <v>18.401563367803337</v>
      </c>
      <c r="E28" s="74">
        <f t="shared" si="5"/>
        <v>23.861579834708664</v>
      </c>
      <c r="F28" s="74">
        <f t="shared" si="5"/>
        <v>18.555426351184433</v>
      </c>
      <c r="G28" s="74">
        <f t="shared" si="5"/>
        <v>14.65263328559462</v>
      </c>
      <c r="H28" s="74">
        <f t="shared" si="5"/>
        <v>11.204830875149446</v>
      </c>
      <c r="I28" s="74">
        <f t="shared" si="5"/>
        <v>20.163831127914303</v>
      </c>
      <c r="J28" s="74">
        <f t="shared" si="5"/>
        <v>13.368843456827101</v>
      </c>
      <c r="K28" s="74">
        <f t="shared" si="5"/>
        <v>14.827288257601747</v>
      </c>
      <c r="L28" s="74">
        <f t="shared" si="5"/>
        <v>16.971713810316139</v>
      </c>
      <c r="M28" s="74">
        <f t="shared" ref="M28" si="7">+M27+M22</f>
        <v>10.81</v>
      </c>
      <c r="N28" s="74">
        <f t="shared" si="5"/>
        <v>15.864103648863036</v>
      </c>
      <c r="O28" s="74">
        <f t="shared" si="5"/>
        <v>14.742675236900785</v>
      </c>
      <c r="P28" s="74">
        <f t="shared" si="5"/>
        <v>8.9400790395545116</v>
      </c>
      <c r="Q28" s="74">
        <f t="shared" si="5"/>
        <v>24.168151746698243</v>
      </c>
      <c r="R28" s="74">
        <f t="shared" si="5"/>
        <v>16.042220047532503</v>
      </c>
      <c r="S28" s="74">
        <f t="shared" si="5"/>
        <v>14.460232276124469</v>
      </c>
      <c r="T28" s="74">
        <f t="shared" si="5"/>
        <v>15.54320544998207</v>
      </c>
      <c r="U28" s="74">
        <f t="shared" si="5"/>
        <v>15.949246833276277</v>
      </c>
      <c r="V28" s="74">
        <f t="shared" si="5"/>
        <v>18.021523866246916</v>
      </c>
      <c r="W28" s="74">
        <f t="shared" si="5"/>
        <v>13.781106616832268</v>
      </c>
      <c r="X28" s="74">
        <f t="shared" si="5"/>
        <v>8.4975047010004996</v>
      </c>
      <c r="Y28" s="65"/>
    </row>
    <row r="29" spans="1:25" s="9" customFormat="1">
      <c r="A29" s="216" t="s">
        <v>8</v>
      </c>
      <c r="B29" s="74">
        <f t="shared" si="5"/>
        <v>35.567880953140453</v>
      </c>
      <c r="C29" s="74">
        <f t="shared" si="5"/>
        <v>19.549936102236423</v>
      </c>
      <c r="D29" s="74">
        <f t="shared" si="5"/>
        <v>33.488866666674355</v>
      </c>
      <c r="E29" s="74">
        <f t="shared" si="5"/>
        <v>34.047736210049869</v>
      </c>
      <c r="F29" s="74">
        <f t="shared" si="5"/>
        <v>26.407343416067054</v>
      </c>
      <c r="G29" s="74">
        <f t="shared" si="5"/>
        <v>20.205636771421627</v>
      </c>
      <c r="H29" s="74">
        <f t="shared" si="5"/>
        <v>18.076301743335016</v>
      </c>
      <c r="I29" s="74">
        <f t="shared" si="5"/>
        <v>35.347683801857833</v>
      </c>
      <c r="J29" s="74">
        <f t="shared" si="5"/>
        <v>30.550991612006126</v>
      </c>
      <c r="K29" s="74">
        <f t="shared" si="5"/>
        <v>30.223398315367245</v>
      </c>
      <c r="L29" s="74">
        <f t="shared" si="5"/>
        <v>26.000144686392243</v>
      </c>
      <c r="M29" s="74">
        <f t="shared" ref="M29" si="8">+M28+M23</f>
        <v>23.740000000000002</v>
      </c>
      <c r="N29" s="74">
        <f t="shared" si="5"/>
        <v>25.520830018623684</v>
      </c>
      <c r="O29" s="74">
        <f t="shared" si="5"/>
        <v>28.070957009476039</v>
      </c>
      <c r="P29" s="74">
        <f t="shared" si="5"/>
        <v>15.210064049294171</v>
      </c>
      <c r="Q29" s="74">
        <f t="shared" si="5"/>
        <v>40.902765910699905</v>
      </c>
      <c r="R29" s="74">
        <f t="shared" si="5"/>
        <v>32.451418985041244</v>
      </c>
      <c r="S29" s="74">
        <f t="shared" si="5"/>
        <v>29.751084325072782</v>
      </c>
      <c r="T29" s="74">
        <f t="shared" si="5"/>
        <v>24.30978845464324</v>
      </c>
      <c r="U29" s="74">
        <f t="shared" si="5"/>
        <v>30.96978774392332</v>
      </c>
      <c r="V29" s="74">
        <f t="shared" si="5"/>
        <v>31.241523866246915</v>
      </c>
      <c r="W29" s="74">
        <f t="shared" si="5"/>
        <v>27.136789212323645</v>
      </c>
      <c r="X29" s="74">
        <f t="shared" si="5"/>
        <v>11.829859485706578</v>
      </c>
      <c r="Y29" s="65"/>
    </row>
    <row r="30" spans="1:25" s="9" customFormat="1">
      <c r="A30" s="214"/>
      <c r="B30" s="74"/>
      <c r="C30" s="74"/>
      <c r="D30" s="74"/>
      <c r="E30" s="74"/>
      <c r="F30" s="74"/>
      <c r="G30" s="74"/>
      <c r="H30" s="74"/>
      <c r="I30" s="74"/>
      <c r="J30" s="74"/>
      <c r="K30" s="74"/>
      <c r="L30" s="74"/>
      <c r="M30" s="74"/>
      <c r="N30" s="74"/>
      <c r="O30" s="74"/>
      <c r="P30" s="74"/>
      <c r="Q30" s="74"/>
      <c r="R30" s="74"/>
      <c r="S30" s="74"/>
      <c r="T30" s="74"/>
      <c r="U30" s="74"/>
      <c r="V30" s="74"/>
      <c r="W30" s="74"/>
      <c r="X30" s="74"/>
    </row>
    <row r="31" spans="1:25" s="9" customFormat="1">
      <c r="A31" s="216" t="s">
        <v>14</v>
      </c>
      <c r="B31" s="74"/>
      <c r="C31" s="74"/>
      <c r="D31" s="74"/>
      <c r="E31" s="74"/>
      <c r="F31" s="74"/>
      <c r="G31" s="74"/>
      <c r="H31" s="74"/>
      <c r="I31" s="74"/>
      <c r="J31" s="74"/>
      <c r="K31" s="74"/>
      <c r="L31" s="74"/>
      <c r="M31" s="74"/>
      <c r="N31" s="74"/>
      <c r="O31" s="74"/>
      <c r="P31" s="74"/>
      <c r="Q31" s="74"/>
      <c r="R31" s="74"/>
      <c r="S31" s="74"/>
      <c r="T31" s="74"/>
      <c r="U31" s="74"/>
      <c r="V31" s="74"/>
      <c r="W31" s="74"/>
      <c r="X31" s="74"/>
    </row>
    <row r="32" spans="1:25" s="9" customFormat="1">
      <c r="A32" s="216" t="s">
        <v>67</v>
      </c>
      <c r="B32" s="74">
        <f t="shared" ref="B32:X35" si="9">+B$15-B26</f>
        <v>38.740533988324991</v>
      </c>
      <c r="C32" s="74">
        <f t="shared" si="9"/>
        <v>10.020000000000001</v>
      </c>
      <c r="D32" s="74">
        <f t="shared" si="9"/>
        <v>30.984768133293795</v>
      </c>
      <c r="E32" s="74">
        <f t="shared" si="9"/>
        <v>23.415642113207554</v>
      </c>
      <c r="F32" s="74">
        <f t="shared" si="9"/>
        <v>19.885496183206108</v>
      </c>
      <c r="G32" s="74">
        <f t="shared" si="9"/>
        <v>16.233415299808147</v>
      </c>
      <c r="H32" s="74">
        <f t="shared" si="9"/>
        <v>21.289352693306309</v>
      </c>
      <c r="I32" s="74">
        <f t="shared" si="9"/>
        <v>39.292987377279104</v>
      </c>
      <c r="J32" s="74">
        <f t="shared" si="9"/>
        <v>37.54787727222174</v>
      </c>
      <c r="K32" s="74">
        <f t="shared" si="9"/>
        <v>35.332500677150747</v>
      </c>
      <c r="L32" s="74">
        <f t="shared" si="9"/>
        <v>21.476560804456341</v>
      </c>
      <c r="M32" s="74">
        <f t="shared" ref="M32" si="10">+M$15-M26</f>
        <v>38.67</v>
      </c>
      <c r="N32" s="74">
        <f t="shared" si="9"/>
        <v>21.72</v>
      </c>
      <c r="O32" s="74">
        <f t="shared" si="9"/>
        <v>35.999541295057611</v>
      </c>
      <c r="P32" s="74">
        <f t="shared" si="9"/>
        <v>9.3550126522072574</v>
      </c>
      <c r="Q32" s="74">
        <f t="shared" si="9"/>
        <v>32.095881161047771</v>
      </c>
      <c r="R32" s="74">
        <f t="shared" si="9"/>
        <v>28.440863973158116</v>
      </c>
      <c r="S32" s="74">
        <f t="shared" si="9"/>
        <v>34.182974538177476</v>
      </c>
      <c r="T32" s="74">
        <f t="shared" si="9"/>
        <v>27.536751523843673</v>
      </c>
      <c r="U32" s="74">
        <f t="shared" si="9"/>
        <v>26.478517630948303</v>
      </c>
      <c r="V32" s="74">
        <f t="shared" si="9"/>
        <v>32.620905088062621</v>
      </c>
      <c r="W32" s="74">
        <f t="shared" si="9"/>
        <v>35.130000000000003</v>
      </c>
      <c r="X32" s="74">
        <f t="shared" si="9"/>
        <v>8.949752850353466</v>
      </c>
    </row>
    <row r="33" spans="1:24" s="9" customFormat="1">
      <c r="A33" s="216" t="s">
        <v>68</v>
      </c>
      <c r="B33" s="74">
        <f t="shared" si="9"/>
        <v>35.015805926823823</v>
      </c>
      <c r="C33" s="74">
        <f t="shared" si="9"/>
        <v>8.9303674121405763</v>
      </c>
      <c r="D33" s="74">
        <f t="shared" si="9"/>
        <v>28.536173007739318</v>
      </c>
      <c r="E33" s="74">
        <f t="shared" si="9"/>
        <v>23.478229863593675</v>
      </c>
      <c r="F33" s="74">
        <f t="shared" si="9"/>
        <v>18.579633643630746</v>
      </c>
      <c r="G33" s="74">
        <f t="shared" si="9"/>
        <v>14.895830518550547</v>
      </c>
      <c r="H33" s="74">
        <f t="shared" si="9"/>
        <v>18.616094700714243</v>
      </c>
      <c r="I33" s="74">
        <f t="shared" si="9"/>
        <v>38.083564038457624</v>
      </c>
      <c r="J33" s="74">
        <f t="shared" si="9"/>
        <v>35.931521671402471</v>
      </c>
      <c r="K33" s="74">
        <f t="shared" si="9"/>
        <v>32.147098596233747</v>
      </c>
      <c r="L33" s="74">
        <f t="shared" si="9"/>
        <v>18.286225855458294</v>
      </c>
      <c r="M33" s="74">
        <f t="shared" ref="M33" si="11">+M$15-M27</f>
        <v>37.42</v>
      </c>
      <c r="N33" s="74">
        <f t="shared" si="9"/>
        <v>20.079999999999998</v>
      </c>
      <c r="O33" s="74">
        <f t="shared" si="9"/>
        <v>34.384145066889644</v>
      </c>
      <c r="P33" s="74">
        <f t="shared" si="9"/>
        <v>8.6799058365821153</v>
      </c>
      <c r="Q33" s="74">
        <f t="shared" si="9"/>
        <v>26.969303517808754</v>
      </c>
      <c r="R33" s="74">
        <f t="shared" si="9"/>
        <v>25.793373409758143</v>
      </c>
      <c r="S33" s="74">
        <f t="shared" si="9"/>
        <v>32.243331572137521</v>
      </c>
      <c r="T33" s="74">
        <f t="shared" si="9"/>
        <v>24.632484761563287</v>
      </c>
      <c r="U33" s="74">
        <f t="shared" si="9"/>
        <v>23.179262238959261</v>
      </c>
      <c r="V33" s="74">
        <f t="shared" si="9"/>
        <v>29.450905088062619</v>
      </c>
      <c r="W33" s="74">
        <f t="shared" si="9"/>
        <v>31.875823530032559</v>
      </c>
      <c r="X33" s="74">
        <f t="shared" si="9"/>
        <v>7.9024413465886996</v>
      </c>
    </row>
    <row r="34" spans="1:24" s="9" customFormat="1">
      <c r="A34" s="216" t="s">
        <v>69</v>
      </c>
      <c r="B34" s="74">
        <f t="shared" si="9"/>
        <v>31.953363743660088</v>
      </c>
      <c r="C34" s="74">
        <f t="shared" si="9"/>
        <v>7.5493849840255596</v>
      </c>
      <c r="D34" s="74">
        <f t="shared" si="9"/>
        <v>25.741311904833704</v>
      </c>
      <c r="E34" s="74">
        <f t="shared" si="9"/>
        <v>22.070005479905952</v>
      </c>
      <c r="F34" s="74">
        <f t="shared" si="9"/>
        <v>16.352970595380452</v>
      </c>
      <c r="G34" s="74">
        <f t="shared" si="9"/>
        <v>12.321993136433649</v>
      </c>
      <c r="H34" s="74">
        <f t="shared" si="9"/>
        <v>17.762897634053388</v>
      </c>
      <c r="I34" s="74">
        <f t="shared" si="9"/>
        <v>36.193204870215666</v>
      </c>
      <c r="J34" s="74">
        <f t="shared" si="9"/>
        <v>33.244038980171432</v>
      </c>
      <c r="K34" s="74">
        <f t="shared" si="9"/>
        <v>30.40271174239825</v>
      </c>
      <c r="L34" s="74">
        <f t="shared" si="9"/>
        <v>16.528286189683861</v>
      </c>
      <c r="M34" s="74">
        <f t="shared" ref="M34" si="12">+M$15-M28</f>
        <v>35.78</v>
      </c>
      <c r="N34" s="74">
        <f t="shared" si="9"/>
        <v>17.435896351136961</v>
      </c>
      <c r="O34" s="74">
        <f t="shared" si="9"/>
        <v>33.460464279078415</v>
      </c>
      <c r="P34" s="74">
        <f t="shared" si="9"/>
        <v>7.8456297111769651</v>
      </c>
      <c r="Q34" s="74">
        <f t="shared" si="9"/>
        <v>23.710264873178232</v>
      </c>
      <c r="R34" s="74">
        <f t="shared" si="9"/>
        <v>24.273032294142318</v>
      </c>
      <c r="S34" s="74">
        <f t="shared" si="9"/>
        <v>29.304578514290387</v>
      </c>
      <c r="T34" s="74">
        <f t="shared" si="9"/>
        <v>22.588741484403016</v>
      </c>
      <c r="U34" s="74">
        <f t="shared" si="9"/>
        <v>20.510869565217391</v>
      </c>
      <c r="V34" s="74">
        <f t="shared" si="9"/>
        <v>27.919381221815705</v>
      </c>
      <c r="W34" s="74">
        <f t="shared" si="9"/>
        <v>30.858893383167732</v>
      </c>
      <c r="X34" s="74">
        <f t="shared" si="9"/>
        <v>6.5694994327062677</v>
      </c>
    </row>
    <row r="35" spans="1:24" s="9" customFormat="1">
      <c r="A35" s="216" t="s">
        <v>70</v>
      </c>
      <c r="B35" s="74">
        <f t="shared" si="9"/>
        <v>15.247137069762992</v>
      </c>
      <c r="C35" s="74">
        <f t="shared" si="9"/>
        <v>2.6500638977635802</v>
      </c>
      <c r="D35" s="74">
        <f t="shared" si="9"/>
        <v>10.654008605962687</v>
      </c>
      <c r="E35" s="74">
        <f t="shared" si="9"/>
        <v>11.883849104564746</v>
      </c>
      <c r="F35" s="74">
        <f t="shared" si="9"/>
        <v>8.5010535304978312</v>
      </c>
      <c r="G35" s="74">
        <f t="shared" si="9"/>
        <v>6.7689896506066418</v>
      </c>
      <c r="H35" s="74">
        <f t="shared" si="9"/>
        <v>10.89142676586782</v>
      </c>
      <c r="I35" s="74">
        <f t="shared" si="9"/>
        <v>21.009352196272133</v>
      </c>
      <c r="J35" s="74">
        <f t="shared" si="9"/>
        <v>16.061890824992407</v>
      </c>
      <c r="K35" s="74">
        <f t="shared" si="9"/>
        <v>15.006601684632752</v>
      </c>
      <c r="L35" s="74">
        <f t="shared" si="9"/>
        <v>7.4998553136077568</v>
      </c>
      <c r="M35" s="74">
        <f t="shared" ref="M35" si="13">+M$15-M29</f>
        <v>22.85</v>
      </c>
      <c r="N35" s="74">
        <f t="shared" si="9"/>
        <v>7.7791699813763131</v>
      </c>
      <c r="O35" s="74">
        <f t="shared" si="9"/>
        <v>20.132182506503163</v>
      </c>
      <c r="P35" s="74">
        <f t="shared" si="9"/>
        <v>1.5756447014373052</v>
      </c>
      <c r="Q35" s="74">
        <f t="shared" si="9"/>
        <v>6.9756507091765698</v>
      </c>
      <c r="R35" s="74">
        <f t="shared" si="9"/>
        <v>7.8638333566335774</v>
      </c>
      <c r="S35" s="74">
        <f t="shared" si="9"/>
        <v>14.013726465342074</v>
      </c>
      <c r="T35" s="74">
        <f t="shared" si="9"/>
        <v>13.822158479741844</v>
      </c>
      <c r="U35" s="74">
        <f t="shared" si="9"/>
        <v>5.490328654570348</v>
      </c>
      <c r="V35" s="74">
        <f t="shared" si="9"/>
        <v>14.699381221815706</v>
      </c>
      <c r="W35" s="74">
        <f t="shared" si="9"/>
        <v>17.503210787676355</v>
      </c>
      <c r="X35" s="74">
        <f t="shared" si="9"/>
        <v>3.2371446480001893</v>
      </c>
    </row>
    <row r="36" spans="1:24" s="9" customFormat="1">
      <c r="A36" s="216" t="s">
        <v>112</v>
      </c>
      <c r="B36" s="74">
        <f>+B15-B18-B19-B20-B21</f>
        <v>35.01580592682383</v>
      </c>
      <c r="C36" s="74">
        <f>+C15-C18-C19-C20-C21</f>
        <v>8.9303674121405763</v>
      </c>
      <c r="D36" s="74">
        <f t="shared" ref="D36:X36" si="14">+D15-D18-D19-D20-D21</f>
        <v>28.536173007739318</v>
      </c>
      <c r="E36" s="74">
        <f t="shared" si="14"/>
        <v>23.478229863593675</v>
      </c>
      <c r="F36" s="74">
        <f t="shared" si="14"/>
        <v>18.579633643630746</v>
      </c>
      <c r="G36" s="74">
        <f t="shared" si="14"/>
        <v>14.895830518550547</v>
      </c>
      <c r="H36" s="74">
        <f t="shared" si="14"/>
        <v>18.616094700714243</v>
      </c>
      <c r="I36" s="74">
        <f t="shared" si="14"/>
        <v>38.083564038457631</v>
      </c>
      <c r="J36" s="74">
        <f t="shared" si="14"/>
        <v>35.931521671402471</v>
      </c>
      <c r="K36" s="74">
        <f t="shared" si="14"/>
        <v>32.147098596233754</v>
      </c>
      <c r="L36" s="74">
        <f t="shared" si="14"/>
        <v>18.286225855458294</v>
      </c>
      <c r="M36" s="74">
        <f t="shared" ref="M36" si="15">+M15-M18-M19-M20-M21</f>
        <v>37.42</v>
      </c>
      <c r="N36" s="74">
        <f t="shared" si="14"/>
        <v>20.079999999999998</v>
      </c>
      <c r="O36" s="74">
        <f t="shared" si="14"/>
        <v>34.384145066889644</v>
      </c>
      <c r="P36" s="74">
        <f t="shared" si="14"/>
        <v>8.6799058365821153</v>
      </c>
      <c r="Q36" s="74">
        <f t="shared" si="14"/>
        <v>26.969303517808751</v>
      </c>
      <c r="R36" s="74">
        <f t="shared" si="14"/>
        <v>25.793373409758139</v>
      </c>
      <c r="S36" s="74">
        <f t="shared" si="14"/>
        <v>32.243331572137521</v>
      </c>
      <c r="T36" s="74">
        <f t="shared" si="14"/>
        <v>24.632484761563283</v>
      </c>
      <c r="U36" s="74">
        <f t="shared" si="14"/>
        <v>23.018786374529267</v>
      </c>
      <c r="V36" s="74">
        <f t="shared" si="14"/>
        <v>29.450905088062619</v>
      </c>
      <c r="W36" s="74">
        <f t="shared" si="14"/>
        <v>31.875823530032562</v>
      </c>
      <c r="X36" s="74">
        <f t="shared" si="14"/>
        <v>7.9024413465887005</v>
      </c>
    </row>
    <row r="37" spans="1:24" s="9" customFormat="1">
      <c r="A37" s="216" t="s">
        <v>105</v>
      </c>
      <c r="B37" s="260">
        <f>+(B34+B22)/B22</f>
        <v>11.433948408668344</v>
      </c>
      <c r="C37" s="260">
        <f>+(C34+C22)/C22</f>
        <v>6.4666770773688693</v>
      </c>
      <c r="D37" s="260">
        <f t="shared" ref="D37:X37" si="16">+(D34+D22)/D22</f>
        <v>10.210229402123895</v>
      </c>
      <c r="E37" s="260">
        <f t="shared" si="16"/>
        <v>16.672222222222224</v>
      </c>
      <c r="F37" s="260">
        <f t="shared" si="16"/>
        <v>8.3441604055137848</v>
      </c>
      <c r="G37" s="260">
        <f t="shared" si="16"/>
        <v>5.7874015748031491</v>
      </c>
      <c r="H37" s="260">
        <f t="shared" si="16"/>
        <v>21.819220234279385</v>
      </c>
      <c r="I37" s="260">
        <f t="shared" si="16"/>
        <v>20.146205376344088</v>
      </c>
      <c r="J37" s="260">
        <f t="shared" si="16"/>
        <v>13.369954637714724</v>
      </c>
      <c r="K37" s="260">
        <f t="shared" si="16"/>
        <v>18.428881486666665</v>
      </c>
      <c r="L37" s="260">
        <f t="shared" si="16"/>
        <v>10.402078189300411</v>
      </c>
      <c r="M37" s="260">
        <f t="shared" ref="M37" si="17">+(M34+M22)/M22</f>
        <v>22.81707317073171</v>
      </c>
      <c r="N37" s="260">
        <f t="shared" si="16"/>
        <v>7.5942559999999988</v>
      </c>
      <c r="O37" s="260">
        <f t="shared" si="16"/>
        <v>37.225138295197382</v>
      </c>
      <c r="P37" s="260">
        <f t="shared" si="16"/>
        <v>10.404116301862139</v>
      </c>
      <c r="Q37" s="260">
        <f t="shared" si="16"/>
        <v>8.275232808988763</v>
      </c>
      <c r="R37" s="260">
        <f t="shared" si="16"/>
        <v>16.96551724137931</v>
      </c>
      <c r="S37" s="260">
        <f t="shared" si="16"/>
        <v>10.97177304028337</v>
      </c>
      <c r="T37" s="260">
        <f t="shared" si="16"/>
        <v>12.052631578947372</v>
      </c>
      <c r="U37" s="260">
        <f t="shared" si="16"/>
        <v>8.6866009141207581</v>
      </c>
      <c r="V37" s="260">
        <f t="shared" si="16"/>
        <v>19.229804861111113</v>
      </c>
      <c r="W37" s="260">
        <f t="shared" si="16"/>
        <v>31.345145611333336</v>
      </c>
      <c r="X37" s="260">
        <f t="shared" si="16"/>
        <v>5.9285714285714279</v>
      </c>
    </row>
    <row r="38" spans="1:24" s="9" customFormat="1">
      <c r="A38" s="214"/>
      <c r="B38" s="186"/>
      <c r="C38" s="186"/>
      <c r="D38" s="186"/>
      <c r="E38" s="186"/>
      <c r="F38" s="186"/>
      <c r="G38" s="186"/>
      <c r="H38" s="186"/>
      <c r="I38" s="186"/>
      <c r="J38" s="186"/>
      <c r="K38" s="186"/>
      <c r="L38" s="186"/>
      <c r="M38" s="74"/>
      <c r="N38" s="186"/>
      <c r="O38" s="186"/>
      <c r="P38" s="186"/>
      <c r="Q38" s="186"/>
      <c r="R38" s="186"/>
      <c r="S38" s="186"/>
      <c r="T38" s="186"/>
      <c r="U38" s="186"/>
      <c r="V38" s="186"/>
      <c r="W38" s="186"/>
      <c r="X38" s="186"/>
    </row>
    <row r="39" spans="1:24" s="9" customFormat="1">
      <c r="A39" s="216" t="s">
        <v>53</v>
      </c>
      <c r="B39" s="186"/>
      <c r="C39" s="186"/>
      <c r="D39" s="186"/>
      <c r="E39" s="186"/>
      <c r="F39" s="186"/>
      <c r="G39" s="186"/>
      <c r="H39" s="186"/>
      <c r="I39" s="186"/>
      <c r="J39" s="186"/>
      <c r="K39" s="186"/>
      <c r="L39" s="186"/>
      <c r="M39" s="180"/>
      <c r="N39" s="186"/>
      <c r="O39" s="186"/>
      <c r="P39" s="186"/>
      <c r="Q39" s="186"/>
      <c r="R39" s="186"/>
      <c r="S39" s="186"/>
      <c r="T39" s="186"/>
      <c r="U39" s="186"/>
      <c r="V39" s="186"/>
      <c r="W39" s="186"/>
      <c r="X39" s="186"/>
    </row>
    <row r="40" spans="1:24" s="9" customFormat="1">
      <c r="A40" s="216" t="s">
        <v>54</v>
      </c>
      <c r="B40" s="180">
        <f t="shared" ref="B40:X41" si="18">+B44/B$47*100</f>
        <v>58.253851797505504</v>
      </c>
      <c r="C40" s="180">
        <f t="shared" si="18"/>
        <v>2.3434504792332267</v>
      </c>
      <c r="D40" s="180">
        <f t="shared" si="18"/>
        <v>49.38822304231563</v>
      </c>
      <c r="E40" s="180">
        <f t="shared" si="18"/>
        <v>75.595007238209703</v>
      </c>
      <c r="F40" s="180">
        <f t="shared" si="18"/>
        <v>77.146909887727048</v>
      </c>
      <c r="G40" s="180">
        <f t="shared" si="18"/>
        <v>16.594157862026105</v>
      </c>
      <c r="H40" s="180">
        <f t="shared" si="18"/>
        <v>29.235278061990797</v>
      </c>
      <c r="I40" s="180">
        <f t="shared" si="18"/>
        <v>64.23562412342217</v>
      </c>
      <c r="J40" s="180">
        <f t="shared" si="18"/>
        <v>55.440510198869106</v>
      </c>
      <c r="K40" s="180">
        <f t="shared" si="18"/>
        <v>64.38671428455136</v>
      </c>
      <c r="L40" s="180">
        <f t="shared" si="18"/>
        <v>45.32445923460898</v>
      </c>
      <c r="M40" s="180">
        <f t="shared" ref="M40" si="19">+M44/M$47*100</f>
        <v>71.771603665183704</v>
      </c>
      <c r="N40" s="180">
        <f t="shared" si="18"/>
        <v>25.251189846641992</v>
      </c>
      <c r="O40" s="180">
        <f t="shared" si="18"/>
        <v>55.422008547008552</v>
      </c>
      <c r="P40" s="180">
        <f t="shared" si="18"/>
        <v>0.25972429678043413</v>
      </c>
      <c r="Q40" s="180">
        <f t="shared" si="18"/>
        <v>52.217855137563177</v>
      </c>
      <c r="R40" s="180">
        <f t="shared" si="18"/>
        <v>48.231511254019296</v>
      </c>
      <c r="S40" s="180">
        <f t="shared" si="18"/>
        <v>52.198766335349788</v>
      </c>
      <c r="T40" s="180">
        <f t="shared" si="18"/>
        <v>38.185729652205097</v>
      </c>
      <c r="U40" s="180">
        <f t="shared" si="18"/>
        <v>36.023622047244096</v>
      </c>
      <c r="V40" s="180">
        <f t="shared" si="18"/>
        <v>62.524461839530332</v>
      </c>
      <c r="W40" s="180">
        <f t="shared" si="18"/>
        <v>60.848598377607722</v>
      </c>
      <c r="X40" s="180">
        <f t="shared" si="18"/>
        <v>2.3754929108119041</v>
      </c>
    </row>
    <row r="41" spans="1:24" s="9" customFormat="1">
      <c r="A41" s="216" t="s">
        <v>55</v>
      </c>
      <c r="B41" s="180">
        <f t="shared" si="18"/>
        <v>15.553925165077038</v>
      </c>
      <c r="C41" s="180">
        <f t="shared" si="18"/>
        <v>26.170926517571885</v>
      </c>
      <c r="D41" s="180">
        <f t="shared" si="18"/>
        <v>14.107865248649226</v>
      </c>
      <c r="E41" s="180">
        <f t="shared" si="18"/>
        <v>0</v>
      </c>
      <c r="F41" s="180">
        <f t="shared" si="18"/>
        <v>5.3661397489815528</v>
      </c>
      <c r="G41" s="180">
        <f t="shared" si="18"/>
        <v>11.000621504039778</v>
      </c>
      <c r="H41" s="180">
        <f t="shared" si="18"/>
        <v>28.160724115479102</v>
      </c>
      <c r="I41" s="180">
        <f t="shared" si="18"/>
        <v>9.1631603553062178</v>
      </c>
      <c r="J41" s="180">
        <f t="shared" si="18"/>
        <v>0</v>
      </c>
      <c r="K41" s="180">
        <f t="shared" si="18"/>
        <v>0</v>
      </c>
      <c r="L41" s="180">
        <f t="shared" si="18"/>
        <v>21.364392678868551</v>
      </c>
      <c r="M41" s="180">
        <f t="shared" ref="M41" si="20">+M45/M$47*100</f>
        <v>16.731976076132113</v>
      </c>
      <c r="N41" s="180">
        <f t="shared" si="18"/>
        <v>21.998942358540457</v>
      </c>
      <c r="O41" s="180">
        <f t="shared" si="18"/>
        <v>17.067307692307693</v>
      </c>
      <c r="P41" s="180">
        <f t="shared" si="18"/>
        <v>6.138792175137544</v>
      </c>
      <c r="Q41" s="180">
        <f t="shared" si="18"/>
        <v>13.475575519371141</v>
      </c>
      <c r="R41" s="180">
        <f t="shared" si="18"/>
        <v>16.639871382636656</v>
      </c>
      <c r="S41" s="180">
        <f t="shared" si="18"/>
        <v>5.6841366429331952</v>
      </c>
      <c r="T41" s="180">
        <f t="shared" si="18"/>
        <v>23.718178558623162</v>
      </c>
      <c r="U41" s="180">
        <f t="shared" si="18"/>
        <v>18.602362204724411</v>
      </c>
      <c r="V41" s="180">
        <f t="shared" si="18"/>
        <v>15.704500978473579</v>
      </c>
      <c r="W41" s="180">
        <f t="shared" si="18"/>
        <v>19.525777450441769</v>
      </c>
      <c r="X41" s="180">
        <f t="shared" si="18"/>
        <v>12.332092956830138</v>
      </c>
    </row>
    <row r="42" spans="1:24" s="9" customFormat="1">
      <c r="A42" s="216" t="s">
        <v>56</v>
      </c>
      <c r="B42" s="180">
        <f t="shared" ref="B42:X42" si="21">+(B46/6)/B$47*100</f>
        <v>26.192223037417463</v>
      </c>
      <c r="C42" s="180">
        <f t="shared" si="21"/>
        <v>71.485623003194874</v>
      </c>
      <c r="D42" s="180">
        <f t="shared" si="21"/>
        <v>36.50391170903513</v>
      </c>
      <c r="E42" s="180">
        <f t="shared" si="21"/>
        <v>24.404992761790297</v>
      </c>
      <c r="F42" s="180">
        <f t="shared" si="21"/>
        <v>17.486950363291392</v>
      </c>
      <c r="G42" s="180">
        <f t="shared" si="21"/>
        <v>72.405220633934135</v>
      </c>
      <c r="H42" s="180">
        <f t="shared" si="21"/>
        <v>42.603997822530104</v>
      </c>
      <c r="I42" s="180">
        <f t="shared" si="21"/>
        <v>26.601215521271619</v>
      </c>
      <c r="J42" s="180">
        <f t="shared" si="21"/>
        <v>44.559489801130894</v>
      </c>
      <c r="K42" s="180">
        <f t="shared" si="21"/>
        <v>35.613285715448633</v>
      </c>
      <c r="L42" s="180">
        <f t="shared" si="21"/>
        <v>33.311148086522465</v>
      </c>
      <c r="M42" s="180">
        <f t="shared" ref="M42" si="22">+(M46/6)/M$47*100</f>
        <v>11.496420258684187</v>
      </c>
      <c r="N42" s="180">
        <f t="shared" si="21"/>
        <v>52.749867794817561</v>
      </c>
      <c r="O42" s="180">
        <f t="shared" si="21"/>
        <v>27.510683760683762</v>
      </c>
      <c r="P42" s="180">
        <f t="shared" si="21"/>
        <v>93.601483528082014</v>
      </c>
      <c r="Q42" s="180">
        <f t="shared" si="21"/>
        <v>34.306569343065696</v>
      </c>
      <c r="R42" s="180">
        <f t="shared" si="21"/>
        <v>35.128617363344048</v>
      </c>
      <c r="S42" s="180">
        <f t="shared" si="21"/>
        <v>42.117097021717022</v>
      </c>
      <c r="T42" s="180">
        <f t="shared" si="21"/>
        <v>38.096091789171751</v>
      </c>
      <c r="U42" s="180">
        <f t="shared" si="21"/>
        <v>45.374015748031496</v>
      </c>
      <c r="V42" s="180">
        <f t="shared" si="21"/>
        <v>21.771037181996086</v>
      </c>
      <c r="W42" s="180">
        <f t="shared" si="21"/>
        <v>19.625624171950502</v>
      </c>
      <c r="X42" s="180">
        <f t="shared" si="21"/>
        <v>85.292414132357962</v>
      </c>
    </row>
    <row r="43" spans="1:24" s="9" customFormat="1">
      <c r="A43" s="216"/>
      <c r="B43" s="180"/>
      <c r="C43" s="180"/>
      <c r="D43" s="180"/>
      <c r="E43" s="180"/>
      <c r="F43" s="180"/>
      <c r="G43" s="180"/>
      <c r="H43" s="180"/>
      <c r="I43" s="180"/>
      <c r="J43" s="180"/>
      <c r="K43" s="180"/>
      <c r="L43" s="180"/>
      <c r="M43" s="180"/>
      <c r="N43" s="180"/>
      <c r="O43" s="180"/>
      <c r="P43" s="180"/>
      <c r="Q43" s="180"/>
      <c r="R43" s="180"/>
      <c r="S43" s="180"/>
      <c r="T43" s="180"/>
      <c r="U43" s="180"/>
      <c r="V43" s="180"/>
      <c r="W43" s="180"/>
      <c r="X43" s="180"/>
    </row>
    <row r="44" spans="1:24" s="9" customFormat="1">
      <c r="A44" s="216" t="s">
        <v>62</v>
      </c>
      <c r="B44" s="180">
        <v>397</v>
      </c>
      <c r="C44" s="180">
        <f>978/92</f>
        <v>10.630434782608695</v>
      </c>
      <c r="D44" s="180">
        <f>243.436-26.389</f>
        <v>217.047</v>
      </c>
      <c r="E44" s="180">
        <f>SUM(E60:E66)</f>
        <v>801.74200000000008</v>
      </c>
      <c r="F44" s="180">
        <f>376.672+5.674</f>
        <v>382.346</v>
      </c>
      <c r="G44" s="180">
        <v>89</v>
      </c>
      <c r="H44" s="180">
        <v>63.908999999999999</v>
      </c>
      <c r="I44" s="180">
        <f>622+65</f>
        <v>687</v>
      </c>
      <c r="J44" s="180">
        <v>164.60499999999999</v>
      </c>
      <c r="K44" s="180">
        <v>184.554</v>
      </c>
      <c r="L44" s="186">
        <v>227</v>
      </c>
      <c r="M44" s="180">
        <f>8120/$D$2</f>
        <v>88.260869565217391</v>
      </c>
      <c r="N44" s="180">
        <v>95.5</v>
      </c>
      <c r="O44" s="180">
        <v>415</v>
      </c>
      <c r="P44" s="180">
        <f>162/$D$2</f>
        <v>1.7608695652173914</v>
      </c>
      <c r="Q44" s="180">
        <v>155</v>
      </c>
      <c r="R44" s="180">
        <f>173+27</f>
        <v>200</v>
      </c>
      <c r="S44" s="180">
        <v>87.754999999999995</v>
      </c>
      <c r="T44" s="180">
        <f>7100/$D$2</f>
        <v>77.173913043478265</v>
      </c>
      <c r="U44" s="180">
        <f>122</f>
        <v>122</v>
      </c>
      <c r="V44" s="180">
        <f>256+30+140</f>
        <v>426</v>
      </c>
      <c r="W44" s="180">
        <v>195.11600000000001</v>
      </c>
      <c r="X44" s="180">
        <f>998/$D$2</f>
        <v>10.847826086956522</v>
      </c>
    </row>
    <row r="45" spans="1:24" s="9" customFormat="1">
      <c r="A45" s="216" t="s">
        <v>63</v>
      </c>
      <c r="B45" s="180">
        <v>106</v>
      </c>
      <c r="C45" s="180">
        <f>(3579+7343)/92</f>
        <v>118.71739130434783</v>
      </c>
      <c r="D45" s="180">
        <f>62</f>
        <v>62</v>
      </c>
      <c r="E45" s="180"/>
      <c r="F45" s="180">
        <v>26.594999999999999</v>
      </c>
      <c r="G45" s="180">
        <v>59</v>
      </c>
      <c r="H45" s="180">
        <v>61.56</v>
      </c>
      <c r="I45" s="180">
        <v>98</v>
      </c>
      <c r="J45" s="180"/>
      <c r="K45" s="180"/>
      <c r="L45" s="187">
        <v>107</v>
      </c>
      <c r="M45" s="180">
        <f>1893/$D$2</f>
        <v>20.576086956521738</v>
      </c>
      <c r="N45" s="180">
        <f>41+42.2</f>
        <v>83.2</v>
      </c>
      <c r="O45" s="180">
        <v>127.8</v>
      </c>
      <c r="P45" s="180">
        <f>(2328+1501)/$D$2</f>
        <v>41.619565217391305</v>
      </c>
      <c r="Q45" s="180">
        <v>40</v>
      </c>
      <c r="R45" s="180">
        <f>58+11</f>
        <v>69</v>
      </c>
      <c r="S45" s="180">
        <v>9.5559999999999992</v>
      </c>
      <c r="T45" s="180">
        <f>4410/$D$2</f>
        <v>47.934782608695649</v>
      </c>
      <c r="U45" s="180">
        <f>63</f>
        <v>63</v>
      </c>
      <c r="V45" s="180">
        <f>73+34</f>
        <v>107</v>
      </c>
      <c r="W45" s="180">
        <v>62.610999999999997</v>
      </c>
      <c r="X45" s="180">
        <f>5181/$D$2</f>
        <v>56.315217391304351</v>
      </c>
    </row>
    <row r="46" spans="1:24" s="9" customFormat="1">
      <c r="A46" s="216" t="s">
        <v>64</v>
      </c>
      <c r="B46" s="180">
        <v>1071</v>
      </c>
      <c r="C46" s="180">
        <f>179/92*1000</f>
        <v>1945.6521739130435</v>
      </c>
      <c r="D46" s="180">
        <f>1024.918-62.373</f>
        <v>962.54499999999985</v>
      </c>
      <c r="E46" s="180">
        <v>1553</v>
      </c>
      <c r="F46" s="180">
        <v>520</v>
      </c>
      <c r="G46" s="180">
        <v>2330</v>
      </c>
      <c r="H46" s="180">
        <v>558.79999999999995</v>
      </c>
      <c r="I46" s="180">
        <v>1707</v>
      </c>
      <c r="J46" s="180">
        <v>793.79300000000001</v>
      </c>
      <c r="K46" s="180">
        <v>612.47799999999995</v>
      </c>
      <c r="L46" s="221">
        <v>1001</v>
      </c>
      <c r="M46" s="180">
        <f>7804/$D$2</f>
        <v>84.826086956521735</v>
      </c>
      <c r="N46" s="180">
        <v>1197</v>
      </c>
      <c r="O46" s="180">
        <v>1236</v>
      </c>
      <c r="P46" s="180">
        <f>350.297*1000/$D$2</f>
        <v>3807.5760869565215</v>
      </c>
      <c r="Q46" s="180">
        <v>611</v>
      </c>
      <c r="R46" s="180">
        <f>433+441</f>
        <v>874</v>
      </c>
      <c r="S46" s="180">
        <v>424.83600000000001</v>
      </c>
      <c r="T46" s="180">
        <f>42.5*1000/$D$2</f>
        <v>461.95652173913044</v>
      </c>
      <c r="U46" s="180">
        <f>922</f>
        <v>922</v>
      </c>
      <c r="V46" s="180">
        <f>332+6+552</f>
        <v>890</v>
      </c>
      <c r="W46" s="180">
        <v>377.58699999999999</v>
      </c>
      <c r="X46" s="180">
        <f>215*1000/$D$2</f>
        <v>2336.9565217391305</v>
      </c>
    </row>
    <row r="47" spans="1:24" s="9" customFormat="1">
      <c r="A47" s="216" t="s">
        <v>65</v>
      </c>
      <c r="B47" s="180">
        <f t="shared" ref="B47:X47" si="23">+B44+B45+B46/6</f>
        <v>681.5</v>
      </c>
      <c r="C47" s="180">
        <f t="shared" si="23"/>
        <v>453.62318840579712</v>
      </c>
      <c r="D47" s="180">
        <f t="shared" si="23"/>
        <v>439.4711666666667</v>
      </c>
      <c r="E47" s="180">
        <f t="shared" si="23"/>
        <v>1060.5753333333334</v>
      </c>
      <c r="F47" s="180">
        <f t="shared" si="23"/>
        <v>495.60766666666672</v>
      </c>
      <c r="G47" s="180">
        <f t="shared" si="23"/>
        <v>536.33333333333326</v>
      </c>
      <c r="H47" s="180">
        <f t="shared" si="23"/>
        <v>218.60233333333332</v>
      </c>
      <c r="I47" s="180">
        <f t="shared" si="23"/>
        <v>1069.5</v>
      </c>
      <c r="J47" s="180">
        <f t="shared" si="23"/>
        <v>296.9038333333333</v>
      </c>
      <c r="K47" s="180">
        <f t="shared" si="23"/>
        <v>286.63366666666667</v>
      </c>
      <c r="L47" s="180">
        <f t="shared" si="23"/>
        <v>500.83333333333337</v>
      </c>
      <c r="M47" s="180">
        <f t="shared" si="23"/>
        <v>122.97463768115941</v>
      </c>
      <c r="N47" s="180">
        <f t="shared" si="23"/>
        <v>378.2</v>
      </c>
      <c r="O47" s="180">
        <f t="shared" si="23"/>
        <v>748.8</v>
      </c>
      <c r="P47" s="180">
        <f t="shared" si="23"/>
        <v>677.97644927536237</v>
      </c>
      <c r="Q47" s="180">
        <f t="shared" si="23"/>
        <v>296.83333333333331</v>
      </c>
      <c r="R47" s="180">
        <f t="shared" si="23"/>
        <v>414.66666666666663</v>
      </c>
      <c r="S47" s="180">
        <f t="shared" si="23"/>
        <v>168.11699999999999</v>
      </c>
      <c r="T47" s="180">
        <f t="shared" si="23"/>
        <v>202.10144927536231</v>
      </c>
      <c r="U47" s="180">
        <f t="shared" si="23"/>
        <v>338.66666666666663</v>
      </c>
      <c r="V47" s="180">
        <f t="shared" si="23"/>
        <v>681.33333333333337</v>
      </c>
      <c r="W47" s="180">
        <f t="shared" si="23"/>
        <v>320.65816666666672</v>
      </c>
      <c r="X47" s="180">
        <f t="shared" si="23"/>
        <v>456.65579710144931</v>
      </c>
    </row>
    <row r="48" spans="1:24" s="9" customFormat="1">
      <c r="A48" s="216" t="s">
        <v>66</v>
      </c>
      <c r="B48" s="180">
        <f>+B47*D2/1000</f>
        <v>62.698</v>
      </c>
      <c r="C48" s="180">
        <f>+C47*D2/1000</f>
        <v>41.733333333333334</v>
      </c>
      <c r="D48" s="180">
        <f>+D47*D2/1000</f>
        <v>40.431347333333342</v>
      </c>
      <c r="E48" s="180">
        <f>+E47*D2/1000</f>
        <v>97.572930666666679</v>
      </c>
      <c r="F48" s="180">
        <f>+F47*D2/1000</f>
        <v>45.595905333333334</v>
      </c>
      <c r="G48" s="180">
        <f>+G47*D2/1000</f>
        <v>49.342666666666659</v>
      </c>
      <c r="H48" s="180">
        <f>+H47*D2/1000</f>
        <v>20.111414666666665</v>
      </c>
      <c r="I48" s="180">
        <f>+I47*D2/1000</f>
        <v>98.394000000000005</v>
      </c>
      <c r="J48" s="180">
        <f>+J47*D2/1000</f>
        <v>27.315152666666663</v>
      </c>
      <c r="K48" s="180">
        <f>+K47*D2/1000</f>
        <v>26.370297333333333</v>
      </c>
      <c r="L48" s="180">
        <f>+L47*D2/1000</f>
        <v>46.076666666666668</v>
      </c>
      <c r="M48" s="180">
        <f t="shared" ref="M48" si="24">+M47*$D$2/1000</f>
        <v>11.313666666666666</v>
      </c>
      <c r="N48" s="180">
        <f>+N47*D2/1000</f>
        <v>34.794400000000003</v>
      </c>
      <c r="O48" s="180">
        <f>+O47*D2/1000</f>
        <v>68.889599999999987</v>
      </c>
      <c r="P48" s="180">
        <f>+P47*D2/1000</f>
        <v>62.373833333333337</v>
      </c>
      <c r="Q48" s="180">
        <f>+Q47*D2/1000</f>
        <v>27.308666666666664</v>
      </c>
      <c r="R48" s="180">
        <f>+R47*D2/1000</f>
        <v>38.149333333333331</v>
      </c>
      <c r="S48" s="180">
        <f>+S47*D2/1000</f>
        <v>15.466764</v>
      </c>
      <c r="T48" s="180">
        <f>+T47*D2/1000</f>
        <v>18.593333333333334</v>
      </c>
      <c r="U48" s="180">
        <f>+U47*D2/1000</f>
        <v>31.15733333333333</v>
      </c>
      <c r="V48" s="180">
        <f>+V47*D2/1000</f>
        <v>62.68266666666667</v>
      </c>
      <c r="W48" s="180">
        <f>+W47*D2/1000</f>
        <v>29.500551333333338</v>
      </c>
      <c r="X48" s="180">
        <f>+X47*D2/1000</f>
        <v>42.012333333333338</v>
      </c>
    </row>
    <row r="49" spans="1:24" s="9" customFormat="1">
      <c r="A49" s="216"/>
      <c r="B49" s="180"/>
      <c r="C49" s="180"/>
      <c r="D49" s="180"/>
      <c r="E49" s="180"/>
      <c r="F49" s="180"/>
      <c r="G49" s="180"/>
      <c r="H49" s="180"/>
      <c r="I49" s="180"/>
      <c r="J49" s="180"/>
      <c r="K49" s="180"/>
      <c r="L49" s="180"/>
      <c r="M49" s="180"/>
      <c r="N49" s="180"/>
      <c r="O49" s="180"/>
      <c r="P49" s="180"/>
      <c r="Q49" s="180"/>
      <c r="R49" s="180"/>
      <c r="S49" s="180"/>
      <c r="T49" s="180"/>
      <c r="U49" s="180"/>
      <c r="V49" s="180"/>
      <c r="W49" s="180"/>
      <c r="X49" s="180"/>
    </row>
    <row r="50" spans="1:24" s="9" customFormat="1">
      <c r="A50" s="216" t="s">
        <v>106</v>
      </c>
      <c r="B50" s="180">
        <f t="shared" ref="B50:X50" si="25">+B36*B48*4</f>
        <v>8781.6840000000029</v>
      </c>
      <c r="C50" s="180">
        <f t="shared" si="25"/>
        <v>1490.7760000000003</v>
      </c>
      <c r="D50" s="180">
        <f t="shared" si="25"/>
        <v>4615.0236897599998</v>
      </c>
      <c r="E50" s="180">
        <f t="shared" si="25"/>
        <v>9163.3587786259559</v>
      </c>
      <c r="F50" s="180">
        <f t="shared" si="25"/>
        <v>3388.6208669720104</v>
      </c>
      <c r="G50" s="180">
        <f t="shared" si="25"/>
        <v>2940</v>
      </c>
      <c r="H50" s="180">
        <f t="shared" si="25"/>
        <v>1497.5840000000001</v>
      </c>
      <c r="I50" s="180">
        <f t="shared" si="25"/>
        <v>14988.776800000001</v>
      </c>
      <c r="J50" s="180">
        <f t="shared" si="25"/>
        <v>3925.900000000001</v>
      </c>
      <c r="K50" s="180">
        <f t="shared" si="25"/>
        <v>3390.9141935466669</v>
      </c>
      <c r="L50" s="180">
        <f t="shared" si="25"/>
        <v>3370.2733333333335</v>
      </c>
      <c r="M50" s="180">
        <f t="shared" si="25"/>
        <v>1693.4296266666668</v>
      </c>
      <c r="N50" s="180">
        <f t="shared" si="25"/>
        <v>2794.6862080000001</v>
      </c>
      <c r="O50" s="180">
        <f t="shared" si="25"/>
        <v>9474.840000000002</v>
      </c>
      <c r="P50" s="180">
        <f t="shared" si="25"/>
        <v>2165.5960000000005</v>
      </c>
      <c r="Q50" s="180">
        <f t="shared" si="25"/>
        <v>2945.9828799999991</v>
      </c>
      <c r="R50" s="180">
        <f t="shared" si="25"/>
        <v>3935.9999999999991</v>
      </c>
      <c r="S50" s="180">
        <f t="shared" si="25"/>
        <v>1994.8</v>
      </c>
      <c r="T50" s="180">
        <f t="shared" si="25"/>
        <v>1832</v>
      </c>
      <c r="U50" s="180">
        <f t="shared" si="25"/>
        <v>2868.8159999999993</v>
      </c>
      <c r="V50" s="180">
        <f t="shared" si="25"/>
        <v>7384.2450666666664</v>
      </c>
      <c r="W50" s="180">
        <f t="shared" si="25"/>
        <v>3761.4174733600012</v>
      </c>
      <c r="X50" s="180">
        <f t="shared" si="25"/>
        <v>1328.0000000000002</v>
      </c>
    </row>
    <row r="51" spans="1:24" s="9" customFormat="1">
      <c r="A51" s="214" t="s">
        <v>143</v>
      </c>
      <c r="B51" s="180">
        <f>11189</f>
        <v>11189</v>
      </c>
      <c r="C51" s="180">
        <f>5487.004-1516.854</f>
        <v>3970.1499999999996</v>
      </c>
      <c r="D51" s="180">
        <f>150+8053</f>
        <v>8203</v>
      </c>
      <c r="E51" s="180">
        <f>(500+19233)/E58</f>
        <v>15063.358778625954</v>
      </c>
      <c r="F51" s="180">
        <f>(8788+1036)/E58</f>
        <v>7499.2366412213742</v>
      </c>
      <c r="G51" s="180">
        <f>9862-1416</f>
        <v>8446</v>
      </c>
      <c r="H51" s="180">
        <v>1500</v>
      </c>
      <c r="I51" s="180">
        <v>14997</v>
      </c>
      <c r="J51" s="180">
        <v>5955.326</v>
      </c>
      <c r="K51" s="180">
        <f>4143+87</f>
        <v>4230</v>
      </c>
      <c r="L51" s="180">
        <f>257+5791</f>
        <v>6048</v>
      </c>
      <c r="M51" s="180">
        <f>1250+800+1489.5+411</f>
        <v>3950.5</v>
      </c>
      <c r="N51" s="180">
        <f>500+3698</f>
        <v>4198</v>
      </c>
      <c r="O51" s="180">
        <f>5171.949</f>
        <v>5171.9489999999996</v>
      </c>
      <c r="P51" s="180">
        <f>699.527+472+7336.57-22-3455.296-286</f>
        <v>4744.8009999999995</v>
      </c>
      <c r="Q51" s="180">
        <f>5711</f>
        <v>5711</v>
      </c>
      <c r="R51" s="180">
        <v>5498</v>
      </c>
      <c r="S51" s="180">
        <f>10.454+2903.899</f>
        <v>2914.3530000000001</v>
      </c>
      <c r="T51" s="180">
        <v>2436</v>
      </c>
      <c r="U51" s="180">
        <f>6571-548.968</f>
        <v>6022.0320000000002</v>
      </c>
      <c r="V51" s="180">
        <v>10198</v>
      </c>
      <c r="W51" s="180">
        <v>2286</v>
      </c>
      <c r="X51" s="180">
        <v>3572</v>
      </c>
    </row>
    <row r="52" spans="1:24" s="9" customFormat="1">
      <c r="A52" s="214" t="s">
        <v>142</v>
      </c>
      <c r="B52" s="260">
        <f>+B51/B50</f>
        <v>1.2741291989099126</v>
      </c>
      <c r="C52" s="260">
        <f>+C51/C50</f>
        <v>2.6631432220534803</v>
      </c>
      <c r="D52" s="260">
        <f t="shared" ref="D52:X52" si="26">+D51/D50</f>
        <v>1.7774556646808004</v>
      </c>
      <c r="E52" s="260">
        <f t="shared" si="26"/>
        <v>1.6438687104298564</v>
      </c>
      <c r="F52" s="260">
        <f t="shared" si="26"/>
        <v>2.2130645284972559</v>
      </c>
      <c r="G52" s="260">
        <f t="shared" si="26"/>
        <v>2.8727891156462584</v>
      </c>
      <c r="H52" s="260">
        <f t="shared" si="26"/>
        <v>1.001613265098986</v>
      </c>
      <c r="I52" s="260">
        <f t="shared" si="26"/>
        <v>1.0005486238209911</v>
      </c>
      <c r="J52" s="260">
        <f t="shared" si="26"/>
        <v>1.5169326778573062</v>
      </c>
      <c r="K52" s="260">
        <f t="shared" si="26"/>
        <v>1.2474512059462366</v>
      </c>
      <c r="L52" s="260">
        <f t="shared" si="26"/>
        <v>1.7945132046658925</v>
      </c>
      <c r="M52" s="74">
        <f t="shared" si="26"/>
        <v>2.332839781347237</v>
      </c>
      <c r="N52" s="260">
        <f t="shared" si="26"/>
        <v>1.5021364430764743</v>
      </c>
      <c r="O52" s="260">
        <f t="shared" si="26"/>
        <v>0.54586135491470023</v>
      </c>
      <c r="P52" s="260">
        <f t="shared" si="26"/>
        <v>2.190990840396823</v>
      </c>
      <c r="Q52" s="260">
        <f t="shared" si="26"/>
        <v>1.9385720259175443</v>
      </c>
      <c r="R52" s="260">
        <f t="shared" si="26"/>
        <v>1.3968495934959353</v>
      </c>
      <c r="S52" s="260">
        <f t="shared" si="26"/>
        <v>1.4609750350912374</v>
      </c>
      <c r="T52" s="260">
        <f t="shared" si="26"/>
        <v>1.3296943231441047</v>
      </c>
      <c r="U52" s="260">
        <f t="shared" si="26"/>
        <v>2.099134974149615</v>
      </c>
      <c r="V52" s="260">
        <f t="shared" si="26"/>
        <v>1.3810484224088049</v>
      </c>
      <c r="W52" s="260">
        <f t="shared" si="26"/>
        <v>0.60774960934021516</v>
      </c>
      <c r="X52" s="260">
        <f t="shared" si="26"/>
        <v>2.689759036144578</v>
      </c>
    </row>
    <row r="53" spans="1:24" s="9" customFormat="1">
      <c r="A53" s="214"/>
      <c r="B53" s="260"/>
      <c r="C53" s="260"/>
      <c r="D53" s="260"/>
      <c r="E53" s="260"/>
      <c r="F53" s="260"/>
      <c r="G53" s="260"/>
      <c r="H53" s="260"/>
      <c r="I53" s="260"/>
      <c r="J53" s="260"/>
      <c r="K53" s="260"/>
      <c r="L53" s="260"/>
      <c r="M53" s="260"/>
      <c r="N53" s="260"/>
      <c r="O53" s="260"/>
      <c r="P53" s="260"/>
      <c r="Q53" s="260"/>
      <c r="R53" s="260"/>
      <c r="S53" s="260"/>
      <c r="T53" s="260"/>
      <c r="U53" s="260"/>
      <c r="V53" s="260"/>
      <c r="W53" s="260"/>
      <c r="X53" s="260"/>
    </row>
    <row r="54" spans="1:24" s="9" customFormat="1">
      <c r="A54" s="214" t="s">
        <v>171</v>
      </c>
      <c r="B54" s="260"/>
      <c r="C54" s="260"/>
      <c r="D54" s="260"/>
      <c r="E54" s="74">
        <f>+(619+265)/E58/E48</f>
        <v>6.9159464176663805</v>
      </c>
      <c r="F54" s="260"/>
      <c r="G54" s="260"/>
      <c r="H54" s="260"/>
      <c r="I54" s="260"/>
      <c r="J54" s="260"/>
      <c r="K54" s="260"/>
      <c r="L54" s="260"/>
      <c r="M54" s="260"/>
      <c r="N54" s="260"/>
      <c r="O54" s="260"/>
      <c r="P54" s="260"/>
      <c r="Q54" s="260"/>
      <c r="R54" s="260"/>
      <c r="S54" s="260"/>
      <c r="T54" s="260"/>
      <c r="U54" s="260"/>
      <c r="V54" s="260"/>
      <c r="W54" s="260"/>
      <c r="X54" s="217"/>
    </row>
    <row r="55" spans="1:24" s="9" customFormat="1">
      <c r="A55" s="285" t="s">
        <v>127</v>
      </c>
      <c r="B55" s="286"/>
      <c r="C55" s="286"/>
      <c r="D55" s="286"/>
      <c r="E55" s="286"/>
      <c r="F55" s="286"/>
      <c r="G55" s="286"/>
      <c r="H55" s="286"/>
      <c r="I55" s="286"/>
      <c r="J55" s="286"/>
      <c r="K55" s="286"/>
      <c r="L55" s="286"/>
      <c r="M55" s="286"/>
      <c r="N55" s="286"/>
      <c r="O55" s="286"/>
      <c r="P55" s="286"/>
      <c r="Q55" s="286"/>
      <c r="R55" s="286"/>
      <c r="S55" s="286"/>
      <c r="T55" s="286"/>
      <c r="U55" s="286"/>
      <c r="V55" s="286"/>
      <c r="W55" s="286"/>
      <c r="X55" s="217"/>
    </row>
    <row r="56" spans="1:24" s="9" customFormat="1">
      <c r="A56" s="285" t="s">
        <v>199</v>
      </c>
      <c r="B56" s="286"/>
      <c r="C56" s="286"/>
      <c r="D56" s="286"/>
      <c r="E56" s="286"/>
      <c r="F56" s="286"/>
      <c r="G56" s="286"/>
      <c r="H56" s="286"/>
      <c r="I56" s="286"/>
      <c r="J56" s="286"/>
      <c r="K56" s="286"/>
      <c r="L56" s="286"/>
      <c r="M56" s="286"/>
      <c r="N56" s="286"/>
      <c r="O56" s="286"/>
      <c r="P56" s="286"/>
      <c r="Q56" s="286"/>
      <c r="R56" s="286"/>
      <c r="S56" s="286"/>
      <c r="T56" s="286"/>
      <c r="U56" s="286"/>
      <c r="V56" s="286"/>
      <c r="W56" s="286"/>
      <c r="X56" s="217"/>
    </row>
    <row r="57" spans="1:24" s="9" customFormat="1" ht="22.5">
      <c r="A57" s="214"/>
      <c r="B57" s="186"/>
      <c r="C57" s="186"/>
      <c r="D57" s="186"/>
      <c r="E57" s="186" t="s">
        <v>200</v>
      </c>
      <c r="F57" s="186"/>
      <c r="G57" s="186"/>
      <c r="H57" s="186"/>
      <c r="I57" s="186"/>
      <c r="J57" s="186"/>
      <c r="K57" s="186"/>
      <c r="L57" s="186"/>
      <c r="M57" s="186"/>
      <c r="N57" s="186"/>
      <c r="O57" s="186"/>
      <c r="P57" s="186"/>
      <c r="Q57" s="186"/>
      <c r="R57" s="186"/>
      <c r="S57" s="186"/>
      <c r="T57" s="186"/>
      <c r="U57" s="186"/>
      <c r="V57" s="186"/>
      <c r="W57" s="186"/>
      <c r="X57" s="217"/>
    </row>
    <row r="58" spans="1:24">
      <c r="A58" s="262" t="s">
        <v>94</v>
      </c>
      <c r="B58" s="187"/>
      <c r="C58" s="187"/>
      <c r="D58" s="187"/>
      <c r="E58" s="268">
        <v>1.31</v>
      </c>
      <c r="F58" s="187"/>
      <c r="G58" s="187"/>
      <c r="H58" s="187"/>
      <c r="I58" s="187"/>
      <c r="J58" s="187"/>
      <c r="K58" s="187"/>
      <c r="L58" s="187"/>
      <c r="M58" s="187"/>
      <c r="N58" s="187"/>
      <c r="O58" s="187"/>
      <c r="P58" s="187"/>
      <c r="Q58" s="187"/>
      <c r="R58" s="187"/>
      <c r="S58" s="202"/>
      <c r="T58" s="187"/>
      <c r="U58" s="187"/>
      <c r="V58" s="187"/>
      <c r="W58" s="187"/>
      <c r="X58" s="220"/>
    </row>
    <row r="59" spans="1:24" s="9" customFormat="1">
      <c r="A59" s="261"/>
      <c r="B59" s="221"/>
      <c r="C59" s="221"/>
      <c r="D59" s="188" t="s">
        <v>184</v>
      </c>
      <c r="E59" s="188"/>
      <c r="F59" s="221"/>
      <c r="G59" s="221"/>
      <c r="H59" s="221"/>
      <c r="I59" s="200">
        <f>I44*$D$2/1000</f>
        <v>63.204000000000001</v>
      </c>
      <c r="J59" s="221"/>
      <c r="K59" s="221"/>
      <c r="L59" s="221"/>
      <c r="M59" s="221"/>
      <c r="N59" s="221"/>
      <c r="O59" s="221"/>
      <c r="P59" s="221"/>
      <c r="Q59" s="200">
        <f>Q44*$D$2/1000</f>
        <v>14.26</v>
      </c>
      <c r="R59" s="221"/>
      <c r="S59" s="200">
        <v>33.756999999999998</v>
      </c>
      <c r="T59" s="221"/>
      <c r="U59" s="200">
        <v>65.540000000000006</v>
      </c>
      <c r="V59" s="200">
        <f>V44*$D$2/1000</f>
        <v>39.192</v>
      </c>
      <c r="W59" s="221"/>
      <c r="X59" s="201">
        <f>X44*$D$2/1000</f>
        <v>0.998</v>
      </c>
    </row>
    <row r="60" spans="1:24" s="9" customFormat="1">
      <c r="A60" s="261"/>
      <c r="B60" s="221"/>
      <c r="C60" s="221"/>
      <c r="D60" s="189" t="s">
        <v>178</v>
      </c>
      <c r="E60" s="222">
        <f>53.669+39.287</f>
        <v>92.955999999999989</v>
      </c>
      <c r="F60" s="221"/>
      <c r="G60" s="221"/>
      <c r="H60" s="221"/>
      <c r="I60" s="200">
        <f>I45*$D$2/1000</f>
        <v>9.016</v>
      </c>
      <c r="J60" s="221"/>
      <c r="K60" s="221"/>
      <c r="L60" s="221"/>
      <c r="M60" s="221"/>
      <c r="N60" s="221"/>
      <c r="O60" s="221"/>
      <c r="P60" s="221"/>
      <c r="Q60" s="200">
        <f>Q45*$D$2/1000</f>
        <v>3.68</v>
      </c>
      <c r="R60" s="221"/>
      <c r="S60" s="200">
        <v>14.53</v>
      </c>
      <c r="T60" s="221"/>
      <c r="U60" s="200">
        <v>0</v>
      </c>
      <c r="V60" s="200">
        <f>V45*$D$2/1000</f>
        <v>9.8439999999999994</v>
      </c>
      <c r="W60" s="221"/>
      <c r="X60" s="201">
        <f>X45*$D$2/1000</f>
        <v>5.181</v>
      </c>
    </row>
    <row r="61" spans="1:24" s="9" customFormat="1">
      <c r="A61" s="261"/>
      <c r="B61" s="221"/>
      <c r="C61" s="221"/>
      <c r="D61" s="189" t="s">
        <v>179</v>
      </c>
      <c r="E61" s="222">
        <v>62.726999999999997</v>
      </c>
      <c r="F61" s="221"/>
      <c r="G61" s="221"/>
      <c r="H61" s="221"/>
      <c r="I61" s="200">
        <f>I46*$D$2/1000</f>
        <v>157.04400000000001</v>
      </c>
      <c r="J61" s="221"/>
      <c r="K61" s="221"/>
      <c r="L61" s="221"/>
      <c r="M61" s="221"/>
      <c r="N61" s="221"/>
      <c r="O61" s="221"/>
      <c r="P61" s="221"/>
      <c r="Q61" s="200">
        <f>Q46*$D$2/1000</f>
        <v>56.212000000000003</v>
      </c>
      <c r="R61" s="221"/>
      <c r="S61" s="200">
        <v>6.0960000000000001</v>
      </c>
      <c r="T61" s="221"/>
      <c r="U61" s="200">
        <v>73.7</v>
      </c>
      <c r="V61" s="200">
        <f>V46*$D$2/1000</f>
        <v>81.88</v>
      </c>
      <c r="W61" s="221"/>
      <c r="X61" s="201">
        <f>X46*$D$2/1000</f>
        <v>215</v>
      </c>
    </row>
    <row r="62" spans="1:24" s="9" customFormat="1">
      <c r="A62" s="261"/>
      <c r="B62" s="221"/>
      <c r="C62" s="221"/>
      <c r="D62" s="189" t="s">
        <v>180</v>
      </c>
      <c r="E62" s="222">
        <v>91.631</v>
      </c>
      <c r="F62" s="221"/>
      <c r="G62" s="221"/>
      <c r="H62" s="221"/>
      <c r="I62" s="200"/>
      <c r="J62" s="221"/>
      <c r="K62" s="221"/>
      <c r="L62" s="221"/>
      <c r="M62" s="221"/>
      <c r="N62" s="221"/>
      <c r="O62" s="221"/>
      <c r="P62" s="221"/>
      <c r="Q62" s="200"/>
      <c r="R62" s="221"/>
      <c r="S62" s="200">
        <v>5.1660000000000004</v>
      </c>
      <c r="T62" s="221"/>
      <c r="U62" s="201"/>
      <c r="V62" s="200"/>
      <c r="W62" s="221"/>
      <c r="X62" s="201"/>
    </row>
    <row r="63" spans="1:24" s="9" customFormat="1">
      <c r="A63" s="261"/>
      <c r="B63" s="221"/>
      <c r="C63" s="221"/>
      <c r="D63" s="189" t="s">
        <v>181</v>
      </c>
      <c r="E63" s="222">
        <v>112.542</v>
      </c>
      <c r="F63" s="221"/>
      <c r="G63" s="221"/>
      <c r="H63" s="221"/>
      <c r="I63" s="200">
        <f>I59*I9</f>
        <v>4379.8522800000001</v>
      </c>
      <c r="J63" s="221"/>
      <c r="K63" s="221"/>
      <c r="L63" s="221"/>
      <c r="M63" s="221"/>
      <c r="N63" s="221"/>
      <c r="O63" s="221"/>
      <c r="P63" s="221"/>
      <c r="Q63" s="200">
        <f>Q59*Q9</f>
        <v>987.07719999999995</v>
      </c>
      <c r="R63" s="221"/>
      <c r="S63" s="200">
        <v>9.4689999999999994</v>
      </c>
      <c r="T63" s="221"/>
      <c r="U63" s="200">
        <v>109</v>
      </c>
      <c r="V63" s="200">
        <f>V59*V9</f>
        <v>2456.16264</v>
      </c>
      <c r="W63" s="221"/>
      <c r="X63" s="201">
        <f>X59*X9</f>
        <v>61.077600000000004</v>
      </c>
    </row>
    <row r="64" spans="1:24" s="9" customFormat="1">
      <c r="A64" s="261"/>
      <c r="B64" s="221"/>
      <c r="C64" s="221"/>
      <c r="D64" s="189" t="s">
        <v>61</v>
      </c>
      <c r="E64" s="222">
        <v>394.38200000000001</v>
      </c>
      <c r="F64" s="221"/>
      <c r="G64" s="221"/>
      <c r="H64" s="221"/>
      <c r="I64" s="200">
        <f>I60*I11</f>
        <v>304.74079999999998</v>
      </c>
      <c r="J64" s="221"/>
      <c r="K64" s="221"/>
      <c r="L64" s="221"/>
      <c r="M64" s="221"/>
      <c r="N64" s="221"/>
      <c r="O64" s="221"/>
      <c r="P64" s="221"/>
      <c r="Q64" s="200">
        <f>Q60*Q11</f>
        <v>89.387200000000007</v>
      </c>
      <c r="R64" s="221"/>
      <c r="S64" s="200">
        <v>16.169</v>
      </c>
      <c r="T64" s="221"/>
      <c r="U64" s="200">
        <v>0</v>
      </c>
      <c r="V64" s="200">
        <f>V60*V11</f>
        <v>290.89019999999999</v>
      </c>
      <c r="W64" s="221"/>
      <c r="X64" s="201">
        <f>X60*X11</f>
        <v>111.90960000000001</v>
      </c>
    </row>
    <row r="65" spans="1:24" s="9" customFormat="1">
      <c r="A65" s="261"/>
      <c r="B65" s="221"/>
      <c r="C65" s="221"/>
      <c r="D65" s="189" t="s">
        <v>182</v>
      </c>
      <c r="E65" s="222">
        <v>28.702000000000002</v>
      </c>
      <c r="F65" s="221"/>
      <c r="G65" s="221"/>
      <c r="H65" s="221"/>
      <c r="I65" s="200">
        <f>I61*I13</f>
        <v>860.60112000000015</v>
      </c>
      <c r="J65" s="221"/>
      <c r="K65" s="221"/>
      <c r="L65" s="221"/>
      <c r="M65" s="221"/>
      <c r="N65" s="221"/>
      <c r="O65" s="221"/>
      <c r="P65" s="221"/>
      <c r="Q65" s="200">
        <f>Q61*Q13</f>
        <v>231.03132000000002</v>
      </c>
      <c r="R65" s="221"/>
      <c r="S65" s="200"/>
      <c r="T65" s="221"/>
      <c r="U65" s="200">
        <v>13</v>
      </c>
      <c r="V65" s="200">
        <f>V61*V13</f>
        <v>132.6456</v>
      </c>
      <c r="W65" s="221"/>
      <c r="X65" s="201">
        <f>X61*X13</f>
        <v>460.1</v>
      </c>
    </row>
    <row r="66" spans="1:24" s="9" customFormat="1">
      <c r="A66" s="261"/>
      <c r="B66" s="221"/>
      <c r="C66" s="221"/>
      <c r="D66" s="189" t="s">
        <v>183</v>
      </c>
      <c r="E66" s="222">
        <v>18.802</v>
      </c>
      <c r="F66" s="221"/>
      <c r="G66" s="221"/>
      <c r="H66" s="221"/>
      <c r="I66" s="200">
        <f>I65+I64+I63</f>
        <v>5545.1941999999999</v>
      </c>
      <c r="J66" s="221"/>
      <c r="K66" s="221"/>
      <c r="L66" s="221"/>
      <c r="M66" s="221"/>
      <c r="N66" s="221"/>
      <c r="O66" s="221"/>
      <c r="P66" s="221"/>
      <c r="Q66" s="200">
        <f>Q65+Q64+Q63</f>
        <v>1307.4957199999999</v>
      </c>
      <c r="R66" s="221"/>
      <c r="S66" s="200">
        <v>6.6630000000000003</v>
      </c>
      <c r="T66" s="221"/>
      <c r="U66" s="200">
        <f>+SUMPRODUCT(U59:U61,U63:U65)/SUM(U63:U65)</f>
        <v>66.409508196721319</v>
      </c>
      <c r="V66" s="200">
        <f>V65+V64+V63</f>
        <v>2879.6984400000001</v>
      </c>
      <c r="W66" s="221"/>
      <c r="X66" s="201">
        <f>X65+X64+X63</f>
        <v>633.08720000000005</v>
      </c>
    </row>
    <row r="67" spans="1:24" s="9" customFormat="1">
      <c r="A67" s="261"/>
      <c r="B67" s="221"/>
      <c r="C67" s="221"/>
      <c r="D67" s="188" t="s">
        <v>185</v>
      </c>
      <c r="E67" s="188"/>
      <c r="F67" s="221"/>
      <c r="G67" s="221"/>
      <c r="H67" s="221"/>
      <c r="I67" s="200">
        <f>I66/I48</f>
        <v>56.357035998129966</v>
      </c>
      <c r="J67" s="221"/>
      <c r="K67" s="221"/>
      <c r="L67" s="221"/>
      <c r="M67" s="221"/>
      <c r="N67" s="221"/>
      <c r="O67" s="221"/>
      <c r="P67" s="221"/>
      <c r="Q67" s="200">
        <f>Q66/Q48</f>
        <v>47.878416619876475</v>
      </c>
      <c r="R67" s="221"/>
      <c r="S67" s="200">
        <v>1.109</v>
      </c>
      <c r="T67" s="221"/>
      <c r="U67" s="201"/>
      <c r="V67" s="200">
        <f>V66/V48</f>
        <v>45.940905088062621</v>
      </c>
      <c r="W67" s="221"/>
      <c r="X67" s="201">
        <f>X66/X48</f>
        <v>15.069079714686957</v>
      </c>
    </row>
    <row r="68" spans="1:24" s="9" customFormat="1">
      <c r="A68" s="261"/>
      <c r="B68" s="221"/>
      <c r="C68" s="221"/>
      <c r="D68" s="189" t="s">
        <v>178</v>
      </c>
      <c r="E68" s="189">
        <v>62.81</v>
      </c>
      <c r="F68" s="221"/>
      <c r="G68" s="221"/>
      <c r="H68" s="221"/>
      <c r="I68" s="200"/>
      <c r="J68" s="221"/>
      <c r="K68" s="221"/>
      <c r="L68" s="221"/>
      <c r="M68" s="221"/>
      <c r="N68" s="221"/>
      <c r="O68" s="221"/>
      <c r="P68" s="221"/>
      <c r="Q68" s="200"/>
      <c r="R68" s="221"/>
      <c r="S68" s="200">
        <v>1.095</v>
      </c>
      <c r="T68" s="221"/>
      <c r="U68" s="200">
        <v>28.58</v>
      </c>
      <c r="V68" s="221"/>
      <c r="W68" s="221"/>
      <c r="X68" s="217"/>
    </row>
    <row r="69" spans="1:24" s="9" customFormat="1">
      <c r="A69" s="261"/>
      <c r="B69" s="221"/>
      <c r="C69" s="221"/>
      <c r="D69" s="189" t="s">
        <v>179</v>
      </c>
      <c r="E69" s="189">
        <v>65.09</v>
      </c>
      <c r="F69" s="221"/>
      <c r="G69" s="221"/>
      <c r="H69" s="221"/>
      <c r="I69" s="221"/>
      <c r="J69" s="221"/>
      <c r="K69" s="221"/>
      <c r="L69" s="221"/>
      <c r="M69" s="221"/>
      <c r="N69" s="221"/>
      <c r="O69" s="221"/>
      <c r="P69" s="221"/>
      <c r="Q69" s="221"/>
      <c r="R69" s="221"/>
      <c r="S69" s="200">
        <v>0.77400000000000002</v>
      </c>
      <c r="T69" s="221"/>
      <c r="U69" s="200">
        <v>0</v>
      </c>
      <c r="V69" s="221"/>
      <c r="W69" s="221"/>
      <c r="X69" s="217"/>
    </row>
    <row r="70" spans="1:24" s="9" customFormat="1">
      <c r="A70" s="261"/>
      <c r="B70" s="221"/>
      <c r="C70" s="221"/>
      <c r="D70" s="189" t="s">
        <v>180</v>
      </c>
      <c r="E70" s="189">
        <v>69.430000000000007</v>
      </c>
      <c r="F70" s="221"/>
      <c r="G70" s="221"/>
      <c r="H70" s="221"/>
      <c r="I70" s="221"/>
      <c r="J70" s="221"/>
      <c r="K70" s="221"/>
      <c r="L70" s="221"/>
      <c r="M70" s="221"/>
      <c r="N70" s="221"/>
      <c r="O70" s="221"/>
      <c r="P70" s="221"/>
      <c r="Q70" s="221"/>
      <c r="R70" s="221"/>
      <c r="S70" s="200"/>
      <c r="T70" s="221"/>
      <c r="U70" s="201"/>
      <c r="V70" s="221"/>
      <c r="W70" s="221"/>
      <c r="X70" s="217"/>
    </row>
    <row r="71" spans="1:24" s="9" customFormat="1">
      <c r="A71" s="261"/>
      <c r="B71" s="221"/>
      <c r="C71" s="221"/>
      <c r="D71" s="189" t="s">
        <v>181</v>
      </c>
      <c r="E71" s="189">
        <v>67.08</v>
      </c>
      <c r="F71" s="221"/>
      <c r="G71" s="221"/>
      <c r="H71" s="221"/>
      <c r="I71" s="221"/>
      <c r="J71" s="221"/>
      <c r="K71" s="221"/>
      <c r="L71" s="221"/>
      <c r="M71" s="221"/>
      <c r="N71" s="221"/>
      <c r="O71" s="221"/>
      <c r="P71" s="221"/>
      <c r="Q71" s="221"/>
      <c r="R71" s="221"/>
      <c r="S71" s="200">
        <v>32.718000000000004</v>
      </c>
      <c r="T71" s="221"/>
      <c r="U71" s="200">
        <v>63</v>
      </c>
      <c r="V71" s="221"/>
      <c r="W71" s="221"/>
      <c r="X71" s="217"/>
    </row>
    <row r="72" spans="1:24" s="9" customFormat="1">
      <c r="A72" s="261"/>
      <c r="B72" s="221"/>
      <c r="C72" s="221"/>
      <c r="D72" s="189" t="s">
        <v>61</v>
      </c>
      <c r="E72" s="189">
        <v>82.01</v>
      </c>
      <c r="F72" s="221"/>
      <c r="G72" s="221"/>
      <c r="H72" s="221"/>
      <c r="I72" s="221"/>
      <c r="J72" s="221"/>
      <c r="K72" s="221"/>
      <c r="L72" s="221"/>
      <c r="M72" s="221"/>
      <c r="N72" s="221"/>
      <c r="O72" s="221"/>
      <c r="P72" s="221"/>
      <c r="Q72" s="221"/>
      <c r="R72" s="221"/>
      <c r="S72" s="200">
        <v>14.798</v>
      </c>
      <c r="T72" s="221"/>
      <c r="U72" s="200">
        <v>0</v>
      </c>
      <c r="V72" s="221"/>
      <c r="W72" s="221"/>
      <c r="X72" s="217"/>
    </row>
    <row r="73" spans="1:24" s="9" customFormat="1">
      <c r="A73" s="261"/>
      <c r="B73" s="221"/>
      <c r="C73" s="221"/>
      <c r="D73" s="189" t="s">
        <v>182</v>
      </c>
      <c r="E73" s="189">
        <v>97.77</v>
      </c>
      <c r="F73" s="221"/>
      <c r="G73" s="221"/>
      <c r="H73" s="221"/>
      <c r="I73" s="221"/>
      <c r="J73" s="221"/>
      <c r="K73" s="221"/>
      <c r="L73" s="221"/>
      <c r="M73" s="221"/>
      <c r="N73" s="221"/>
      <c r="O73" s="221"/>
      <c r="P73" s="221"/>
      <c r="Q73" s="221"/>
      <c r="R73" s="221"/>
      <c r="S73" s="200">
        <v>272.06099999999998</v>
      </c>
      <c r="T73" s="221"/>
      <c r="U73" s="200">
        <f>+SUMPRODUCT(U68:U69,U71:U72)/SUM(U71:U72)</f>
        <v>28.58</v>
      </c>
      <c r="V73" s="221"/>
      <c r="W73" s="221"/>
      <c r="X73" s="217"/>
    </row>
    <row r="74" spans="1:24" s="9" customFormat="1">
      <c r="A74" s="261"/>
      <c r="B74" s="221"/>
      <c r="C74" s="221"/>
      <c r="D74" s="189" t="s">
        <v>183</v>
      </c>
      <c r="E74" s="189">
        <v>98.66</v>
      </c>
      <c r="F74" s="221"/>
      <c r="G74" s="221"/>
      <c r="H74" s="221"/>
      <c r="I74" s="221"/>
      <c r="J74" s="221"/>
      <c r="K74" s="221"/>
      <c r="L74" s="221"/>
      <c r="M74" s="221"/>
      <c r="N74" s="221"/>
      <c r="O74" s="221"/>
      <c r="P74" s="221"/>
      <c r="Q74" s="221"/>
      <c r="R74" s="221"/>
      <c r="S74" s="200">
        <v>106.18300000000001</v>
      </c>
      <c r="T74" s="221"/>
      <c r="U74" s="201"/>
      <c r="V74" s="221"/>
      <c r="W74" s="221"/>
      <c r="X74" s="217"/>
    </row>
    <row r="75" spans="1:24" s="9" customFormat="1">
      <c r="A75" s="261"/>
      <c r="B75" s="221"/>
      <c r="C75" s="221"/>
      <c r="D75" s="189" t="s">
        <v>70</v>
      </c>
      <c r="E75" s="223">
        <f>+SUMPRODUCT(E60:E66,E68:E74)/SUM(E60:E66)</f>
        <v>75.881258759052145</v>
      </c>
      <c r="F75" s="221"/>
      <c r="G75" s="221"/>
      <c r="H75" s="221"/>
      <c r="I75" s="221"/>
      <c r="J75" s="221"/>
      <c r="K75" s="221"/>
      <c r="L75" s="221"/>
      <c r="M75" s="221"/>
      <c r="N75" s="221"/>
      <c r="O75" s="221"/>
      <c r="P75" s="221"/>
      <c r="Q75" s="221"/>
      <c r="R75" s="221"/>
      <c r="S75" s="200">
        <v>3.03</v>
      </c>
      <c r="T75" s="221"/>
      <c r="U75" s="200">
        <v>2.31</v>
      </c>
      <c r="V75" s="221"/>
      <c r="W75" s="221"/>
      <c r="X75" s="217"/>
    </row>
    <row r="76" spans="1:24">
      <c r="A76" s="262"/>
      <c r="B76" s="187"/>
      <c r="C76" s="187"/>
      <c r="D76" s="187"/>
      <c r="E76" s="187"/>
      <c r="F76" s="187"/>
      <c r="G76" s="187"/>
      <c r="H76" s="187"/>
      <c r="I76" s="187"/>
      <c r="J76" s="187"/>
      <c r="K76" s="187"/>
      <c r="L76" s="187"/>
      <c r="M76" s="187"/>
      <c r="N76" s="187"/>
      <c r="O76" s="187"/>
      <c r="P76" s="187"/>
      <c r="Q76" s="187"/>
      <c r="R76" s="187"/>
      <c r="S76" s="202"/>
      <c r="T76" s="187"/>
      <c r="U76" s="200">
        <v>0</v>
      </c>
      <c r="V76" s="187"/>
      <c r="W76" s="187"/>
      <c r="X76" s="220"/>
    </row>
    <row r="77" spans="1:24">
      <c r="A77" s="262"/>
      <c r="B77" s="187"/>
      <c r="C77" s="187"/>
      <c r="D77" s="187"/>
      <c r="E77" s="187"/>
      <c r="F77" s="187"/>
      <c r="G77" s="187"/>
      <c r="H77" s="187"/>
      <c r="I77" s="187"/>
      <c r="J77" s="187"/>
      <c r="K77" s="187"/>
      <c r="L77" s="187"/>
      <c r="M77" s="187"/>
      <c r="N77" s="187"/>
      <c r="O77" s="187"/>
      <c r="P77" s="187"/>
      <c r="Q77" s="187"/>
      <c r="R77" s="187"/>
      <c r="S77" s="202">
        <v>72.08</v>
      </c>
      <c r="T77" s="187"/>
      <c r="U77" s="200">
        <v>5.49</v>
      </c>
      <c r="V77" s="187"/>
      <c r="W77" s="187"/>
      <c r="X77" s="220"/>
    </row>
    <row r="78" spans="1:24">
      <c r="A78" s="262"/>
      <c r="B78" s="187"/>
      <c r="C78" s="187"/>
      <c r="D78" s="187"/>
      <c r="E78" s="187"/>
      <c r="F78" s="187"/>
      <c r="G78" s="187"/>
      <c r="H78" s="187"/>
      <c r="I78" s="187"/>
      <c r="J78" s="187"/>
      <c r="K78" s="187"/>
      <c r="L78" s="187"/>
      <c r="M78" s="187"/>
      <c r="N78" s="187"/>
      <c r="O78" s="187"/>
      <c r="P78" s="187"/>
      <c r="Q78" s="187"/>
      <c r="R78" s="187"/>
      <c r="S78" s="202">
        <v>70.459999999999994</v>
      </c>
      <c r="T78" s="187"/>
      <c r="U78" s="201">
        <v>0.27</v>
      </c>
      <c r="V78" s="187"/>
      <c r="W78" s="187"/>
      <c r="X78" s="220"/>
    </row>
    <row r="79" spans="1:24">
      <c r="A79" s="262"/>
      <c r="B79" s="187"/>
      <c r="C79" s="187"/>
      <c r="D79" s="187"/>
      <c r="E79" s="187"/>
      <c r="F79" s="187"/>
      <c r="G79" s="187"/>
      <c r="H79" s="187"/>
      <c r="I79" s="187"/>
      <c r="J79" s="187"/>
      <c r="K79" s="187"/>
      <c r="L79" s="187"/>
      <c r="M79" s="187"/>
      <c r="N79" s="187"/>
      <c r="O79" s="187"/>
      <c r="P79" s="187"/>
      <c r="Q79" s="187"/>
      <c r="R79" s="187"/>
      <c r="S79" s="202">
        <v>58.52</v>
      </c>
      <c r="T79" s="187"/>
      <c r="U79" s="202"/>
      <c r="V79" s="187"/>
      <c r="W79" s="187"/>
      <c r="X79" s="220"/>
    </row>
    <row r="80" spans="1:24">
      <c r="A80" s="262"/>
      <c r="B80" s="187"/>
      <c r="C80" s="187"/>
      <c r="D80" s="187"/>
      <c r="E80" s="187"/>
      <c r="F80" s="187"/>
      <c r="G80" s="187"/>
      <c r="H80" s="187"/>
      <c r="I80" s="187"/>
      <c r="J80" s="187"/>
      <c r="K80" s="187"/>
      <c r="L80" s="187"/>
      <c r="M80" s="187"/>
      <c r="N80" s="187"/>
      <c r="O80" s="187"/>
      <c r="P80" s="187"/>
      <c r="Q80" s="187"/>
      <c r="R80" s="187"/>
      <c r="S80" s="202">
        <v>73.92</v>
      </c>
      <c r="T80" s="187"/>
      <c r="U80" s="200">
        <v>464</v>
      </c>
      <c r="V80" s="187"/>
      <c r="W80" s="187"/>
      <c r="X80" s="220"/>
    </row>
    <row r="81" spans="1:24">
      <c r="A81" s="262"/>
      <c r="B81" s="187"/>
      <c r="C81" s="187"/>
      <c r="D81" s="187"/>
      <c r="E81" s="187"/>
      <c r="F81" s="187"/>
      <c r="G81" s="187"/>
      <c r="H81" s="187"/>
      <c r="I81" s="187"/>
      <c r="J81" s="187"/>
      <c r="K81" s="187"/>
      <c r="L81" s="187"/>
      <c r="M81" s="187"/>
      <c r="N81" s="187"/>
      <c r="O81" s="187"/>
      <c r="P81" s="187"/>
      <c r="Q81" s="187"/>
      <c r="R81" s="187"/>
      <c r="S81" s="202">
        <v>63.82</v>
      </c>
      <c r="T81" s="187"/>
      <c r="U81" s="202">
        <v>0</v>
      </c>
      <c r="V81" s="187"/>
      <c r="W81" s="187"/>
      <c r="X81" s="220"/>
    </row>
    <row r="82" spans="1:24">
      <c r="A82" s="262"/>
      <c r="B82" s="187"/>
      <c r="C82" s="187"/>
      <c r="D82" s="187"/>
      <c r="E82" s="187"/>
      <c r="F82" s="187"/>
      <c r="G82" s="187"/>
      <c r="H82" s="187"/>
      <c r="I82" s="187"/>
      <c r="J82" s="187"/>
      <c r="K82" s="187"/>
      <c r="L82" s="187"/>
      <c r="M82" s="187"/>
      <c r="N82" s="187"/>
      <c r="O82" s="187"/>
      <c r="P82" s="187"/>
      <c r="Q82" s="187"/>
      <c r="R82" s="187"/>
      <c r="S82" s="202">
        <v>68.67</v>
      </c>
      <c r="T82" s="187"/>
      <c r="U82" s="202">
        <v>241</v>
      </c>
      <c r="V82" s="187"/>
      <c r="W82" s="187"/>
      <c r="X82" s="220"/>
    </row>
    <row r="83" spans="1:24">
      <c r="A83" s="262"/>
      <c r="B83" s="187"/>
      <c r="C83" s="187"/>
      <c r="D83" s="187"/>
      <c r="E83" s="187"/>
      <c r="F83" s="187"/>
      <c r="G83" s="187"/>
      <c r="H83" s="187"/>
      <c r="I83" s="187"/>
      <c r="J83" s="187"/>
      <c r="K83" s="187"/>
      <c r="L83" s="187"/>
      <c r="M83" s="187"/>
      <c r="N83" s="187"/>
      <c r="O83" s="187"/>
      <c r="P83" s="187"/>
      <c r="Q83" s="187"/>
      <c r="R83" s="187"/>
      <c r="S83" s="202">
        <f>+SUMPRODUCT(S59:S64,S77:S82)/SUM(S59:S64)</f>
        <v>69.379527510066097</v>
      </c>
      <c r="T83" s="187"/>
      <c r="U83" s="202">
        <v>217</v>
      </c>
      <c r="V83" s="187"/>
      <c r="W83" s="187"/>
      <c r="X83" s="220"/>
    </row>
    <row r="84" spans="1:24">
      <c r="A84" s="262"/>
      <c r="B84" s="187"/>
      <c r="C84" s="187"/>
      <c r="D84" s="187"/>
      <c r="E84" s="187"/>
      <c r="F84" s="187"/>
      <c r="G84" s="187"/>
      <c r="H84" s="187"/>
      <c r="I84" s="187"/>
      <c r="J84" s="187"/>
      <c r="K84" s="187"/>
      <c r="L84" s="187"/>
      <c r="M84" s="187"/>
      <c r="N84" s="187"/>
      <c r="O84" s="187"/>
      <c r="P84" s="187"/>
      <c r="Q84" s="187"/>
      <c r="R84" s="187"/>
      <c r="S84" s="202">
        <v>27.65</v>
      </c>
      <c r="T84" s="187"/>
      <c r="U84" s="202">
        <f>+SUMPRODUCT(U75:U78,U80:U83)/SUM(U80:U83)</f>
        <v>2.6610845986984821</v>
      </c>
      <c r="V84" s="187"/>
      <c r="W84" s="187"/>
      <c r="X84" s="220"/>
    </row>
    <row r="85" spans="1:24">
      <c r="A85" s="262"/>
      <c r="B85" s="187"/>
      <c r="C85" s="187"/>
      <c r="D85" s="187"/>
      <c r="E85" s="187"/>
      <c r="F85" s="187"/>
      <c r="G85" s="187"/>
      <c r="H85" s="187"/>
      <c r="I85" s="187"/>
      <c r="J85" s="187"/>
      <c r="K85" s="187"/>
      <c r="L85" s="187"/>
      <c r="M85" s="187"/>
      <c r="N85" s="187"/>
      <c r="O85" s="187"/>
      <c r="P85" s="187"/>
      <c r="Q85" s="187"/>
      <c r="R85" s="187"/>
      <c r="S85" s="202">
        <v>34.49</v>
      </c>
      <c r="T85" s="187"/>
      <c r="U85" s="202"/>
      <c r="V85" s="187"/>
      <c r="W85" s="187"/>
      <c r="X85" s="220"/>
    </row>
    <row r="86" spans="1:24">
      <c r="A86" s="262"/>
      <c r="B86" s="187"/>
      <c r="C86" s="187"/>
      <c r="D86" s="187"/>
      <c r="E86" s="187"/>
      <c r="F86" s="187"/>
      <c r="G86" s="187"/>
      <c r="H86" s="187"/>
      <c r="I86" s="187"/>
      <c r="J86" s="187"/>
      <c r="K86" s="187"/>
      <c r="L86" s="187"/>
      <c r="M86" s="187"/>
      <c r="N86" s="187"/>
      <c r="O86" s="187"/>
      <c r="P86" s="187"/>
      <c r="Q86" s="187"/>
      <c r="R86" s="187"/>
      <c r="S86" s="202">
        <v>41.06</v>
      </c>
      <c r="T86" s="187"/>
      <c r="U86" s="187"/>
      <c r="V86" s="187"/>
      <c r="W86" s="187"/>
      <c r="X86" s="220"/>
    </row>
    <row r="87" spans="1:24">
      <c r="A87" s="262"/>
      <c r="B87" s="187"/>
      <c r="C87" s="187"/>
      <c r="D87" s="187"/>
      <c r="E87" s="187"/>
      <c r="F87" s="187"/>
      <c r="G87" s="187"/>
      <c r="H87" s="187"/>
      <c r="I87" s="187"/>
      <c r="J87" s="187"/>
      <c r="K87" s="187"/>
      <c r="L87" s="187"/>
      <c r="M87" s="187"/>
      <c r="N87" s="187"/>
      <c r="O87" s="187"/>
      <c r="P87" s="187"/>
      <c r="Q87" s="187"/>
      <c r="R87" s="187"/>
      <c r="S87" s="202">
        <v>69.64</v>
      </c>
      <c r="T87" s="187"/>
      <c r="U87" s="187"/>
      <c r="V87" s="187"/>
      <c r="W87" s="187"/>
      <c r="X87" s="220"/>
    </row>
    <row r="88" spans="1:24">
      <c r="A88" s="262"/>
      <c r="B88" s="187"/>
      <c r="C88" s="187"/>
      <c r="D88" s="187"/>
      <c r="E88" s="187"/>
      <c r="F88" s="187"/>
      <c r="G88" s="187"/>
      <c r="H88" s="187"/>
      <c r="I88" s="187"/>
      <c r="J88" s="187"/>
      <c r="K88" s="187"/>
      <c r="L88" s="187"/>
      <c r="M88" s="187"/>
      <c r="N88" s="187"/>
      <c r="O88" s="187"/>
      <c r="P88" s="187"/>
      <c r="Q88" s="187"/>
      <c r="R88" s="187"/>
      <c r="S88" s="202">
        <f>+SUMPRODUCT(S66:S69,S84:S87)/SUM(S66:S69)</f>
        <v>33.330922103516222</v>
      </c>
      <c r="T88" s="187"/>
      <c r="U88" s="187"/>
      <c r="V88" s="187"/>
      <c r="W88" s="187"/>
      <c r="X88" s="220"/>
    </row>
    <row r="89" spans="1:24">
      <c r="A89" s="262"/>
      <c r="B89" s="187"/>
      <c r="C89" s="187"/>
      <c r="D89" s="187"/>
      <c r="E89" s="187"/>
      <c r="F89" s="187"/>
      <c r="G89" s="187"/>
      <c r="H89" s="187"/>
      <c r="I89" s="187"/>
      <c r="J89" s="187"/>
      <c r="K89" s="187"/>
      <c r="L89" s="187"/>
      <c r="M89" s="187"/>
      <c r="N89" s="187"/>
      <c r="O89" s="187"/>
      <c r="P89" s="187"/>
      <c r="Q89" s="187"/>
      <c r="R89" s="187"/>
      <c r="S89" s="202">
        <v>2.27</v>
      </c>
      <c r="T89" s="187"/>
      <c r="U89" s="187"/>
      <c r="V89" s="187"/>
      <c r="W89" s="187"/>
      <c r="X89" s="220"/>
    </row>
    <row r="90" spans="1:24">
      <c r="A90" s="262"/>
      <c r="B90" s="187"/>
      <c r="C90" s="187"/>
      <c r="D90" s="187"/>
      <c r="E90" s="187"/>
      <c r="F90" s="187"/>
      <c r="G90" s="187"/>
      <c r="H90" s="187"/>
      <c r="I90" s="187"/>
      <c r="J90" s="187"/>
      <c r="K90" s="187"/>
      <c r="L90" s="187"/>
      <c r="M90" s="187"/>
      <c r="N90" s="187"/>
      <c r="O90" s="187"/>
      <c r="P90" s="187"/>
      <c r="Q90" s="187"/>
      <c r="R90" s="187"/>
      <c r="S90" s="202">
        <v>2.48</v>
      </c>
      <c r="T90" s="187"/>
      <c r="U90" s="187"/>
      <c r="V90" s="187"/>
      <c r="W90" s="187"/>
      <c r="X90" s="220"/>
    </row>
    <row r="91" spans="1:24">
      <c r="A91" s="262"/>
      <c r="B91" s="187"/>
      <c r="C91" s="187"/>
      <c r="D91" s="187"/>
      <c r="E91" s="187"/>
      <c r="F91" s="187"/>
      <c r="G91" s="187"/>
      <c r="H91" s="187"/>
      <c r="I91" s="187"/>
      <c r="J91" s="187"/>
      <c r="K91" s="187"/>
      <c r="L91" s="187"/>
      <c r="M91" s="187"/>
      <c r="N91" s="187"/>
      <c r="O91" s="187"/>
      <c r="P91" s="187"/>
      <c r="Q91" s="187"/>
      <c r="R91" s="187"/>
      <c r="S91" s="202">
        <v>1.41</v>
      </c>
      <c r="T91" s="187"/>
      <c r="U91" s="187"/>
      <c r="V91" s="187"/>
      <c r="W91" s="187"/>
      <c r="X91" s="220"/>
    </row>
    <row r="92" spans="1:24">
      <c r="A92" s="262"/>
      <c r="B92" s="187"/>
      <c r="C92" s="187"/>
      <c r="D92" s="187"/>
      <c r="E92" s="187"/>
      <c r="F92" s="187"/>
      <c r="G92" s="187"/>
      <c r="H92" s="187"/>
      <c r="I92" s="187"/>
      <c r="J92" s="187"/>
      <c r="K92" s="187"/>
      <c r="L92" s="187"/>
      <c r="M92" s="187"/>
      <c r="N92" s="187"/>
      <c r="O92" s="187"/>
      <c r="P92" s="187"/>
      <c r="Q92" s="187"/>
      <c r="R92" s="187"/>
      <c r="S92" s="202">
        <v>3.91</v>
      </c>
      <c r="T92" s="187"/>
      <c r="U92" s="187"/>
      <c r="V92" s="187"/>
      <c r="W92" s="187"/>
      <c r="X92" s="220"/>
    </row>
    <row r="93" spans="1:24">
      <c r="A93" s="262"/>
      <c r="B93" s="187"/>
      <c r="C93" s="187"/>
      <c r="D93" s="187"/>
      <c r="E93" s="187"/>
      <c r="F93" s="187"/>
      <c r="G93" s="187"/>
      <c r="H93" s="187"/>
      <c r="I93" s="187"/>
      <c r="J93" s="187"/>
      <c r="K93" s="187"/>
      <c r="L93" s="187"/>
      <c r="M93" s="187"/>
      <c r="N93" s="187"/>
      <c r="O93" s="187"/>
      <c r="P93" s="187"/>
      <c r="Q93" s="187"/>
      <c r="R93" s="187"/>
      <c r="S93" s="202">
        <v>0.24</v>
      </c>
      <c r="T93" s="187"/>
      <c r="U93" s="187"/>
      <c r="V93" s="187"/>
      <c r="W93" s="187"/>
      <c r="X93" s="220"/>
    </row>
    <row r="94" spans="1:24">
      <c r="A94" s="262"/>
      <c r="B94" s="187"/>
      <c r="C94" s="187"/>
      <c r="D94" s="187"/>
      <c r="E94" s="187"/>
      <c r="F94" s="187"/>
      <c r="G94" s="187"/>
      <c r="H94" s="187"/>
      <c r="I94" s="187"/>
      <c r="J94" s="187"/>
      <c r="K94" s="187"/>
      <c r="L94" s="187"/>
      <c r="M94" s="187"/>
      <c r="N94" s="187"/>
      <c r="O94" s="187"/>
      <c r="P94" s="187"/>
      <c r="Q94" s="187"/>
      <c r="R94" s="187"/>
      <c r="S94" s="202">
        <f>+SUMPRODUCT(S71:S75,S89:S93)/SUM(S71:S75)</f>
        <v>2.1233649105622803</v>
      </c>
      <c r="T94" s="187"/>
      <c r="U94" s="187"/>
      <c r="V94" s="187"/>
      <c r="W94" s="187"/>
      <c r="X94" s="220"/>
    </row>
    <row r="95" spans="1:24">
      <c r="A95" s="264"/>
      <c r="B95" s="190"/>
      <c r="C95" s="190"/>
      <c r="E95" s="190"/>
      <c r="F95" s="190"/>
      <c r="G95" s="190"/>
      <c r="H95" s="190"/>
      <c r="I95" s="190"/>
      <c r="J95" s="190"/>
      <c r="K95" s="190"/>
      <c r="L95" s="190"/>
      <c r="M95" s="190"/>
      <c r="N95" s="190"/>
      <c r="O95" s="190"/>
      <c r="P95" s="190"/>
      <c r="Q95" s="190"/>
      <c r="R95" s="190"/>
      <c r="S95" s="190"/>
      <c r="T95" s="190"/>
      <c r="U95" s="190"/>
      <c r="V95" s="190"/>
      <c r="W95" s="190"/>
      <c r="X95" s="190"/>
    </row>
    <row r="96" spans="1:24" ht="15" thickBot="1">
      <c r="A96" s="264"/>
      <c r="B96" s="190"/>
      <c r="C96" s="190"/>
      <c r="E96" s="190"/>
      <c r="F96" s="190"/>
      <c r="G96" s="190"/>
      <c r="H96" s="190"/>
      <c r="I96" s="190"/>
      <c r="J96" s="190"/>
      <c r="K96" s="190"/>
      <c r="L96" s="190"/>
      <c r="M96" s="190"/>
      <c r="N96" s="190"/>
      <c r="O96" s="190"/>
      <c r="P96" s="190"/>
      <c r="Q96" s="190"/>
      <c r="R96" s="190"/>
      <c r="S96" s="190"/>
      <c r="T96" s="190"/>
      <c r="U96" s="190"/>
      <c r="V96" s="190"/>
      <c r="W96" s="190"/>
      <c r="X96" s="190"/>
    </row>
    <row r="97" spans="1:24">
      <c r="A97" s="265" t="s">
        <v>109</v>
      </c>
      <c r="B97" s="191"/>
      <c r="C97" s="191"/>
      <c r="D97" s="191"/>
      <c r="E97" s="191"/>
      <c r="F97" s="191"/>
      <c r="G97" s="191"/>
      <c r="H97" s="191"/>
      <c r="I97" s="191"/>
      <c r="J97" s="191"/>
      <c r="K97" s="191"/>
      <c r="L97" s="191"/>
      <c r="M97" s="191"/>
      <c r="N97" s="191"/>
      <c r="O97" s="191"/>
      <c r="P97" s="191"/>
      <c r="Q97" s="191"/>
      <c r="R97" s="191"/>
      <c r="S97" s="225"/>
      <c r="T97" s="191"/>
      <c r="U97" s="225"/>
      <c r="V97" s="191"/>
      <c r="W97" s="191"/>
      <c r="X97" s="226"/>
    </row>
    <row r="98" spans="1:24">
      <c r="A98" s="266"/>
      <c r="B98" s="192" t="str">
        <f>B7</f>
        <v>APC</v>
      </c>
      <c r="C98" s="192" t="str">
        <f>C7</f>
        <v>AR</v>
      </c>
      <c r="D98" s="192" t="str">
        <f t="shared" ref="D98:X98" si="27">D7</f>
        <v>APA</v>
      </c>
      <c r="E98" s="192" t="str">
        <f t="shared" si="27"/>
        <v>CNQCN</v>
      </c>
      <c r="F98" s="192" t="str">
        <f t="shared" si="27"/>
        <v>CVECN</v>
      </c>
      <c r="G98" s="192" t="str">
        <f t="shared" si="27"/>
        <v>CHK</v>
      </c>
      <c r="H98" s="192" t="str">
        <f t="shared" si="27"/>
        <v>XEC</v>
      </c>
      <c r="I98" s="192" t="str">
        <f t="shared" si="27"/>
        <v>COP</v>
      </c>
      <c r="J98" s="192" t="str">
        <f t="shared" si="27"/>
        <v>CLR</v>
      </c>
      <c r="K98" s="192" t="str">
        <f t="shared" si="27"/>
        <v>CXO</v>
      </c>
      <c r="L98" s="192" t="str">
        <f t="shared" si="27"/>
        <v>DVN</v>
      </c>
      <c r="M98" s="192" t="str">
        <f t="shared" ref="M98" si="28">M7</f>
        <v>FANG</v>
      </c>
      <c r="N98" s="192" t="str">
        <f t="shared" si="27"/>
        <v>ECACN</v>
      </c>
      <c r="O98" s="192" t="str">
        <f t="shared" si="27"/>
        <v>EOG</v>
      </c>
      <c r="P98" s="192" t="str">
        <f t="shared" si="27"/>
        <v>EQT</v>
      </c>
      <c r="Q98" s="192" t="str">
        <f t="shared" si="27"/>
        <v>HES</v>
      </c>
      <c r="R98" s="192" t="str">
        <f t="shared" si="27"/>
        <v>MRO</v>
      </c>
      <c r="S98" s="192" t="str">
        <f t="shared" si="27"/>
        <v>MUR</v>
      </c>
      <c r="T98" s="192" t="str">
        <f t="shared" si="27"/>
        <v>NFX</v>
      </c>
      <c r="U98" s="192" t="str">
        <f t="shared" si="27"/>
        <v>NBL</v>
      </c>
      <c r="V98" s="192" t="str">
        <f t="shared" si="27"/>
        <v>OXY</v>
      </c>
      <c r="W98" s="192" t="str">
        <f t="shared" si="27"/>
        <v>PXD</v>
      </c>
      <c r="X98" s="227" t="str">
        <f t="shared" si="27"/>
        <v>SWN</v>
      </c>
    </row>
    <row r="99" spans="1:24">
      <c r="A99" s="266" t="s">
        <v>110</v>
      </c>
      <c r="B99" s="192">
        <f t="shared" ref="B99:X99" si="29">RANK(B35,$B$35:$X$35)</f>
        <v>6</v>
      </c>
      <c r="C99" s="192">
        <f t="shared" si="29"/>
        <v>22</v>
      </c>
      <c r="D99" s="192">
        <f t="shared" si="29"/>
        <v>13</v>
      </c>
      <c r="E99" s="192">
        <f t="shared" si="29"/>
        <v>11</v>
      </c>
      <c r="F99" s="192">
        <f t="shared" si="29"/>
        <v>14</v>
      </c>
      <c r="G99" s="192">
        <f t="shared" si="29"/>
        <v>19</v>
      </c>
      <c r="H99" s="192">
        <f t="shared" si="29"/>
        <v>12</v>
      </c>
      <c r="I99" s="192">
        <f t="shared" si="29"/>
        <v>2</v>
      </c>
      <c r="J99" s="192">
        <f t="shared" si="29"/>
        <v>5</v>
      </c>
      <c r="K99" s="192">
        <f t="shared" si="29"/>
        <v>7</v>
      </c>
      <c r="L99" s="192">
        <f t="shared" si="29"/>
        <v>17</v>
      </c>
      <c r="M99" s="192">
        <f t="shared" si="29"/>
        <v>1</v>
      </c>
      <c r="N99" s="192">
        <f t="shared" si="29"/>
        <v>16</v>
      </c>
      <c r="O99" s="192">
        <f t="shared" si="29"/>
        <v>3</v>
      </c>
      <c r="P99" s="192">
        <f t="shared" si="29"/>
        <v>23</v>
      </c>
      <c r="Q99" s="192">
        <f t="shared" si="29"/>
        <v>18</v>
      </c>
      <c r="R99" s="192">
        <f t="shared" si="29"/>
        <v>15</v>
      </c>
      <c r="S99" s="192">
        <f t="shared" si="29"/>
        <v>9</v>
      </c>
      <c r="T99" s="192">
        <f t="shared" si="29"/>
        <v>10</v>
      </c>
      <c r="U99" s="192">
        <f t="shared" si="29"/>
        <v>20</v>
      </c>
      <c r="V99" s="192">
        <f t="shared" si="29"/>
        <v>8</v>
      </c>
      <c r="W99" s="192">
        <f t="shared" si="29"/>
        <v>4</v>
      </c>
      <c r="X99" s="227">
        <f t="shared" si="29"/>
        <v>21</v>
      </c>
    </row>
    <row r="100" spans="1:24">
      <c r="A100" s="266"/>
      <c r="B100" s="192" t="str">
        <f>B98</f>
        <v>APC</v>
      </c>
      <c r="C100" s="192" t="str">
        <f>C98</f>
        <v>AR</v>
      </c>
      <c r="D100" s="192" t="str">
        <f t="shared" ref="D100:X100" si="30">D98</f>
        <v>APA</v>
      </c>
      <c r="E100" s="192" t="str">
        <f t="shared" si="30"/>
        <v>CNQCN</v>
      </c>
      <c r="F100" s="192" t="str">
        <f t="shared" si="30"/>
        <v>CVECN</v>
      </c>
      <c r="G100" s="192" t="str">
        <f t="shared" si="30"/>
        <v>CHK</v>
      </c>
      <c r="H100" s="192" t="str">
        <f t="shared" si="30"/>
        <v>XEC</v>
      </c>
      <c r="I100" s="192" t="str">
        <f t="shared" si="30"/>
        <v>COP</v>
      </c>
      <c r="J100" s="192" t="str">
        <f t="shared" si="30"/>
        <v>CLR</v>
      </c>
      <c r="K100" s="192" t="str">
        <f t="shared" si="30"/>
        <v>CXO</v>
      </c>
      <c r="L100" s="192" t="str">
        <f t="shared" si="30"/>
        <v>DVN</v>
      </c>
      <c r="M100" s="192" t="str">
        <f t="shared" ref="M100" si="31">M98</f>
        <v>FANG</v>
      </c>
      <c r="N100" s="192" t="str">
        <f t="shared" si="30"/>
        <v>ECACN</v>
      </c>
      <c r="O100" s="192" t="str">
        <f t="shared" si="30"/>
        <v>EOG</v>
      </c>
      <c r="P100" s="192" t="str">
        <f t="shared" si="30"/>
        <v>EQT</v>
      </c>
      <c r="Q100" s="192" t="str">
        <f t="shared" si="30"/>
        <v>HES</v>
      </c>
      <c r="R100" s="192" t="str">
        <f t="shared" si="30"/>
        <v>MRO</v>
      </c>
      <c r="S100" s="192" t="str">
        <f t="shared" si="30"/>
        <v>MUR</v>
      </c>
      <c r="T100" s="192" t="str">
        <f t="shared" si="30"/>
        <v>NFX</v>
      </c>
      <c r="U100" s="192" t="str">
        <f t="shared" si="30"/>
        <v>NBL</v>
      </c>
      <c r="V100" s="192" t="str">
        <f t="shared" si="30"/>
        <v>OXY</v>
      </c>
      <c r="W100" s="192" t="str">
        <f t="shared" si="30"/>
        <v>PXD</v>
      </c>
      <c r="X100" s="227" t="str">
        <f t="shared" si="30"/>
        <v>SWN</v>
      </c>
    </row>
    <row r="101" spans="1:24">
      <c r="A101" s="266" t="s">
        <v>107</v>
      </c>
      <c r="B101" s="192">
        <f t="shared" ref="B101:X101" si="32">RANK(B37,$B$37:$X$37)</f>
        <v>12</v>
      </c>
      <c r="C101" s="192">
        <f t="shared" si="32"/>
        <v>21</v>
      </c>
      <c r="D101" s="192">
        <f t="shared" si="32"/>
        <v>16</v>
      </c>
      <c r="E101" s="192">
        <f t="shared" si="32"/>
        <v>9</v>
      </c>
      <c r="F101" s="192">
        <f t="shared" si="32"/>
        <v>18</v>
      </c>
      <c r="G101" s="192">
        <f t="shared" si="32"/>
        <v>23</v>
      </c>
      <c r="H101" s="192">
        <f t="shared" si="32"/>
        <v>4</v>
      </c>
      <c r="I101" s="192">
        <f t="shared" si="32"/>
        <v>5</v>
      </c>
      <c r="J101" s="192">
        <f t="shared" si="32"/>
        <v>10</v>
      </c>
      <c r="K101" s="192">
        <f t="shared" si="32"/>
        <v>7</v>
      </c>
      <c r="L101" s="192">
        <f t="shared" si="32"/>
        <v>15</v>
      </c>
      <c r="M101" s="192">
        <f t="shared" si="32"/>
        <v>3</v>
      </c>
      <c r="N101" s="192">
        <f t="shared" si="32"/>
        <v>20</v>
      </c>
      <c r="O101" s="192">
        <f t="shared" si="32"/>
        <v>1</v>
      </c>
      <c r="P101" s="192">
        <f t="shared" si="32"/>
        <v>14</v>
      </c>
      <c r="Q101" s="192">
        <f t="shared" si="32"/>
        <v>19</v>
      </c>
      <c r="R101" s="192">
        <f t="shared" si="32"/>
        <v>8</v>
      </c>
      <c r="S101" s="192">
        <f t="shared" si="32"/>
        <v>13</v>
      </c>
      <c r="T101" s="192">
        <f t="shared" si="32"/>
        <v>11</v>
      </c>
      <c r="U101" s="192">
        <f t="shared" si="32"/>
        <v>17</v>
      </c>
      <c r="V101" s="192">
        <f t="shared" si="32"/>
        <v>6</v>
      </c>
      <c r="W101" s="192">
        <f t="shared" si="32"/>
        <v>2</v>
      </c>
      <c r="X101" s="227">
        <f t="shared" si="32"/>
        <v>22</v>
      </c>
    </row>
    <row r="102" spans="1:24">
      <c r="A102" s="266"/>
      <c r="B102" s="192" t="str">
        <f>B100</f>
        <v>APC</v>
      </c>
      <c r="C102" s="192" t="str">
        <f>C100</f>
        <v>AR</v>
      </c>
      <c r="D102" s="192" t="str">
        <f t="shared" ref="D102:X102" si="33">D100</f>
        <v>APA</v>
      </c>
      <c r="E102" s="192" t="str">
        <f t="shared" si="33"/>
        <v>CNQCN</v>
      </c>
      <c r="F102" s="192" t="str">
        <f t="shared" si="33"/>
        <v>CVECN</v>
      </c>
      <c r="G102" s="192" t="str">
        <f t="shared" si="33"/>
        <v>CHK</v>
      </c>
      <c r="H102" s="192" t="str">
        <f t="shared" si="33"/>
        <v>XEC</v>
      </c>
      <c r="I102" s="192" t="str">
        <f t="shared" si="33"/>
        <v>COP</v>
      </c>
      <c r="J102" s="192" t="str">
        <f t="shared" si="33"/>
        <v>CLR</v>
      </c>
      <c r="K102" s="192" t="str">
        <f t="shared" si="33"/>
        <v>CXO</v>
      </c>
      <c r="L102" s="192" t="str">
        <f t="shared" si="33"/>
        <v>DVN</v>
      </c>
      <c r="M102" s="192" t="str">
        <f t="shared" ref="M102" si="34">M100</f>
        <v>FANG</v>
      </c>
      <c r="N102" s="192" t="str">
        <f t="shared" si="33"/>
        <v>ECACN</v>
      </c>
      <c r="O102" s="192" t="str">
        <f t="shared" si="33"/>
        <v>EOG</v>
      </c>
      <c r="P102" s="192" t="str">
        <f t="shared" si="33"/>
        <v>EQT</v>
      </c>
      <c r="Q102" s="192" t="str">
        <f t="shared" si="33"/>
        <v>HES</v>
      </c>
      <c r="R102" s="192" t="str">
        <f t="shared" si="33"/>
        <v>MRO</v>
      </c>
      <c r="S102" s="192" t="str">
        <f t="shared" si="33"/>
        <v>MUR</v>
      </c>
      <c r="T102" s="192" t="str">
        <f t="shared" si="33"/>
        <v>NFX</v>
      </c>
      <c r="U102" s="192" t="str">
        <f t="shared" si="33"/>
        <v>NBL</v>
      </c>
      <c r="V102" s="192" t="str">
        <f t="shared" si="33"/>
        <v>OXY</v>
      </c>
      <c r="W102" s="192" t="str">
        <f t="shared" si="33"/>
        <v>PXD</v>
      </c>
      <c r="X102" s="227" t="str">
        <f t="shared" si="33"/>
        <v>SWN</v>
      </c>
    </row>
    <row r="103" spans="1:24" ht="15" thickBot="1">
      <c r="A103" s="267" t="s">
        <v>111</v>
      </c>
      <c r="B103" s="193">
        <f t="shared" ref="B103:X103" si="35">RANK(B34,$B$34:$X$34)</f>
        <v>5</v>
      </c>
      <c r="C103" s="193">
        <f t="shared" si="35"/>
        <v>22</v>
      </c>
      <c r="D103" s="193">
        <f t="shared" si="35"/>
        <v>10</v>
      </c>
      <c r="E103" s="193">
        <f t="shared" si="35"/>
        <v>14</v>
      </c>
      <c r="F103" s="193">
        <f t="shared" si="35"/>
        <v>19</v>
      </c>
      <c r="G103" s="193">
        <f t="shared" si="35"/>
        <v>20</v>
      </c>
      <c r="H103" s="193">
        <f t="shared" si="35"/>
        <v>16</v>
      </c>
      <c r="I103" s="193">
        <f t="shared" si="35"/>
        <v>1</v>
      </c>
      <c r="J103" s="193">
        <f t="shared" si="35"/>
        <v>4</v>
      </c>
      <c r="K103" s="193">
        <f t="shared" si="35"/>
        <v>7</v>
      </c>
      <c r="L103" s="193">
        <f t="shared" si="35"/>
        <v>18</v>
      </c>
      <c r="M103" s="193">
        <f t="shared" si="35"/>
        <v>2</v>
      </c>
      <c r="N103" s="193">
        <f t="shared" si="35"/>
        <v>17</v>
      </c>
      <c r="O103" s="193">
        <f t="shared" si="35"/>
        <v>3</v>
      </c>
      <c r="P103" s="193">
        <f t="shared" si="35"/>
        <v>21</v>
      </c>
      <c r="Q103" s="193">
        <f t="shared" si="35"/>
        <v>12</v>
      </c>
      <c r="R103" s="193">
        <f t="shared" si="35"/>
        <v>11</v>
      </c>
      <c r="S103" s="193">
        <f t="shared" si="35"/>
        <v>8</v>
      </c>
      <c r="T103" s="193">
        <f t="shared" si="35"/>
        <v>13</v>
      </c>
      <c r="U103" s="193">
        <f t="shared" si="35"/>
        <v>15</v>
      </c>
      <c r="V103" s="193">
        <f t="shared" si="35"/>
        <v>9</v>
      </c>
      <c r="W103" s="193">
        <f t="shared" si="35"/>
        <v>6</v>
      </c>
      <c r="X103" s="228">
        <f t="shared" si="35"/>
        <v>23</v>
      </c>
    </row>
    <row r="104" spans="1:24">
      <c r="A104" s="264"/>
      <c r="B104" s="190"/>
      <c r="C104" s="190"/>
      <c r="E104" s="190"/>
      <c r="F104" s="190"/>
      <c r="G104" s="190"/>
      <c r="H104" s="190"/>
      <c r="I104" s="190"/>
      <c r="J104" s="190"/>
      <c r="K104" s="190"/>
      <c r="L104" s="190"/>
      <c r="M104" s="190"/>
      <c r="N104" s="190"/>
      <c r="O104" s="190"/>
      <c r="P104" s="190"/>
      <c r="Q104" s="190"/>
      <c r="R104" s="190"/>
      <c r="S104" s="190"/>
      <c r="T104" s="190"/>
      <c r="U104" s="190"/>
      <c r="V104" s="190"/>
      <c r="W104" s="190"/>
      <c r="X104" s="190"/>
    </row>
    <row r="105" spans="1:24">
      <c r="A105" s="264"/>
      <c r="B105" s="190"/>
      <c r="C105" s="190"/>
      <c r="E105" s="190"/>
      <c r="F105" s="190"/>
      <c r="G105" s="190"/>
      <c r="H105" s="190"/>
      <c r="I105" s="190"/>
      <c r="J105" s="190"/>
      <c r="K105" s="190"/>
      <c r="L105" s="190"/>
      <c r="M105" s="190"/>
      <c r="N105" s="190"/>
      <c r="O105" s="190"/>
      <c r="P105" s="190"/>
      <c r="Q105" s="190"/>
      <c r="R105" s="190"/>
      <c r="S105" s="190"/>
      <c r="T105" s="190"/>
      <c r="U105" s="190"/>
      <c r="V105" s="190"/>
      <c r="W105" s="190"/>
      <c r="X105" s="190"/>
    </row>
    <row r="106" spans="1:24">
      <c r="A106" s="264"/>
      <c r="B106" s="190"/>
      <c r="C106" s="190"/>
      <c r="E106" s="190"/>
      <c r="F106" s="190"/>
      <c r="G106" s="190"/>
      <c r="H106" s="190"/>
      <c r="I106" s="190"/>
      <c r="J106" s="190"/>
      <c r="K106" s="190"/>
      <c r="L106" s="190"/>
      <c r="M106" s="190"/>
      <c r="N106" s="190"/>
      <c r="O106" s="190"/>
      <c r="P106" s="190"/>
      <c r="Q106" s="190"/>
      <c r="R106" s="190"/>
      <c r="S106" s="190"/>
      <c r="T106" s="190"/>
      <c r="U106" s="190"/>
      <c r="V106" s="190"/>
      <c r="W106" s="190"/>
      <c r="X106" s="190"/>
    </row>
    <row r="107" spans="1:24">
      <c r="A107" s="264" t="s">
        <v>130</v>
      </c>
      <c r="B107" s="194">
        <f>B15-'2Q18 Actual'!B15</f>
        <v>2.7406114036132863</v>
      </c>
      <c r="C107" s="194">
        <f>C15-'2Q18 Actual'!C15</f>
        <v>2.1000000000000014</v>
      </c>
      <c r="D107" s="194">
        <f>D15-'2Q18 Actual'!C15</f>
        <v>24.04287527263704</v>
      </c>
      <c r="E107" s="194">
        <f>E15-'2Q18 Actual'!D15</f>
        <v>1.1103045125601767</v>
      </c>
      <c r="F107" s="194">
        <f>F15-'2Q18 Actual'!E15</f>
        <v>-15.560546970652126</v>
      </c>
      <c r="G107" s="194">
        <f>G15-'2Q18 Actual'!F15</f>
        <v>-9.3361885764223054</v>
      </c>
      <c r="H107" s="194">
        <f>H15-'2Q18 Actual'!F15</f>
        <v>-7.3430864892477388</v>
      </c>
      <c r="I107" s="194">
        <f>I15-'2Q18 Actual'!G15</f>
        <v>30.816130155621863</v>
      </c>
      <c r="J107" s="194">
        <f>J15-'2Q18 Actual'!H15</f>
        <v>18.317869226948606</v>
      </c>
      <c r="K107" s="194">
        <f>K15-'2Q18 Actual'!I15</f>
        <v>-7.9931674064679896</v>
      </c>
      <c r="L107" s="194">
        <f>L15-'2Q18 Actual'!J15</f>
        <v>-10.506154932966282</v>
      </c>
      <c r="M107" s="194">
        <f>M15-'2Q18 Actual'!K15</f>
        <v>1.2800000000000011</v>
      </c>
      <c r="N107" s="194">
        <f>N15-'2Q18 Actual'!K15</f>
        <v>-12.010000000000005</v>
      </c>
      <c r="O107" s="194">
        <f>O15-'2Q18 Actual'!L15</f>
        <v>16.393139515979204</v>
      </c>
      <c r="P107" s="194">
        <f>P15-'2Q18 Actual'!M15</f>
        <v>-15.144291249268523</v>
      </c>
      <c r="Q107" s="194">
        <f>Q15-'2Q18 Actual'!M15</f>
        <v>15.948416619876475</v>
      </c>
      <c r="R107" s="194">
        <f>R15-'2Q18 Actual'!N15</f>
        <v>-6.0831586468144963</v>
      </c>
      <c r="S107" s="194">
        <f>S15-'2Q18 Actual'!O15</f>
        <v>27.357775961058564</v>
      </c>
      <c r="T107" s="194">
        <f>T15-'2Q18 Actual'!O15</f>
        <v>21.724912105028793</v>
      </c>
      <c r="U107" s="194">
        <f>U15-'2Q18 Actual'!P15</f>
        <v>-8.4701161596458618</v>
      </c>
      <c r="V107" s="194">
        <f>V15-'2Q18 Actual'!Q15</f>
        <v>7.9303101053560852</v>
      </c>
      <c r="W107" s="194">
        <f>W15-'2Q18 Actual'!R15</f>
        <v>2.4944536525272554</v>
      </c>
      <c r="X107" s="194">
        <f>X15-'2Q18 Actual'!S15</f>
        <v>-23.143462945640451</v>
      </c>
    </row>
    <row r="108" spans="1:24">
      <c r="A108" s="264" t="s">
        <v>132</v>
      </c>
      <c r="B108" s="194">
        <f>B28-'2Q18 Actual'!B28</f>
        <v>-0.80678301494635818</v>
      </c>
      <c r="C108" s="194">
        <f>C28-'2Q18 Actual'!C28</f>
        <v>-1.6382439435972262</v>
      </c>
      <c r="D108" s="194">
        <f>D28-'2Q18 Actual'!C28</f>
        <v>2.1127044082316679</v>
      </c>
      <c r="E108" s="194">
        <f>E28-'2Q18 Actual'!D28</f>
        <v>6.0077568592855073</v>
      </c>
      <c r="F108" s="194">
        <f>F28-'2Q18 Actual'!E28</f>
        <v>-9.8926213683324669</v>
      </c>
      <c r="G108" s="194">
        <f>G28-'2Q18 Actual'!F28</f>
        <v>-3.1342079590470657</v>
      </c>
      <c r="H108" s="194">
        <f>H28-'2Q18 Actual'!F28</f>
        <v>-6.5820103694922398</v>
      </c>
      <c r="I108" s="194">
        <f>I28-'2Q18 Actual'!G28</f>
        <v>5.4151490842275471</v>
      </c>
      <c r="J108" s="194">
        <f>J28-'2Q18 Actual'!H28</f>
        <v>1.7292314016217833</v>
      </c>
      <c r="K108" s="194">
        <f>K28-'2Q18 Actual'!I28</f>
        <v>-4.8337735721347812</v>
      </c>
      <c r="L108" s="194">
        <f>L28-'2Q18 Actual'!J28</f>
        <v>3.7225314132655534</v>
      </c>
      <c r="M108" s="194">
        <f>M28-'2Q18 Actual'!K28</f>
        <v>-3.9726910814008907</v>
      </c>
      <c r="N108" s="194">
        <f>N28-'2Q18 Actual'!K28</f>
        <v>1.0814125674621451</v>
      </c>
      <c r="O108" s="194">
        <f>O28-'2Q18 Actual'!L28</f>
        <v>-2.2630390488134982</v>
      </c>
      <c r="P108" s="194">
        <f>P28-'2Q18 Actual'!M28</f>
        <v>-11.359670991350047</v>
      </c>
      <c r="Q108" s="194">
        <f>Q28-'2Q18 Actual'!M28</f>
        <v>3.8684017157936843</v>
      </c>
      <c r="R108" s="194">
        <f>R28-'2Q18 Actual'!N28</f>
        <v>0.96541695506361513</v>
      </c>
      <c r="S108" s="194">
        <f>S28-'2Q18 Actual'!O28</f>
        <v>5.0208560986649413</v>
      </c>
      <c r="T108" s="194">
        <f>T28-'2Q18 Actual'!O28</f>
        <v>6.1038292725225425</v>
      </c>
      <c r="U108" s="194">
        <f>U28-'2Q18 Actual'!P28</f>
        <v>-11.402408425355727</v>
      </c>
      <c r="V108" s="194">
        <f>V28-'2Q18 Actual'!Q28</f>
        <v>3.1535233408758732</v>
      </c>
      <c r="W108" s="194">
        <f>W28-'2Q18 Actual'!R28</f>
        <v>-2.4213431589216796</v>
      </c>
      <c r="X108" s="194">
        <f>X28-'2Q18 Actual'!S28</f>
        <v>-6.7529173586505973</v>
      </c>
    </row>
    <row r="109" spans="1:24">
      <c r="A109" s="264" t="s">
        <v>129</v>
      </c>
      <c r="B109" s="195">
        <f>B48-'2Q18 Actual'!B48</f>
        <v>4.7461666666666673</v>
      </c>
      <c r="C109" s="195">
        <f>C48-'2Q18 Actual'!C48</f>
        <v>3.5211290000000091</v>
      </c>
      <c r="D109" s="195">
        <f>D48-'2Q18 Actual'!C48</f>
        <v>2.2191430000000167</v>
      </c>
      <c r="E109" s="195">
        <f>E48-'2Q18 Actual'!D48</f>
        <v>58.477662333333349</v>
      </c>
      <c r="F109" s="195">
        <f>F48-'2Q18 Actual'!E48</f>
        <v>-49.990403666666651</v>
      </c>
      <c r="G109" s="195">
        <f>G48-'2Q18 Actual'!F48</f>
        <v>2.1513709999999975</v>
      </c>
      <c r="H109" s="195">
        <f>H48-'2Q18 Actual'!F48</f>
        <v>-27.079880999999997</v>
      </c>
      <c r="I109" s="195">
        <f>I48-'2Q18 Actual'!G48</f>
        <v>50.118500000000004</v>
      </c>
      <c r="J109" s="195">
        <f>J48-'2Q18 Actual'!H48</f>
        <v>8.0755079999999957</v>
      </c>
      <c r="K109" s="195">
        <f>K48-'2Q18 Actual'!I48</f>
        <v>-69.301035999999982</v>
      </c>
      <c r="L109" s="195">
        <f>L48-'2Q18 Actual'!J48</f>
        <v>20.227373499999999</v>
      </c>
      <c r="M109" s="195">
        <f>M48-'2Q18 Actual'!K48</f>
        <v>-9.5215113333333292</v>
      </c>
      <c r="N109" s="195">
        <f>N48-'2Q18 Actual'!K48</f>
        <v>13.959222000000008</v>
      </c>
      <c r="O109" s="195">
        <f>O48-'2Q18 Actual'!L48</f>
        <v>21.493766666666652</v>
      </c>
      <c r="P109" s="195">
        <f>P48-'2Q18 Actual'!M48</f>
        <v>31.634033333333338</v>
      </c>
      <c r="Q109" s="195">
        <f>Q48-'2Q18 Actual'!M48</f>
        <v>-3.4311333333333351</v>
      </c>
      <c r="R109" s="195">
        <f>R48-'2Q18 Actual'!N48</f>
        <v>-25.747833333333332</v>
      </c>
      <c r="S109" s="195">
        <f>S48-'2Q18 Actual'!O48</f>
        <v>-44.956402666666669</v>
      </c>
      <c r="T109" s="195">
        <f>T48-'2Q18 Actual'!O48</f>
        <v>-41.829833333333333</v>
      </c>
      <c r="U109" s="195">
        <f>U48-'2Q18 Actual'!P48</f>
        <v>7.0271666666666626</v>
      </c>
      <c r="V109" s="195">
        <f>V48-'2Q18 Actual'!Q48</f>
        <v>24.614333333333335</v>
      </c>
      <c r="W109" s="195">
        <f>W48-'2Q18 Actual'!R48</f>
        <v>13.940188333333339</v>
      </c>
      <c r="X109" s="195">
        <f>X48-'2Q18 Actual'!S48</f>
        <v>24.242333333333338</v>
      </c>
    </row>
    <row r="110" spans="1:24">
      <c r="A110" s="264"/>
      <c r="B110" s="190"/>
      <c r="C110" s="190"/>
      <c r="E110" s="190"/>
      <c r="F110" s="190"/>
      <c r="G110" s="190"/>
      <c r="H110" s="190"/>
      <c r="I110" s="190"/>
      <c r="J110" s="190"/>
      <c r="K110" s="190"/>
      <c r="L110" s="190"/>
      <c r="M110" s="190"/>
      <c r="N110" s="190"/>
      <c r="O110" s="190"/>
      <c r="P110" s="190"/>
      <c r="Q110" s="190"/>
      <c r="R110" s="190"/>
      <c r="S110" s="190"/>
      <c r="T110" s="190"/>
      <c r="U110" s="190"/>
      <c r="V110" s="190"/>
      <c r="W110" s="190"/>
      <c r="X110" s="190"/>
    </row>
    <row r="111" spans="1:24">
      <c r="A111" s="264"/>
      <c r="B111" s="190"/>
      <c r="C111" s="190"/>
      <c r="E111" s="190"/>
      <c r="F111" s="190"/>
      <c r="G111" s="190"/>
      <c r="H111" s="190"/>
      <c r="I111" s="190"/>
      <c r="J111" s="190"/>
      <c r="K111" s="190"/>
      <c r="L111" s="190"/>
      <c r="M111" s="190"/>
      <c r="N111" s="190"/>
      <c r="O111" s="190"/>
      <c r="P111" s="190"/>
      <c r="Q111" s="190"/>
      <c r="R111" s="190"/>
      <c r="S111" s="190"/>
      <c r="T111" s="190"/>
      <c r="U111" s="190"/>
      <c r="V111" s="190"/>
      <c r="W111" s="190"/>
      <c r="X111" s="190"/>
    </row>
    <row r="112" spans="1:24">
      <c r="A112" s="264"/>
      <c r="B112" s="190"/>
      <c r="C112" s="190"/>
      <c r="E112" s="190"/>
      <c r="F112" s="190"/>
      <c r="G112" s="190"/>
      <c r="H112" s="190"/>
      <c r="I112" s="190"/>
      <c r="J112" s="190"/>
      <c r="K112" s="190"/>
      <c r="L112" s="190"/>
      <c r="M112" s="190"/>
      <c r="N112" s="190"/>
      <c r="O112" s="190"/>
      <c r="P112" s="190"/>
      <c r="Q112" s="190"/>
      <c r="R112" s="190"/>
      <c r="S112" s="190"/>
      <c r="T112" s="190"/>
      <c r="U112" s="190"/>
      <c r="V112" s="190"/>
      <c r="W112" s="190"/>
      <c r="X112" s="190"/>
    </row>
    <row r="113" spans="1:24">
      <c r="A113" s="264"/>
      <c r="B113" s="190"/>
      <c r="C113" s="190"/>
      <c r="E113" s="190"/>
      <c r="F113" s="190"/>
      <c r="G113" s="190"/>
      <c r="H113" s="190"/>
      <c r="I113" s="190"/>
      <c r="J113" s="190"/>
      <c r="K113" s="190"/>
      <c r="L113" s="190"/>
      <c r="M113" s="190"/>
      <c r="N113" s="190"/>
      <c r="O113" s="190"/>
      <c r="P113" s="190"/>
      <c r="Q113" s="190"/>
      <c r="R113" s="190"/>
      <c r="S113" s="190"/>
      <c r="T113" s="190"/>
      <c r="U113" s="190"/>
      <c r="V113" s="190"/>
      <c r="W113" s="190"/>
      <c r="X113" s="190"/>
    </row>
    <row r="114" spans="1:24">
      <c r="A114" s="264"/>
      <c r="B114" s="190"/>
      <c r="C114" s="190"/>
      <c r="E114" s="190"/>
      <c r="F114" s="190"/>
      <c r="G114" s="190"/>
      <c r="H114" s="190"/>
      <c r="I114" s="190"/>
      <c r="J114" s="190"/>
      <c r="K114" s="190"/>
      <c r="L114" s="190"/>
      <c r="M114" s="190"/>
      <c r="N114" s="190"/>
      <c r="O114" s="190"/>
      <c r="P114" s="190"/>
      <c r="Q114" s="190"/>
      <c r="R114" s="190"/>
      <c r="S114" s="190"/>
      <c r="T114" s="190"/>
      <c r="U114" s="190"/>
      <c r="V114" s="190"/>
      <c r="W114" s="190"/>
      <c r="X114" s="190"/>
    </row>
    <row r="115" spans="1:24">
      <c r="A115" s="264"/>
      <c r="B115" s="190"/>
      <c r="C115" s="190"/>
      <c r="E115" s="190"/>
      <c r="F115" s="190"/>
      <c r="G115" s="190"/>
      <c r="H115" s="190"/>
      <c r="I115" s="190"/>
      <c r="J115" s="190"/>
      <c r="K115" s="190"/>
      <c r="L115" s="190"/>
      <c r="M115" s="190"/>
      <c r="N115" s="190"/>
      <c r="O115" s="190"/>
      <c r="P115" s="190"/>
      <c r="Q115" s="190"/>
      <c r="R115" s="190"/>
      <c r="S115" s="190"/>
      <c r="T115" s="190"/>
      <c r="U115" s="190"/>
      <c r="V115" s="190"/>
      <c r="W115" s="190"/>
      <c r="X115" s="190"/>
    </row>
    <row r="193" spans="2:22">
      <c r="O193" s="2" t="s">
        <v>58</v>
      </c>
    </row>
    <row r="194" spans="2:22">
      <c r="O194" s="2" t="s">
        <v>54</v>
      </c>
      <c r="Q194" s="2">
        <v>52.63</v>
      </c>
      <c r="R194" s="2">
        <v>176</v>
      </c>
      <c r="V194" s="2">
        <f>+R194*Q194</f>
        <v>9262.880000000001</v>
      </c>
    </row>
    <row r="195" spans="2:22">
      <c r="E195" s="2" t="s">
        <v>72</v>
      </c>
      <c r="F195" s="2" t="s">
        <v>73</v>
      </c>
      <c r="O195" s="2" t="s">
        <v>55</v>
      </c>
      <c r="Q195" s="2">
        <v>14.77</v>
      </c>
      <c r="R195" s="2">
        <v>37</v>
      </c>
      <c r="V195" s="2">
        <f>+R195*Q195</f>
        <v>546.49</v>
      </c>
    </row>
    <row r="196" spans="2:22">
      <c r="B196" s="2" t="s">
        <v>61</v>
      </c>
      <c r="D196" s="190">
        <v>95.057000000000002</v>
      </c>
      <c r="E196" s="2">
        <f>73.05</f>
        <v>73.05</v>
      </c>
      <c r="H196" s="2">
        <f>+E196*D196</f>
        <v>6943.9138499999999</v>
      </c>
      <c r="O196" s="2" t="s">
        <v>59</v>
      </c>
      <c r="Q196" s="2">
        <v>2.76</v>
      </c>
      <c r="R196" s="2">
        <v>361</v>
      </c>
      <c r="U196" s="2">
        <f>+R196/6</f>
        <v>60.166666666666664</v>
      </c>
      <c r="V196" s="2">
        <f>+R196*Q196</f>
        <v>996.3599999999999</v>
      </c>
    </row>
    <row r="197" spans="2:22">
      <c r="B197" s="2" t="s">
        <v>71</v>
      </c>
      <c r="D197" s="190">
        <f>458.144-D196</f>
        <v>363.08699999999999</v>
      </c>
      <c r="E197" s="2">
        <f>53.09</f>
        <v>53.09</v>
      </c>
      <c r="H197" s="2">
        <f>+E197*D197</f>
        <v>19276.288830000001</v>
      </c>
      <c r="I197" s="2">
        <f>+SUM(H196:H197)/(D196+D197)</f>
        <v>57.231356691345958</v>
      </c>
    </row>
    <row r="198" spans="2:22">
      <c r="O198" s="2" t="s">
        <v>60</v>
      </c>
    </row>
    <row r="199" spans="2:22">
      <c r="O199" s="2" t="s">
        <v>54</v>
      </c>
      <c r="Q199" s="2">
        <v>56.7</v>
      </c>
      <c r="R199" s="2">
        <v>33</v>
      </c>
      <c r="V199" s="2">
        <f>+R199*Q199</f>
        <v>1871.1000000000001</v>
      </c>
    </row>
    <row r="200" spans="2:22">
      <c r="E200" s="2">
        <v>608</v>
      </c>
      <c r="F200" s="2">
        <v>58</v>
      </c>
      <c r="O200" s="2" t="s">
        <v>55</v>
      </c>
      <c r="Q200" s="2">
        <v>3.1</v>
      </c>
      <c r="R200" s="2">
        <v>9</v>
      </c>
      <c r="V200" s="2">
        <f>+R200*Q200</f>
        <v>27.900000000000002</v>
      </c>
    </row>
    <row r="201" spans="2:22">
      <c r="E201" s="2">
        <v>138</v>
      </c>
      <c r="F201" s="2">
        <v>33.299999999999997</v>
      </c>
      <c r="O201" s="2" t="s">
        <v>59</v>
      </c>
      <c r="Q201" s="2">
        <v>0.78</v>
      </c>
      <c r="R201" s="2">
        <v>396</v>
      </c>
      <c r="U201" s="2">
        <f>+R201/6</f>
        <v>66</v>
      </c>
      <c r="V201" s="2">
        <f>+R201*Q201</f>
        <v>308.88</v>
      </c>
    </row>
    <row r="202" spans="2:22">
      <c r="F202" s="2">
        <f>+SUMPRODUCT(E200:E201,F200:F201)/SUM(E200:E201)</f>
        <v>53.430831099195714</v>
      </c>
    </row>
    <row r="203" spans="2:22">
      <c r="O203" s="2" t="s">
        <v>61</v>
      </c>
    </row>
    <row r="204" spans="2:22">
      <c r="O204" s="2" t="s">
        <v>54</v>
      </c>
      <c r="Q204" s="2">
        <v>52.46</v>
      </c>
      <c r="R204" s="2">
        <v>29</v>
      </c>
      <c r="V204" s="2">
        <f>+R204*Q204</f>
        <v>1521.34</v>
      </c>
    </row>
  </sheetData>
  <mergeCells count="2">
    <mergeCell ref="A55:W55"/>
    <mergeCell ref="A56:W56"/>
  </mergeCells>
  <pageMargins left="0.7" right="0.7" top="0.75" bottom="0.75" header="0.3" footer="0.3"/>
  <pageSetup orientation="portrait" horizontalDpi="90" verticalDpi="90" r:id="rId1"/>
  <headerFooter>
    <oddFooter>&amp;C&amp;"Expert Sans Regular,Regular"&amp;10&amp;K000000 Restricted - External_x000D_&amp;1#&amp;"Calibri"&amp;10 Restricted - External</oddFooter>
    <evenFooter>&amp;C&amp;"Expert Sans Regular,Regular"&amp;10&amp;K000000 Restricted - External</evenFooter>
    <firstFooter>&amp;C&amp;"Expert Sans Regular,Regular"&amp;10&amp;K000000 Restricted - External</first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X204"/>
  <sheetViews>
    <sheetView topLeftCell="H1" workbookViewId="0">
      <selection activeCell="O21" sqref="O21"/>
    </sheetView>
  </sheetViews>
  <sheetFormatPr defaultRowHeight="14.25"/>
  <cols>
    <col min="1" max="1" width="36.375" style="1" customWidth="1"/>
    <col min="2" max="3" width="9.25" style="2" customWidth="1"/>
    <col min="4" max="4" width="9.25" style="125" customWidth="1"/>
    <col min="5" max="8" width="9.25" style="2" customWidth="1"/>
    <col min="9" max="9" width="10.375" style="2" customWidth="1"/>
    <col min="10" max="23" width="9.25" style="2" customWidth="1"/>
    <col min="24" max="25" width="11.5" style="1" customWidth="1"/>
    <col min="26" max="26" width="10.75" style="1" bestFit="1" customWidth="1"/>
    <col min="27" max="16384" width="9" style="1"/>
  </cols>
  <sheetData>
    <row r="1" spans="1:23" s="9" customFormat="1">
      <c r="A1" s="167" t="s">
        <v>186</v>
      </c>
      <c r="B1" s="8" t="s">
        <v>198</v>
      </c>
      <c r="C1" s="8"/>
      <c r="D1" s="183" t="str">
        <f>"Days in "&amp;$B$1</f>
        <v>Days in 2Q18</v>
      </c>
      <c r="E1" s="8"/>
      <c r="F1" s="8"/>
      <c r="G1" s="8"/>
      <c r="H1" s="8"/>
      <c r="I1" s="8"/>
      <c r="J1" s="8"/>
      <c r="K1" s="8"/>
      <c r="L1" s="8"/>
      <c r="M1" s="8"/>
      <c r="N1" s="8"/>
      <c r="O1" s="8"/>
      <c r="P1" s="19"/>
      <c r="Q1" s="8"/>
      <c r="R1" s="8"/>
      <c r="S1" s="8"/>
      <c r="T1" s="8"/>
      <c r="U1" s="8"/>
      <c r="V1" s="8"/>
      <c r="W1" s="8"/>
    </row>
    <row r="2" spans="1:23" s="9" customFormat="1" ht="15" thickBot="1">
      <c r="A2" s="167" t="s">
        <v>1</v>
      </c>
      <c r="B2" s="10">
        <v>67.930000000000007</v>
      </c>
      <c r="C2" s="10"/>
      <c r="D2" s="184">
        <f>30+31+30</f>
        <v>91</v>
      </c>
      <c r="E2" s="8"/>
      <c r="F2" s="8"/>
      <c r="G2" s="8"/>
      <c r="H2" s="8"/>
      <c r="I2" s="8"/>
      <c r="J2" s="8"/>
      <c r="K2" s="8"/>
      <c r="L2" s="8"/>
      <c r="M2" s="8"/>
      <c r="N2" s="8"/>
      <c r="O2" s="8"/>
      <c r="P2" s="19"/>
      <c r="Q2" s="8"/>
      <c r="R2" s="8"/>
      <c r="S2" s="8"/>
      <c r="T2" s="8"/>
      <c r="U2" s="8"/>
      <c r="V2" s="8"/>
      <c r="W2" s="8"/>
    </row>
    <row r="3" spans="1:23" s="9" customFormat="1">
      <c r="A3" s="167" t="s">
        <v>0</v>
      </c>
      <c r="B3" s="10">
        <v>32.573</v>
      </c>
      <c r="C3" s="10"/>
      <c r="D3" s="8"/>
      <c r="E3" s="8"/>
      <c r="F3" s="8"/>
      <c r="G3" s="8"/>
      <c r="H3" s="8"/>
      <c r="I3" s="8"/>
      <c r="J3" s="8"/>
      <c r="K3" s="8"/>
      <c r="L3" s="135"/>
      <c r="M3" s="8"/>
      <c r="N3" s="8"/>
      <c r="O3" s="8"/>
      <c r="P3" s="19"/>
      <c r="Q3" s="8"/>
      <c r="R3" s="8"/>
      <c r="S3" s="8"/>
      <c r="T3" s="8"/>
      <c r="U3" s="8"/>
      <c r="V3" s="8"/>
      <c r="W3" s="8"/>
    </row>
    <row r="4" spans="1:23" s="9" customFormat="1">
      <c r="A4" s="167" t="s">
        <v>2</v>
      </c>
      <c r="B4" s="10">
        <v>2.8273999999999999</v>
      </c>
      <c r="C4" s="10"/>
      <c r="D4" s="8"/>
      <c r="E4" s="8"/>
      <c r="F4" s="8"/>
      <c r="G4" s="8"/>
      <c r="H4" s="8"/>
      <c r="I4" s="8"/>
      <c r="J4" s="135"/>
      <c r="K4" s="8"/>
      <c r="L4" s="8"/>
      <c r="M4" s="8"/>
      <c r="N4" s="8"/>
      <c r="O4" s="8"/>
      <c r="P4" s="19"/>
      <c r="Q4" s="8"/>
      <c r="R4" s="8"/>
      <c r="S4" s="8"/>
      <c r="T4" s="8"/>
      <c r="U4" s="8"/>
      <c r="V4" s="8"/>
      <c r="W4" s="8"/>
    </row>
    <row r="5" spans="1:23" s="9" customFormat="1" ht="15" thickBot="1">
      <c r="A5" s="167"/>
      <c r="B5" s="8"/>
      <c r="C5" s="8"/>
      <c r="D5" s="8"/>
      <c r="E5" s="8"/>
      <c r="F5" s="8"/>
      <c r="G5" s="8"/>
      <c r="H5" s="8"/>
      <c r="I5" s="8"/>
      <c r="J5" s="8"/>
      <c r="K5" s="8"/>
      <c r="L5" s="8"/>
      <c r="M5" s="8"/>
      <c r="N5" s="8"/>
      <c r="O5" s="8"/>
      <c r="P5" s="19"/>
      <c r="Q5" s="8"/>
      <c r="R5" s="8"/>
      <c r="S5" s="8"/>
      <c r="T5" s="8"/>
      <c r="U5" s="8"/>
      <c r="V5" s="8"/>
      <c r="W5" s="8"/>
    </row>
    <row r="6" spans="1:23" ht="26.25" thickBot="1">
      <c r="A6" s="165" t="s">
        <v>15</v>
      </c>
      <c r="B6" s="164" t="s">
        <v>17</v>
      </c>
      <c r="C6" s="164" t="s">
        <v>189</v>
      </c>
      <c r="D6" s="164" t="s">
        <v>18</v>
      </c>
      <c r="E6" s="164" t="s">
        <v>19</v>
      </c>
      <c r="F6" s="164" t="s">
        <v>21</v>
      </c>
      <c r="G6" s="164" t="s">
        <v>191</v>
      </c>
      <c r="H6" s="164" t="s">
        <v>22</v>
      </c>
      <c r="I6" s="164" t="s">
        <v>20</v>
      </c>
      <c r="J6" s="164" t="s">
        <v>23</v>
      </c>
      <c r="K6" s="164" t="s">
        <v>139</v>
      </c>
      <c r="L6" s="164" t="s">
        <v>24</v>
      </c>
      <c r="M6" s="164" t="s">
        <v>25</v>
      </c>
      <c r="N6" s="164" t="s">
        <v>26</v>
      </c>
      <c r="O6" s="164" t="s">
        <v>187</v>
      </c>
      <c r="P6" s="164" t="s">
        <v>27</v>
      </c>
      <c r="Q6" s="164" t="s">
        <v>28</v>
      </c>
      <c r="R6" s="164" t="s">
        <v>193</v>
      </c>
      <c r="S6" s="164" t="s">
        <v>162</v>
      </c>
      <c r="T6" s="164" t="s">
        <v>29</v>
      </c>
      <c r="U6" s="164" t="s">
        <v>30</v>
      </c>
      <c r="V6" s="164" t="s">
        <v>31</v>
      </c>
      <c r="W6" s="164" t="s">
        <v>32</v>
      </c>
    </row>
    <row r="7" spans="1:23" ht="15" thickBot="1">
      <c r="A7" s="25" t="s">
        <v>16</v>
      </c>
      <c r="B7" s="69" t="s">
        <v>33</v>
      </c>
      <c r="C7" s="69" t="s">
        <v>190</v>
      </c>
      <c r="D7" s="69" t="s">
        <v>34</v>
      </c>
      <c r="E7" s="69" t="s">
        <v>35</v>
      </c>
      <c r="F7" s="69" t="s">
        <v>37</v>
      </c>
      <c r="G7" s="69" t="s">
        <v>192</v>
      </c>
      <c r="H7" s="69" t="s">
        <v>38</v>
      </c>
      <c r="I7" s="69" t="s">
        <v>36</v>
      </c>
      <c r="J7" s="69" t="s">
        <v>39</v>
      </c>
      <c r="K7" s="69" t="s">
        <v>140</v>
      </c>
      <c r="L7" s="69" t="s">
        <v>40</v>
      </c>
      <c r="M7" s="69" t="s">
        <v>41</v>
      </c>
      <c r="N7" s="69" t="s">
        <v>42</v>
      </c>
      <c r="O7" s="69" t="s">
        <v>188</v>
      </c>
      <c r="P7" s="69" t="s">
        <v>43</v>
      </c>
      <c r="Q7" s="69" t="s">
        <v>44</v>
      </c>
      <c r="R7" s="69" t="s">
        <v>194</v>
      </c>
      <c r="S7" s="69" t="s">
        <v>163</v>
      </c>
      <c r="T7" s="69" t="s">
        <v>45</v>
      </c>
      <c r="U7" s="69" t="s">
        <v>46</v>
      </c>
      <c r="V7" s="69" t="s">
        <v>47</v>
      </c>
      <c r="W7" s="69" t="s">
        <v>48</v>
      </c>
    </row>
    <row r="8" spans="1:23" s="9" customFormat="1">
      <c r="A8" s="167"/>
      <c r="B8" s="8"/>
      <c r="C8" s="8"/>
      <c r="D8" s="8"/>
      <c r="E8" s="8"/>
      <c r="F8" s="8"/>
      <c r="G8" s="8"/>
      <c r="H8" s="8"/>
      <c r="I8" s="8"/>
      <c r="J8" s="8"/>
      <c r="K8" s="8"/>
      <c r="L8" s="8"/>
      <c r="M8" s="8"/>
      <c r="N8" s="8"/>
      <c r="O8" s="8"/>
      <c r="P8" s="8"/>
      <c r="Q8" s="8"/>
      <c r="R8" s="8"/>
      <c r="S8" s="8"/>
      <c r="T8" s="8"/>
      <c r="U8" s="8"/>
      <c r="V8" s="8"/>
      <c r="W8" s="8"/>
    </row>
    <row r="9" spans="1:23" s="9" customFormat="1">
      <c r="A9" s="167" t="s">
        <v>50</v>
      </c>
      <c r="B9" s="20">
        <v>68.430000000000007</v>
      </c>
      <c r="C9" s="20">
        <v>61.55</v>
      </c>
      <c r="D9" s="20">
        <v>69.349999999999994</v>
      </c>
      <c r="E9" s="20">
        <f>+E75/E58</f>
        <v>60.563656120449537</v>
      </c>
      <c r="F9" s="20">
        <f>51.07/E58</f>
        <v>39.564611093895259</v>
      </c>
      <c r="G9" s="20">
        <f>567/((G44*91)/1000)</f>
        <v>69.230769230769241</v>
      </c>
      <c r="H9" s="20">
        <v>60.99</v>
      </c>
      <c r="I9" s="20">
        <f>+((70.42*610)+(32.38*63))/I44</f>
        <v>66.859049034175342</v>
      </c>
      <c r="J9" s="20">
        <f>946.884/(J44*$D$2/1000)</f>
        <v>66.226983129144585</v>
      </c>
      <c r="K9" s="20">
        <v>60.98</v>
      </c>
      <c r="L9" s="20">
        <v>50.43</v>
      </c>
      <c r="M9" s="20">
        <v>66.52</v>
      </c>
      <c r="N9" s="20">
        <v>67.930000000000007</v>
      </c>
      <c r="O9" s="20">
        <v>56.04</v>
      </c>
      <c r="P9" s="20">
        <v>66.28</v>
      </c>
      <c r="Q9" s="20">
        <f>+((66.12*32)+(66.03*168))/Q44</f>
        <v>66.04440000000001</v>
      </c>
      <c r="R9" s="20">
        <f>+R83</f>
        <v>68.037962220123347</v>
      </c>
      <c r="S9" s="20">
        <v>64.28</v>
      </c>
      <c r="T9" s="20">
        <f>+T65</f>
        <v>65.783439999999999</v>
      </c>
      <c r="U9" s="20">
        <v>63.12</v>
      </c>
      <c r="V9" s="20">
        <v>61.2</v>
      </c>
      <c r="W9" s="20">
        <v>60.15</v>
      </c>
    </row>
    <row r="10" spans="1:23" s="9" customFormat="1">
      <c r="A10" s="167" t="s">
        <v>3</v>
      </c>
      <c r="B10" s="20">
        <f>+B9-$B$2</f>
        <v>0.5</v>
      </c>
      <c r="C10" s="20">
        <f>+C9-$B$2</f>
        <v>-6.3800000000000097</v>
      </c>
      <c r="D10" s="20">
        <f t="shared" ref="D10:W10" si="0">+D9-$B$2</f>
        <v>1.4199999999999875</v>
      </c>
      <c r="E10" s="20">
        <f t="shared" si="0"/>
        <v>-7.3663438795504703</v>
      </c>
      <c r="F10" s="20">
        <f t="shared" si="0"/>
        <v>-28.365388906104748</v>
      </c>
      <c r="G10" s="20">
        <f t="shared" si="0"/>
        <v>1.3007692307692338</v>
      </c>
      <c r="H10" s="20">
        <f t="shared" si="0"/>
        <v>-6.9400000000000048</v>
      </c>
      <c r="I10" s="20">
        <f>+I9-$B$2</f>
        <v>-1.0709509658246645</v>
      </c>
      <c r="J10" s="20">
        <f t="shared" ref="J10" si="1">+J9-$B$2</f>
        <v>-1.7030168708554214</v>
      </c>
      <c r="K10" s="20">
        <f t="shared" si="0"/>
        <v>-6.9500000000000099</v>
      </c>
      <c r="L10" s="20">
        <f t="shared" si="0"/>
        <v>-17.500000000000007</v>
      </c>
      <c r="M10" s="20">
        <f t="shared" si="0"/>
        <v>-1.4100000000000108</v>
      </c>
      <c r="N10" s="20">
        <f t="shared" si="0"/>
        <v>0</v>
      </c>
      <c r="O10" s="20">
        <f t="shared" si="0"/>
        <v>-11.890000000000008</v>
      </c>
      <c r="P10" s="20">
        <f t="shared" si="0"/>
        <v>-1.6500000000000057</v>
      </c>
      <c r="Q10" s="20">
        <f t="shared" si="0"/>
        <v>-1.8855999999999966</v>
      </c>
      <c r="R10" s="20">
        <f t="shared" si="0"/>
        <v>0.10796222012334056</v>
      </c>
      <c r="S10" s="20">
        <f t="shared" si="0"/>
        <v>-3.6500000000000057</v>
      </c>
      <c r="T10" s="20">
        <f t="shared" si="0"/>
        <v>-2.146560000000008</v>
      </c>
      <c r="U10" s="20">
        <f t="shared" si="0"/>
        <v>-4.8100000000000094</v>
      </c>
      <c r="V10" s="20">
        <f t="shared" si="0"/>
        <v>-6.730000000000004</v>
      </c>
      <c r="W10" s="20">
        <f t="shared" si="0"/>
        <v>-7.7800000000000082</v>
      </c>
    </row>
    <row r="11" spans="1:23" s="9" customFormat="1">
      <c r="A11" s="167" t="s">
        <v>51</v>
      </c>
      <c r="B11" s="20">
        <v>34.880000000000003</v>
      </c>
      <c r="C11" s="20">
        <f>+((34.81*70.485)+(9.93*36.156))/(70.485+36.156)</f>
        <v>26.374583227839203</v>
      </c>
      <c r="D11" s="20">
        <v>26.64</v>
      </c>
      <c r="E11" s="20"/>
      <c r="F11" s="20">
        <f>42.3/E58</f>
        <v>32.770374961264331</v>
      </c>
      <c r="G11" s="20">
        <f>128/((G45*91)/1000)</f>
        <v>25.574425574425575</v>
      </c>
      <c r="H11" s="20">
        <v>22.29</v>
      </c>
      <c r="I11" s="20">
        <v>28.57</v>
      </c>
      <c r="J11" s="20"/>
      <c r="K11" s="20"/>
      <c r="L11" s="20">
        <v>24.1</v>
      </c>
      <c r="M11" s="20">
        <v>44.01</v>
      </c>
      <c r="N11" s="20">
        <v>27.86</v>
      </c>
      <c r="O11" s="20">
        <f>+((7.67*1402)+(36.39*3157))/(3157+1402)</f>
        <v>27.557922790085545</v>
      </c>
      <c r="P11" s="20">
        <v>20.51</v>
      </c>
      <c r="Q11" s="20">
        <f>+((22.09*57)+(12*2.91))/Q45</f>
        <v>18.754347826086956</v>
      </c>
      <c r="R11" s="20">
        <f>+R88</f>
        <v>26.266683198380573</v>
      </c>
      <c r="S11" s="20">
        <v>28.82</v>
      </c>
      <c r="T11" s="20">
        <f>+T70</f>
        <v>25.335454545454542</v>
      </c>
      <c r="U11" s="20">
        <v>27.21</v>
      </c>
      <c r="V11" s="20">
        <v>28.83</v>
      </c>
      <c r="W11" s="20">
        <v>15.37</v>
      </c>
    </row>
    <row r="12" spans="1:23" s="9" customFormat="1">
      <c r="A12" s="167" t="s">
        <v>3</v>
      </c>
      <c r="B12" s="20">
        <f t="shared" ref="B12:W12" si="2">+B11-$B$3</f>
        <v>2.3070000000000022</v>
      </c>
      <c r="C12" s="20">
        <f t="shared" si="2"/>
        <v>-6.1984167721607974</v>
      </c>
      <c r="D12" s="20">
        <f t="shared" si="2"/>
        <v>-5.9329999999999998</v>
      </c>
      <c r="E12" s="20">
        <f t="shared" si="2"/>
        <v>-32.573</v>
      </c>
      <c r="F12" s="20">
        <f t="shared" si="2"/>
        <v>0.1973749612643303</v>
      </c>
      <c r="G12" s="20">
        <f t="shared" si="2"/>
        <v>-6.9985744255744251</v>
      </c>
      <c r="H12" s="20">
        <f t="shared" si="2"/>
        <v>-10.283000000000001</v>
      </c>
      <c r="I12" s="20">
        <f>+I11-$B$3</f>
        <v>-4.0030000000000001</v>
      </c>
      <c r="J12" s="20"/>
      <c r="K12" s="20">
        <f t="shared" si="2"/>
        <v>-32.573</v>
      </c>
      <c r="L12" s="20">
        <f t="shared" si="2"/>
        <v>-8.472999999999999</v>
      </c>
      <c r="M12" s="20">
        <f t="shared" si="2"/>
        <v>11.436999999999998</v>
      </c>
      <c r="N12" s="20">
        <f t="shared" si="2"/>
        <v>-4.713000000000001</v>
      </c>
      <c r="O12" s="20">
        <f t="shared" si="2"/>
        <v>-5.0150772099144554</v>
      </c>
      <c r="P12" s="20">
        <f t="shared" si="2"/>
        <v>-12.062999999999999</v>
      </c>
      <c r="Q12" s="20">
        <f t="shared" si="2"/>
        <v>-13.818652173913044</v>
      </c>
      <c r="R12" s="20">
        <f t="shared" si="2"/>
        <v>-6.3063168016194275</v>
      </c>
      <c r="S12" s="20">
        <f t="shared" si="2"/>
        <v>-3.7530000000000001</v>
      </c>
      <c r="T12" s="20">
        <f t="shared" si="2"/>
        <v>-7.2375454545454581</v>
      </c>
      <c r="U12" s="20">
        <f t="shared" si="2"/>
        <v>-5.3629999999999995</v>
      </c>
      <c r="V12" s="20">
        <f t="shared" si="2"/>
        <v>-3.7430000000000021</v>
      </c>
      <c r="W12" s="20">
        <f t="shared" si="2"/>
        <v>-17.203000000000003</v>
      </c>
    </row>
    <row r="13" spans="1:23" s="9" customFormat="1">
      <c r="A13" s="167" t="s">
        <v>52</v>
      </c>
      <c r="B13" s="20">
        <v>2.15</v>
      </c>
      <c r="C13" s="20">
        <v>2.83</v>
      </c>
      <c r="D13" s="20">
        <v>2.5</v>
      </c>
      <c r="E13" s="20">
        <f>1.95/E58</f>
        <v>1.5106910443136039</v>
      </c>
      <c r="F13" s="20">
        <f>1.34/E58</f>
        <v>1.0381158971180664</v>
      </c>
      <c r="G13" s="20">
        <f>538/((G46*91)/1000)</f>
        <v>2.5560259023294041</v>
      </c>
      <c r="H13" s="20">
        <v>1.65</v>
      </c>
      <c r="I13" s="20">
        <v>4.8499999999999996</v>
      </c>
      <c r="J13" s="20">
        <f>190.644/(J46*$D$2/1000)</f>
        <v>2.7505819723535665</v>
      </c>
      <c r="K13" s="20">
        <v>3.19</v>
      </c>
      <c r="L13" s="20">
        <v>2.0099999999999998</v>
      </c>
      <c r="M13" s="20">
        <v>1.87</v>
      </c>
      <c r="N13" s="20">
        <v>2.69</v>
      </c>
      <c r="O13" s="20">
        <f>2.98-0.42</f>
        <v>2.56</v>
      </c>
      <c r="P13" s="20">
        <v>4.12</v>
      </c>
      <c r="Q13" s="20">
        <f>+((0.52*461)+(2.18*435))/Q46</f>
        <v>1.3259151785714285</v>
      </c>
      <c r="R13" s="20">
        <f>+R94</f>
        <v>1.9252055145985743</v>
      </c>
      <c r="S13" s="20">
        <v>2.2200000000000002</v>
      </c>
      <c r="T13" s="20">
        <f>+T79</f>
        <v>2.5741330425299891</v>
      </c>
      <c r="U13" s="20">
        <v>1.58</v>
      </c>
      <c r="V13" s="20">
        <v>1.97</v>
      </c>
      <c r="W13" s="20">
        <v>1.99</v>
      </c>
    </row>
    <row r="14" spans="1:23" s="9" customFormat="1">
      <c r="A14" s="167" t="s">
        <v>3</v>
      </c>
      <c r="B14" s="20">
        <f t="shared" ref="B14:W14" si="3">+B13-$B$4</f>
        <v>-0.6774</v>
      </c>
      <c r="C14" s="20">
        <f t="shared" si="3"/>
        <v>2.6000000000001577E-3</v>
      </c>
      <c r="D14" s="20">
        <f t="shared" si="3"/>
        <v>-0.32739999999999991</v>
      </c>
      <c r="E14" s="20">
        <f t="shared" si="3"/>
        <v>-1.316708955686396</v>
      </c>
      <c r="F14" s="20">
        <f t="shared" si="3"/>
        <v>-1.7892841028819335</v>
      </c>
      <c r="G14" s="20">
        <f t="shared" si="3"/>
        <v>-0.27137409767059584</v>
      </c>
      <c r="H14" s="20">
        <f t="shared" si="3"/>
        <v>-1.1774</v>
      </c>
      <c r="I14" s="20">
        <f>+I13-$B$4</f>
        <v>2.0225999999999997</v>
      </c>
      <c r="J14" s="20">
        <f t="shared" ref="J14" si="4">+J13-$B$4</f>
        <v>-7.6818027646433418E-2</v>
      </c>
      <c r="K14" s="20">
        <f t="shared" si="3"/>
        <v>0.36260000000000003</v>
      </c>
      <c r="L14" s="20">
        <f t="shared" si="3"/>
        <v>-0.81740000000000013</v>
      </c>
      <c r="M14" s="20">
        <f t="shared" si="3"/>
        <v>-0.95739999999999981</v>
      </c>
      <c r="N14" s="20">
        <f t="shared" si="3"/>
        <v>-0.13739999999999997</v>
      </c>
      <c r="O14" s="20">
        <f t="shared" si="3"/>
        <v>-0.26739999999999986</v>
      </c>
      <c r="P14" s="20">
        <f t="shared" si="3"/>
        <v>1.2926000000000002</v>
      </c>
      <c r="Q14" s="20">
        <f t="shared" si="3"/>
        <v>-1.5014848214285714</v>
      </c>
      <c r="R14" s="20">
        <f t="shared" si="3"/>
        <v>-0.90219448540142566</v>
      </c>
      <c r="S14" s="20">
        <f t="shared" si="3"/>
        <v>-0.60739999999999972</v>
      </c>
      <c r="T14" s="20">
        <f t="shared" si="3"/>
        <v>-0.25326695747001082</v>
      </c>
      <c r="U14" s="20">
        <f t="shared" si="3"/>
        <v>-1.2473999999999998</v>
      </c>
      <c r="V14" s="20">
        <f t="shared" si="3"/>
        <v>-0.85739999999999994</v>
      </c>
      <c r="W14" s="20">
        <f t="shared" si="3"/>
        <v>-0.83739999999999992</v>
      </c>
    </row>
    <row r="15" spans="1:23" s="9" customFormat="1">
      <c r="A15" s="167" t="s">
        <v>49</v>
      </c>
      <c r="B15" s="159">
        <f>+(2265+203+318)/B48</f>
        <v>48.074406619290158</v>
      </c>
      <c r="C15" s="159">
        <f>3.35*6</f>
        <v>20.100000000000001</v>
      </c>
      <c r="D15" s="159">
        <f>(1936-183.7)/D48</f>
        <v>44.821280802054439</v>
      </c>
      <c r="E15" s="20">
        <f>(2961+3266)/E48/E58</f>
        <v>50.468943917217011</v>
      </c>
      <c r="F15" s="20">
        <f>46.87/E58</f>
        <v>36.310814998450574</v>
      </c>
      <c r="G15" s="20">
        <f>1233/G48</f>
        <v>25.540905842508103</v>
      </c>
      <c r="H15" s="20">
        <f>+(342.184+202.202)/H48</f>
        <v>28.295013210049927</v>
      </c>
      <c r="I15" s="20">
        <f>I67</f>
        <v>53.223167406467986</v>
      </c>
      <c r="J15" s="159">
        <f>1137.528/J$48</f>
        <v>44.006154932966282</v>
      </c>
      <c r="K15" s="20">
        <v>45.31</v>
      </c>
      <c r="L15" s="20">
        <v>31.81</v>
      </c>
      <c r="M15" s="20">
        <v>31.93</v>
      </c>
      <c r="N15" s="20">
        <f>+(2377.528+286.354+300.845)/N48</f>
        <v>46.398410988489317</v>
      </c>
      <c r="O15" s="20">
        <f>+(991.365)/O48</f>
        <v>16.407034829356292</v>
      </c>
      <c r="P15" s="20">
        <f>P67</f>
        <v>44.930232558139529</v>
      </c>
      <c r="Q15" s="20">
        <f>1447/Q48</f>
        <v>38.010594982706536</v>
      </c>
      <c r="R15" s="20">
        <f>655.8/R48</f>
        <v>42.145546347472745</v>
      </c>
      <c r="S15" s="20">
        <f>679/S48</f>
        <v>38.210467079347218</v>
      </c>
      <c r="T15" s="20">
        <f>1100/T48</f>
        <v>35.570118944321983</v>
      </c>
      <c r="U15" s="20">
        <f>U67</f>
        <v>46.197042253521126</v>
      </c>
      <c r="V15" s="20">
        <v>43.12</v>
      </c>
      <c r="W15" s="20">
        <f>W67</f>
        <v>13.258472303952926</v>
      </c>
    </row>
    <row r="16" spans="1:23" s="9" customFormat="1">
      <c r="A16" s="167"/>
      <c r="B16" s="20"/>
      <c r="C16" s="20"/>
      <c r="D16" s="20"/>
      <c r="E16" s="20"/>
      <c r="F16" s="20"/>
      <c r="G16" s="20"/>
      <c r="H16" s="20"/>
      <c r="I16" s="20"/>
      <c r="J16" s="20"/>
      <c r="K16" s="20"/>
      <c r="L16" s="20"/>
      <c r="M16" s="20"/>
      <c r="N16" s="20"/>
      <c r="O16" s="20"/>
      <c r="P16" s="20"/>
      <c r="Q16" s="20"/>
      <c r="R16" s="20"/>
      <c r="S16" s="20"/>
      <c r="T16" s="20"/>
      <c r="U16" s="20"/>
      <c r="V16" s="20"/>
      <c r="W16" s="20"/>
    </row>
    <row r="17" spans="1:24" s="9" customFormat="1">
      <c r="A17" s="167" t="s">
        <v>4</v>
      </c>
      <c r="B17" s="20"/>
      <c r="C17" s="20"/>
      <c r="D17" s="20"/>
      <c r="E17" s="20"/>
      <c r="F17" s="20"/>
      <c r="G17" s="20"/>
      <c r="H17" s="20"/>
      <c r="I17" s="20"/>
      <c r="J17" s="20"/>
      <c r="K17" s="20"/>
      <c r="L17" s="20"/>
      <c r="M17" s="20"/>
      <c r="N17" s="20"/>
      <c r="O17" s="20"/>
      <c r="P17" s="20"/>
      <c r="Q17" s="20"/>
      <c r="R17" s="20"/>
      <c r="S17" s="20"/>
      <c r="T17" s="20"/>
      <c r="U17" s="20"/>
      <c r="V17" s="20"/>
      <c r="W17" s="20"/>
    </row>
    <row r="18" spans="1:24" s="9" customFormat="1">
      <c r="A18" s="166" t="s">
        <v>75</v>
      </c>
      <c r="B18" s="20">
        <f>+(275+209)/B48</f>
        <v>8.3517633897115715</v>
      </c>
      <c r="C18" s="20">
        <f>+(1.79+0.14+0.3-0.07)*6</f>
        <v>12.96</v>
      </c>
      <c r="D18" s="20">
        <f>(356+82)/D48</f>
        <v>11.203401809792755</v>
      </c>
      <c r="E18" s="20">
        <f>(749+705+855+323)/E48/E58</f>
        <v>21.3319833611876</v>
      </c>
      <c r="F18" s="20">
        <f>(5.59+7.66)/E58</f>
        <v>10.264951967771925</v>
      </c>
      <c r="G18" s="20">
        <f>+(138+340)/G48</f>
        <v>9.9015028326998173</v>
      </c>
      <c r="H18" s="20">
        <f>+(79.215+51.933)/H48</f>
        <v>6.8165500076629968</v>
      </c>
      <c r="I18" s="20">
        <f>(1313)/I48</f>
        <v>13.724069209167499</v>
      </c>
      <c r="J18" s="20">
        <f>(90.171+47.254)/J48</f>
        <v>5.316392951789223</v>
      </c>
      <c r="K18" s="20">
        <f>(130+9)/K48</f>
        <v>6.6714092867361163</v>
      </c>
      <c r="L18" s="20">
        <f>(269+224)/L48</f>
        <v>10.401758241758241</v>
      </c>
      <c r="M18" s="20">
        <f>3.86+7.73</f>
        <v>11.59</v>
      </c>
      <c r="N18" s="20">
        <f>+(314.604+177.797+109.169)/N48</f>
        <v>9.4146584486010063</v>
      </c>
      <c r="O18" s="20">
        <f>+(194.751+187.158+46.16+27.457)/O48</f>
        <v>7.5389296048149292</v>
      </c>
      <c r="P18" s="20">
        <f>(241+163)/P48</f>
        <v>16.742528370435348</v>
      </c>
      <c r="Q18" s="20">
        <f>(205+126)/Q48</f>
        <v>8.6948907666039137</v>
      </c>
      <c r="R18" s="20">
        <f>136.589/R48</f>
        <v>8.7780085850182292</v>
      </c>
      <c r="S18" s="20">
        <f>+(73+83)/S48</f>
        <v>8.7788407428249862</v>
      </c>
      <c r="T18" s="20">
        <f>+(132+100+10+7)/T48</f>
        <v>8.0517814701237942</v>
      </c>
      <c r="U18" s="20">
        <v>12.26</v>
      </c>
      <c r="V18" s="20">
        <f>0.79+3.05+4.61-0.3</f>
        <v>8.1499999999999986</v>
      </c>
      <c r="W18" s="20">
        <f>215/W48</f>
        <v>5.5008315210438798</v>
      </c>
    </row>
    <row r="19" spans="1:24" s="9" customFormat="1">
      <c r="A19" s="166" t="s">
        <v>74</v>
      </c>
      <c r="B19" s="20"/>
      <c r="C19" s="20"/>
      <c r="D19" s="20"/>
      <c r="E19" s="20">
        <f>437/E48/E58</f>
        <v>3.5418224653643549</v>
      </c>
      <c r="F19" s="20">
        <f>4.55/E58</f>
        <v>3.5249457700650759</v>
      </c>
      <c r="G19" s="20"/>
      <c r="H19" s="20"/>
      <c r="I19" s="20"/>
      <c r="J19" s="20"/>
      <c r="K19" s="20"/>
      <c r="L19" s="20"/>
      <c r="M19" s="20"/>
      <c r="N19" s="20"/>
      <c r="O19" s="20"/>
      <c r="P19" s="20"/>
      <c r="Q19" s="20"/>
      <c r="R19" s="20"/>
      <c r="S19" s="20"/>
      <c r="T19" s="20"/>
      <c r="U19" s="20"/>
      <c r="V19" s="20"/>
      <c r="W19" s="20"/>
    </row>
    <row r="20" spans="1:24" s="9" customFormat="1">
      <c r="A20" s="166" t="s">
        <v>10</v>
      </c>
      <c r="B20" s="20">
        <f>(201-11.754)/B48</f>
        <v>3.2655739967961903</v>
      </c>
      <c r="C20" s="20">
        <f>0.11*6</f>
        <v>0.66</v>
      </c>
      <c r="D20" s="20">
        <f>49/D48</f>
        <v>1.2533486042918836</v>
      </c>
      <c r="E20" s="20"/>
      <c r="F20" s="20">
        <f>0.01/E58</f>
        <v>7.7471335605825845E-3</v>
      </c>
      <c r="G20" s="20">
        <f>26/G48</f>
        <v>0.53857546788743771</v>
      </c>
      <c r="H20" s="20">
        <f>27.93/H48</f>
        <v>1.4516900121544172</v>
      </c>
      <c r="I20" s="20">
        <f>273/I48</f>
        <v>2.8535193405199748</v>
      </c>
      <c r="J20" s="20">
        <f>83.595/J48</f>
        <v>3.2339375572480997</v>
      </c>
      <c r="K20" s="20">
        <f>70/K48</f>
        <v>3.3597025185002027</v>
      </c>
      <c r="L20" s="20">
        <f>(67+12)/L48</f>
        <v>1.6668131868131868</v>
      </c>
      <c r="M20" s="20">
        <v>1.1299999999999999</v>
      </c>
      <c r="N20" s="20">
        <f>194.268/N48</f>
        <v>3.040322601680304</v>
      </c>
      <c r="O20" s="20">
        <f>20.406/O48</f>
        <v>0.33771814894397567</v>
      </c>
      <c r="P20" s="20">
        <f>42/P48</f>
        <v>1.7405598800947637</v>
      </c>
      <c r="Q20" s="20">
        <f>65/Q48</f>
        <v>1.707455890722823</v>
      </c>
      <c r="R20" s="20">
        <f>12.876/R48</f>
        <v>0.82748712224772647</v>
      </c>
      <c r="S20" s="20">
        <f>27/S48</f>
        <v>1.5194147439504784</v>
      </c>
      <c r="T20" s="20">
        <f>50/T48</f>
        <v>1.616823588378272</v>
      </c>
      <c r="U20" s="20">
        <v>1.86</v>
      </c>
      <c r="V20" s="20">
        <v>2.35</v>
      </c>
      <c r="W20" s="20">
        <f>+(0.06+0.034)*6</f>
        <v>0.56400000000000006</v>
      </c>
    </row>
    <row r="21" spans="1:24" s="9" customFormat="1">
      <c r="A21" s="166" t="s">
        <v>11</v>
      </c>
      <c r="B21" s="20">
        <f>+(288-14.035)/B48</f>
        <v>4.7274604484758891</v>
      </c>
      <c r="C21" s="20">
        <f>(0.15*6)+(13.204/C48)</f>
        <v>1.2455440540623788</v>
      </c>
      <c r="D21" s="20">
        <f>117/D48</f>
        <v>2.9926895245336809</v>
      </c>
      <c r="E21" s="20">
        <f>(76+175)/E48/E58</f>
        <v>2.0343190819369634</v>
      </c>
      <c r="F21" s="20">
        <f>(109)/F48/E58</f>
        <v>1.7893926118666965</v>
      </c>
      <c r="G21" s="20">
        <f>91/G48</f>
        <v>1.8850141376060321</v>
      </c>
      <c r="H21" s="20">
        <f>+(19.739+19.537+3.095+5.598)/H48</f>
        <v>2.4932373144659943</v>
      </c>
      <c r="I21" s="20">
        <f>118/I48</f>
        <v>1.2333893120196229</v>
      </c>
      <c r="J21" s="20">
        <f>47.174/J48</f>
        <v>1.8249628605254125</v>
      </c>
      <c r="K21" s="20">
        <f>72/K48</f>
        <v>3.4556940190287797</v>
      </c>
      <c r="L21" s="20">
        <f>(153)/L48</f>
        <v>3.228131868131868</v>
      </c>
      <c r="M21" s="20">
        <f>(109+99-56)/M48</f>
        <v>4.9447296338948208</v>
      </c>
      <c r="N21" s="20">
        <f>104.083/N48</f>
        <v>1.6289141667731746</v>
      </c>
      <c r="O21" s="20">
        <f>40.484/O48</f>
        <v>0.67000791638968504</v>
      </c>
      <c r="P21" s="20">
        <f>(129-3)/P48</f>
        <v>5.2216796402842913</v>
      </c>
      <c r="Q21" s="20">
        <f>105/Q48</f>
        <v>2.7581979773214833</v>
      </c>
      <c r="R21" s="20">
        <f>57.8/R48</f>
        <v>3.7145662989995798</v>
      </c>
      <c r="S21" s="20">
        <f>51/S48</f>
        <v>2.8700056274620147</v>
      </c>
      <c r="T21" s="20">
        <f>(105-4.98)/T48</f>
        <v>3.2342939061918949</v>
      </c>
      <c r="U21" s="20">
        <v>2.96</v>
      </c>
      <c r="V21" s="20">
        <f>95/V48</f>
        <v>3.1856709281740638</v>
      </c>
      <c r="W21" s="20">
        <f>0.19*6</f>
        <v>1.1400000000000001</v>
      </c>
    </row>
    <row r="22" spans="1:24" s="9" customFormat="1">
      <c r="A22" s="166" t="s">
        <v>12</v>
      </c>
      <c r="B22" s="20">
        <f>+(237-44.389)/B48</f>
        <v>3.3236394592060647</v>
      </c>
      <c r="C22" s="20">
        <f>54.388/C48</f>
        <v>1.42331490550929</v>
      </c>
      <c r="D22" s="20">
        <f>(94)/D48</f>
        <v>2.4043830368048376</v>
      </c>
      <c r="E22" s="20">
        <f>190/E48/E58</f>
        <v>1.5399228110279803</v>
      </c>
      <c r="F22" s="20">
        <f>134/F48/E58</f>
        <v>2.1998037613774066</v>
      </c>
      <c r="G22" s="20">
        <f>117/G48</f>
        <v>2.4235896054934698</v>
      </c>
      <c r="H22" s="20">
        <f>16.895/H48</f>
        <v>0.87813472092190747</v>
      </c>
      <c r="I22" s="20">
        <f>177/I48</f>
        <v>1.8500839680294343</v>
      </c>
      <c r="J22" s="20">
        <f>74.288/J48</f>
        <v>2.8738890274878499</v>
      </c>
      <c r="K22" s="20">
        <f>27/K48</f>
        <v>1.2958852571357924</v>
      </c>
      <c r="L22" s="20">
        <f>(81)/L48</f>
        <v>1.709010989010989</v>
      </c>
      <c r="M22" s="20">
        <f>81/M48</f>
        <v>2.6350203970097401</v>
      </c>
      <c r="N22" s="20">
        <f>63.444/N48</f>
        <v>0.99290787541440295</v>
      </c>
      <c r="O22" s="20">
        <f>+(77.004-20.683-2.38)/O48</f>
        <v>0.89272050731093766</v>
      </c>
      <c r="P22" s="20">
        <f>(98+5-15)/P48</f>
        <v>3.6468873678176004</v>
      </c>
      <c r="Q22" s="20">
        <f>(65)/Q48</f>
        <v>1.707455890722823</v>
      </c>
      <c r="R22" s="20">
        <f>+(79.279+2.377-(35.666+1.139))/R48</f>
        <v>2.8823877694884108</v>
      </c>
      <c r="S22" s="20">
        <f>37/S48</f>
        <v>2.0821609454136185</v>
      </c>
      <c r="T22" s="20">
        <f>+(91-4.143)/T48</f>
        <v>2.8086489283154314</v>
      </c>
      <c r="U22" s="20">
        <f>97/U48</f>
        <v>1.668128428691809</v>
      </c>
      <c r="V22" s="20">
        <f>32/V48</f>
        <v>1.0730681021217898</v>
      </c>
      <c r="W22" s="20">
        <f>+(59)/W48</f>
        <v>1.5095305104259948</v>
      </c>
    </row>
    <row r="23" spans="1:24" s="9" customFormat="1">
      <c r="A23" s="166" t="s">
        <v>13</v>
      </c>
      <c r="B23" s="20">
        <f>+(1003-78.792)/B48</f>
        <v>15.947864749749073</v>
      </c>
      <c r="C23" s="20">
        <f>202.283/C48</f>
        <v>5.2936752414344284</v>
      </c>
      <c r="D23" s="20">
        <f>573/D48</f>
        <v>14.656505107331617</v>
      </c>
      <c r="E23" s="20">
        <f>(894+372)/E48/E58</f>
        <v>10.260748835586437</v>
      </c>
      <c r="F23" s="20">
        <f>(383+107)/F48/E58</f>
        <v>8.0440585304099201</v>
      </c>
      <c r="G23" s="20">
        <f>271/G48</f>
        <v>5.6136135306729082</v>
      </c>
      <c r="H23" s="20">
        <f>145.441/H48</f>
        <v>7.559443145640909</v>
      </c>
      <c r="I23" s="20">
        <f>1438/I48</f>
        <v>15.030625683764557</v>
      </c>
      <c r="J23" s="20">
        <f>447.2/J48</f>
        <v>17.300279629180572</v>
      </c>
      <c r="K23" s="20">
        <f>310/K48</f>
        <v>14.878682581929469</v>
      </c>
      <c r="L23" s="20">
        <f>+(420)/L48</f>
        <v>8.8615384615384603</v>
      </c>
      <c r="M23" s="20">
        <f>(85+202)/M48</f>
        <v>9.3364302955777205</v>
      </c>
      <c r="N23" s="20">
        <f>848.674/N48</f>
        <v>13.281872174822567</v>
      </c>
      <c r="O23" s="20">
        <f>374.782/O48</f>
        <v>6.2026209594002299</v>
      </c>
      <c r="P23" s="20">
        <f>407/P48</f>
        <v>16.8668540761564</v>
      </c>
      <c r="Q23" s="20">
        <f>612/Q48</f>
        <v>16.076353924959502</v>
      </c>
      <c r="R23" s="20">
        <f>237.997/R48</f>
        <v>15.295080198321854</v>
      </c>
      <c r="S23" s="20">
        <f>151/S48</f>
        <v>8.4974676420934152</v>
      </c>
      <c r="T23" s="20">
        <f>+(465-16.371)/T48</f>
        <v>14.507078992611115</v>
      </c>
      <c r="U23" s="20">
        <v>13.48</v>
      </c>
      <c r="V23" s="20">
        <f>378/V48</f>
        <v>12.675616956313643</v>
      </c>
      <c r="W23" s="20">
        <f>126/W48</f>
        <v>3.2237431239605994</v>
      </c>
    </row>
    <row r="24" spans="1:24" s="9" customFormat="1">
      <c r="A24" s="166"/>
      <c r="B24" s="20"/>
      <c r="C24" s="20"/>
      <c r="D24" s="20"/>
      <c r="E24" s="20"/>
      <c r="F24" s="20"/>
      <c r="G24" s="20"/>
      <c r="H24" s="20"/>
      <c r="I24" s="20"/>
      <c r="J24" s="20"/>
      <c r="K24" s="20"/>
      <c r="L24" s="20"/>
      <c r="M24" s="20"/>
      <c r="N24" s="20"/>
      <c r="O24" s="20"/>
      <c r="P24" s="20"/>
      <c r="Q24" s="20"/>
      <c r="R24" s="20"/>
      <c r="S24" s="20"/>
      <c r="T24" s="20"/>
      <c r="U24" s="20"/>
      <c r="V24" s="20"/>
      <c r="W24" s="20"/>
    </row>
    <row r="25" spans="1:24" s="9" customFormat="1">
      <c r="A25" s="167" t="s">
        <v>9</v>
      </c>
      <c r="B25" s="19"/>
      <c r="C25" s="19"/>
      <c r="D25" s="19"/>
      <c r="E25" s="19"/>
      <c r="F25" s="19"/>
      <c r="G25" s="19"/>
      <c r="H25" s="19"/>
      <c r="I25" s="19"/>
      <c r="J25" s="19"/>
      <c r="K25" s="19"/>
      <c r="L25" s="19"/>
      <c r="M25" s="19"/>
      <c r="N25" s="19"/>
      <c r="O25" s="19"/>
      <c r="P25" s="19"/>
      <c r="Q25" s="19"/>
      <c r="R25" s="19"/>
      <c r="S25" s="19"/>
      <c r="T25" s="19"/>
      <c r="U25" s="19"/>
      <c r="V25" s="19"/>
      <c r="W25" s="19"/>
    </row>
    <row r="26" spans="1:24" s="9" customFormat="1">
      <c r="A26" s="166" t="s">
        <v>165</v>
      </c>
      <c r="B26" s="20">
        <f>+B18+B20</f>
        <v>11.617337386507762</v>
      </c>
      <c r="C26" s="20">
        <f>+C18+C20</f>
        <v>13.620000000000001</v>
      </c>
      <c r="D26" s="20">
        <f>+D18+D20</f>
        <v>12.456750414084638</v>
      </c>
      <c r="E26" s="20">
        <f>+E18+E20+E19</f>
        <v>24.873805826551955</v>
      </c>
      <c r="F26" s="20">
        <f>+F18+F20+F19</f>
        <v>13.797644871397583</v>
      </c>
      <c r="G26" s="20">
        <f>+G18+G20+G19</f>
        <v>10.440078300587254</v>
      </c>
      <c r="H26" s="20">
        <f>+H18+H20</f>
        <v>8.268240019817414</v>
      </c>
      <c r="I26" s="20">
        <f>+I18+I20</f>
        <v>16.577588549687473</v>
      </c>
      <c r="J26" s="20">
        <f t="shared" ref="J26:W26" si="5">+J18+J20</f>
        <v>8.5503305090373232</v>
      </c>
      <c r="K26" s="20">
        <f>+K18+K20</f>
        <v>10.03111180523632</v>
      </c>
      <c r="L26" s="20">
        <f t="shared" si="5"/>
        <v>12.068571428571428</v>
      </c>
      <c r="M26" s="20">
        <f t="shared" si="5"/>
        <v>12.719999999999999</v>
      </c>
      <c r="N26" s="20">
        <f t="shared" si="5"/>
        <v>12.45498105028131</v>
      </c>
      <c r="O26" s="20">
        <f t="shared" si="5"/>
        <v>7.8766477537589052</v>
      </c>
      <c r="P26" s="20">
        <f t="shared" si="5"/>
        <v>18.483088250530113</v>
      </c>
      <c r="Q26" s="20">
        <f t="shared" si="5"/>
        <v>10.402346657326737</v>
      </c>
      <c r="R26" s="20">
        <f t="shared" si="5"/>
        <v>9.6054957072659555</v>
      </c>
      <c r="S26" s="20">
        <f t="shared" si="5"/>
        <v>10.298255486775464</v>
      </c>
      <c r="T26" s="20">
        <f t="shared" si="5"/>
        <v>9.6686050585020666</v>
      </c>
      <c r="U26" s="20">
        <f t="shared" si="5"/>
        <v>14.12</v>
      </c>
      <c r="V26" s="20">
        <f t="shared" si="5"/>
        <v>10.499999999999998</v>
      </c>
      <c r="W26" s="20">
        <f t="shared" si="5"/>
        <v>6.0648315210438799</v>
      </c>
    </row>
    <row r="27" spans="1:24" s="9" customFormat="1">
      <c r="A27" s="166" t="s">
        <v>6</v>
      </c>
      <c r="B27" s="20">
        <f t="shared" ref="B27:W29" si="6">+B26+B21</f>
        <v>16.344797834983652</v>
      </c>
      <c r="C27" s="20">
        <f t="shared" si="6"/>
        <v>14.865544054062379</v>
      </c>
      <c r="D27" s="20">
        <f t="shared" si="6"/>
        <v>15.449439938618319</v>
      </c>
      <c r="E27" s="20">
        <f>+E26+E21</f>
        <v>26.908124908488919</v>
      </c>
      <c r="F27" s="20">
        <f>+F26+F21</f>
        <v>15.587037483264281</v>
      </c>
      <c r="G27" s="20">
        <f>+G26+G21</f>
        <v>12.325092438193286</v>
      </c>
      <c r="H27" s="20">
        <f t="shared" ref="F27:H29" si="7">+H26+H21</f>
        <v>10.761477334283409</v>
      </c>
      <c r="I27" s="20">
        <f>+I26+I21</f>
        <v>17.810977861707094</v>
      </c>
      <c r="J27" s="20">
        <f t="shared" si="6"/>
        <v>10.375293369562735</v>
      </c>
      <c r="K27" s="20">
        <f>+K26+K21</f>
        <v>13.486805824265099</v>
      </c>
      <c r="L27" s="20">
        <f t="shared" si="6"/>
        <v>15.296703296703296</v>
      </c>
      <c r="M27" s="20">
        <f t="shared" si="6"/>
        <v>17.664729633894819</v>
      </c>
      <c r="N27" s="20">
        <f t="shared" si="6"/>
        <v>14.083895217054485</v>
      </c>
      <c r="O27" s="20">
        <f t="shared" si="6"/>
        <v>8.5466556701485903</v>
      </c>
      <c r="P27" s="20">
        <f t="shared" si="6"/>
        <v>23.704767890814402</v>
      </c>
      <c r="Q27" s="20">
        <f t="shared" si="6"/>
        <v>13.16054463464822</v>
      </c>
      <c r="R27" s="20">
        <f t="shared" si="6"/>
        <v>13.320062006265536</v>
      </c>
      <c r="S27" s="20">
        <f t="shared" si="6"/>
        <v>13.168261114237477</v>
      </c>
      <c r="T27" s="20">
        <f t="shared" si="6"/>
        <v>12.902898964693961</v>
      </c>
      <c r="U27" s="20">
        <f t="shared" si="6"/>
        <v>17.079999999999998</v>
      </c>
      <c r="V27" s="20">
        <f t="shared" si="6"/>
        <v>13.685670928174062</v>
      </c>
      <c r="W27" s="20">
        <f t="shared" si="6"/>
        <v>7.2048315210438805</v>
      </c>
    </row>
    <row r="28" spans="1:24" s="9" customFormat="1">
      <c r="A28" s="166" t="s">
        <v>7</v>
      </c>
      <c r="B28" s="20">
        <f t="shared" si="6"/>
        <v>19.668437294189715</v>
      </c>
      <c r="C28" s="20">
        <f t="shared" si="6"/>
        <v>16.28885895957167</v>
      </c>
      <c r="D28" s="20">
        <f t="shared" si="6"/>
        <v>17.853822975423157</v>
      </c>
      <c r="E28" s="20">
        <f t="shared" si="6"/>
        <v>28.4480477195169</v>
      </c>
      <c r="F28" s="20">
        <f t="shared" si="7"/>
        <v>17.786841244641685</v>
      </c>
      <c r="G28" s="20">
        <f t="shared" si="7"/>
        <v>14.748682043686756</v>
      </c>
      <c r="H28" s="20">
        <f t="shared" si="7"/>
        <v>11.639612055205317</v>
      </c>
      <c r="I28" s="20">
        <f>+I27+I22</f>
        <v>19.661061829736528</v>
      </c>
      <c r="J28" s="20">
        <f t="shared" si="6"/>
        <v>13.249182397050586</v>
      </c>
      <c r="K28" s="20">
        <f>+K27+K22</f>
        <v>14.782691081400891</v>
      </c>
      <c r="L28" s="20">
        <f t="shared" si="6"/>
        <v>17.005714285714284</v>
      </c>
      <c r="M28" s="20">
        <f t="shared" si="6"/>
        <v>20.299750030904558</v>
      </c>
      <c r="N28" s="20">
        <f t="shared" si="6"/>
        <v>15.076803092468888</v>
      </c>
      <c r="O28" s="20">
        <f t="shared" si="6"/>
        <v>9.4393761774595273</v>
      </c>
      <c r="P28" s="20">
        <f t="shared" si="6"/>
        <v>27.351655258632004</v>
      </c>
      <c r="Q28" s="20">
        <f t="shared" si="6"/>
        <v>14.868000525371043</v>
      </c>
      <c r="R28" s="20">
        <f t="shared" si="6"/>
        <v>16.202449775753948</v>
      </c>
      <c r="S28" s="20">
        <f t="shared" si="6"/>
        <v>15.250422059651097</v>
      </c>
      <c r="T28" s="20">
        <f t="shared" si="6"/>
        <v>15.711547893009392</v>
      </c>
      <c r="U28" s="20">
        <f t="shared" si="6"/>
        <v>18.748128428691807</v>
      </c>
      <c r="V28" s="20">
        <f t="shared" si="6"/>
        <v>14.758739030295851</v>
      </c>
      <c r="W28" s="20">
        <f t="shared" si="6"/>
        <v>8.7143620314698751</v>
      </c>
      <c r="X28" s="65"/>
    </row>
    <row r="29" spans="1:24" s="9" customFormat="1">
      <c r="A29" s="166" t="s">
        <v>8</v>
      </c>
      <c r="B29" s="20">
        <f t="shared" si="6"/>
        <v>35.616302043938788</v>
      </c>
      <c r="C29" s="20">
        <f t="shared" si="6"/>
        <v>21.582534201006098</v>
      </c>
      <c r="D29" s="20">
        <f t="shared" si="6"/>
        <v>32.510328082754775</v>
      </c>
      <c r="E29" s="20">
        <f t="shared" si="6"/>
        <v>38.708796555103334</v>
      </c>
      <c r="F29" s="20">
        <f t="shared" si="7"/>
        <v>25.830899775051606</v>
      </c>
      <c r="G29" s="20">
        <f t="shared" si="7"/>
        <v>20.362295574359663</v>
      </c>
      <c r="H29" s="20">
        <f t="shared" si="7"/>
        <v>19.199055200846225</v>
      </c>
      <c r="I29" s="20">
        <f>+I28+I23</f>
        <v>34.691687513501087</v>
      </c>
      <c r="J29" s="20">
        <f t="shared" si="6"/>
        <v>30.549462026231158</v>
      </c>
      <c r="K29" s="20">
        <f>+K28+K23</f>
        <v>29.661373663330359</v>
      </c>
      <c r="L29" s="20">
        <f t="shared" si="6"/>
        <v>25.867252747252742</v>
      </c>
      <c r="M29" s="20">
        <f t="shared" si="6"/>
        <v>29.636180326482279</v>
      </c>
      <c r="N29" s="20">
        <f t="shared" si="6"/>
        <v>28.358675267291453</v>
      </c>
      <c r="O29" s="20">
        <f t="shared" si="6"/>
        <v>15.641997136859757</v>
      </c>
      <c r="P29" s="20">
        <f t="shared" si="6"/>
        <v>44.218509334788408</v>
      </c>
      <c r="Q29" s="20">
        <f t="shared" si="6"/>
        <v>30.944354450330543</v>
      </c>
      <c r="R29" s="20">
        <f t="shared" si="6"/>
        <v>31.497529974075803</v>
      </c>
      <c r="S29" s="20">
        <f t="shared" si="6"/>
        <v>23.747889701744512</v>
      </c>
      <c r="T29" s="20">
        <f t="shared" si="6"/>
        <v>30.218626885620509</v>
      </c>
      <c r="U29" s="20">
        <f t="shared" si="6"/>
        <v>32.228128428691804</v>
      </c>
      <c r="V29" s="20">
        <f t="shared" si="6"/>
        <v>27.434355986609496</v>
      </c>
      <c r="W29" s="20">
        <f t="shared" si="6"/>
        <v>11.938105155430474</v>
      </c>
      <c r="X29" s="65"/>
    </row>
    <row r="30" spans="1:24" s="9" customFormat="1">
      <c r="A30" s="167"/>
      <c r="B30" s="20"/>
      <c r="C30" s="20"/>
      <c r="D30" s="20"/>
      <c r="E30" s="20"/>
      <c r="F30" s="20"/>
      <c r="G30" s="20"/>
      <c r="H30" s="20"/>
      <c r="I30" s="20"/>
      <c r="J30" s="20"/>
      <c r="K30" s="20"/>
      <c r="L30" s="20"/>
      <c r="M30" s="20"/>
      <c r="N30" s="20"/>
      <c r="O30" s="20"/>
      <c r="P30" s="20"/>
      <c r="Q30" s="20"/>
      <c r="R30" s="20"/>
      <c r="S30" s="20"/>
      <c r="T30" s="20"/>
      <c r="U30" s="20"/>
      <c r="V30" s="20"/>
      <c r="W30" s="20"/>
    </row>
    <row r="31" spans="1:24" s="9" customFormat="1">
      <c r="A31" s="166" t="s">
        <v>14</v>
      </c>
      <c r="B31" s="20"/>
      <c r="C31" s="20"/>
      <c r="D31" s="20"/>
      <c r="E31" s="20"/>
      <c r="F31" s="20"/>
      <c r="G31" s="20"/>
      <c r="H31" s="20"/>
      <c r="I31" s="20"/>
      <c r="J31" s="20"/>
      <c r="K31" s="20"/>
      <c r="L31" s="20"/>
      <c r="M31" s="20"/>
      <c r="N31" s="20"/>
      <c r="O31" s="20"/>
      <c r="P31" s="20"/>
      <c r="Q31" s="20"/>
      <c r="R31" s="20"/>
      <c r="S31" s="20"/>
      <c r="T31" s="20"/>
      <c r="U31" s="20"/>
      <c r="V31" s="20"/>
      <c r="W31" s="20"/>
    </row>
    <row r="32" spans="1:24" s="9" customFormat="1">
      <c r="A32" s="166" t="s">
        <v>67</v>
      </c>
      <c r="B32" s="20">
        <f t="shared" ref="B32:W35" si="8">+B$15-B26</f>
        <v>36.457069232782395</v>
      </c>
      <c r="C32" s="20">
        <f t="shared" si="8"/>
        <v>6.48</v>
      </c>
      <c r="D32" s="20">
        <f t="shared" si="8"/>
        <v>32.364530387969801</v>
      </c>
      <c r="E32" s="20">
        <f t="shared" si="8"/>
        <v>25.595138090665056</v>
      </c>
      <c r="F32" s="20">
        <f t="shared" si="8"/>
        <v>22.513170127052991</v>
      </c>
      <c r="G32" s="20">
        <f t="shared" si="8"/>
        <v>15.100827541920848</v>
      </c>
      <c r="H32" s="20">
        <f t="shared" si="8"/>
        <v>20.026773190232511</v>
      </c>
      <c r="I32" s="20">
        <f>+I$15-I26</f>
        <v>36.645578856780517</v>
      </c>
      <c r="J32" s="20">
        <f t="shared" si="8"/>
        <v>35.455824423928959</v>
      </c>
      <c r="K32" s="20">
        <f>+K$15-K26</f>
        <v>35.278888194763681</v>
      </c>
      <c r="L32" s="20">
        <f t="shared" si="8"/>
        <v>19.741428571428571</v>
      </c>
      <c r="M32" s="20">
        <f t="shared" si="8"/>
        <v>19.21</v>
      </c>
      <c r="N32" s="20">
        <f t="shared" si="8"/>
        <v>33.943429938208006</v>
      </c>
      <c r="O32" s="20">
        <f t="shared" si="8"/>
        <v>8.5303870755973854</v>
      </c>
      <c r="P32" s="20">
        <f t="shared" si="8"/>
        <v>26.447144307609417</v>
      </c>
      <c r="Q32" s="20">
        <f t="shared" si="8"/>
        <v>27.608248325379797</v>
      </c>
      <c r="R32" s="20">
        <f t="shared" si="8"/>
        <v>32.540050640206786</v>
      </c>
      <c r="S32" s="20">
        <f t="shared" si="8"/>
        <v>27.912211592571754</v>
      </c>
      <c r="T32" s="20">
        <f t="shared" si="8"/>
        <v>25.901513885819917</v>
      </c>
      <c r="U32" s="20">
        <f>+U$15-U26</f>
        <v>32.077042253521128</v>
      </c>
      <c r="V32" s="20">
        <f t="shared" si="8"/>
        <v>32.619999999999997</v>
      </c>
      <c r="W32" s="20">
        <f t="shared" si="8"/>
        <v>7.1936407829090463</v>
      </c>
    </row>
    <row r="33" spans="1:23" s="9" customFormat="1">
      <c r="A33" s="166" t="s">
        <v>68</v>
      </c>
      <c r="B33" s="20">
        <f t="shared" si="8"/>
        <v>31.729608784306507</v>
      </c>
      <c r="C33" s="20">
        <f t="shared" si="8"/>
        <v>5.2344559459376221</v>
      </c>
      <c r="D33" s="20">
        <f t="shared" si="8"/>
        <v>29.37184086343612</v>
      </c>
      <c r="E33" s="20">
        <f t="shared" si="8"/>
        <v>23.560819008728092</v>
      </c>
      <c r="F33" s="20">
        <f>+F$15-F27</f>
        <v>20.723777515186292</v>
      </c>
      <c r="G33" s="20">
        <f>+G$15-G27</f>
        <v>13.215813404314817</v>
      </c>
      <c r="H33" s="20">
        <f t="shared" si="8"/>
        <v>17.533535875766518</v>
      </c>
      <c r="I33" s="20">
        <f>+I$15-I27</f>
        <v>35.412189544760892</v>
      </c>
      <c r="J33" s="20">
        <f t="shared" si="8"/>
        <v>33.630861563403549</v>
      </c>
      <c r="K33" s="20">
        <f>+K$15-K27</f>
        <v>31.823194175734905</v>
      </c>
      <c r="L33" s="20">
        <f t="shared" si="8"/>
        <v>16.513296703296703</v>
      </c>
      <c r="M33" s="20">
        <f t="shared" si="8"/>
        <v>14.265270366105181</v>
      </c>
      <c r="N33" s="20">
        <f t="shared" si="8"/>
        <v>32.314515771434834</v>
      </c>
      <c r="O33" s="20">
        <f t="shared" si="8"/>
        <v>7.8603791592077012</v>
      </c>
      <c r="P33" s="20">
        <f t="shared" si="8"/>
        <v>21.225464667325127</v>
      </c>
      <c r="Q33" s="20">
        <f t="shared" si="8"/>
        <v>24.850050348058318</v>
      </c>
      <c r="R33" s="20">
        <f t="shared" si="8"/>
        <v>28.825484341207208</v>
      </c>
      <c r="S33" s="20">
        <f t="shared" si="8"/>
        <v>25.042205965109741</v>
      </c>
      <c r="T33" s="20">
        <f t="shared" si="8"/>
        <v>22.667219979628022</v>
      </c>
      <c r="U33" s="20">
        <f t="shared" si="8"/>
        <v>29.117042253521127</v>
      </c>
      <c r="V33" s="20">
        <f t="shared" si="8"/>
        <v>29.434329071825935</v>
      </c>
      <c r="W33" s="20">
        <f t="shared" si="8"/>
        <v>6.0536407829090457</v>
      </c>
    </row>
    <row r="34" spans="1:23" s="9" customFormat="1">
      <c r="A34" s="166" t="s">
        <v>69</v>
      </c>
      <c r="B34" s="20">
        <f t="shared" si="8"/>
        <v>28.405969325100443</v>
      </c>
      <c r="C34" s="20">
        <f t="shared" si="8"/>
        <v>3.8111410404283319</v>
      </c>
      <c r="D34" s="20">
        <f t="shared" si="8"/>
        <v>26.967457826631282</v>
      </c>
      <c r="E34" s="20">
        <f t="shared" si="8"/>
        <v>22.020896197700111</v>
      </c>
      <c r="F34" s="20">
        <f t="shared" si="8"/>
        <v>18.523973753808889</v>
      </c>
      <c r="G34" s="20">
        <f t="shared" si="8"/>
        <v>10.792223798821347</v>
      </c>
      <c r="H34" s="20">
        <f>+H$15-H28</f>
        <v>16.655401154844611</v>
      </c>
      <c r="I34" s="20">
        <f>+I$15-I28</f>
        <v>33.562105576731454</v>
      </c>
      <c r="J34" s="20">
        <f t="shared" si="8"/>
        <v>30.756972535915697</v>
      </c>
      <c r="K34" s="20">
        <f>+K$15-K28</f>
        <v>30.527308918599111</v>
      </c>
      <c r="L34" s="20">
        <f t="shared" si="8"/>
        <v>14.804285714285715</v>
      </c>
      <c r="M34" s="20">
        <f t="shared" si="8"/>
        <v>11.630249969095441</v>
      </c>
      <c r="N34" s="20">
        <f t="shared" si="8"/>
        <v>31.321607896020431</v>
      </c>
      <c r="O34" s="20">
        <f t="shared" si="8"/>
        <v>6.9676586518967643</v>
      </c>
      <c r="P34" s="20">
        <f t="shared" si="8"/>
        <v>17.578577299507526</v>
      </c>
      <c r="Q34" s="20">
        <f t="shared" si="8"/>
        <v>23.142594457335491</v>
      </c>
      <c r="R34" s="20">
        <f t="shared" si="8"/>
        <v>25.943096571718797</v>
      </c>
      <c r="S34" s="20">
        <f t="shared" si="8"/>
        <v>22.960045019696121</v>
      </c>
      <c r="T34" s="20">
        <f t="shared" si="8"/>
        <v>19.858571051312591</v>
      </c>
      <c r="U34" s="20">
        <f t="shared" si="8"/>
        <v>27.448913824829319</v>
      </c>
      <c r="V34" s="20">
        <f t="shared" si="8"/>
        <v>28.361260969704148</v>
      </c>
      <c r="W34" s="20">
        <f t="shared" si="8"/>
        <v>4.5441102724830511</v>
      </c>
    </row>
    <row r="35" spans="1:23" s="9" customFormat="1">
      <c r="A35" s="166" t="s">
        <v>70</v>
      </c>
      <c r="B35" s="20">
        <f t="shared" si="8"/>
        <v>12.458104575351371</v>
      </c>
      <c r="C35" s="20">
        <f t="shared" si="8"/>
        <v>-1.4825342010060965</v>
      </c>
      <c r="D35" s="20">
        <f t="shared" si="8"/>
        <v>12.310952719299664</v>
      </c>
      <c r="E35" s="20">
        <f t="shared" si="8"/>
        <v>11.760147362113678</v>
      </c>
      <c r="F35" s="20">
        <f t="shared" si="8"/>
        <v>10.479915223398969</v>
      </c>
      <c r="G35" s="20">
        <f t="shared" si="8"/>
        <v>5.1786102681484394</v>
      </c>
      <c r="H35" s="20">
        <f t="shared" si="8"/>
        <v>9.0959580092037022</v>
      </c>
      <c r="I35" s="20">
        <f>+I$15-I29</f>
        <v>18.5314798929669</v>
      </c>
      <c r="J35" s="20">
        <f t="shared" si="8"/>
        <v>13.456692906735125</v>
      </c>
      <c r="K35" s="20">
        <f>+K$15-K29</f>
        <v>15.648626336669643</v>
      </c>
      <c r="L35" s="20">
        <f t="shared" si="8"/>
        <v>5.9427472527472567</v>
      </c>
      <c r="M35" s="20">
        <f t="shared" si="8"/>
        <v>2.2938196735177208</v>
      </c>
      <c r="N35" s="20">
        <f t="shared" si="8"/>
        <v>18.039735721197864</v>
      </c>
      <c r="O35" s="20">
        <f t="shared" si="8"/>
        <v>0.76503769249653431</v>
      </c>
      <c r="P35" s="20">
        <f t="shared" si="8"/>
        <v>0.7117232233511217</v>
      </c>
      <c r="Q35" s="20">
        <f t="shared" si="8"/>
        <v>7.0662405323759927</v>
      </c>
      <c r="R35" s="20">
        <f t="shared" si="8"/>
        <v>10.648016373396942</v>
      </c>
      <c r="S35" s="20">
        <f t="shared" si="8"/>
        <v>14.462577377602706</v>
      </c>
      <c r="T35" s="20">
        <f t="shared" si="8"/>
        <v>5.3514920587014743</v>
      </c>
      <c r="U35" s="20">
        <f t="shared" si="8"/>
        <v>13.968913824829322</v>
      </c>
      <c r="V35" s="20">
        <f t="shared" si="8"/>
        <v>15.685644013390501</v>
      </c>
      <c r="W35" s="20">
        <f t="shared" si="8"/>
        <v>1.3203671485224522</v>
      </c>
    </row>
    <row r="36" spans="1:23" s="9" customFormat="1">
      <c r="A36" s="166" t="s">
        <v>112</v>
      </c>
      <c r="B36" s="20">
        <f>+B15-B18-B19-B20-B21</f>
        <v>31.729608784306507</v>
      </c>
      <c r="C36" s="20">
        <f>+C15-C18-C19-C20-C21</f>
        <v>5.2344559459376221</v>
      </c>
      <c r="D36" s="20">
        <f t="shared" ref="D36:W36" si="9">+D15-D18-D19-D20-D21</f>
        <v>29.371840863436113</v>
      </c>
      <c r="E36" s="20">
        <f t="shared" si="9"/>
        <v>23.560819008728092</v>
      </c>
      <c r="F36" s="20">
        <f>+F15-F18-F19-F20-F21</f>
        <v>20.723777515186296</v>
      </c>
      <c r="G36" s="20">
        <f>+G15-G18-G19-G20-G21</f>
        <v>13.215813404314817</v>
      </c>
      <c r="H36" s="20">
        <f t="shared" si="9"/>
        <v>17.533535875766518</v>
      </c>
      <c r="I36" s="20">
        <f>+I15-I18-I19-I20-I21</f>
        <v>35.412189544760885</v>
      </c>
      <c r="J36" s="20">
        <f t="shared" si="9"/>
        <v>33.630861563403549</v>
      </c>
      <c r="K36" s="20">
        <f>+K15-K18-K19-K20-K21</f>
        <v>31.823194175734908</v>
      </c>
      <c r="L36" s="20">
        <f t="shared" si="9"/>
        <v>16.513296703296703</v>
      </c>
      <c r="M36" s="20">
        <f t="shared" si="9"/>
        <v>14.265270366105181</v>
      </c>
      <c r="N36" s="20">
        <f t="shared" si="9"/>
        <v>32.314515771434841</v>
      </c>
      <c r="O36" s="20">
        <f t="shared" si="9"/>
        <v>7.8603791592077021</v>
      </c>
      <c r="P36" s="20">
        <f>+P15-P18-P19-P20-P21</f>
        <v>21.225464667325127</v>
      </c>
      <c r="Q36" s="20">
        <f t="shared" si="9"/>
        <v>24.850050348058318</v>
      </c>
      <c r="R36" s="20">
        <f t="shared" si="9"/>
        <v>28.825484341207215</v>
      </c>
      <c r="S36" s="20">
        <f t="shared" si="9"/>
        <v>25.042205965109741</v>
      </c>
      <c r="T36" s="20">
        <f t="shared" si="9"/>
        <v>22.667219979628026</v>
      </c>
      <c r="U36" s="20">
        <f t="shared" si="9"/>
        <v>29.117042253521127</v>
      </c>
      <c r="V36" s="20">
        <f t="shared" si="9"/>
        <v>29.434329071825935</v>
      </c>
      <c r="W36" s="20">
        <f t="shared" si="9"/>
        <v>6.0536407829090457</v>
      </c>
    </row>
    <row r="37" spans="1:23" s="9" customFormat="1">
      <c r="A37" s="166" t="s">
        <v>105</v>
      </c>
      <c r="B37" s="136">
        <f>+(B34+B22)/B22</f>
        <v>9.5466458301966135</v>
      </c>
      <c r="C37" s="136">
        <f>+(C34+C22)/C22</f>
        <v>3.6776513234537029</v>
      </c>
      <c r="D37" s="136">
        <f t="shared" ref="D37:W37" si="10">+(D34+D22)/D22</f>
        <v>12.215957446808511</v>
      </c>
      <c r="E37" s="136">
        <f t="shared" si="10"/>
        <v>15.299999999999995</v>
      </c>
      <c r="F37" s="136">
        <f t="shared" si="10"/>
        <v>9.4207391945771146</v>
      </c>
      <c r="G37" s="136">
        <f t="shared" si="10"/>
        <v>5.4529914529914523</v>
      </c>
      <c r="H37" s="136">
        <f t="shared" si="10"/>
        <v>19.966794909736606</v>
      </c>
      <c r="I37" s="136">
        <f>+(I34+I22)/I22</f>
        <v>19.140855310734466</v>
      </c>
      <c r="J37" s="136">
        <f t="shared" si="10"/>
        <v>11.702213008830499</v>
      </c>
      <c r="K37" s="136">
        <f>+(K34+K22)/K22</f>
        <v>24.557107969629627</v>
      </c>
      <c r="L37" s="136">
        <f t="shared" si="10"/>
        <v>9.6624871399176957</v>
      </c>
      <c r="M37" s="136">
        <f t="shared" si="10"/>
        <v>5.4137229382716052</v>
      </c>
      <c r="N37" s="136">
        <f t="shared" si="10"/>
        <v>32.545331315806067</v>
      </c>
      <c r="O37" s="136">
        <f t="shared" si="10"/>
        <v>8.804972099145365</v>
      </c>
      <c r="P37" s="136">
        <f>+(P34+P22)/P22</f>
        <v>5.8201590909090894</v>
      </c>
      <c r="Q37" s="136">
        <f t="shared" si="10"/>
        <v>14.553846153846152</v>
      </c>
      <c r="R37" s="136">
        <f t="shared" si="10"/>
        <v>10.000557401172774</v>
      </c>
      <c r="S37" s="136">
        <f t="shared" si="10"/>
        <v>12.02702702702703</v>
      </c>
      <c r="T37" s="136">
        <f t="shared" si="10"/>
        <v>8.0705066949123268</v>
      </c>
      <c r="U37" s="136">
        <f t="shared" si="10"/>
        <v>17.454916391752576</v>
      </c>
      <c r="V37" s="136">
        <f>+(V34+V22)/V22</f>
        <v>27.430066193958336</v>
      </c>
      <c r="W37" s="136">
        <f t="shared" si="10"/>
        <v>4.010280508474577</v>
      </c>
    </row>
    <row r="38" spans="1:23" s="9" customFormat="1">
      <c r="A38" s="167"/>
      <c r="B38" s="19"/>
      <c r="C38" s="19"/>
      <c r="D38" s="19"/>
      <c r="E38" s="19"/>
      <c r="F38" s="19"/>
      <c r="G38" s="19"/>
      <c r="H38" s="19"/>
      <c r="I38" s="19"/>
      <c r="J38" s="19"/>
      <c r="K38" s="19"/>
      <c r="L38" s="19"/>
      <c r="M38" s="19"/>
      <c r="N38" s="19"/>
      <c r="O38" s="19"/>
      <c r="P38" s="19"/>
      <c r="Q38" s="19"/>
      <c r="R38" s="19"/>
      <c r="S38" s="19"/>
      <c r="T38" s="19"/>
      <c r="U38" s="19"/>
      <c r="V38" s="19"/>
      <c r="W38" s="19"/>
    </row>
    <row r="39" spans="1:23" s="9" customFormat="1">
      <c r="A39" s="166" t="s">
        <v>53</v>
      </c>
      <c r="B39" s="19"/>
      <c r="C39" s="19"/>
      <c r="D39" s="19"/>
      <c r="E39" s="19"/>
      <c r="F39" s="19"/>
      <c r="G39" s="19"/>
      <c r="H39" s="19"/>
      <c r="I39" s="19"/>
      <c r="J39" s="19"/>
      <c r="K39" s="19"/>
      <c r="L39" s="19"/>
      <c r="M39" s="19"/>
      <c r="N39" s="19"/>
      <c r="O39" s="19"/>
      <c r="P39" s="19"/>
      <c r="Q39" s="19"/>
      <c r="R39" s="19"/>
      <c r="S39" s="19"/>
      <c r="T39" s="19"/>
      <c r="U39" s="19"/>
      <c r="V39" s="19"/>
      <c r="W39" s="19"/>
    </row>
    <row r="40" spans="1:23" s="9" customFormat="1">
      <c r="A40" s="166" t="s">
        <v>54</v>
      </c>
      <c r="B40" s="21">
        <f t="shared" ref="B40:W41" si="11">+B44/B$47*100</f>
        <v>57.157812091075634</v>
      </c>
      <c r="C40" s="21">
        <f t="shared" si="11"/>
        <v>1.6527180543968099</v>
      </c>
      <c r="D40" s="21">
        <f t="shared" si="11"/>
        <v>51.868363780254569</v>
      </c>
      <c r="E40" s="21">
        <f t="shared" si="11"/>
        <v>75.580707902425658</v>
      </c>
      <c r="F40" s="21">
        <f t="shared" si="11"/>
        <v>76.292313002609021</v>
      </c>
      <c r="G40" s="21">
        <f t="shared" si="11"/>
        <v>16.96512723845429</v>
      </c>
      <c r="H40" s="21">
        <f t="shared" si="11"/>
        <v>29.159795293516684</v>
      </c>
      <c r="I40" s="21">
        <f>+I44/I$47*100</f>
        <v>64.013950538998103</v>
      </c>
      <c r="J40" s="21">
        <f t="shared" si="11"/>
        <v>55.311206800954501</v>
      </c>
      <c r="K40" s="21">
        <f>+K44/K$47*100</f>
        <v>62.533739812542045</v>
      </c>
      <c r="L40" s="21">
        <f t="shared" si="11"/>
        <v>47.04</v>
      </c>
      <c r="M40" s="21">
        <f t="shared" si="11"/>
        <v>25.044404973357015</v>
      </c>
      <c r="N40" s="21">
        <f t="shared" si="11"/>
        <v>54.773320674103964</v>
      </c>
      <c r="O40" s="21">
        <f t="shared" si="11"/>
        <v>0.28962401286482281</v>
      </c>
      <c r="P40" s="21">
        <f t="shared" si="11"/>
        <v>50.157133878064109</v>
      </c>
      <c r="Q40" s="21">
        <f t="shared" si="11"/>
        <v>47.808764940239037</v>
      </c>
      <c r="R40" s="21">
        <f t="shared" si="11"/>
        <v>52.672916435175708</v>
      </c>
      <c r="S40" s="21">
        <f t="shared" si="11"/>
        <v>42.082160945413619</v>
      </c>
      <c r="T40" s="21">
        <f t="shared" si="11"/>
        <v>36.782736635605687</v>
      </c>
      <c r="U40" s="21">
        <f t="shared" si="11"/>
        <v>63.53677621283255</v>
      </c>
      <c r="V40" s="21">
        <f t="shared" si="11"/>
        <v>56.604493287126282</v>
      </c>
      <c r="W40" s="21">
        <f t="shared" si="11"/>
        <v>1.8498145068440581</v>
      </c>
    </row>
    <row r="41" spans="1:23" s="9" customFormat="1">
      <c r="A41" s="166" t="s">
        <v>55</v>
      </c>
      <c r="B41" s="21">
        <f t="shared" si="11"/>
        <v>15.702695629416382</v>
      </c>
      <c r="C41" s="21">
        <f t="shared" si="11"/>
        <v>25.395894241920775</v>
      </c>
      <c r="D41" s="21">
        <f t="shared" si="11"/>
        <v>14.260797374413725</v>
      </c>
      <c r="E41" s="21">
        <f t="shared" si="11"/>
        <v>0</v>
      </c>
      <c r="F41" s="21">
        <f t="shared" si="11"/>
        <v>5.3564920485654257</v>
      </c>
      <c r="G41" s="21">
        <f t="shared" si="11"/>
        <v>10.367577756833176</v>
      </c>
      <c r="H41" s="21">
        <f t="shared" si="11"/>
        <v>28.311266108968681</v>
      </c>
      <c r="I41" s="21">
        <f>+I45/I$47*100</f>
        <v>9.0361445783132552</v>
      </c>
      <c r="J41" s="21">
        <f t="shared" si="11"/>
        <v>0</v>
      </c>
      <c r="K41" s="21">
        <f>+K45/K$47*100</f>
        <v>0</v>
      </c>
      <c r="L41" s="21">
        <f t="shared" si="11"/>
        <v>20.159999999999997</v>
      </c>
      <c r="M41" s="21">
        <f t="shared" si="11"/>
        <v>20.929544108940203</v>
      </c>
      <c r="N41" s="21">
        <f t="shared" si="11"/>
        <v>16.078803702824594</v>
      </c>
      <c r="O41" s="21">
        <f t="shared" si="11"/>
        <v>7.5451192837184422</v>
      </c>
      <c r="P41" s="21">
        <f t="shared" si="11"/>
        <v>15.084852294154619</v>
      </c>
      <c r="Q41" s="21">
        <f t="shared" si="11"/>
        <v>16.49402390438247</v>
      </c>
      <c r="R41" s="21">
        <f t="shared" si="11"/>
        <v>5.918370927464867</v>
      </c>
      <c r="S41" s="21">
        <f t="shared" si="11"/>
        <v>21.902082160945412</v>
      </c>
      <c r="T41" s="21">
        <f t="shared" si="11"/>
        <v>18.244237371260418</v>
      </c>
      <c r="U41" s="21">
        <f t="shared" si="11"/>
        <v>14.866979655712051</v>
      </c>
      <c r="V41" s="21">
        <f t="shared" si="11"/>
        <v>19.674177178365412</v>
      </c>
      <c r="W41" s="21">
        <f t="shared" si="11"/>
        <v>12.439554816425739</v>
      </c>
    </row>
    <row r="42" spans="1:23" s="9" customFormat="1">
      <c r="A42" s="166" t="s">
        <v>56</v>
      </c>
      <c r="B42" s="21">
        <f t="shared" ref="B42:W42" si="12">+(B46/6)/B$47*100</f>
        <v>27.139492279507984</v>
      </c>
      <c r="C42" s="21">
        <f t="shared" si="12"/>
        <v>72.951387703682428</v>
      </c>
      <c r="D42" s="21">
        <f t="shared" si="12"/>
        <v>33.870838845331711</v>
      </c>
      <c r="E42" s="21">
        <f t="shared" si="12"/>
        <v>24.419292097574353</v>
      </c>
      <c r="F42" s="21">
        <f t="shared" si="12"/>
        <v>18.351194948825558</v>
      </c>
      <c r="G42" s="21">
        <f t="shared" si="12"/>
        <v>72.667295004712543</v>
      </c>
      <c r="H42" s="21">
        <f t="shared" si="12"/>
        <v>42.528938597514646</v>
      </c>
      <c r="I42" s="21">
        <f>+(I46/6)/I$47*100</f>
        <v>26.949904882688646</v>
      </c>
      <c r="J42" s="21">
        <f t="shared" si="12"/>
        <v>44.688793199045499</v>
      </c>
      <c r="K42" s="21">
        <f>+(K46/6)/K$47*100</f>
        <v>37.466260187457969</v>
      </c>
      <c r="L42" s="21">
        <f t="shared" si="12"/>
        <v>32.800000000000004</v>
      </c>
      <c r="M42" s="21">
        <f t="shared" si="12"/>
        <v>54.026050917702783</v>
      </c>
      <c r="N42" s="21">
        <f t="shared" si="12"/>
        <v>29.147875623071446</v>
      </c>
      <c r="O42" s="21">
        <f t="shared" si="12"/>
        <v>92.16525670341673</v>
      </c>
      <c r="P42" s="21">
        <f t="shared" si="12"/>
        <v>34.758013827781269</v>
      </c>
      <c r="Q42" s="21">
        <f t="shared" si="12"/>
        <v>35.697211155378483</v>
      </c>
      <c r="R42" s="21">
        <f t="shared" si="12"/>
        <v>41.408712637359422</v>
      </c>
      <c r="S42" s="21">
        <f t="shared" si="12"/>
        <v>36.015756893640969</v>
      </c>
      <c r="T42" s="21">
        <f t="shared" si="12"/>
        <v>44.973025993133888</v>
      </c>
      <c r="U42" s="21">
        <f t="shared" si="12"/>
        <v>21.5962441314554</v>
      </c>
      <c r="V42" s="21">
        <f t="shared" si="12"/>
        <v>23.72132953450831</v>
      </c>
      <c r="W42" s="21">
        <f t="shared" si="12"/>
        <v>85.71063067673019</v>
      </c>
    </row>
    <row r="43" spans="1:23" s="9" customFormat="1">
      <c r="A43" s="166"/>
      <c r="B43" s="21"/>
      <c r="C43" s="21"/>
      <c r="D43" s="21"/>
      <c r="E43" s="21"/>
      <c r="F43" s="21"/>
      <c r="G43" s="21"/>
      <c r="H43" s="21"/>
      <c r="I43" s="21"/>
      <c r="J43" s="21"/>
      <c r="K43" s="21"/>
      <c r="L43" s="21"/>
      <c r="M43" s="21"/>
      <c r="N43" s="21"/>
      <c r="O43" s="21"/>
      <c r="P43" s="21"/>
      <c r="Q43" s="21"/>
      <c r="R43" s="21"/>
      <c r="S43" s="21"/>
      <c r="T43" s="21"/>
      <c r="U43" s="21"/>
      <c r="V43" s="21"/>
      <c r="W43" s="21"/>
    </row>
    <row r="44" spans="1:23" s="9" customFormat="1">
      <c r="A44" s="166" t="s">
        <v>62</v>
      </c>
      <c r="B44" s="21">
        <v>364</v>
      </c>
      <c r="C44" s="21">
        <v>6.94</v>
      </c>
      <c r="D44" s="21">
        <f>247.498-24.662</f>
        <v>222.83599999999998</v>
      </c>
      <c r="E44" s="21">
        <v>793.899</v>
      </c>
      <c r="F44" s="21">
        <f>389.378+6.263</f>
        <v>395.64099999999996</v>
      </c>
      <c r="G44" s="21">
        <v>90</v>
      </c>
      <c r="H44" s="21">
        <v>61.651000000000003</v>
      </c>
      <c r="I44" s="21">
        <f>610+63</f>
        <v>673</v>
      </c>
      <c r="J44" s="21">
        <v>157.11600000000001</v>
      </c>
      <c r="K44" s="21">
        <v>143.17599999999999</v>
      </c>
      <c r="L44" s="21">
        <v>245</v>
      </c>
      <c r="M44" s="21">
        <v>84.6</v>
      </c>
      <c r="N44" s="21">
        <v>384.6</v>
      </c>
      <c r="O44" s="21">
        <v>1.9230769230769231</v>
      </c>
      <c r="P44" s="21">
        <v>133</v>
      </c>
      <c r="Q44" s="21">
        <f>32+168</f>
        <v>200</v>
      </c>
      <c r="R44" s="21">
        <v>90.066999999999993</v>
      </c>
      <c r="S44" s="21">
        <f>7478/91</f>
        <v>82.175824175824175</v>
      </c>
      <c r="T44" s="21">
        <f>127-2</f>
        <v>125</v>
      </c>
      <c r="U44" s="21">
        <f>240+31+135</f>
        <v>406</v>
      </c>
      <c r="V44" s="21">
        <v>185.495</v>
      </c>
      <c r="W44" s="21">
        <v>7.9450549450549453</v>
      </c>
    </row>
    <row r="45" spans="1:23" s="9" customFormat="1">
      <c r="A45" s="166" t="s">
        <v>63</v>
      </c>
      <c r="B45" s="21">
        <v>100</v>
      </c>
      <c r="C45" s="21">
        <f>70.485+36.156</f>
        <v>106.64099999999999</v>
      </c>
      <c r="D45" s="21">
        <v>61.267000000000003</v>
      </c>
      <c r="E45" s="21"/>
      <c r="F45" s="21">
        <v>27.777999999999999</v>
      </c>
      <c r="G45" s="21">
        <v>55</v>
      </c>
      <c r="H45" s="21">
        <v>59.856999999999999</v>
      </c>
      <c r="I45" s="21">
        <v>95</v>
      </c>
      <c r="J45" s="21"/>
      <c r="K45" s="21"/>
      <c r="L45" s="21">
        <v>105</v>
      </c>
      <c r="M45" s="21">
        <f>33.7+37</f>
        <v>70.7</v>
      </c>
      <c r="N45" s="21">
        <v>112.9</v>
      </c>
      <c r="O45" s="21">
        <f>+(3157+1402)/91</f>
        <v>50.098901098901102</v>
      </c>
      <c r="P45" s="21">
        <v>40</v>
      </c>
      <c r="Q45" s="21">
        <f>57+12</f>
        <v>69</v>
      </c>
      <c r="R45" s="21">
        <v>10.119999999999999</v>
      </c>
      <c r="S45" s="21">
        <v>42.769230769230766</v>
      </c>
      <c r="T45" s="21">
        <f>67-5</f>
        <v>62</v>
      </c>
      <c r="U45" s="21">
        <f>65+30</f>
        <v>95</v>
      </c>
      <c r="V45" s="21">
        <v>64.472999999999999</v>
      </c>
      <c r="W45" s="21">
        <v>53.428571428571431</v>
      </c>
    </row>
    <row r="46" spans="1:23" s="9" customFormat="1">
      <c r="A46" s="166" t="s">
        <v>64</v>
      </c>
      <c r="B46" s="21">
        <v>1037</v>
      </c>
      <c r="C46" s="21">
        <v>1838</v>
      </c>
      <c r="D46" s="21">
        <f>932.065-58.973</f>
        <v>873.0920000000001</v>
      </c>
      <c r="E46" s="21">
        <v>1539</v>
      </c>
      <c r="F46" s="21">
        <v>571</v>
      </c>
      <c r="G46" s="21">
        <v>2313</v>
      </c>
      <c r="H46" s="21">
        <v>539.5</v>
      </c>
      <c r="I46" s="21">
        <v>1700</v>
      </c>
      <c r="J46" s="21">
        <v>761.65300000000002</v>
      </c>
      <c r="K46" s="21">
        <v>514.69200000000001</v>
      </c>
      <c r="L46" s="21">
        <v>1025</v>
      </c>
      <c r="M46" s="21">
        <v>1095</v>
      </c>
      <c r="N46" s="21">
        <v>1228</v>
      </c>
      <c r="O46" s="21">
        <f>334135/91</f>
        <v>3671.8131868131868</v>
      </c>
      <c r="P46" s="21">
        <v>553</v>
      </c>
      <c r="Q46" s="21">
        <f>461+435</f>
        <v>896</v>
      </c>
      <c r="R46" s="21">
        <v>424.83600000000001</v>
      </c>
      <c r="S46" s="21">
        <f>38400/91</f>
        <v>421.97802197802196</v>
      </c>
      <c r="T46" s="21">
        <v>917</v>
      </c>
      <c r="U46" s="21">
        <f>316+6+506</f>
        <v>828</v>
      </c>
      <c r="V46" s="21">
        <v>466.41399999999999</v>
      </c>
      <c r="W46" s="21">
        <f>201/0.091</f>
        <v>2208.7912087912086</v>
      </c>
    </row>
    <row r="47" spans="1:23" s="9" customFormat="1">
      <c r="A47" s="166" t="s">
        <v>65</v>
      </c>
      <c r="B47" s="21">
        <f t="shared" ref="B47:W47" si="13">+B44+B45+B46/6</f>
        <v>636.83333333333337</v>
      </c>
      <c r="C47" s="21">
        <f t="shared" si="13"/>
        <v>419.91433333333327</v>
      </c>
      <c r="D47" s="21">
        <f t="shared" si="13"/>
        <v>429.61833333333334</v>
      </c>
      <c r="E47" s="21">
        <f t="shared" si="13"/>
        <v>1050.3989999999999</v>
      </c>
      <c r="F47" s="21">
        <f t="shared" si="13"/>
        <v>518.58566666666661</v>
      </c>
      <c r="G47" s="21">
        <f t="shared" si="13"/>
        <v>530.5</v>
      </c>
      <c r="H47" s="21">
        <f t="shared" si="13"/>
        <v>211.42466666666667</v>
      </c>
      <c r="I47" s="21">
        <f>+I44+I45+I46/6</f>
        <v>1051.3333333333333</v>
      </c>
      <c r="J47" s="21">
        <f t="shared" si="13"/>
        <v>284.05816666666669</v>
      </c>
      <c r="K47" s="21">
        <f>+K44+K45+K46/6</f>
        <v>228.95799999999997</v>
      </c>
      <c r="L47" s="21">
        <f t="shared" si="13"/>
        <v>520.83333333333337</v>
      </c>
      <c r="M47" s="21">
        <f t="shared" si="13"/>
        <v>337.8</v>
      </c>
      <c r="N47" s="21">
        <f t="shared" si="13"/>
        <v>702.16666666666663</v>
      </c>
      <c r="O47" s="21">
        <f t="shared" si="13"/>
        <v>663.99084249084251</v>
      </c>
      <c r="P47" s="21">
        <f t="shared" si="13"/>
        <v>265.16666666666669</v>
      </c>
      <c r="Q47" s="21">
        <f t="shared" si="13"/>
        <v>418.33333333333337</v>
      </c>
      <c r="R47" s="21">
        <f t="shared" si="13"/>
        <v>170.99299999999999</v>
      </c>
      <c r="S47" s="21">
        <f t="shared" si="13"/>
        <v>195.27472527472526</v>
      </c>
      <c r="T47" s="21">
        <f t="shared" si="13"/>
        <v>339.83333333333337</v>
      </c>
      <c r="U47" s="21">
        <f t="shared" si="13"/>
        <v>639</v>
      </c>
      <c r="V47" s="21">
        <f t="shared" si="13"/>
        <v>327.70366666666666</v>
      </c>
      <c r="W47" s="21">
        <f t="shared" si="13"/>
        <v>429.50549450549448</v>
      </c>
    </row>
    <row r="48" spans="1:23" s="9" customFormat="1">
      <c r="A48" s="166" t="s">
        <v>66</v>
      </c>
      <c r="B48" s="21">
        <f>+B47*0.091</f>
        <v>57.951833333333333</v>
      </c>
      <c r="C48" s="21">
        <f t="shared" ref="C48:W48" si="14">+C47*0.091</f>
        <v>38.212204333333325</v>
      </c>
      <c r="D48" s="21">
        <f t="shared" si="14"/>
        <v>39.09526833333333</v>
      </c>
      <c r="E48" s="21">
        <f t="shared" si="14"/>
        <v>95.586308999999986</v>
      </c>
      <c r="F48" s="21">
        <f t="shared" si="14"/>
        <v>47.191295666666662</v>
      </c>
      <c r="G48" s="21">
        <f t="shared" si="14"/>
        <v>48.275500000000001</v>
      </c>
      <c r="H48" s="21">
        <f t="shared" si="14"/>
        <v>19.239644666666667</v>
      </c>
      <c r="I48" s="21">
        <f t="shared" si="14"/>
        <v>95.671333333333322</v>
      </c>
      <c r="J48" s="21">
        <f t="shared" si="14"/>
        <v>25.849293166666669</v>
      </c>
      <c r="K48" s="21">
        <f t="shared" si="14"/>
        <v>20.835177999999996</v>
      </c>
      <c r="L48" s="21">
        <f t="shared" si="14"/>
        <v>47.395833333333336</v>
      </c>
      <c r="M48" s="21">
        <f t="shared" si="14"/>
        <v>30.739799999999999</v>
      </c>
      <c r="N48" s="21">
        <f t="shared" si="14"/>
        <v>63.897166666666664</v>
      </c>
      <c r="O48" s="21">
        <f t="shared" si="14"/>
        <v>60.423166666666667</v>
      </c>
      <c r="P48" s="21">
        <f t="shared" si="14"/>
        <v>24.130166666666668</v>
      </c>
      <c r="Q48" s="21">
        <f t="shared" si="14"/>
        <v>38.068333333333335</v>
      </c>
      <c r="R48" s="21">
        <f t="shared" si="14"/>
        <v>15.560362999999999</v>
      </c>
      <c r="S48" s="21">
        <f t="shared" si="14"/>
        <v>17.77</v>
      </c>
      <c r="T48" s="21">
        <f t="shared" si="14"/>
        <v>30.924833333333336</v>
      </c>
      <c r="U48" s="21">
        <f t="shared" si="14"/>
        <v>58.149000000000001</v>
      </c>
      <c r="V48" s="21">
        <f t="shared" si="14"/>
        <v>29.821033666666665</v>
      </c>
      <c r="W48" s="21">
        <f t="shared" si="14"/>
        <v>39.084999999999994</v>
      </c>
    </row>
    <row r="49" spans="1:23" s="9" customFormat="1">
      <c r="A49" s="166"/>
      <c r="B49" s="21"/>
      <c r="C49" s="21"/>
      <c r="D49" s="21"/>
      <c r="E49" s="21"/>
      <c r="F49" s="21"/>
      <c r="G49" s="21"/>
      <c r="H49" s="21"/>
      <c r="I49" s="21"/>
      <c r="J49" s="21"/>
      <c r="K49" s="21"/>
      <c r="L49" s="21"/>
      <c r="M49" s="21"/>
      <c r="N49" s="21"/>
      <c r="O49" s="21"/>
      <c r="P49" s="21"/>
      <c r="Q49" s="21"/>
      <c r="R49" s="21"/>
      <c r="S49" s="21"/>
      <c r="T49" s="21"/>
      <c r="U49" s="21"/>
      <c r="V49" s="21"/>
      <c r="W49" s="21"/>
    </row>
    <row r="50" spans="1:23" s="9" customFormat="1">
      <c r="A50" s="166" t="s">
        <v>106</v>
      </c>
      <c r="B50" s="21">
        <f>+B36*B48*4</f>
        <v>7355.1559999999999</v>
      </c>
      <c r="C50" s="21">
        <f>+C36*C48*4</f>
        <v>800.08040071999994</v>
      </c>
      <c r="D50" s="21">
        <f>+D36*D48*4</f>
        <v>4593.1999999999989</v>
      </c>
      <c r="E50" s="21">
        <f>+E36*E48*4</f>
        <v>9008.3669042454276</v>
      </c>
      <c r="F50" s="21">
        <f t="shared" ref="F50:W50" si="15">+F36*F48*4</f>
        <v>3911.9276481975003</v>
      </c>
      <c r="G50" s="21">
        <f t="shared" si="15"/>
        <v>2552</v>
      </c>
      <c r="H50" s="21">
        <f>+H36*H48*4</f>
        <v>1349.3559999999998</v>
      </c>
      <c r="I50" s="21">
        <f t="shared" si="15"/>
        <v>13551.725559999999</v>
      </c>
      <c r="J50" s="21">
        <f t="shared" si="15"/>
        <v>3477.3360000000002</v>
      </c>
      <c r="K50" s="21">
        <f>+K36*K48*4</f>
        <v>2652.1676607199997</v>
      </c>
      <c r="L50" s="21">
        <f t="shared" si="15"/>
        <v>3130.6458333333335</v>
      </c>
      <c r="M50" s="21">
        <f t="shared" si="15"/>
        <v>1754.0462320000001</v>
      </c>
      <c r="N50" s="21">
        <f t="shared" si="15"/>
        <v>8259.224000000002</v>
      </c>
      <c r="O50" s="21">
        <f t="shared" si="15"/>
        <v>1899.7960000000007</v>
      </c>
      <c r="P50" s="21">
        <f t="shared" si="15"/>
        <v>2048.6959999999995</v>
      </c>
      <c r="Q50" s="21">
        <f>+Q36*Q48*4</f>
        <v>3784.0000000000005</v>
      </c>
      <c r="R50" s="21">
        <f>+R36*R48*4</f>
        <v>1794.1400000000003</v>
      </c>
      <c r="S50" s="21">
        <f t="shared" si="15"/>
        <v>1780.0000000000002</v>
      </c>
      <c r="T50" s="21">
        <f t="shared" si="15"/>
        <v>2803.9200000000005</v>
      </c>
      <c r="U50" s="21">
        <f t="shared" si="15"/>
        <v>6772.50756</v>
      </c>
      <c r="V50" s="21">
        <f t="shared" si="15"/>
        <v>3511.0484728266665</v>
      </c>
      <c r="W50" s="21">
        <f t="shared" si="15"/>
        <v>946.42620000000011</v>
      </c>
    </row>
    <row r="51" spans="1:23" s="9" customFormat="1">
      <c r="A51" s="167" t="s">
        <v>143</v>
      </c>
      <c r="B51" s="21">
        <v>12088</v>
      </c>
      <c r="C51" s="21">
        <f>5288.3-1411.6</f>
        <v>3876.7000000000003</v>
      </c>
      <c r="D51" s="21">
        <f>400+7937-200</f>
        <v>8137</v>
      </c>
      <c r="E51" s="21">
        <f>+(826+20571)/1.3133</f>
        <v>16292.545496078581</v>
      </c>
      <c r="F51" s="21">
        <f>9992/1.3133</f>
        <v>7608.3149318510623</v>
      </c>
      <c r="G51" s="21">
        <f>9706-1900</f>
        <v>7806</v>
      </c>
      <c r="H51" s="21">
        <v>1500</v>
      </c>
      <c r="I51" s="21">
        <v>14974</v>
      </c>
      <c r="J51" s="21">
        <f>2.322+6164.221</f>
        <v>6166.5429999999997</v>
      </c>
      <c r="K51" s="21">
        <v>2371</v>
      </c>
      <c r="L51" s="21">
        <f>277+5790-20</f>
        <v>6047</v>
      </c>
      <c r="M51" s="21">
        <f>500+3698</f>
        <v>4198</v>
      </c>
      <c r="N51" s="21">
        <v>5172.2569999999996</v>
      </c>
      <c r="O51" s="21">
        <f>8532.9-3454-325</f>
        <v>4753.8999999999996</v>
      </c>
      <c r="P51" s="21">
        <v>5457</v>
      </c>
      <c r="Q51" s="21">
        <v>5497</v>
      </c>
      <c r="R51" s="21">
        <f>9.674+2897.345</f>
        <v>2907.0189999999998</v>
      </c>
      <c r="S51" s="21">
        <v>2435</v>
      </c>
      <c r="T51" s="21">
        <f>6665-530</f>
        <v>6135</v>
      </c>
      <c r="U51" s="21">
        <v>10312</v>
      </c>
      <c r="V51" s="21">
        <v>2285</v>
      </c>
      <c r="W51" s="21">
        <v>3570</v>
      </c>
    </row>
    <row r="52" spans="1:23" s="9" customFormat="1">
      <c r="A52" s="167" t="s">
        <v>142</v>
      </c>
      <c r="B52" s="136">
        <f>+B51/B50</f>
        <v>1.6434729596489863</v>
      </c>
      <c r="C52" s="136">
        <f>+C51/C50</f>
        <v>4.8453880341417204</v>
      </c>
      <c r="D52" s="136">
        <f t="shared" ref="D52:W52" si="16">+D51/D50</f>
        <v>1.7715318296612388</v>
      </c>
      <c r="E52" s="136">
        <f>+E51/E50</f>
        <v>1.8086014556534431</v>
      </c>
      <c r="F52" s="136">
        <f t="shared" si="16"/>
        <v>1.9449017507664661</v>
      </c>
      <c r="G52" s="136">
        <f t="shared" si="16"/>
        <v>3.0587774294670846</v>
      </c>
      <c r="H52" s="136">
        <f t="shared" si="16"/>
        <v>1.1116414052333115</v>
      </c>
      <c r="I52" s="136">
        <f t="shared" si="16"/>
        <v>1.1049515379943984</v>
      </c>
      <c r="J52" s="136">
        <f t="shared" si="16"/>
        <v>1.7733526469688288</v>
      </c>
      <c r="K52" s="136">
        <f t="shared" si="16"/>
        <v>0.89398571406919669</v>
      </c>
      <c r="L52" s="136">
        <f t="shared" si="16"/>
        <v>1.9315503323994649</v>
      </c>
      <c r="M52" s="136">
        <f t="shared" si="16"/>
        <v>2.3933234617273187</v>
      </c>
      <c r="N52" s="136">
        <f t="shared" si="16"/>
        <v>0.62624006807419175</v>
      </c>
      <c r="O52" s="136">
        <f t="shared" si="16"/>
        <v>2.5023213018660941</v>
      </c>
      <c r="P52" s="136">
        <f t="shared" si="16"/>
        <v>2.6636455579549145</v>
      </c>
      <c r="Q52" s="136">
        <f t="shared" si="16"/>
        <v>1.4526955602536997</v>
      </c>
      <c r="R52" s="136">
        <f t="shared" si="16"/>
        <v>1.620285484967728</v>
      </c>
      <c r="S52" s="136">
        <f t="shared" si="16"/>
        <v>1.3679775280898874</v>
      </c>
      <c r="T52" s="136">
        <f t="shared" si="16"/>
        <v>2.1880082170675337</v>
      </c>
      <c r="U52" s="136">
        <f t="shared" si="16"/>
        <v>1.5226265764404698</v>
      </c>
      <c r="V52" s="136">
        <f t="shared" si="16"/>
        <v>0.65080274957309192</v>
      </c>
      <c r="W52" s="136">
        <f t="shared" si="16"/>
        <v>3.7720849232618452</v>
      </c>
    </row>
    <row r="53" spans="1:23" s="9" customFormat="1">
      <c r="A53" s="167"/>
      <c r="B53" s="31"/>
      <c r="C53" s="31"/>
      <c r="D53" s="136"/>
      <c r="E53" s="136"/>
      <c r="F53" s="31"/>
      <c r="G53" s="31"/>
      <c r="H53" s="31"/>
      <c r="I53" s="31"/>
      <c r="J53" s="31"/>
      <c r="K53" s="31"/>
      <c r="L53" s="31"/>
      <c r="M53" s="31"/>
      <c r="N53" s="31"/>
      <c r="O53" s="31"/>
      <c r="P53" s="136"/>
      <c r="Q53" s="31"/>
      <c r="R53" s="31"/>
      <c r="S53" s="31"/>
      <c r="T53" s="31"/>
      <c r="U53" s="31"/>
      <c r="V53" s="31"/>
      <c r="W53" s="31"/>
    </row>
    <row r="54" spans="1:23" s="9" customFormat="1">
      <c r="A54" s="167" t="s">
        <v>171</v>
      </c>
      <c r="B54" s="31"/>
      <c r="C54" s="31"/>
      <c r="D54" s="136"/>
      <c r="E54" s="20">
        <f>+(705+323)/E58/E48</f>
        <v>8.3317928933513876</v>
      </c>
      <c r="F54" s="31"/>
      <c r="G54" s="31"/>
      <c r="H54" s="31"/>
      <c r="I54" s="31"/>
      <c r="J54" s="31"/>
      <c r="K54" s="31"/>
      <c r="L54" s="31"/>
      <c r="M54" s="31"/>
      <c r="N54" s="31"/>
      <c r="O54" s="31"/>
      <c r="P54" s="136"/>
      <c r="Q54" s="31"/>
      <c r="R54" s="31"/>
      <c r="S54" s="31"/>
      <c r="T54" s="31"/>
      <c r="U54" s="31"/>
      <c r="V54" s="31"/>
      <c r="W54" s="31"/>
    </row>
    <row r="55" spans="1:23" s="9" customFormat="1">
      <c r="A55" s="277" t="s">
        <v>127</v>
      </c>
      <c r="B55" s="278"/>
      <c r="C55" s="278"/>
      <c r="D55" s="278"/>
      <c r="E55" s="278"/>
      <c r="F55" s="278"/>
      <c r="G55" s="278"/>
      <c r="H55" s="278"/>
      <c r="I55" s="278"/>
      <c r="J55" s="278"/>
      <c r="K55" s="278"/>
      <c r="L55" s="278"/>
      <c r="M55" s="278"/>
      <c r="N55" s="278"/>
      <c r="O55" s="278"/>
      <c r="P55" s="278"/>
      <c r="Q55" s="278"/>
      <c r="R55" s="278"/>
      <c r="S55" s="278"/>
      <c r="T55" s="278"/>
      <c r="U55" s="278"/>
      <c r="V55" s="278"/>
      <c r="W55" s="278"/>
    </row>
    <row r="56" spans="1:23" s="9" customFormat="1">
      <c r="A56" s="277" t="s">
        <v>199</v>
      </c>
      <c r="B56" s="278"/>
      <c r="C56" s="278"/>
      <c r="D56" s="278"/>
      <c r="E56" s="278"/>
      <c r="F56" s="278"/>
      <c r="G56" s="278"/>
      <c r="H56" s="278"/>
      <c r="I56" s="278"/>
      <c r="J56" s="278"/>
      <c r="K56" s="278"/>
      <c r="L56" s="278"/>
      <c r="M56" s="278"/>
      <c r="N56" s="278"/>
      <c r="O56" s="278"/>
      <c r="P56" s="278"/>
      <c r="Q56" s="278"/>
      <c r="R56" s="278"/>
      <c r="S56" s="278"/>
      <c r="T56" s="278"/>
      <c r="U56" s="278"/>
      <c r="V56" s="278"/>
      <c r="W56" s="278"/>
    </row>
    <row r="57" spans="1:23" s="9" customFormat="1">
      <c r="A57" s="167"/>
      <c r="B57" s="8"/>
      <c r="C57" s="8"/>
      <c r="D57" s="123"/>
      <c r="E57" s="8"/>
      <c r="F57" s="8"/>
      <c r="G57" s="8"/>
      <c r="H57" s="8"/>
      <c r="I57" s="8"/>
      <c r="J57" s="8"/>
      <c r="K57" s="8"/>
      <c r="L57" s="8"/>
      <c r="M57" s="8"/>
      <c r="N57" s="8"/>
      <c r="O57" s="8"/>
      <c r="P57" s="19"/>
      <c r="Q57" s="8"/>
      <c r="R57" s="8"/>
      <c r="S57" s="8"/>
      <c r="T57" s="8"/>
      <c r="U57" s="8"/>
      <c r="V57" s="8"/>
      <c r="W57" s="8"/>
    </row>
    <row r="58" spans="1:23">
      <c r="A58" s="22" t="s">
        <v>94</v>
      </c>
      <c r="B58" s="23"/>
      <c r="C58" s="23"/>
      <c r="D58" s="124"/>
      <c r="E58" s="58">
        <v>1.2907999999999999</v>
      </c>
    </row>
    <row r="59" spans="1:23" s="9" customFormat="1">
      <c r="B59" s="14"/>
      <c r="C59" s="14"/>
      <c r="D59" s="150" t="s">
        <v>184</v>
      </c>
      <c r="E59" s="150"/>
      <c r="F59" s="14"/>
      <c r="G59" s="14"/>
      <c r="H59" s="14"/>
      <c r="I59" s="14">
        <f>I44*91/1000</f>
        <v>61.243000000000002</v>
      </c>
      <c r="J59" s="14"/>
      <c r="K59" s="14"/>
      <c r="L59" s="14"/>
      <c r="M59" s="14"/>
      <c r="N59" s="14"/>
      <c r="O59" s="14"/>
      <c r="P59" s="14">
        <f>P44*91/1000</f>
        <v>12.103</v>
      </c>
      <c r="Q59" s="14"/>
      <c r="R59" s="14">
        <v>31.936</v>
      </c>
      <c r="S59" s="14"/>
      <c r="T59" s="14">
        <v>64.62</v>
      </c>
      <c r="U59" s="14">
        <f>U44*91/1000</f>
        <v>36.945999999999998</v>
      </c>
      <c r="V59" s="14"/>
      <c r="W59" s="14">
        <f>W44*91/1000</f>
        <v>0.72299999999999998</v>
      </c>
    </row>
    <row r="60" spans="1:23" s="9" customFormat="1">
      <c r="B60" s="14"/>
      <c r="C60" s="14"/>
      <c r="D60" s="148" t="s">
        <v>178</v>
      </c>
      <c r="E60" s="149">
        <f>51.57+38.336</f>
        <v>89.906000000000006</v>
      </c>
      <c r="F60" s="14"/>
      <c r="G60" s="14"/>
      <c r="H60" s="14"/>
      <c r="I60" s="14">
        <f>I45*91/1000</f>
        <v>8.6449999999999996</v>
      </c>
      <c r="J60" s="14"/>
      <c r="K60" s="14"/>
      <c r="L60" s="14"/>
      <c r="M60" s="14"/>
      <c r="N60" s="14"/>
      <c r="O60" s="14"/>
      <c r="P60" s="14">
        <f>P45*91/1000</f>
        <v>3.64</v>
      </c>
      <c r="Q60" s="14"/>
      <c r="R60" s="14">
        <v>15.365</v>
      </c>
      <c r="S60" s="14"/>
      <c r="T60" s="14">
        <v>66.8</v>
      </c>
      <c r="U60" s="14">
        <f>U45*91/1000</f>
        <v>8.6449999999999996</v>
      </c>
      <c r="V60" s="14"/>
      <c r="W60" s="14">
        <f>W45*91/1000</f>
        <v>4.8620000000000001</v>
      </c>
    </row>
    <row r="61" spans="1:23" s="9" customFormat="1">
      <c r="B61" s="14"/>
      <c r="C61" s="14"/>
      <c r="D61" s="148" t="s">
        <v>179</v>
      </c>
      <c r="E61" s="149">
        <v>63.914000000000001</v>
      </c>
      <c r="F61" s="14"/>
      <c r="G61" s="14"/>
      <c r="H61" s="14"/>
      <c r="I61" s="14">
        <f>I46*91/1000</f>
        <v>154.69999999999999</v>
      </c>
      <c r="J61" s="14"/>
      <c r="K61" s="14"/>
      <c r="L61" s="14"/>
      <c r="M61" s="14"/>
      <c r="N61" s="14"/>
      <c r="O61" s="14"/>
      <c r="P61" s="14">
        <f>P46*91/1000</f>
        <v>50.323</v>
      </c>
      <c r="Q61" s="14"/>
      <c r="R61" s="14">
        <v>5.2539999999999996</v>
      </c>
      <c r="S61" s="14"/>
      <c r="T61" s="14">
        <v>72.790000000000006</v>
      </c>
      <c r="U61" s="14">
        <f>U46*91/1000</f>
        <v>75.347999999999999</v>
      </c>
      <c r="V61" s="14"/>
      <c r="W61" s="14">
        <f>W46*91/1000</f>
        <v>201</v>
      </c>
    </row>
    <row r="62" spans="1:23" s="9" customFormat="1">
      <c r="B62" s="14"/>
      <c r="C62" s="14"/>
      <c r="D62" s="148" t="s">
        <v>180</v>
      </c>
      <c r="E62" s="149">
        <v>84.811000000000007</v>
      </c>
      <c r="F62" s="14"/>
      <c r="G62" s="14"/>
      <c r="H62" s="14"/>
      <c r="I62" s="14"/>
      <c r="J62" s="14"/>
      <c r="K62" s="14"/>
      <c r="L62" s="14"/>
      <c r="M62" s="14"/>
      <c r="N62" s="14"/>
      <c r="O62" s="14"/>
      <c r="P62" s="14"/>
      <c r="Q62" s="14"/>
      <c r="R62" s="14">
        <v>7.3330000000000002</v>
      </c>
      <c r="S62" s="14"/>
      <c r="T62" s="14">
        <v>105</v>
      </c>
      <c r="U62" s="14"/>
      <c r="V62" s="14"/>
      <c r="W62" s="14"/>
    </row>
    <row r="63" spans="1:23" s="9" customFormat="1">
      <c r="B63" s="14"/>
      <c r="C63" s="14"/>
      <c r="D63" s="148" t="s">
        <v>181</v>
      </c>
      <c r="E63" s="149">
        <v>104.907</v>
      </c>
      <c r="F63" s="14"/>
      <c r="G63" s="14"/>
      <c r="H63" s="14"/>
      <c r="I63" s="14">
        <f>I59*I9</f>
        <v>4094.6487400000005</v>
      </c>
      <c r="J63" s="14"/>
      <c r="K63" s="14"/>
      <c r="L63" s="14"/>
      <c r="M63" s="14"/>
      <c r="N63" s="14"/>
      <c r="O63" s="14"/>
      <c r="P63" s="14">
        <f>P59*P9</f>
        <v>802.18683999999996</v>
      </c>
      <c r="Q63" s="14"/>
      <c r="R63" s="14">
        <v>13.491</v>
      </c>
      <c r="S63" s="14"/>
      <c r="T63" s="14">
        <v>3</v>
      </c>
      <c r="U63" s="14">
        <f>U59*U9</f>
        <v>2332.03152</v>
      </c>
      <c r="V63" s="14"/>
      <c r="W63" s="14">
        <f>W59*W9</f>
        <v>43.48845</v>
      </c>
    </row>
    <row r="64" spans="1:23" s="9" customFormat="1">
      <c r="B64" s="14"/>
      <c r="C64" s="14"/>
      <c r="D64" s="148" t="s">
        <v>61</v>
      </c>
      <c r="E64" s="149">
        <v>407.70400000000001</v>
      </c>
      <c r="F64" s="14"/>
      <c r="G64" s="14"/>
      <c r="H64" s="14"/>
      <c r="I64" s="14">
        <f>I60*I11</f>
        <v>246.98765</v>
      </c>
      <c r="J64" s="14"/>
      <c r="K64" s="14"/>
      <c r="L64" s="14"/>
      <c r="M64" s="14"/>
      <c r="N64" s="14"/>
      <c r="O64" s="14"/>
      <c r="P64" s="14">
        <f>P60*P11</f>
        <v>74.656400000000005</v>
      </c>
      <c r="Q64" s="14"/>
      <c r="R64" s="14">
        <v>16.616</v>
      </c>
      <c r="S64" s="14"/>
      <c r="T64" s="14">
        <v>17</v>
      </c>
      <c r="U64" s="14">
        <f>U60*U11</f>
        <v>235.23044999999999</v>
      </c>
      <c r="V64" s="14"/>
      <c r="W64" s="14">
        <f>W60*W11</f>
        <v>74.728939999999994</v>
      </c>
    </row>
    <row r="65" spans="2:23" s="9" customFormat="1">
      <c r="B65" s="14"/>
      <c r="C65" s="14"/>
      <c r="D65" s="148" t="s">
        <v>182</v>
      </c>
      <c r="E65" s="149">
        <v>24.456</v>
      </c>
      <c r="F65" s="14"/>
      <c r="G65" s="14"/>
      <c r="H65" s="14"/>
      <c r="I65" s="14">
        <f>I61*I13</f>
        <v>750.29499999999985</v>
      </c>
      <c r="J65" s="14"/>
      <c r="K65" s="14"/>
      <c r="L65" s="14"/>
      <c r="M65" s="14"/>
      <c r="N65" s="14"/>
      <c r="O65" s="14"/>
      <c r="P65" s="14">
        <f>P61*P13</f>
        <v>207.33076</v>
      </c>
      <c r="Q65" s="14"/>
      <c r="R65" s="14"/>
      <c r="S65" s="14"/>
      <c r="T65" s="14">
        <f>+SUMPRODUCT(T59:T61,T62:T64)/SUM(T62:T64)</f>
        <v>65.783439999999999</v>
      </c>
      <c r="U65" s="14">
        <f>U61*U13</f>
        <v>119.04984</v>
      </c>
      <c r="V65" s="14"/>
      <c r="W65" s="14">
        <f>W61*W13</f>
        <v>399.99</v>
      </c>
    </row>
    <row r="66" spans="2:23" s="9" customFormat="1">
      <c r="B66" s="14"/>
      <c r="C66" s="14"/>
      <c r="D66" s="148" t="s">
        <v>183</v>
      </c>
      <c r="E66" s="149">
        <v>18.201000000000001</v>
      </c>
      <c r="F66" s="14"/>
      <c r="G66" s="14"/>
      <c r="H66" s="14"/>
      <c r="I66" s="14">
        <f>I65+I64+I63</f>
        <v>5091.9313900000006</v>
      </c>
      <c r="J66" s="14"/>
      <c r="K66" s="14"/>
      <c r="L66" s="14"/>
      <c r="M66" s="14"/>
      <c r="N66" s="14"/>
      <c r="O66" s="14"/>
      <c r="P66" s="14">
        <f>P65+P64+P63</f>
        <v>1084.174</v>
      </c>
      <c r="Q66" s="14"/>
      <c r="R66" s="14">
        <v>6.8239999999999998</v>
      </c>
      <c r="S66" s="14"/>
      <c r="T66" s="14">
        <v>24.39</v>
      </c>
      <c r="U66" s="14">
        <f>U65+U64+U63</f>
        <v>2686.3118100000002</v>
      </c>
      <c r="V66" s="14"/>
      <c r="W66" s="14">
        <f>W65+W64+W63</f>
        <v>518.20739000000003</v>
      </c>
    </row>
    <row r="67" spans="2:23" s="9" customFormat="1">
      <c r="B67" s="14"/>
      <c r="C67" s="14"/>
      <c r="D67" s="150" t="s">
        <v>185</v>
      </c>
      <c r="E67" s="150"/>
      <c r="F67" s="14"/>
      <c r="G67" s="14"/>
      <c r="H67" s="14"/>
      <c r="I67" s="14">
        <f>I66/I48</f>
        <v>53.223167406467986</v>
      </c>
      <c r="J67" s="14"/>
      <c r="K67" s="14"/>
      <c r="L67" s="14"/>
      <c r="M67" s="14"/>
      <c r="N67" s="14"/>
      <c r="O67" s="14"/>
      <c r="P67" s="14">
        <f>P66/P48</f>
        <v>44.930232558139529</v>
      </c>
      <c r="Q67" s="14"/>
      <c r="R67" s="14">
        <v>1.391</v>
      </c>
      <c r="S67" s="14"/>
      <c r="T67" s="14">
        <v>36.869999999999997</v>
      </c>
      <c r="U67" s="14">
        <f>U66/U48</f>
        <v>46.197042253521126</v>
      </c>
      <c r="V67" s="14"/>
      <c r="W67" s="14">
        <f>W66/W48</f>
        <v>13.258472303952926</v>
      </c>
    </row>
    <row r="68" spans="2:23" s="9" customFormat="1">
      <c r="B68" s="14"/>
      <c r="C68" s="14"/>
      <c r="D68" s="148" t="s">
        <v>178</v>
      </c>
      <c r="E68" s="148">
        <v>62.06</v>
      </c>
      <c r="F68" s="14"/>
      <c r="G68" s="14"/>
      <c r="H68" s="14"/>
      <c r="I68" s="14"/>
      <c r="J68" s="14"/>
      <c r="K68" s="14"/>
      <c r="L68" s="14"/>
      <c r="M68" s="14"/>
      <c r="N68" s="14"/>
      <c r="O68" s="14"/>
      <c r="P68" s="14"/>
      <c r="Q68" s="14"/>
      <c r="R68" s="14">
        <v>1.0329999999999999</v>
      </c>
      <c r="S68" s="14"/>
      <c r="T68" s="14">
        <v>61</v>
      </c>
      <c r="U68" s="14"/>
      <c r="V68" s="14"/>
      <c r="W68" s="14"/>
    </row>
    <row r="69" spans="2:23" s="9" customFormat="1">
      <c r="B69" s="14"/>
      <c r="C69" s="14"/>
      <c r="D69" s="148" t="s">
        <v>179</v>
      </c>
      <c r="E69" s="148">
        <v>72.319999999999993</v>
      </c>
      <c r="F69" s="14"/>
      <c r="G69" s="14"/>
      <c r="H69" s="14"/>
      <c r="I69" s="14"/>
      <c r="J69" s="14"/>
      <c r="K69" s="14"/>
      <c r="L69" s="14"/>
      <c r="M69" s="14"/>
      <c r="N69" s="14"/>
      <c r="O69" s="14"/>
      <c r="P69" s="14"/>
      <c r="Q69" s="14"/>
      <c r="R69" s="14">
        <v>0.63200000000000001</v>
      </c>
      <c r="S69" s="14"/>
      <c r="T69" s="14">
        <v>5</v>
      </c>
      <c r="U69" s="14"/>
      <c r="V69" s="14"/>
      <c r="W69" s="14"/>
    </row>
    <row r="70" spans="2:23" s="9" customFormat="1">
      <c r="B70" s="14"/>
      <c r="C70" s="14"/>
      <c r="D70" s="148" t="s">
        <v>180</v>
      </c>
      <c r="E70" s="148">
        <v>78.430000000000007</v>
      </c>
      <c r="F70" s="14"/>
      <c r="G70" s="14"/>
      <c r="H70" s="14"/>
      <c r="I70" s="14"/>
      <c r="J70" s="14"/>
      <c r="K70" s="14"/>
      <c r="L70" s="14"/>
      <c r="M70" s="14"/>
      <c r="N70" s="14"/>
      <c r="O70" s="14"/>
      <c r="P70" s="14"/>
      <c r="Q70" s="14"/>
      <c r="R70" s="14"/>
      <c r="S70" s="14"/>
      <c r="T70" s="14">
        <f>+SUMPRODUCT(T66:T67,T68:T69)/SUM(T68:T69)</f>
        <v>25.335454545454542</v>
      </c>
      <c r="U70" s="14"/>
      <c r="V70" s="14"/>
      <c r="W70" s="14"/>
    </row>
    <row r="71" spans="2:23" s="9" customFormat="1">
      <c r="B71" s="14"/>
      <c r="C71" s="14"/>
      <c r="D71" s="148" t="s">
        <v>181</v>
      </c>
      <c r="E71" s="148">
        <v>78.94</v>
      </c>
      <c r="F71" s="14"/>
      <c r="G71" s="14"/>
      <c r="H71" s="14"/>
      <c r="I71" s="14"/>
      <c r="J71" s="14"/>
      <c r="K71" s="14"/>
      <c r="L71" s="14"/>
      <c r="M71" s="14"/>
      <c r="N71" s="14"/>
      <c r="O71" s="14"/>
      <c r="P71" s="14"/>
      <c r="Q71" s="14"/>
      <c r="R71" s="14">
        <v>32.679000000000002</v>
      </c>
      <c r="S71" s="14"/>
      <c r="T71" s="14">
        <v>2.29</v>
      </c>
      <c r="U71" s="14"/>
      <c r="V71" s="14"/>
      <c r="W71" s="14"/>
    </row>
    <row r="72" spans="2:23" s="9" customFormat="1">
      <c r="B72" s="14"/>
      <c r="C72" s="14"/>
      <c r="D72" s="148" t="s">
        <v>61</v>
      </c>
      <c r="E72" s="148">
        <v>80.39</v>
      </c>
      <c r="F72" s="14"/>
      <c r="G72" s="14"/>
      <c r="H72" s="14"/>
      <c r="I72" s="14"/>
      <c r="J72" s="14"/>
      <c r="K72" s="14"/>
      <c r="L72" s="14"/>
      <c r="M72" s="14"/>
      <c r="N72" s="14"/>
      <c r="O72" s="14"/>
      <c r="P72" s="14"/>
      <c r="Q72" s="14"/>
      <c r="R72" s="14">
        <v>14.284000000000001</v>
      </c>
      <c r="S72" s="14"/>
      <c r="T72" s="14">
        <v>3.19</v>
      </c>
      <c r="U72" s="14"/>
      <c r="V72" s="14"/>
      <c r="W72" s="14"/>
    </row>
    <row r="73" spans="2:23" s="9" customFormat="1">
      <c r="B73" s="14"/>
      <c r="C73" s="14"/>
      <c r="D73" s="148" t="s">
        <v>182</v>
      </c>
      <c r="E73" s="148">
        <v>93.49</v>
      </c>
      <c r="F73" s="14"/>
      <c r="G73" s="14"/>
      <c r="H73" s="14"/>
      <c r="I73" s="14"/>
      <c r="J73" s="14"/>
      <c r="K73" s="14"/>
      <c r="L73" s="14"/>
      <c r="M73" s="14"/>
      <c r="N73" s="14"/>
      <c r="O73" s="14"/>
      <c r="P73" s="14"/>
      <c r="Q73" s="14"/>
      <c r="R73" s="14">
        <v>264.74799999999999</v>
      </c>
      <c r="S73" s="14"/>
      <c r="T73" s="14">
        <v>5.46</v>
      </c>
      <c r="U73" s="14"/>
      <c r="V73" s="14"/>
      <c r="W73" s="14"/>
    </row>
    <row r="74" spans="2:23" s="9" customFormat="1">
      <c r="B74" s="14"/>
      <c r="C74" s="14"/>
      <c r="D74" s="148" t="s">
        <v>183</v>
      </c>
      <c r="E74" s="148">
        <v>102.57</v>
      </c>
      <c r="F74" s="14"/>
      <c r="G74" s="14"/>
      <c r="H74" s="14"/>
      <c r="I74" s="14"/>
      <c r="J74" s="14"/>
      <c r="K74" s="14"/>
      <c r="L74" s="14"/>
      <c r="M74" s="14"/>
      <c r="N74" s="14"/>
      <c r="O74" s="14"/>
      <c r="P74" s="14"/>
      <c r="Q74" s="14"/>
      <c r="R74" s="14">
        <v>105.199</v>
      </c>
      <c r="S74" s="14"/>
      <c r="T74" s="9">
        <v>0.27</v>
      </c>
      <c r="U74" s="14"/>
      <c r="V74" s="14"/>
      <c r="W74" s="14"/>
    </row>
    <row r="75" spans="2:23" s="9" customFormat="1">
      <c r="B75" s="14"/>
      <c r="C75" s="14"/>
      <c r="D75" s="148" t="s">
        <v>70</v>
      </c>
      <c r="E75" s="148">
        <f>+SUMPRODUCT(E60:E66,E68:E74)/SUM(E60:E66)</f>
        <v>78.175567320276258</v>
      </c>
      <c r="F75" s="14"/>
      <c r="G75" s="14"/>
      <c r="H75" s="14"/>
      <c r="I75" s="14"/>
      <c r="J75" s="14"/>
      <c r="K75" s="14"/>
      <c r="L75" s="14"/>
      <c r="M75" s="14"/>
      <c r="N75" s="14"/>
      <c r="O75" s="14"/>
      <c r="P75" s="14"/>
      <c r="Q75" s="14"/>
      <c r="R75" s="14">
        <v>7.9260000000000002</v>
      </c>
      <c r="S75" s="14"/>
      <c r="T75" s="14">
        <v>465</v>
      </c>
      <c r="U75" s="14"/>
      <c r="V75" s="14"/>
      <c r="W75" s="14"/>
    </row>
    <row r="76" spans="2:23">
      <c r="T76" s="2">
        <v>2</v>
      </c>
    </row>
    <row r="77" spans="2:23">
      <c r="R77" s="2">
        <v>68.14</v>
      </c>
      <c r="T77" s="2">
        <v>225</v>
      </c>
    </row>
    <row r="78" spans="2:23">
      <c r="R78" s="2">
        <v>68.11</v>
      </c>
      <c r="T78" s="2">
        <v>225</v>
      </c>
    </row>
    <row r="79" spans="2:23">
      <c r="R79" s="2">
        <v>59.45</v>
      </c>
      <c r="T79" s="2">
        <f>+SUMPRODUCT(T71:T74,T75:T78)/SUM(T75:T78)</f>
        <v>2.5741330425299891</v>
      </c>
    </row>
    <row r="80" spans="2:23">
      <c r="R80" s="2">
        <v>72.400000000000006</v>
      </c>
    </row>
    <row r="81" spans="18:18">
      <c r="R81" s="2">
        <v>69.72</v>
      </c>
    </row>
    <row r="82" spans="18:18">
      <c r="R82" s="2">
        <v>67.2</v>
      </c>
    </row>
    <row r="83" spans="18:18">
      <c r="R83" s="2">
        <f>+SUMPRODUCT(R59:R64,R77:R82)/SUM(R59:R64)</f>
        <v>68.037962220123347</v>
      </c>
    </row>
    <row r="84" spans="18:18">
      <c r="R84" s="2">
        <v>21.29</v>
      </c>
    </row>
    <row r="85" spans="18:18">
      <c r="R85" s="2">
        <v>23.27</v>
      </c>
    </row>
    <row r="86" spans="18:18">
      <c r="R86" s="2">
        <v>36.659999999999997</v>
      </c>
    </row>
    <row r="87" spans="18:18">
      <c r="R87" s="2">
        <v>69.61</v>
      </c>
    </row>
    <row r="88" spans="18:18">
      <c r="R88" s="2">
        <f>+SUMPRODUCT(R66:R69,R84:R87)/SUM(R66:R69)</f>
        <v>26.266683198380573</v>
      </c>
    </row>
    <row r="89" spans="18:18">
      <c r="R89" s="2">
        <v>2.11</v>
      </c>
    </row>
    <row r="90" spans="18:18">
      <c r="R90" s="2">
        <v>2.1800000000000002</v>
      </c>
    </row>
    <row r="91" spans="18:18">
      <c r="R91" s="2">
        <v>1.17</v>
      </c>
    </row>
    <row r="92" spans="18:18">
      <c r="R92" s="2">
        <v>3.86</v>
      </c>
    </row>
    <row r="93" spans="18:18">
      <c r="R93" s="2">
        <v>0.25</v>
      </c>
    </row>
    <row r="94" spans="18:18">
      <c r="R94" s="2">
        <f>+SUMPRODUCT(R71:R75,R89:R93)/SUM(R71:R75)</f>
        <v>1.9252055145985743</v>
      </c>
    </row>
    <row r="97" spans="1:23">
      <c r="A97" s="1" t="s">
        <v>109</v>
      </c>
      <c r="R97" s="1"/>
      <c r="T97" s="1"/>
    </row>
    <row r="98" spans="1:23">
      <c r="B98" s="2" t="str">
        <f>B7</f>
        <v>APC</v>
      </c>
      <c r="C98" s="2" t="str">
        <f>C7</f>
        <v>AR</v>
      </c>
      <c r="D98" s="125" t="str">
        <f t="shared" ref="D98:W98" si="17">D7</f>
        <v>APA</v>
      </c>
      <c r="E98" s="2" t="str">
        <f t="shared" si="17"/>
        <v>CNQCN</v>
      </c>
      <c r="F98" s="2" t="str">
        <f t="shared" si="17"/>
        <v>CVECN</v>
      </c>
      <c r="G98" s="2" t="str">
        <f t="shared" si="17"/>
        <v>CHK</v>
      </c>
      <c r="H98" s="2" t="str">
        <f t="shared" si="17"/>
        <v>XEC</v>
      </c>
      <c r="I98" s="2" t="str">
        <f t="shared" si="17"/>
        <v>COP</v>
      </c>
      <c r="J98" s="2" t="str">
        <f t="shared" si="17"/>
        <v>CLR</v>
      </c>
      <c r="K98" s="2" t="str">
        <f t="shared" si="17"/>
        <v>CXO</v>
      </c>
      <c r="L98" s="2" t="str">
        <f t="shared" si="17"/>
        <v>DVN</v>
      </c>
      <c r="M98" s="2" t="str">
        <f t="shared" si="17"/>
        <v>ECACN</v>
      </c>
      <c r="N98" s="2" t="str">
        <f t="shared" si="17"/>
        <v>EOG</v>
      </c>
      <c r="O98" s="2" t="str">
        <f t="shared" si="17"/>
        <v>EQT</v>
      </c>
      <c r="P98" s="2" t="str">
        <f t="shared" si="17"/>
        <v>HES</v>
      </c>
      <c r="Q98" s="2" t="str">
        <f t="shared" si="17"/>
        <v>MRO</v>
      </c>
      <c r="R98" s="2" t="str">
        <f t="shared" si="17"/>
        <v>MUR</v>
      </c>
      <c r="S98" s="2" t="str">
        <f t="shared" si="17"/>
        <v>NFX</v>
      </c>
      <c r="T98" s="2" t="str">
        <f t="shared" si="17"/>
        <v>NBL</v>
      </c>
      <c r="U98" s="2" t="str">
        <f t="shared" si="17"/>
        <v>OXY</v>
      </c>
      <c r="V98" s="2" t="str">
        <f t="shared" si="17"/>
        <v>PXD</v>
      </c>
      <c r="W98" s="2" t="str">
        <f t="shared" si="17"/>
        <v>SWN</v>
      </c>
    </row>
    <row r="99" spans="1:23">
      <c r="A99" s="1" t="s">
        <v>110</v>
      </c>
      <c r="B99" s="2">
        <f t="shared" ref="B99:W99" si="18">RANK(B35,$B$35:$W$35)</f>
        <v>8</v>
      </c>
      <c r="C99" s="2">
        <f t="shared" si="18"/>
        <v>22</v>
      </c>
      <c r="D99" s="125">
        <f t="shared" si="18"/>
        <v>9</v>
      </c>
      <c r="E99" s="2">
        <f t="shared" si="18"/>
        <v>10</v>
      </c>
      <c r="F99" s="2">
        <f t="shared" si="18"/>
        <v>12</v>
      </c>
      <c r="G99" s="2">
        <f t="shared" si="18"/>
        <v>17</v>
      </c>
      <c r="H99" s="2">
        <f t="shared" si="18"/>
        <v>13</v>
      </c>
      <c r="I99" s="2">
        <f t="shared" si="18"/>
        <v>1</v>
      </c>
      <c r="J99" s="2">
        <f t="shared" si="18"/>
        <v>7</v>
      </c>
      <c r="K99" s="2">
        <f t="shared" si="18"/>
        <v>4</v>
      </c>
      <c r="L99" s="2">
        <f t="shared" si="18"/>
        <v>15</v>
      </c>
      <c r="M99" s="2">
        <f t="shared" si="18"/>
        <v>18</v>
      </c>
      <c r="N99" s="2">
        <f t="shared" si="18"/>
        <v>2</v>
      </c>
      <c r="O99" s="2">
        <f t="shared" si="18"/>
        <v>20</v>
      </c>
      <c r="P99" s="2">
        <f t="shared" si="18"/>
        <v>21</v>
      </c>
      <c r="Q99" s="2">
        <f t="shared" si="18"/>
        <v>14</v>
      </c>
      <c r="R99" s="2">
        <f t="shared" si="18"/>
        <v>11</v>
      </c>
      <c r="S99" s="2">
        <f t="shared" si="18"/>
        <v>5</v>
      </c>
      <c r="T99" s="2">
        <f t="shared" si="18"/>
        <v>16</v>
      </c>
      <c r="U99" s="2">
        <f t="shared" si="18"/>
        <v>6</v>
      </c>
      <c r="V99" s="2">
        <f t="shared" si="18"/>
        <v>3</v>
      </c>
      <c r="W99" s="2">
        <f t="shared" si="18"/>
        <v>19</v>
      </c>
    </row>
    <row r="100" spans="1:23">
      <c r="B100" s="2" t="str">
        <f>B98</f>
        <v>APC</v>
      </c>
      <c r="C100" s="2" t="str">
        <f>C98</f>
        <v>AR</v>
      </c>
      <c r="D100" s="125" t="str">
        <f t="shared" ref="D100:W100" si="19">D98</f>
        <v>APA</v>
      </c>
      <c r="E100" s="2" t="str">
        <f t="shared" si="19"/>
        <v>CNQCN</v>
      </c>
      <c r="F100" s="2" t="str">
        <f t="shared" si="19"/>
        <v>CVECN</v>
      </c>
      <c r="G100" s="2" t="str">
        <f t="shared" si="19"/>
        <v>CHK</v>
      </c>
      <c r="H100" s="2" t="str">
        <f t="shared" si="19"/>
        <v>XEC</v>
      </c>
      <c r="I100" s="2" t="str">
        <f t="shared" si="19"/>
        <v>COP</v>
      </c>
      <c r="J100" s="2" t="str">
        <f t="shared" si="19"/>
        <v>CLR</v>
      </c>
      <c r="K100" s="2" t="str">
        <f t="shared" si="19"/>
        <v>CXO</v>
      </c>
      <c r="L100" s="2" t="str">
        <f t="shared" si="19"/>
        <v>DVN</v>
      </c>
      <c r="M100" s="2" t="str">
        <f t="shared" si="19"/>
        <v>ECACN</v>
      </c>
      <c r="N100" s="2" t="str">
        <f t="shared" si="19"/>
        <v>EOG</v>
      </c>
      <c r="O100" s="2" t="str">
        <f t="shared" si="19"/>
        <v>EQT</v>
      </c>
      <c r="P100" s="2" t="str">
        <f t="shared" si="19"/>
        <v>HES</v>
      </c>
      <c r="Q100" s="2" t="str">
        <f t="shared" si="19"/>
        <v>MRO</v>
      </c>
      <c r="R100" s="2" t="str">
        <f t="shared" si="19"/>
        <v>MUR</v>
      </c>
      <c r="S100" s="2" t="str">
        <f t="shared" si="19"/>
        <v>NFX</v>
      </c>
      <c r="T100" s="2" t="str">
        <f t="shared" si="19"/>
        <v>NBL</v>
      </c>
      <c r="U100" s="2" t="str">
        <f t="shared" si="19"/>
        <v>OXY</v>
      </c>
      <c r="V100" s="2" t="str">
        <f t="shared" si="19"/>
        <v>PXD</v>
      </c>
      <c r="W100" s="2" t="str">
        <f t="shared" si="19"/>
        <v>SWN</v>
      </c>
    </row>
    <row r="101" spans="1:23">
      <c r="A101" s="1" t="s">
        <v>107</v>
      </c>
      <c r="B101" s="2">
        <f t="shared" ref="B101:W101" si="20">RANK(B37,$B$37:$W$37)</f>
        <v>14</v>
      </c>
      <c r="C101" s="2">
        <f t="shared" si="20"/>
        <v>22</v>
      </c>
      <c r="D101" s="125">
        <f t="shared" si="20"/>
        <v>9</v>
      </c>
      <c r="E101" s="2">
        <f t="shared" si="20"/>
        <v>7</v>
      </c>
      <c r="F101" s="2">
        <f t="shared" si="20"/>
        <v>15</v>
      </c>
      <c r="G101" s="2">
        <f t="shared" si="20"/>
        <v>19</v>
      </c>
      <c r="H101" s="2">
        <f t="shared" si="20"/>
        <v>4</v>
      </c>
      <c r="I101" s="2">
        <f t="shared" si="20"/>
        <v>5</v>
      </c>
      <c r="J101" s="2">
        <f t="shared" si="20"/>
        <v>11</v>
      </c>
      <c r="K101" s="2">
        <f t="shared" si="20"/>
        <v>3</v>
      </c>
      <c r="L101" s="2">
        <f t="shared" si="20"/>
        <v>13</v>
      </c>
      <c r="M101" s="2">
        <f t="shared" si="20"/>
        <v>20</v>
      </c>
      <c r="N101" s="2">
        <f t="shared" si="20"/>
        <v>1</v>
      </c>
      <c r="O101" s="2">
        <f t="shared" si="20"/>
        <v>16</v>
      </c>
      <c r="P101" s="2">
        <f t="shared" si="20"/>
        <v>18</v>
      </c>
      <c r="Q101" s="2">
        <f t="shared" si="20"/>
        <v>8</v>
      </c>
      <c r="R101" s="2">
        <f t="shared" si="20"/>
        <v>12</v>
      </c>
      <c r="S101" s="2">
        <f t="shared" si="20"/>
        <v>10</v>
      </c>
      <c r="T101" s="2">
        <f t="shared" si="20"/>
        <v>17</v>
      </c>
      <c r="U101" s="2">
        <f t="shared" si="20"/>
        <v>6</v>
      </c>
      <c r="V101" s="2">
        <f t="shared" si="20"/>
        <v>2</v>
      </c>
      <c r="W101" s="2">
        <f t="shared" si="20"/>
        <v>21</v>
      </c>
    </row>
    <row r="102" spans="1:23">
      <c r="B102" s="2" t="str">
        <f>B100</f>
        <v>APC</v>
      </c>
      <c r="C102" s="2" t="str">
        <f>C100</f>
        <v>AR</v>
      </c>
      <c r="D102" s="125" t="str">
        <f t="shared" ref="D102:W102" si="21">D100</f>
        <v>APA</v>
      </c>
      <c r="E102" s="2" t="str">
        <f t="shared" si="21"/>
        <v>CNQCN</v>
      </c>
      <c r="F102" s="2" t="str">
        <f t="shared" si="21"/>
        <v>CVECN</v>
      </c>
      <c r="G102" s="2" t="str">
        <f t="shared" si="21"/>
        <v>CHK</v>
      </c>
      <c r="H102" s="2" t="str">
        <f t="shared" si="21"/>
        <v>XEC</v>
      </c>
      <c r="I102" s="2" t="str">
        <f t="shared" si="21"/>
        <v>COP</v>
      </c>
      <c r="J102" s="2" t="str">
        <f t="shared" si="21"/>
        <v>CLR</v>
      </c>
      <c r="K102" s="2" t="str">
        <f t="shared" si="21"/>
        <v>CXO</v>
      </c>
      <c r="L102" s="2" t="str">
        <f t="shared" si="21"/>
        <v>DVN</v>
      </c>
      <c r="M102" s="2" t="str">
        <f t="shared" si="21"/>
        <v>ECACN</v>
      </c>
      <c r="N102" s="2" t="str">
        <f t="shared" si="21"/>
        <v>EOG</v>
      </c>
      <c r="O102" s="2" t="str">
        <f t="shared" si="21"/>
        <v>EQT</v>
      </c>
      <c r="P102" s="2" t="str">
        <f t="shared" si="21"/>
        <v>HES</v>
      </c>
      <c r="Q102" s="2" t="str">
        <f t="shared" si="21"/>
        <v>MRO</v>
      </c>
      <c r="R102" s="2" t="str">
        <f t="shared" si="21"/>
        <v>MUR</v>
      </c>
      <c r="S102" s="2" t="str">
        <f t="shared" si="21"/>
        <v>NFX</v>
      </c>
      <c r="T102" s="2" t="str">
        <f t="shared" si="21"/>
        <v>NBL</v>
      </c>
      <c r="U102" s="2" t="str">
        <f t="shared" si="21"/>
        <v>OXY</v>
      </c>
      <c r="V102" s="2" t="str">
        <f t="shared" si="21"/>
        <v>PXD</v>
      </c>
      <c r="W102" s="2" t="str">
        <f t="shared" si="21"/>
        <v>SWN</v>
      </c>
    </row>
    <row r="103" spans="1:23">
      <c r="A103" s="1" t="s">
        <v>111</v>
      </c>
      <c r="B103" s="2">
        <f t="shared" ref="B103:W103" si="22">RANK(B34,$B$34:$W$34)</f>
        <v>5</v>
      </c>
      <c r="C103" s="2">
        <f t="shared" si="22"/>
        <v>22</v>
      </c>
      <c r="D103" s="125">
        <f t="shared" si="22"/>
        <v>8</v>
      </c>
      <c r="E103" s="2">
        <f t="shared" si="22"/>
        <v>12</v>
      </c>
      <c r="F103" s="2">
        <f t="shared" si="22"/>
        <v>14</v>
      </c>
      <c r="G103" s="2">
        <f t="shared" si="22"/>
        <v>19</v>
      </c>
      <c r="H103" s="2">
        <f t="shared" si="22"/>
        <v>16</v>
      </c>
      <c r="I103" s="2">
        <f t="shared" si="22"/>
        <v>1</v>
      </c>
      <c r="J103" s="2">
        <f t="shared" si="22"/>
        <v>3</v>
      </c>
      <c r="K103" s="2">
        <f t="shared" si="22"/>
        <v>4</v>
      </c>
      <c r="L103" s="2">
        <f t="shared" si="22"/>
        <v>17</v>
      </c>
      <c r="M103" s="2">
        <f t="shared" si="22"/>
        <v>18</v>
      </c>
      <c r="N103" s="2">
        <f t="shared" si="22"/>
        <v>2</v>
      </c>
      <c r="O103" s="2">
        <f t="shared" si="22"/>
        <v>20</v>
      </c>
      <c r="P103" s="2">
        <f t="shared" si="22"/>
        <v>15</v>
      </c>
      <c r="Q103" s="2">
        <f t="shared" si="22"/>
        <v>10</v>
      </c>
      <c r="R103" s="2">
        <f t="shared" si="22"/>
        <v>9</v>
      </c>
      <c r="S103" s="2">
        <f t="shared" si="22"/>
        <v>11</v>
      </c>
      <c r="T103" s="2">
        <f t="shared" si="22"/>
        <v>13</v>
      </c>
      <c r="U103" s="2">
        <f t="shared" si="22"/>
        <v>7</v>
      </c>
      <c r="V103" s="2">
        <f t="shared" si="22"/>
        <v>6</v>
      </c>
      <c r="W103" s="2">
        <f t="shared" si="22"/>
        <v>21</v>
      </c>
    </row>
    <row r="107" spans="1:23">
      <c r="A107" s="1" t="s">
        <v>130</v>
      </c>
      <c r="B107" s="61">
        <f>B15-'2Q16 Actual'!B15</f>
        <v>24.754568562609997</v>
      </c>
      <c r="C107" s="61">
        <f>C15-'2Q16 Actual'!C15</f>
        <v>-8.3444567033348775</v>
      </c>
      <c r="D107" s="126">
        <f>D15-'2Q16 Actual'!C15</f>
        <v>16.37682409871956</v>
      </c>
      <c r="E107" s="61">
        <f>E15-'2Q16 Actual'!D15</f>
        <v>21.45338130940485</v>
      </c>
      <c r="F107" s="61">
        <f>F15-'2Q16 Actual'!E15</f>
        <v>14.921602736130048</v>
      </c>
      <c r="G107" s="61">
        <f>G15-'2Q16 Actual'!F15</f>
        <v>5.8760119656886651</v>
      </c>
      <c r="H107" s="61">
        <f>H15-'2Q16 Actual'!F15</f>
        <v>8.6301193332304891</v>
      </c>
      <c r="I107" s="61">
        <f>I15-'2Q16 Actual'!G15</f>
        <v>25.11499850675219</v>
      </c>
      <c r="J107" s="61">
        <f>J15-'2Q16 Actual'!H15</f>
        <v>17.646154932966283</v>
      </c>
      <c r="K107" s="61">
        <f>K15-'2Q16 Actual'!I15</f>
        <v>15.310000000000002</v>
      </c>
      <c r="L107" s="61">
        <f>L15-'2Q16 Actual'!J15</f>
        <v>13.309999999999999</v>
      </c>
      <c r="M107" s="61">
        <f>M15-'2Q16 Actual'!K15</f>
        <v>14.64</v>
      </c>
      <c r="N107" s="61">
        <f>N15-'2Q16 Actual'!L15</f>
        <v>19.926741097581676</v>
      </c>
      <c r="O107" s="61">
        <f>O15-'2Q16 Actual'!M15</f>
        <v>-17.61617265043084</v>
      </c>
      <c r="P107" s="61">
        <f>P15-'2Q16 Actual'!M15</f>
        <v>10.907025078352397</v>
      </c>
      <c r="Q107" s="61">
        <f>Q15-'2Q16 Actual'!N15</f>
        <v>13.735251198264148</v>
      </c>
      <c r="R107" s="61">
        <f>R15-'2Q16 Actual'!O15</f>
        <v>17.134605428435549</v>
      </c>
      <c r="S107" s="61">
        <f>S15-'2Q16 Actual'!O15</f>
        <v>13.199526160310022</v>
      </c>
      <c r="T107" s="61">
        <f>T15-'2Q16 Actual'!P15</f>
        <v>13.763733217592641</v>
      </c>
      <c r="U107" s="61">
        <f>U15-'2Q16 Actual'!Q15</f>
        <v>18.843747093230817</v>
      </c>
      <c r="V107" s="61">
        <f>V15-'2Q16 Actual'!R15</f>
        <v>14.169999999999998</v>
      </c>
      <c r="W107" s="61">
        <f>W15-'2Q16 Actual'!S15</f>
        <v>5.509905744387483</v>
      </c>
    </row>
    <row r="108" spans="1:23">
      <c r="A108" s="1" t="s">
        <v>132</v>
      </c>
      <c r="B108" s="61">
        <f>B28-'2Q16 Actual'!B28</f>
        <v>3.93926204838289</v>
      </c>
      <c r="C108" s="61">
        <f>C28-'2Q16 Actual'!C28</f>
        <v>2.0255852158359264</v>
      </c>
      <c r="D108" s="126">
        <f>D28-'2Q16 Actual'!C28</f>
        <v>3.5905492316874135</v>
      </c>
      <c r="E108" s="61">
        <f>E28-'2Q16 Actual'!D28</f>
        <v>6.7761314410160303</v>
      </c>
      <c r="F108" s="61">
        <f>F28-'2Q16 Actual'!E28</f>
        <v>-1.795610561049088E-2</v>
      </c>
      <c r="G108" s="61">
        <f>G28-'2Q16 Actual'!F28</f>
        <v>1.9809404495114364</v>
      </c>
      <c r="H108" s="61">
        <f>H28-'2Q16 Actual'!F28</f>
        <v>-1.1281295389700023</v>
      </c>
      <c r="I108" s="61">
        <f>I28-'2Q16 Actual'!G28</f>
        <v>0.73479929811468025</v>
      </c>
      <c r="J108" s="61">
        <f>J28-'2Q16 Actual'!H28</f>
        <v>1.6554898343784128</v>
      </c>
      <c r="K108" s="61">
        <f>K28-'2Q16 Actual'!I28</f>
        <v>-1.7233169713628342</v>
      </c>
      <c r="L108" s="61">
        <f>L28-'2Q16 Actual'!J28</f>
        <v>2.4105344461589588</v>
      </c>
      <c r="M108" s="61">
        <f>M28-'2Q16 Actual'!K28</f>
        <v>3.6990578723843477</v>
      </c>
      <c r="N108" s="61">
        <f>N28-'2Q16 Actual'!L28</f>
        <v>1.7512411770703107</v>
      </c>
      <c r="O108" s="61">
        <f>O28-'2Q16 Actual'!M28</f>
        <v>-16.625129375591577</v>
      </c>
      <c r="P108" s="61">
        <f>P28-'2Q16 Actual'!M28</f>
        <v>1.287149705580898</v>
      </c>
      <c r="Q108" s="61">
        <f>Q28-'2Q16 Actual'!N28</f>
        <v>-4.3290529501420156</v>
      </c>
      <c r="R108" s="61">
        <f>R28-'2Q16 Actual'!O28</f>
        <v>0.77575393330318398</v>
      </c>
      <c r="S108" s="61">
        <f>S28-'2Q16 Actual'!O28</f>
        <v>-0.17627378279966699</v>
      </c>
      <c r="T108" s="61">
        <f>T28-'2Q16 Actual'!P28</f>
        <v>3.4052286753274252</v>
      </c>
      <c r="U108" s="61">
        <f>U28-'2Q16 Actual'!Q28</f>
        <v>3.7168422907806988</v>
      </c>
      <c r="V108" s="61">
        <f>V28-'2Q16 Actual'!R28</f>
        <v>-1.2027471314025959</v>
      </c>
      <c r="W108" s="61">
        <f>W28-'2Q16 Actual'!S28</f>
        <v>-0.51677105215783925</v>
      </c>
    </row>
    <row r="109" spans="1:23">
      <c r="A109" s="1" t="s">
        <v>129</v>
      </c>
      <c r="B109" s="62">
        <f>B48-'2Q16 Actual'!B48</f>
        <v>-14.089833333333338</v>
      </c>
      <c r="C109" s="62">
        <f>C48-'2Q16 Actual'!C48</f>
        <v>-10.514337166666671</v>
      </c>
      <c r="D109" s="127">
        <f>D48-'2Q16 Actual'!C48</f>
        <v>-9.6312731666666664</v>
      </c>
      <c r="E109" s="62">
        <f>E48-'2Q16 Actual'!D48</f>
        <v>24.250498999999976</v>
      </c>
      <c r="F109" s="62">
        <f>F48-'2Q16 Actual'!E48</f>
        <v>23.114515666666659</v>
      </c>
      <c r="G109" s="62">
        <f>G48-'2Q16 Actual'!F48</f>
        <v>33.49998166666667</v>
      </c>
      <c r="H109" s="62">
        <f>H48-'2Q16 Actual'!F48</f>
        <v>4.4641263333333328</v>
      </c>
      <c r="I109" s="62">
        <f>I48-'2Q16 Actual'!G48</f>
        <v>-16.395166666666668</v>
      </c>
      <c r="J109" s="62">
        <f>J48-'2Q16 Actual'!H48</f>
        <v>5.8908546666666659</v>
      </c>
      <c r="K109" s="62">
        <f>K48-'2Q16 Actual'!I48</f>
        <v>7.6257999999999946</v>
      </c>
      <c r="L109" s="62">
        <f>L48-'2Q16 Actual'!J48</f>
        <v>-11.25366666666666</v>
      </c>
      <c r="M109" s="62">
        <f>M48-'2Q16 Actual'!K48</f>
        <v>-2.7785333333333391</v>
      </c>
      <c r="N109" s="62">
        <f>N48-'2Q16 Actual'!L48</f>
        <v>13.756166666666665</v>
      </c>
      <c r="O109" s="62">
        <f>O48-'2Q16 Actual'!M48</f>
        <v>31.955333333333336</v>
      </c>
      <c r="P109" s="62">
        <f>P48-'2Q16 Actual'!M48</f>
        <v>-4.3376666666666637</v>
      </c>
      <c r="Q109" s="62">
        <f>Q48-'2Q16 Actual'!N48</f>
        <v>2.2295000000000016</v>
      </c>
      <c r="R109" s="62">
        <f>R48-'2Q16 Actual'!O48</f>
        <v>0.32702966666666455</v>
      </c>
      <c r="S109" s="62">
        <f>S48-'2Q16 Actual'!O48</f>
        <v>2.5366666666666653</v>
      </c>
      <c r="T109" s="62">
        <f>T48-'2Q16 Actual'!P48</f>
        <v>-7.916999999999998</v>
      </c>
      <c r="U109" s="62">
        <f>U48-'2Q16 Actual'!Q48</f>
        <v>-1.2588333333333352</v>
      </c>
      <c r="V109" s="62">
        <f>V48-'2Q16 Actual'!R48</f>
        <v>8.6450606666666623</v>
      </c>
      <c r="W109" s="62">
        <f>W48-'2Q16 Actual'!S48</f>
        <v>1.5296666666666709</v>
      </c>
    </row>
    <row r="193" spans="2:21">
      <c r="N193" s="2" t="s">
        <v>58</v>
      </c>
    </row>
    <row r="194" spans="2:21">
      <c r="N194" s="2" t="s">
        <v>54</v>
      </c>
      <c r="P194" s="2">
        <v>52.63</v>
      </c>
      <c r="Q194" s="2">
        <v>176</v>
      </c>
      <c r="U194" s="2">
        <f>+Q194*P194</f>
        <v>9262.880000000001</v>
      </c>
    </row>
    <row r="195" spans="2:21">
      <c r="E195" s="2" t="s">
        <v>72</v>
      </c>
      <c r="F195" s="2" t="s">
        <v>73</v>
      </c>
      <c r="N195" s="2" t="s">
        <v>55</v>
      </c>
      <c r="P195" s="2">
        <v>14.77</v>
      </c>
      <c r="Q195" s="2">
        <v>37</v>
      </c>
      <c r="U195" s="2">
        <f>+Q195*P195</f>
        <v>546.49</v>
      </c>
    </row>
    <row r="196" spans="2:21">
      <c r="B196" s="2" t="s">
        <v>61</v>
      </c>
      <c r="D196" s="125">
        <v>95.057000000000002</v>
      </c>
      <c r="E196" s="2">
        <f>73.05</f>
        <v>73.05</v>
      </c>
      <c r="H196" s="2">
        <f>+E196*D196</f>
        <v>6943.9138499999999</v>
      </c>
      <c r="N196" s="2" t="s">
        <v>59</v>
      </c>
      <c r="P196" s="2">
        <v>2.76</v>
      </c>
      <c r="Q196" s="2">
        <v>361</v>
      </c>
      <c r="T196" s="2">
        <f>+Q196/6</f>
        <v>60.166666666666664</v>
      </c>
      <c r="U196" s="2">
        <f>+Q196*P196</f>
        <v>996.3599999999999</v>
      </c>
    </row>
    <row r="197" spans="2:21">
      <c r="B197" s="2" t="s">
        <v>71</v>
      </c>
      <c r="D197" s="125">
        <f>458.144-D196</f>
        <v>363.08699999999999</v>
      </c>
      <c r="E197" s="2">
        <f>53.09</f>
        <v>53.09</v>
      </c>
      <c r="H197" s="2">
        <f>+E197*D197</f>
        <v>19276.288830000001</v>
      </c>
      <c r="I197" s="2">
        <f>+SUM(H196:H197)/(D196+D197)</f>
        <v>57.231356691345958</v>
      </c>
    </row>
    <row r="198" spans="2:21">
      <c r="N198" s="2" t="s">
        <v>60</v>
      </c>
    </row>
    <row r="199" spans="2:21">
      <c r="N199" s="2" t="s">
        <v>54</v>
      </c>
      <c r="P199" s="2">
        <v>56.7</v>
      </c>
      <c r="Q199" s="2">
        <v>33</v>
      </c>
      <c r="U199" s="2">
        <f>+Q199*P199</f>
        <v>1871.1000000000001</v>
      </c>
    </row>
    <row r="200" spans="2:21">
      <c r="E200" s="2">
        <v>608</v>
      </c>
      <c r="F200" s="2">
        <v>58</v>
      </c>
      <c r="N200" s="2" t="s">
        <v>55</v>
      </c>
      <c r="P200" s="2">
        <v>3.1</v>
      </c>
      <c r="Q200" s="2">
        <v>9</v>
      </c>
      <c r="U200" s="2">
        <f>+Q200*P200</f>
        <v>27.900000000000002</v>
      </c>
    </row>
    <row r="201" spans="2:21">
      <c r="E201" s="2">
        <v>138</v>
      </c>
      <c r="F201" s="2">
        <v>33.299999999999997</v>
      </c>
      <c r="N201" s="2" t="s">
        <v>59</v>
      </c>
      <c r="P201" s="2">
        <v>0.78</v>
      </c>
      <c r="Q201" s="2">
        <v>396</v>
      </c>
      <c r="T201" s="2">
        <f>+Q201/6</f>
        <v>66</v>
      </c>
      <c r="U201" s="2">
        <f>+Q201*P201</f>
        <v>308.88</v>
      </c>
    </row>
    <row r="202" spans="2:21">
      <c r="F202" s="2">
        <f>+SUMPRODUCT(E200:E201,F200:F201)/SUM(E200:E201)</f>
        <v>53.430831099195714</v>
      </c>
    </row>
    <row r="203" spans="2:21">
      <c r="N203" s="2" t="s">
        <v>61</v>
      </c>
    </row>
    <row r="204" spans="2:21">
      <c r="N204" s="2" t="s">
        <v>54</v>
      </c>
      <c r="P204" s="2">
        <v>52.46</v>
      </c>
      <c r="Q204" s="2">
        <v>29</v>
      </c>
      <c r="U204" s="2">
        <f>+Q204*P204</f>
        <v>1521.34</v>
      </c>
    </row>
  </sheetData>
  <mergeCells count="2">
    <mergeCell ref="A55:W55"/>
    <mergeCell ref="A56:W56"/>
  </mergeCells>
  <pageMargins left="0.7" right="0.7" top="0.75" bottom="0.75" header="0.3" footer="0.3"/>
  <pageSetup orientation="portrait" horizontalDpi="90" verticalDpi="90" r:id="rId1"/>
  <headerFooter>
    <oddFooter>&amp;C&amp;"Expert Sans Regular,Regular"&amp;10&amp;K000000 Restricted - External_x000D_&amp;1#&amp;"Calibri"&amp;10 Restricted - External</oddFooter>
    <evenFooter>&amp;C&amp;"Expert Sans Regular,Regular"&amp;10&amp;K000000 Restricted - External</evenFooter>
    <firstFooter>&amp;C&amp;"Expert Sans Regular,Regular"&amp;10&amp;K000000 Restricted - External</first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T186"/>
  <sheetViews>
    <sheetView workbookViewId="0">
      <pane xSplit="1" ySplit="7" topLeftCell="I8" activePane="bottomRight" state="frozen"/>
      <selection pane="topRight" activeCell="B1" sqref="B1"/>
      <selection pane="bottomLeft" activeCell="A8" sqref="A8"/>
      <selection pane="bottomRight" activeCell="A9" sqref="A9:S107"/>
    </sheetView>
  </sheetViews>
  <sheetFormatPr defaultRowHeight="14.25"/>
  <cols>
    <col min="1" max="1" width="36.375" style="1" customWidth="1"/>
    <col min="2" max="2" width="9.25" style="2" customWidth="1"/>
    <col min="3" max="3" width="9.25" style="125" customWidth="1"/>
    <col min="4" max="19" width="9.25" style="2" customWidth="1"/>
    <col min="20" max="21" width="11.5" style="1" customWidth="1"/>
    <col min="22" max="22" width="10.75" style="1" bestFit="1" customWidth="1"/>
    <col min="23" max="16384" width="9" style="1"/>
  </cols>
  <sheetData>
    <row r="1" spans="1:19" s="9" customFormat="1">
      <c r="A1" s="144" t="s">
        <v>176</v>
      </c>
      <c r="B1" s="8" t="s">
        <v>177</v>
      </c>
      <c r="C1" s="8"/>
      <c r="D1" s="183" t="str">
        <f>"Days in "&amp;$B$1</f>
        <v>Days in 1Q18</v>
      </c>
      <c r="E1" s="8"/>
      <c r="F1" s="8"/>
      <c r="G1" s="8"/>
      <c r="H1" s="8"/>
      <c r="I1" s="8"/>
      <c r="J1" s="8"/>
      <c r="K1" s="8"/>
      <c r="L1" s="8"/>
      <c r="M1" s="19"/>
      <c r="N1" s="8"/>
      <c r="O1" s="8"/>
      <c r="P1" s="8"/>
      <c r="Q1" s="8"/>
      <c r="R1" s="8"/>
      <c r="S1" s="8"/>
    </row>
    <row r="2" spans="1:19" s="9" customFormat="1" ht="15" thickBot="1">
      <c r="A2" s="144" t="s">
        <v>1</v>
      </c>
      <c r="B2" s="10">
        <v>62.85</v>
      </c>
      <c r="C2" s="8"/>
      <c r="D2" s="184">
        <f>31+28+31</f>
        <v>90</v>
      </c>
      <c r="E2" s="8"/>
      <c r="F2" s="8"/>
      <c r="G2" s="8"/>
      <c r="H2" s="8"/>
      <c r="I2" s="8"/>
      <c r="J2" s="8"/>
      <c r="K2" s="8"/>
      <c r="L2" s="8"/>
      <c r="M2" s="19"/>
      <c r="N2" s="8"/>
      <c r="O2" s="8"/>
      <c r="P2" s="8"/>
      <c r="Q2" s="8"/>
      <c r="R2" s="8"/>
      <c r="S2" s="8"/>
    </row>
    <row r="3" spans="1:19" s="9" customFormat="1">
      <c r="A3" s="144" t="s">
        <v>0</v>
      </c>
      <c r="B3" s="10">
        <v>30.04</v>
      </c>
      <c r="C3" s="8"/>
      <c r="D3" s="8"/>
      <c r="E3" s="8"/>
      <c r="F3" s="8"/>
      <c r="G3" s="8"/>
      <c r="H3" s="8"/>
      <c r="I3" s="8"/>
      <c r="J3" s="135"/>
      <c r="K3" s="8"/>
      <c r="L3" s="8"/>
      <c r="M3" s="19"/>
      <c r="N3" s="8"/>
      <c r="O3" s="8"/>
      <c r="P3" s="8"/>
      <c r="Q3" s="8"/>
      <c r="R3" s="8"/>
      <c r="S3" s="8"/>
    </row>
    <row r="4" spans="1:19" s="9" customFormat="1">
      <c r="A4" s="144" t="s">
        <v>2</v>
      </c>
      <c r="B4" s="10">
        <v>3.1019999999999999</v>
      </c>
      <c r="C4" s="8"/>
      <c r="D4" s="8"/>
      <c r="E4" s="8"/>
      <c r="F4" s="8"/>
      <c r="G4" s="8"/>
      <c r="H4" s="135"/>
      <c r="I4" s="8"/>
      <c r="J4" s="8"/>
      <c r="K4" s="8"/>
      <c r="L4" s="8"/>
      <c r="M4" s="19"/>
      <c r="N4" s="8"/>
      <c r="O4" s="8"/>
      <c r="P4" s="8"/>
      <c r="Q4" s="8"/>
      <c r="R4" s="8"/>
      <c r="S4" s="8"/>
    </row>
    <row r="5" spans="1:19" s="9" customFormat="1" ht="15" thickBot="1">
      <c r="A5" s="144"/>
      <c r="B5" s="8"/>
      <c r="C5" s="8"/>
      <c r="D5" s="8"/>
      <c r="E5" s="8"/>
      <c r="F5" s="8"/>
      <c r="G5" s="8"/>
      <c r="H5" s="8"/>
      <c r="I5" s="8"/>
      <c r="J5" s="8"/>
      <c r="K5" s="8"/>
      <c r="L5" s="8"/>
      <c r="M5" s="19"/>
      <c r="N5" s="8"/>
      <c r="O5" s="8"/>
      <c r="P5" s="8"/>
      <c r="Q5" s="8"/>
      <c r="R5" s="8"/>
      <c r="S5" s="8"/>
    </row>
    <row r="6" spans="1:19" ht="26.25" thickBot="1">
      <c r="A6" s="142" t="s">
        <v>15</v>
      </c>
      <c r="B6" s="141" t="s">
        <v>17</v>
      </c>
      <c r="C6" s="141" t="s">
        <v>18</v>
      </c>
      <c r="D6" s="141" t="s">
        <v>19</v>
      </c>
      <c r="E6" s="141" t="s">
        <v>21</v>
      </c>
      <c r="F6" s="141" t="s">
        <v>22</v>
      </c>
      <c r="G6" s="141" t="s">
        <v>20</v>
      </c>
      <c r="H6" s="141" t="s">
        <v>23</v>
      </c>
      <c r="I6" s="141" t="s">
        <v>139</v>
      </c>
      <c r="J6" s="141" t="s">
        <v>24</v>
      </c>
      <c r="K6" s="141" t="s">
        <v>25</v>
      </c>
      <c r="L6" s="141" t="s">
        <v>26</v>
      </c>
      <c r="M6" s="141" t="s">
        <v>27</v>
      </c>
      <c r="N6" s="141" t="s">
        <v>28</v>
      </c>
      <c r="O6" s="141" t="s">
        <v>162</v>
      </c>
      <c r="P6" s="141" t="s">
        <v>29</v>
      </c>
      <c r="Q6" s="141" t="s">
        <v>30</v>
      </c>
      <c r="R6" s="141" t="s">
        <v>31</v>
      </c>
      <c r="S6" s="141" t="s">
        <v>32</v>
      </c>
    </row>
    <row r="7" spans="1:19" ht="18" customHeight="1" thickBot="1">
      <c r="A7" s="25" t="s">
        <v>16</v>
      </c>
      <c r="B7" s="69" t="s">
        <v>33</v>
      </c>
      <c r="C7" s="69" t="s">
        <v>34</v>
      </c>
      <c r="D7" s="69" t="s">
        <v>35</v>
      </c>
      <c r="E7" s="69" t="s">
        <v>37</v>
      </c>
      <c r="F7" s="69" t="s">
        <v>38</v>
      </c>
      <c r="G7" s="69" t="s">
        <v>36</v>
      </c>
      <c r="H7" s="69" t="s">
        <v>39</v>
      </c>
      <c r="I7" s="69" t="s">
        <v>140</v>
      </c>
      <c r="J7" s="69" t="s">
        <v>40</v>
      </c>
      <c r="K7" s="69" t="s">
        <v>41</v>
      </c>
      <c r="L7" s="69" t="s">
        <v>42</v>
      </c>
      <c r="M7" s="69" t="s">
        <v>43</v>
      </c>
      <c r="N7" s="69" t="s">
        <v>44</v>
      </c>
      <c r="O7" s="69" t="s">
        <v>163</v>
      </c>
      <c r="P7" s="69" t="s">
        <v>45</v>
      </c>
      <c r="Q7" s="69" t="s">
        <v>46</v>
      </c>
      <c r="R7" s="69" t="s">
        <v>47</v>
      </c>
      <c r="S7" s="69" t="s">
        <v>48</v>
      </c>
    </row>
    <row r="8" spans="1:19" s="9" customFormat="1">
      <c r="A8" s="144"/>
      <c r="B8" s="8"/>
      <c r="C8" s="8"/>
      <c r="D8" s="8"/>
      <c r="E8" s="8"/>
      <c r="F8" s="8"/>
      <c r="G8" s="8"/>
      <c r="H8" s="8"/>
      <c r="I8" s="8"/>
      <c r="J8" s="8"/>
      <c r="K8" s="8"/>
      <c r="L8" s="8"/>
      <c r="M8" s="8"/>
      <c r="N8" s="8"/>
      <c r="O8" s="8"/>
      <c r="P8" s="8"/>
      <c r="Q8" s="8"/>
      <c r="R8" s="8"/>
      <c r="S8" s="8"/>
    </row>
    <row r="9" spans="1:19" s="9" customFormat="1">
      <c r="A9" s="144" t="s">
        <v>50</v>
      </c>
      <c r="B9" s="10">
        <v>63.66</v>
      </c>
      <c r="C9" s="20">
        <v>64.27</v>
      </c>
      <c r="D9" s="20">
        <f>+D75/D58</f>
        <v>52.687105053715911</v>
      </c>
      <c r="E9" s="10">
        <f>34.27/D58</f>
        <v>27.095192915876034</v>
      </c>
      <c r="F9" s="10">
        <v>59.93</v>
      </c>
      <c r="G9" s="10">
        <f>+((65.47*621)+(14.06*66))/G44</f>
        <v>60.5310480349345</v>
      </c>
      <c r="H9" s="20">
        <f>906.281/(H44*$D$2/1000)</f>
        <v>61.462239230997213</v>
      </c>
      <c r="I9" s="10">
        <v>61.29</v>
      </c>
      <c r="J9" s="10">
        <v>40.15</v>
      </c>
      <c r="K9" s="10">
        <v>63.29</v>
      </c>
      <c r="L9" s="10">
        <v>64.27</v>
      </c>
      <c r="M9" s="20">
        <v>61.82</v>
      </c>
      <c r="N9" s="10">
        <f>+((66.23*63)+(62.22*164))/N44</f>
        <v>63.332907488986784</v>
      </c>
      <c r="O9" s="10">
        <v>58.36</v>
      </c>
      <c r="P9" s="10">
        <f>+P65</f>
        <v>62.649999999999991</v>
      </c>
      <c r="Q9" s="10">
        <v>61.01</v>
      </c>
      <c r="R9" s="10">
        <v>61.64</v>
      </c>
      <c r="S9" s="10">
        <v>56.01</v>
      </c>
    </row>
    <row r="10" spans="1:19" s="9" customFormat="1">
      <c r="A10" s="144" t="s">
        <v>3</v>
      </c>
      <c r="B10" s="10">
        <f>+B9-$B$2</f>
        <v>0.80999999999999517</v>
      </c>
      <c r="C10" s="20">
        <f t="shared" ref="C10:S10" si="0">+C9-$B$2</f>
        <v>1.4199999999999946</v>
      </c>
      <c r="D10" s="20">
        <f t="shared" si="0"/>
        <v>-10.162894946284091</v>
      </c>
      <c r="E10" s="10">
        <f t="shared" si="0"/>
        <v>-35.754807084123968</v>
      </c>
      <c r="F10" s="10">
        <f t="shared" si="0"/>
        <v>-2.9200000000000017</v>
      </c>
      <c r="G10" s="10">
        <f>+G9-$B$2</f>
        <v>-2.3189519650655015</v>
      </c>
      <c r="H10" s="20">
        <f t="shared" ref="H10" si="1">+H9-$B$2</f>
        <v>-1.3877607690027887</v>
      </c>
      <c r="I10" s="10">
        <f t="shared" si="0"/>
        <v>-1.5600000000000023</v>
      </c>
      <c r="J10" s="10">
        <f t="shared" si="0"/>
        <v>-22.700000000000003</v>
      </c>
      <c r="K10" s="10">
        <f t="shared" si="0"/>
        <v>0.43999999999999773</v>
      </c>
      <c r="L10" s="10">
        <f t="shared" si="0"/>
        <v>1.4199999999999946</v>
      </c>
      <c r="M10" s="20">
        <f t="shared" si="0"/>
        <v>-1.0300000000000011</v>
      </c>
      <c r="N10" s="10">
        <f t="shared" si="0"/>
        <v>0.4829074889867826</v>
      </c>
      <c r="O10" s="10">
        <f t="shared" si="0"/>
        <v>-4.490000000000002</v>
      </c>
      <c r="P10" s="10">
        <f t="shared" si="0"/>
        <v>-0.20000000000000995</v>
      </c>
      <c r="Q10" s="10">
        <f t="shared" si="0"/>
        <v>-1.8400000000000034</v>
      </c>
      <c r="R10" s="10">
        <f t="shared" si="0"/>
        <v>-1.2100000000000009</v>
      </c>
      <c r="S10" s="10">
        <f t="shared" si="0"/>
        <v>-6.8400000000000034</v>
      </c>
    </row>
    <row r="11" spans="1:19" s="9" customFormat="1">
      <c r="A11" s="144" t="s">
        <v>51</v>
      </c>
      <c r="B11" s="10">
        <v>33.630000000000003</v>
      </c>
      <c r="C11" s="20">
        <v>24.65</v>
      </c>
      <c r="D11" s="20"/>
      <c r="E11" s="10">
        <f>37.73/D58</f>
        <v>29.830803289057556</v>
      </c>
      <c r="F11" s="10">
        <v>20.190000000000001</v>
      </c>
      <c r="G11" s="10">
        <v>26.68</v>
      </c>
      <c r="H11" s="20"/>
      <c r="I11" s="10"/>
      <c r="J11" s="10">
        <v>22.56</v>
      </c>
      <c r="K11" s="10">
        <v>41.4</v>
      </c>
      <c r="L11" s="10">
        <v>24.46</v>
      </c>
      <c r="M11" s="20">
        <v>21.11</v>
      </c>
      <c r="N11" s="10">
        <f>+((22.95*50)+(11*1.83))/N45</f>
        <v>19.141475409836069</v>
      </c>
      <c r="O11" s="10">
        <v>28.04</v>
      </c>
      <c r="P11" s="10">
        <f>+P70</f>
        <v>25.5159375</v>
      </c>
      <c r="Q11" s="10">
        <v>25.35</v>
      </c>
      <c r="R11" s="10">
        <v>27.74</v>
      </c>
      <c r="S11" s="10">
        <v>15.43</v>
      </c>
    </row>
    <row r="12" spans="1:19" s="9" customFormat="1">
      <c r="A12" s="144" t="s">
        <v>3</v>
      </c>
      <c r="B12" s="10">
        <f t="shared" ref="B12:S12" si="2">+B11-$B$3</f>
        <v>3.5900000000000034</v>
      </c>
      <c r="C12" s="20">
        <f t="shared" si="2"/>
        <v>-5.3900000000000006</v>
      </c>
      <c r="D12" s="20">
        <f t="shared" si="2"/>
        <v>-30.04</v>
      </c>
      <c r="E12" s="10">
        <f t="shared" si="2"/>
        <v>-0.20919671094244308</v>
      </c>
      <c r="F12" s="10">
        <f t="shared" si="2"/>
        <v>-9.8499999999999979</v>
      </c>
      <c r="G12" s="10">
        <f>+G11-$B$3</f>
        <v>-3.3599999999999994</v>
      </c>
      <c r="H12" s="20"/>
      <c r="I12" s="10">
        <f t="shared" si="2"/>
        <v>-30.04</v>
      </c>
      <c r="J12" s="10">
        <f t="shared" si="2"/>
        <v>-7.48</v>
      </c>
      <c r="K12" s="10">
        <f t="shared" si="2"/>
        <v>11.36</v>
      </c>
      <c r="L12" s="10">
        <f t="shared" si="2"/>
        <v>-5.5799999999999983</v>
      </c>
      <c r="M12" s="20">
        <f t="shared" si="2"/>
        <v>-8.93</v>
      </c>
      <c r="N12" s="10">
        <f t="shared" si="2"/>
        <v>-10.89852459016393</v>
      </c>
      <c r="O12" s="10">
        <f t="shared" si="2"/>
        <v>-2</v>
      </c>
      <c r="P12" s="10">
        <f t="shared" si="2"/>
        <v>-4.5240624999999994</v>
      </c>
      <c r="Q12" s="10">
        <f t="shared" si="2"/>
        <v>-4.6899999999999977</v>
      </c>
      <c r="R12" s="10">
        <f t="shared" si="2"/>
        <v>-2.3000000000000007</v>
      </c>
      <c r="S12" s="10">
        <f t="shared" si="2"/>
        <v>-14.61</v>
      </c>
    </row>
    <row r="13" spans="1:19" s="9" customFormat="1">
      <c r="A13" s="144" t="s">
        <v>52</v>
      </c>
      <c r="B13" s="10">
        <v>2.61</v>
      </c>
      <c r="C13" s="20">
        <v>2.77</v>
      </c>
      <c r="D13" s="20">
        <f>2.74/D58</f>
        <v>2.166350411132195</v>
      </c>
      <c r="E13" s="10">
        <f>2.23/D58</f>
        <v>1.763124604680582</v>
      </c>
      <c r="F13" s="10">
        <v>2.2799999999999998</v>
      </c>
      <c r="G13" s="10">
        <v>5.18</v>
      </c>
      <c r="H13" s="20">
        <f>207.571/(H46*$D$2/1000)</f>
        <v>3.1106201758794945</v>
      </c>
      <c r="I13" s="10">
        <v>3.39</v>
      </c>
      <c r="J13" s="10">
        <v>2.41</v>
      </c>
      <c r="K13" s="10">
        <v>2.48</v>
      </c>
      <c r="L13" s="10">
        <v>2.83</v>
      </c>
      <c r="M13" s="20">
        <v>3.86</v>
      </c>
      <c r="N13" s="10">
        <f>+((0.65*437)+(2.59*420))/N46</f>
        <v>1.6007584597432905</v>
      </c>
      <c r="O13" s="10">
        <v>2.7</v>
      </c>
      <c r="P13" s="10">
        <f>+P79</f>
        <v>2.901112255406797</v>
      </c>
      <c r="Q13" s="10">
        <v>1.82</v>
      </c>
      <c r="R13" s="10">
        <v>2.59</v>
      </c>
      <c r="S13" s="10">
        <v>2.72</v>
      </c>
    </row>
    <row r="14" spans="1:19" s="9" customFormat="1">
      <c r="A14" s="144" t="s">
        <v>3</v>
      </c>
      <c r="B14" s="10">
        <f t="shared" ref="B14:S14" si="3">+B13-$B$4</f>
        <v>-0.49199999999999999</v>
      </c>
      <c r="C14" s="20">
        <f t="shared" si="3"/>
        <v>-0.33199999999999985</v>
      </c>
      <c r="D14" s="20">
        <f t="shared" si="3"/>
        <v>-0.93564958886780492</v>
      </c>
      <c r="E14" s="10">
        <f t="shared" si="3"/>
        <v>-1.3388753953194179</v>
      </c>
      <c r="F14" s="10">
        <f t="shared" si="3"/>
        <v>-0.82200000000000006</v>
      </c>
      <c r="G14" s="10">
        <f>+G13-$B$4</f>
        <v>2.0779999999999998</v>
      </c>
      <c r="H14" s="20">
        <f t="shared" ref="H14" si="4">+H13-$B$4</f>
        <v>8.620175879494596E-3</v>
      </c>
      <c r="I14" s="10">
        <f t="shared" si="3"/>
        <v>0.28800000000000026</v>
      </c>
      <c r="J14" s="10">
        <f t="shared" si="3"/>
        <v>-0.69199999999999973</v>
      </c>
      <c r="K14" s="10">
        <f t="shared" si="3"/>
        <v>-0.62199999999999989</v>
      </c>
      <c r="L14" s="10">
        <f t="shared" si="3"/>
        <v>-0.2719999999999998</v>
      </c>
      <c r="M14" s="20">
        <f t="shared" si="3"/>
        <v>0.75800000000000001</v>
      </c>
      <c r="N14" s="10">
        <f t="shared" si="3"/>
        <v>-1.5012415402567094</v>
      </c>
      <c r="O14" s="10">
        <f t="shared" si="3"/>
        <v>-0.40199999999999969</v>
      </c>
      <c r="P14" s="10">
        <f t="shared" si="3"/>
        <v>-0.20088774459320291</v>
      </c>
      <c r="Q14" s="10">
        <f t="shared" si="3"/>
        <v>-1.2819999999999998</v>
      </c>
      <c r="R14" s="10">
        <f t="shared" si="3"/>
        <v>-0.51200000000000001</v>
      </c>
      <c r="S14" s="10">
        <f t="shared" si="3"/>
        <v>-0.38199999999999967</v>
      </c>
    </row>
    <row r="15" spans="1:19" s="9" customFormat="1">
      <c r="A15" s="147" t="s">
        <v>49</v>
      </c>
      <c r="B15" s="151">
        <f>+(2127+247+292)/B48</f>
        <v>46.056836831648965</v>
      </c>
      <c r="C15" s="151">
        <f>(1728-155.2)/C48</f>
        <v>42.933228293237654</v>
      </c>
      <c r="D15" s="20">
        <f>(2009+3198)/D48/D58</f>
        <v>40.712494691836611</v>
      </c>
      <c r="E15" s="10">
        <f>33.2/D58</f>
        <v>26.249209361163825</v>
      </c>
      <c r="F15" s="10">
        <f>+(351.723+109.721+93.997)/F48</f>
        <v>29.952130817626344</v>
      </c>
      <c r="G15" s="10">
        <f>G67</f>
        <v>49.61292140077822</v>
      </c>
      <c r="H15" s="159">
        <f>1113.852/H$48</f>
        <v>43.060800341439432</v>
      </c>
      <c r="I15" s="10">
        <v>46.17</v>
      </c>
      <c r="J15" s="10">
        <v>27.75</v>
      </c>
      <c r="K15" s="10">
        <v>32.35</v>
      </c>
      <c r="L15" s="10">
        <f>+(2101.308+221.415+299.766)/L48</f>
        <v>44.15633681870991</v>
      </c>
      <c r="M15" s="20">
        <f>M67</f>
        <v>43.178000000000004</v>
      </c>
      <c r="N15" s="10">
        <f>1537/N48</f>
        <v>39.638942617666025</v>
      </c>
      <c r="O15" s="10">
        <f>580/O48</f>
        <v>36.506304680779635</v>
      </c>
      <c r="P15" s="10">
        <f>1173/P48</f>
        <v>35.920992191088651</v>
      </c>
      <c r="Q15" s="10">
        <f>Q67</f>
        <v>45.761160689843962</v>
      </c>
      <c r="R15" s="10">
        <v>45.11</v>
      </c>
      <c r="S15" s="10">
        <f>S67</f>
        <v>16.865840536499483</v>
      </c>
    </row>
    <row r="16" spans="1:19" s="9" customFormat="1">
      <c r="A16" s="144"/>
      <c r="B16" s="10"/>
      <c r="C16" s="20"/>
      <c r="D16" s="20"/>
      <c r="E16" s="10">
        <f>2.23*6</f>
        <v>13.379999999999999</v>
      </c>
      <c r="F16" s="10"/>
      <c r="G16" s="10"/>
      <c r="H16" s="10"/>
      <c r="I16" s="10"/>
      <c r="J16" s="10"/>
      <c r="K16" s="10"/>
      <c r="L16" s="10"/>
      <c r="M16" s="20"/>
      <c r="N16" s="10"/>
      <c r="O16" s="10"/>
      <c r="P16" s="10"/>
      <c r="Q16" s="10"/>
      <c r="R16" s="10"/>
      <c r="S16" s="10"/>
    </row>
    <row r="17" spans="1:20" s="9" customFormat="1">
      <c r="A17" s="144" t="s">
        <v>4</v>
      </c>
      <c r="B17" s="10"/>
      <c r="C17" s="20"/>
      <c r="D17" s="20"/>
      <c r="E17" s="10"/>
      <c r="F17" s="10"/>
      <c r="G17" s="10"/>
      <c r="H17" s="10"/>
      <c r="I17" s="10"/>
      <c r="J17" s="10"/>
      <c r="K17" s="10"/>
      <c r="L17" s="10"/>
      <c r="M17" s="20"/>
      <c r="N17" s="10"/>
      <c r="O17" s="10"/>
      <c r="P17" s="10"/>
      <c r="Q17" s="10"/>
      <c r="R17" s="10"/>
      <c r="S17" s="10"/>
    </row>
    <row r="18" spans="1:20" s="9" customFormat="1">
      <c r="A18" s="143" t="s">
        <v>75</v>
      </c>
      <c r="B18" s="10">
        <f>+(276+196)/B48</f>
        <v>8.1540986438628327</v>
      </c>
      <c r="C18" s="20">
        <f>(349+81)/C48</f>
        <v>11.737848528797173</v>
      </c>
      <c r="D18" s="20">
        <f>(735+741+873+325)/D48/D58</f>
        <v>20.907472787780122</v>
      </c>
      <c r="E18" s="10">
        <f>(6.16+7.89)/D58</f>
        <v>11.108475648323846</v>
      </c>
      <c r="F18" s="10">
        <f>+(71.271+45.165)/F48</f>
        <v>6.27880603679084</v>
      </c>
      <c r="G18" s="10">
        <f>(1171)/G48</f>
        <v>12.150453955901428</v>
      </c>
      <c r="H18" s="10">
        <f>(92.962+49.297)/H48</f>
        <v>5.4996412411818021</v>
      </c>
      <c r="I18" s="10">
        <f>(130+11)/I48</f>
        <v>6.8734553006039869</v>
      </c>
      <c r="J18" s="10">
        <f>(241+228)/J48</f>
        <v>9.5763144461459948</v>
      </c>
      <c r="K18" s="10">
        <f>3.47+7.42</f>
        <v>10.89</v>
      </c>
      <c r="L18" s="10">
        <f>+(300.064+176.957+101.345)/L48</f>
        <v>9.7382768432927556</v>
      </c>
      <c r="M18" s="20">
        <f>(247+151)/M48</f>
        <v>17.342047930283226</v>
      </c>
      <c r="N18" s="10">
        <f>(217+130)/N48</f>
        <v>8.9490651192778863</v>
      </c>
      <c r="O18" s="10">
        <f>+(58+78)/O48</f>
        <v>8.5600990285966052</v>
      </c>
      <c r="P18" s="10">
        <f>+(155+95+17)/P48</f>
        <v>8.1763895268718425</v>
      </c>
      <c r="Q18" s="10">
        <v>12.24</v>
      </c>
      <c r="R18" s="10">
        <f>0.82+2.47+4.41-0.1</f>
        <v>7.6000000000000005</v>
      </c>
      <c r="S18" s="10">
        <f>208.74/S48</f>
        <v>5.5403480522697706</v>
      </c>
    </row>
    <row r="19" spans="1:20" s="9" customFormat="1">
      <c r="A19" s="143" t="s">
        <v>74</v>
      </c>
      <c r="B19" s="10"/>
      <c r="C19" s="20"/>
      <c r="D19" s="20">
        <f>261/D48/D58</f>
        <v>2.0407069549777908</v>
      </c>
      <c r="E19" s="10">
        <f>2.34/D58</f>
        <v>1.8500948766603416</v>
      </c>
      <c r="F19" s="10"/>
      <c r="G19" s="10"/>
      <c r="H19" s="10"/>
      <c r="I19" s="10"/>
      <c r="J19" s="10"/>
      <c r="K19" s="10"/>
      <c r="L19" s="10"/>
      <c r="M19" s="20"/>
      <c r="N19" s="10"/>
      <c r="O19" s="10"/>
      <c r="P19" s="10"/>
      <c r="Q19" s="10"/>
      <c r="R19" s="10"/>
      <c r="S19" s="10"/>
    </row>
    <row r="20" spans="1:20" s="9" customFormat="1">
      <c r="A20" s="143" t="s">
        <v>10</v>
      </c>
      <c r="B20" s="10">
        <f>(190-12.382)/B48</f>
        <v>3.0684633324695523</v>
      </c>
      <c r="C20" s="20">
        <f>55/C48</f>
        <v>1.5013527187996383</v>
      </c>
      <c r="D20" s="20"/>
      <c r="E20" s="10">
        <f>0.01/D58</f>
        <v>7.9063883617963328E-3</v>
      </c>
      <c r="F20" s="10">
        <f>30.188/F48</f>
        <v>1.6278865354241117</v>
      </c>
      <c r="G20" s="10">
        <f>183/G48</f>
        <v>1.8988326848249031</v>
      </c>
      <c r="H20" s="10">
        <f>80.58/H48</f>
        <v>3.1151708588871672</v>
      </c>
      <c r="I20" s="10">
        <f>70/I48</f>
        <v>3.4123536953353124</v>
      </c>
      <c r="J20" s="10">
        <f>(59+15)/J48</f>
        <v>1.5109749872383871</v>
      </c>
      <c r="K20" s="10">
        <v>0.99</v>
      </c>
      <c r="L20" s="10">
        <f>179.084/L48</f>
        <v>3.0153390244313112</v>
      </c>
      <c r="M20" s="20">
        <f>39/M48</f>
        <v>1.6993464052287581</v>
      </c>
      <c r="N20" s="10">
        <f>64/N48</f>
        <v>1.6505480335267571</v>
      </c>
      <c r="O20" s="10">
        <f>24/O48</f>
        <v>1.5106057109288127</v>
      </c>
      <c r="P20" s="10">
        <f>54/P48</f>
        <v>1.6536518144235186</v>
      </c>
      <c r="Q20" s="10">
        <v>1.82</v>
      </c>
      <c r="R20" s="10">
        <f>76/R48</f>
        <v>2.707899423627171</v>
      </c>
      <c r="S20" s="10">
        <f>0.09*6</f>
        <v>0.54</v>
      </c>
    </row>
    <row r="21" spans="1:20" s="9" customFormat="1">
      <c r="A21" s="143" t="s">
        <v>11</v>
      </c>
      <c r="B21" s="10">
        <f>+(278-14.132)/B48</f>
        <v>4.5584866545737244</v>
      </c>
      <c r="C21" s="20">
        <f>114/C48</f>
        <v>3.1118947262392505</v>
      </c>
      <c r="D21" s="20">
        <f>(81)/D48/D58</f>
        <v>0.6333228480965557</v>
      </c>
      <c r="E21" s="10">
        <f>(179-59-43)/E48/D58</f>
        <v>1.3880961507826215</v>
      </c>
      <c r="F21" s="20">
        <f>+(40.848+12.418)/F48</f>
        <v>2.8723666422386622</v>
      </c>
      <c r="G21" s="10">
        <f>99/G48</f>
        <v>1.0272373540856032</v>
      </c>
      <c r="H21" s="10">
        <f>43.043/H48</f>
        <v>1.6640146348855838</v>
      </c>
      <c r="I21" s="10">
        <f>65/I48</f>
        <v>3.1686141456685046</v>
      </c>
      <c r="J21" s="10">
        <f>(199)/J48</f>
        <v>4.0632976008167434</v>
      </c>
      <c r="K21" s="10">
        <f>(-27+31--12)/K48</f>
        <v>0.54807659370397022</v>
      </c>
      <c r="L21" s="10">
        <f>94.698/L48</f>
        <v>1.5944840127292013</v>
      </c>
      <c r="M21" s="20">
        <f>(110-3)/M48</f>
        <v>4.6623093681917211</v>
      </c>
      <c r="N21" s="10">
        <f>100/N48</f>
        <v>2.5789813023855577</v>
      </c>
      <c r="O21" s="10">
        <f>54/O48</f>
        <v>3.3988628495898285</v>
      </c>
      <c r="P21" s="10">
        <f>(104-10.442)/P48</f>
        <v>2.8650436380339914</v>
      </c>
      <c r="Q21" s="10">
        <v>2.74</v>
      </c>
      <c r="R21" s="10">
        <f>90/R48</f>
        <v>3.2067230016637547</v>
      </c>
      <c r="S21" s="10">
        <f>0.21*6</f>
        <v>1.26</v>
      </c>
    </row>
    <row r="22" spans="1:20" s="9" customFormat="1">
      <c r="A22" s="143" t="s">
        <v>12</v>
      </c>
      <c r="B22" s="10">
        <f>+(228-39.283)/B48</f>
        <v>3.260205580029369</v>
      </c>
      <c r="C22" s="20">
        <f>(112)/C48</f>
        <v>3.0573000819192635</v>
      </c>
      <c r="D22" s="20">
        <f>190/D48/D58</f>
        <v>1.4855721128190813</v>
      </c>
      <c r="E22" s="10">
        <f>128/E48/D58</f>
        <v>2.3074845103918902</v>
      </c>
      <c r="F22" s="10">
        <f>16.783/F48</f>
        <v>0.90502251636487574</v>
      </c>
      <c r="G22" s="10">
        <f>184/G48</f>
        <v>1.9092088197146566</v>
      </c>
      <c r="H22" s="10">
        <f>75.894/H48</f>
        <v>2.9340131194388519</v>
      </c>
      <c r="I22" s="10">
        <f>30/I48</f>
        <v>1.4624372980008482</v>
      </c>
      <c r="J22" s="10">
        <f>(96)/J48</f>
        <v>1.9601837672281779</v>
      </c>
      <c r="K22" s="10">
        <f>92/K48</f>
        <v>3.1514404137978285</v>
      </c>
      <c r="L22" s="10">
        <f>61.956/L48</f>
        <v>1.0431883618730111</v>
      </c>
      <c r="M22" s="20">
        <f>(103+4-15)/M48</f>
        <v>4.0087145969498916</v>
      </c>
      <c r="N22" s="10">
        <f>(52)/N48</f>
        <v>1.3410702772404901</v>
      </c>
      <c r="O22" s="10">
        <f>38/O48</f>
        <v>2.3917923756372867</v>
      </c>
      <c r="P22" s="10">
        <f>+(90-2.521)/P48</f>
        <v>2.6788853161843513</v>
      </c>
      <c r="Q22" s="10">
        <f>97/Q48</f>
        <v>1.7702345104480335</v>
      </c>
      <c r="R22" s="10">
        <f>36/R48</f>
        <v>1.282689200665502</v>
      </c>
      <c r="S22" s="10">
        <f>+(65)/S48</f>
        <v>1.7252209609923115</v>
      </c>
    </row>
    <row r="23" spans="1:20" s="9" customFormat="1">
      <c r="A23" s="143" t="s">
        <v>13</v>
      </c>
      <c r="B23" s="10">
        <f>+(990-76.842)/B48</f>
        <v>15.775382223373933</v>
      </c>
      <c r="C23" s="20">
        <f>518/C48</f>
        <v>14.140012878876593</v>
      </c>
      <c r="D23" s="20">
        <f>(850+404)/D48/D58</f>
        <v>9.8047759446059359</v>
      </c>
      <c r="E23" s="10">
        <f>(362+204)/E48/D58</f>
        <v>10.203408069389141</v>
      </c>
      <c r="F23" s="10">
        <f>133.919/F48</f>
        <v>7.2215760215139007</v>
      </c>
      <c r="G23" s="10">
        <f>1412/G48</f>
        <v>14.651102464332039</v>
      </c>
      <c r="H23" s="10">
        <f>454.378/H48</f>
        <v>17.56596059219947</v>
      </c>
      <c r="I23" s="10">
        <f>317/I48</f>
        <v>15.45308744887563</v>
      </c>
      <c r="J23" s="10">
        <f>+(399)/J48</f>
        <v>8.1470137825421141</v>
      </c>
      <c r="K23" s="10">
        <f>(77+185)/K48</f>
        <v>8.9747542219025114</v>
      </c>
      <c r="L23" s="10">
        <f>748.591/L48</f>
        <v>12.604451852974357</v>
      </c>
      <c r="M23" s="20">
        <f>385/M48</f>
        <v>16.775599128540307</v>
      </c>
      <c r="N23" s="10">
        <f>590/N48</f>
        <v>15.21598968407479</v>
      </c>
      <c r="O23" s="10">
        <f>133/O48</f>
        <v>8.3712733147305034</v>
      </c>
      <c r="P23" s="10">
        <f>+(468-11.329)/P48</f>
        <v>13.984719032307456</v>
      </c>
      <c r="Q23" s="10">
        <v>13.44</v>
      </c>
      <c r="R23" s="10">
        <f>357/R48</f>
        <v>12.720001239932895</v>
      </c>
      <c r="S23" s="10">
        <f>117/S48</f>
        <v>3.1053977297861608</v>
      </c>
    </row>
    <row r="24" spans="1:20" s="9" customFormat="1">
      <c r="A24" s="143"/>
      <c r="B24" s="10"/>
      <c r="C24" s="20"/>
      <c r="D24" s="20"/>
      <c r="E24" s="10"/>
      <c r="F24" s="10"/>
      <c r="G24" s="10"/>
      <c r="H24" s="10"/>
      <c r="I24" s="10"/>
      <c r="J24" s="10"/>
      <c r="K24" s="10"/>
      <c r="L24" s="10"/>
      <c r="M24" s="20"/>
      <c r="N24" s="10"/>
      <c r="O24" s="10"/>
      <c r="P24" s="10"/>
      <c r="Q24" s="10"/>
      <c r="R24" s="10"/>
      <c r="S24" s="10"/>
    </row>
    <row r="25" spans="1:20" s="9" customFormat="1">
      <c r="A25" s="144" t="s">
        <v>9</v>
      </c>
      <c r="B25" s="8"/>
      <c r="C25" s="19"/>
      <c r="D25" s="19"/>
      <c r="E25" s="8"/>
      <c r="F25" s="8"/>
      <c r="G25" s="8"/>
      <c r="H25" s="8"/>
      <c r="I25" s="8"/>
      <c r="J25" s="8"/>
      <c r="K25" s="8"/>
      <c r="L25" s="8"/>
      <c r="M25" s="19"/>
      <c r="N25" s="8"/>
      <c r="O25" s="8"/>
      <c r="P25" s="8"/>
      <c r="Q25" s="8"/>
      <c r="R25" s="8"/>
      <c r="S25" s="8"/>
    </row>
    <row r="26" spans="1:20" s="9" customFormat="1">
      <c r="A26" s="143" t="s">
        <v>165</v>
      </c>
      <c r="B26" s="10">
        <f>+B18+B20</f>
        <v>11.222561976332385</v>
      </c>
      <c r="C26" s="20">
        <f>+C18+C20</f>
        <v>13.23920124759681</v>
      </c>
      <c r="D26" s="20">
        <f>+D18+D20+D19</f>
        <v>22.948179742757912</v>
      </c>
      <c r="E26" s="20">
        <f>+E18+E20+E19</f>
        <v>12.966476913345984</v>
      </c>
      <c r="F26" s="10">
        <f>+F18+F20</f>
        <v>7.9066925722149515</v>
      </c>
      <c r="G26" s="10">
        <f>+G18+G20</f>
        <v>14.049286640726331</v>
      </c>
      <c r="H26" s="10">
        <f t="shared" ref="H26:S26" si="5">+H18+H20</f>
        <v>8.6148121000689688</v>
      </c>
      <c r="I26" s="10">
        <f>+I18+I20</f>
        <v>10.285808995939298</v>
      </c>
      <c r="J26" s="10">
        <f t="shared" si="5"/>
        <v>11.087289433384381</v>
      </c>
      <c r="K26" s="10">
        <f t="shared" si="5"/>
        <v>11.88</v>
      </c>
      <c r="L26" s="10">
        <f t="shared" si="5"/>
        <v>12.753615867724067</v>
      </c>
      <c r="M26" s="20">
        <f t="shared" si="5"/>
        <v>19.041394335511985</v>
      </c>
      <c r="N26" s="10">
        <f t="shared" si="5"/>
        <v>10.599613152804643</v>
      </c>
      <c r="O26" s="10">
        <f t="shared" si="5"/>
        <v>10.070704739525418</v>
      </c>
      <c r="P26" s="10">
        <f t="shared" si="5"/>
        <v>9.8300413412953613</v>
      </c>
      <c r="Q26" s="10">
        <f t="shared" si="5"/>
        <v>14.06</v>
      </c>
      <c r="R26" s="10">
        <f t="shared" si="5"/>
        <v>10.307899423627171</v>
      </c>
      <c r="S26" s="10">
        <f t="shared" si="5"/>
        <v>6.0803480522697706</v>
      </c>
    </row>
    <row r="27" spans="1:20" s="9" customFormat="1">
      <c r="A27" s="143" t="s">
        <v>6</v>
      </c>
      <c r="B27" s="10">
        <f>+B26+B21</f>
        <v>15.78104863090611</v>
      </c>
      <c r="C27" s="20">
        <f t="shared" ref="C27:S29" si="6">+C26+C21</f>
        <v>16.35109597383606</v>
      </c>
      <c r="D27" s="20">
        <f>+D26+D21</f>
        <v>23.581502590854466</v>
      </c>
      <c r="E27" s="10">
        <f>+E26+E21</f>
        <v>14.354573064128605</v>
      </c>
      <c r="F27" s="10">
        <f t="shared" ref="E27:F29" si="7">+F26+F21</f>
        <v>10.779059214453614</v>
      </c>
      <c r="G27" s="10">
        <f>+G26+G21</f>
        <v>15.076523994811934</v>
      </c>
      <c r="H27" s="10">
        <f t="shared" si="6"/>
        <v>10.278826734954553</v>
      </c>
      <c r="I27" s="10">
        <f>+I26+I21</f>
        <v>13.454423141607803</v>
      </c>
      <c r="J27" s="10">
        <f t="shared" si="6"/>
        <v>15.150587034201124</v>
      </c>
      <c r="K27" s="10">
        <f t="shared" si="6"/>
        <v>12.42807659370397</v>
      </c>
      <c r="L27" s="10">
        <f t="shared" si="6"/>
        <v>14.348099880453269</v>
      </c>
      <c r="M27" s="20">
        <f t="shared" si="6"/>
        <v>23.703703703703706</v>
      </c>
      <c r="N27" s="10">
        <f t="shared" si="6"/>
        <v>13.178594455190201</v>
      </c>
      <c r="O27" s="10">
        <f t="shared" si="6"/>
        <v>13.469567589115247</v>
      </c>
      <c r="P27" s="10">
        <f t="shared" si="6"/>
        <v>12.695084979329353</v>
      </c>
      <c r="Q27" s="10">
        <f t="shared" si="6"/>
        <v>16.8</v>
      </c>
      <c r="R27" s="10">
        <f t="shared" si="6"/>
        <v>13.514622425290927</v>
      </c>
      <c r="S27" s="10">
        <f t="shared" si="6"/>
        <v>7.3403480522697704</v>
      </c>
    </row>
    <row r="28" spans="1:20" s="9" customFormat="1">
      <c r="A28" s="143" t="s">
        <v>7</v>
      </c>
      <c r="B28" s="10">
        <f>+B27+B22</f>
        <v>19.041254210935477</v>
      </c>
      <c r="C28" s="20">
        <f t="shared" si="6"/>
        <v>19.408396055755322</v>
      </c>
      <c r="D28" s="20">
        <f t="shared" si="6"/>
        <v>25.067074703673548</v>
      </c>
      <c r="E28" s="10">
        <f t="shared" si="7"/>
        <v>16.662057574520496</v>
      </c>
      <c r="F28" s="10">
        <f t="shared" si="7"/>
        <v>11.684081730818489</v>
      </c>
      <c r="G28" s="10">
        <f>+G27+G22</f>
        <v>16.985732814526592</v>
      </c>
      <c r="H28" s="10">
        <f t="shared" si="6"/>
        <v>13.212839854393405</v>
      </c>
      <c r="I28" s="10">
        <f>+I27+I22</f>
        <v>14.916860439608651</v>
      </c>
      <c r="J28" s="10">
        <f t="shared" si="6"/>
        <v>17.1107708014293</v>
      </c>
      <c r="K28" s="10">
        <f t="shared" si="6"/>
        <v>15.579517007501799</v>
      </c>
      <c r="L28" s="10">
        <f t="shared" si="6"/>
        <v>15.391288242326279</v>
      </c>
      <c r="M28" s="20">
        <f t="shared" si="6"/>
        <v>27.712418300653596</v>
      </c>
      <c r="N28" s="10">
        <f t="shared" si="6"/>
        <v>14.519664732430691</v>
      </c>
      <c r="O28" s="10">
        <f t="shared" si="6"/>
        <v>15.861359964752534</v>
      </c>
      <c r="P28" s="10">
        <f t="shared" si="6"/>
        <v>15.373970295513704</v>
      </c>
      <c r="Q28" s="10">
        <f t="shared" si="6"/>
        <v>18.570234510448035</v>
      </c>
      <c r="R28" s="10">
        <f t="shared" si="6"/>
        <v>14.797311625956429</v>
      </c>
      <c r="S28" s="10">
        <f t="shared" si="6"/>
        <v>9.0655690132620812</v>
      </c>
      <c r="T28" s="65"/>
    </row>
    <row r="29" spans="1:20" s="9" customFormat="1">
      <c r="A29" s="143" t="s">
        <v>8</v>
      </c>
      <c r="B29" s="10">
        <f>+B28+B23</f>
        <v>34.816636434309409</v>
      </c>
      <c r="C29" s="20">
        <f t="shared" si="6"/>
        <v>33.548408934631915</v>
      </c>
      <c r="D29" s="20">
        <f t="shared" si="6"/>
        <v>34.871850648279484</v>
      </c>
      <c r="E29" s="10">
        <f t="shared" si="7"/>
        <v>26.865465643909637</v>
      </c>
      <c r="F29" s="10">
        <f t="shared" si="7"/>
        <v>18.905657752332388</v>
      </c>
      <c r="G29" s="10">
        <f>+G28+G23</f>
        <v>31.636835278858634</v>
      </c>
      <c r="H29" s="10">
        <f t="shared" si="6"/>
        <v>30.778800446592875</v>
      </c>
      <c r="I29" s="10">
        <f>+I28+I23</f>
        <v>30.369947888484283</v>
      </c>
      <c r="J29" s="10">
        <f t="shared" si="6"/>
        <v>25.257784583971414</v>
      </c>
      <c r="K29" s="10">
        <f t="shared" si="6"/>
        <v>24.554271229404311</v>
      </c>
      <c r="L29" s="10">
        <f t="shared" si="6"/>
        <v>27.995740095300636</v>
      </c>
      <c r="M29" s="20">
        <f t="shared" si="6"/>
        <v>44.488017429193903</v>
      </c>
      <c r="N29" s="10">
        <f t="shared" si="6"/>
        <v>29.735654416505483</v>
      </c>
      <c r="O29" s="10">
        <f t="shared" si="6"/>
        <v>24.232633279483039</v>
      </c>
      <c r="P29" s="10">
        <f t="shared" si="6"/>
        <v>29.35868932782116</v>
      </c>
      <c r="Q29" s="10">
        <f t="shared" si="6"/>
        <v>32.010234510448036</v>
      </c>
      <c r="R29" s="10">
        <f t="shared" si="6"/>
        <v>27.517312865889323</v>
      </c>
      <c r="S29" s="10">
        <f t="shared" si="6"/>
        <v>12.170966743048242</v>
      </c>
      <c r="T29" s="65"/>
    </row>
    <row r="30" spans="1:20" s="9" customFormat="1">
      <c r="A30" s="144"/>
      <c r="B30" s="10"/>
      <c r="C30" s="20"/>
      <c r="D30" s="20"/>
      <c r="E30" s="10"/>
      <c r="F30" s="10"/>
      <c r="G30" s="10"/>
      <c r="H30" s="10"/>
      <c r="I30" s="10"/>
      <c r="J30" s="10"/>
      <c r="K30" s="10"/>
      <c r="L30" s="10"/>
      <c r="M30" s="20"/>
      <c r="N30" s="10"/>
      <c r="O30" s="10"/>
      <c r="P30" s="10"/>
      <c r="Q30" s="10"/>
      <c r="R30" s="10"/>
      <c r="S30" s="10"/>
    </row>
    <row r="31" spans="1:20" s="9" customFormat="1">
      <c r="A31" s="143" t="s">
        <v>14</v>
      </c>
      <c r="B31" s="10"/>
      <c r="C31" s="20"/>
      <c r="D31" s="20"/>
      <c r="E31" s="10"/>
      <c r="F31" s="10"/>
      <c r="G31" s="10"/>
      <c r="H31" s="10"/>
      <c r="I31" s="10"/>
      <c r="J31" s="10"/>
      <c r="K31" s="10"/>
      <c r="L31" s="10"/>
      <c r="M31" s="20"/>
      <c r="N31" s="10"/>
      <c r="O31" s="10"/>
      <c r="P31" s="10"/>
      <c r="Q31" s="10"/>
      <c r="R31" s="10"/>
      <c r="S31" s="10"/>
    </row>
    <row r="32" spans="1:20" s="9" customFormat="1">
      <c r="A32" s="143" t="s">
        <v>67</v>
      </c>
      <c r="B32" s="10">
        <f t="shared" ref="B32:S35" si="8">+B$15-B26</f>
        <v>34.834274855316579</v>
      </c>
      <c r="C32" s="20">
        <f t="shared" si="8"/>
        <v>29.694027045640844</v>
      </c>
      <c r="D32" s="20">
        <f t="shared" si="8"/>
        <v>17.764314949078699</v>
      </c>
      <c r="E32" s="10">
        <f t="shared" si="8"/>
        <v>13.282732447817841</v>
      </c>
      <c r="F32" s="10">
        <f t="shared" si="8"/>
        <v>22.045438245411393</v>
      </c>
      <c r="G32" s="10">
        <f>+G$15-G26</f>
        <v>35.56363476005189</v>
      </c>
      <c r="H32" s="10">
        <f t="shared" si="8"/>
        <v>34.445988241370465</v>
      </c>
      <c r="I32" s="10">
        <f>+I$15-I26</f>
        <v>35.884191004060703</v>
      </c>
      <c r="J32" s="10">
        <f t="shared" si="8"/>
        <v>16.662710566615619</v>
      </c>
      <c r="K32" s="10">
        <f t="shared" si="8"/>
        <v>20.47</v>
      </c>
      <c r="L32" s="10">
        <f t="shared" si="8"/>
        <v>31.402720950985845</v>
      </c>
      <c r="M32" s="20">
        <f t="shared" si="8"/>
        <v>24.13660566448802</v>
      </c>
      <c r="N32" s="10">
        <f t="shared" si="8"/>
        <v>29.039329464861382</v>
      </c>
      <c r="O32" s="10">
        <f t="shared" si="8"/>
        <v>26.435599941254218</v>
      </c>
      <c r="P32" s="10">
        <f t="shared" si="8"/>
        <v>26.090950849793288</v>
      </c>
      <c r="Q32" s="10">
        <f>+Q$15-Q26</f>
        <v>31.70116068984396</v>
      </c>
      <c r="R32" s="10">
        <f t="shared" si="8"/>
        <v>34.80210057637283</v>
      </c>
      <c r="S32" s="10">
        <f t="shared" si="8"/>
        <v>10.785492484229714</v>
      </c>
    </row>
    <row r="33" spans="1:19" s="9" customFormat="1">
      <c r="A33" s="143" t="s">
        <v>68</v>
      </c>
      <c r="B33" s="10">
        <f t="shared" si="8"/>
        <v>30.275788200742856</v>
      </c>
      <c r="C33" s="20">
        <f t="shared" si="8"/>
        <v>26.582132319401595</v>
      </c>
      <c r="D33" s="20">
        <f t="shared" si="8"/>
        <v>17.130992100982144</v>
      </c>
      <c r="E33" s="10">
        <f>+E$15-E27</f>
        <v>11.89463629703522</v>
      </c>
      <c r="F33" s="10">
        <f t="shared" si="8"/>
        <v>19.17307160317273</v>
      </c>
      <c r="G33" s="10">
        <f>+G$15-G27</f>
        <v>34.536397405966284</v>
      </c>
      <c r="H33" s="10">
        <f t="shared" si="8"/>
        <v>32.781973606484883</v>
      </c>
      <c r="I33" s="10">
        <f>+I$15-I27</f>
        <v>32.715576858392197</v>
      </c>
      <c r="J33" s="10">
        <f t="shared" si="8"/>
        <v>12.599412965798876</v>
      </c>
      <c r="K33" s="10">
        <f t="shared" si="8"/>
        <v>19.921923406296031</v>
      </c>
      <c r="L33" s="10">
        <f t="shared" si="8"/>
        <v>29.808236938256641</v>
      </c>
      <c r="M33" s="20">
        <f t="shared" si="8"/>
        <v>19.474296296296298</v>
      </c>
      <c r="N33" s="10">
        <f t="shared" si="8"/>
        <v>26.460348162475825</v>
      </c>
      <c r="O33" s="10">
        <f t="shared" si="8"/>
        <v>23.036737091664389</v>
      </c>
      <c r="P33" s="10">
        <f t="shared" si="8"/>
        <v>23.225907211759299</v>
      </c>
      <c r="Q33" s="10">
        <f t="shared" si="8"/>
        <v>28.961160689843961</v>
      </c>
      <c r="R33" s="10">
        <f t="shared" si="8"/>
        <v>31.595377574709072</v>
      </c>
      <c r="S33" s="10">
        <f t="shared" si="8"/>
        <v>9.5254924842297122</v>
      </c>
    </row>
    <row r="34" spans="1:19" s="9" customFormat="1">
      <c r="A34" s="143" t="s">
        <v>69</v>
      </c>
      <c r="B34" s="10">
        <f t="shared" si="8"/>
        <v>27.015582620713488</v>
      </c>
      <c r="C34" s="20">
        <f t="shared" si="8"/>
        <v>23.524832237482332</v>
      </c>
      <c r="D34" s="20">
        <f t="shared" si="8"/>
        <v>15.645419988163063</v>
      </c>
      <c r="E34" s="10">
        <f t="shared" si="8"/>
        <v>9.5871517866433287</v>
      </c>
      <c r="F34" s="10">
        <f>+F$15-F28</f>
        <v>18.268049086807856</v>
      </c>
      <c r="G34" s="10">
        <f>+G$15-G28</f>
        <v>32.627188586251627</v>
      </c>
      <c r="H34" s="10">
        <f t="shared" si="8"/>
        <v>29.847960487046027</v>
      </c>
      <c r="I34" s="10">
        <f>+I$15-I28</f>
        <v>31.25313956039135</v>
      </c>
      <c r="J34" s="10">
        <f t="shared" si="8"/>
        <v>10.6392291985707</v>
      </c>
      <c r="K34" s="10">
        <f t="shared" si="8"/>
        <v>16.770482992498202</v>
      </c>
      <c r="L34" s="10">
        <f t="shared" si="8"/>
        <v>28.765048576383631</v>
      </c>
      <c r="M34" s="20">
        <f t="shared" si="8"/>
        <v>15.465581699346409</v>
      </c>
      <c r="N34" s="10">
        <f t="shared" si="8"/>
        <v>25.119277885235334</v>
      </c>
      <c r="O34" s="10">
        <f t="shared" si="8"/>
        <v>20.644944716027101</v>
      </c>
      <c r="P34" s="10">
        <f t="shared" si="8"/>
        <v>20.547021895574947</v>
      </c>
      <c r="Q34" s="10">
        <f t="shared" si="8"/>
        <v>27.190926179395927</v>
      </c>
      <c r="R34" s="10">
        <f t="shared" si="8"/>
        <v>30.312688374043571</v>
      </c>
      <c r="S34" s="10">
        <f t="shared" si="8"/>
        <v>7.8002715232374022</v>
      </c>
    </row>
    <row r="35" spans="1:19" s="9" customFormat="1">
      <c r="A35" s="143" t="s">
        <v>70</v>
      </c>
      <c r="B35" s="10">
        <f t="shared" si="8"/>
        <v>11.240200397339557</v>
      </c>
      <c r="C35" s="20">
        <f t="shared" si="8"/>
        <v>9.3848193586057391</v>
      </c>
      <c r="D35" s="20">
        <f t="shared" si="8"/>
        <v>5.840644043557127</v>
      </c>
      <c r="E35" s="10">
        <f t="shared" si="8"/>
        <v>-0.61625628274581246</v>
      </c>
      <c r="F35" s="10">
        <f t="shared" si="8"/>
        <v>11.046473065293956</v>
      </c>
      <c r="G35" s="10">
        <f>+G$15-G29</f>
        <v>17.976086121919586</v>
      </c>
      <c r="H35" s="10">
        <f t="shared" si="8"/>
        <v>12.281999894846557</v>
      </c>
      <c r="I35" s="10">
        <f>+I$15-I29</f>
        <v>15.800052111515718</v>
      </c>
      <c r="J35" s="10">
        <f t="shared" si="8"/>
        <v>2.4922154160285857</v>
      </c>
      <c r="K35" s="10">
        <f t="shared" si="8"/>
        <v>7.7957287705956908</v>
      </c>
      <c r="L35" s="10">
        <f t="shared" si="8"/>
        <v>16.160596723409274</v>
      </c>
      <c r="M35" s="20">
        <f t="shared" si="8"/>
        <v>-1.3100174291938984</v>
      </c>
      <c r="N35" s="10">
        <f t="shared" si="8"/>
        <v>9.9032882011605423</v>
      </c>
      <c r="O35" s="10">
        <f t="shared" si="8"/>
        <v>12.273671401296596</v>
      </c>
      <c r="P35" s="10">
        <f t="shared" si="8"/>
        <v>6.5623028632674902</v>
      </c>
      <c r="Q35" s="10">
        <f t="shared" si="8"/>
        <v>13.750926179395925</v>
      </c>
      <c r="R35" s="10">
        <f t="shared" si="8"/>
        <v>17.592687134110676</v>
      </c>
      <c r="S35" s="10">
        <f t="shared" si="8"/>
        <v>4.6948737934512419</v>
      </c>
    </row>
    <row r="36" spans="1:19" s="9" customFormat="1">
      <c r="A36" s="143" t="s">
        <v>112</v>
      </c>
      <c r="B36" s="10">
        <f>+B15-B18-B19-B20-B21</f>
        <v>30.275788200742856</v>
      </c>
      <c r="C36" s="20">
        <f t="shared" ref="C36:S36" si="9">+C15-C18-C19-C20-C21</f>
        <v>26.582132319401595</v>
      </c>
      <c r="D36" s="20">
        <f t="shared" si="9"/>
        <v>17.130992100982144</v>
      </c>
      <c r="E36" s="10">
        <f>+E15-E18-E19-E20-E21</f>
        <v>11.89463629703522</v>
      </c>
      <c r="F36" s="10">
        <f t="shared" si="9"/>
        <v>19.17307160317273</v>
      </c>
      <c r="G36" s="10">
        <f>+G15-G18-G19-G20-G21</f>
        <v>34.536397405966284</v>
      </c>
      <c r="H36" s="10">
        <f t="shared" si="9"/>
        <v>32.781973606484875</v>
      </c>
      <c r="I36" s="10">
        <f>+I15-I18-I19-I20-I21</f>
        <v>32.715576858392197</v>
      </c>
      <c r="J36" s="10">
        <f t="shared" si="9"/>
        <v>12.599412965798876</v>
      </c>
      <c r="K36" s="10">
        <f t="shared" si="9"/>
        <v>19.921923406296031</v>
      </c>
      <c r="L36" s="10">
        <f t="shared" si="9"/>
        <v>29.808236938256638</v>
      </c>
      <c r="M36" s="20">
        <f>+M15-M18-M19-M20-M21</f>
        <v>19.474296296296298</v>
      </c>
      <c r="N36" s="10">
        <f t="shared" si="9"/>
        <v>26.460348162475825</v>
      </c>
      <c r="O36" s="10">
        <f t="shared" si="9"/>
        <v>23.036737091664389</v>
      </c>
      <c r="P36" s="10">
        <f t="shared" si="9"/>
        <v>23.225907211759296</v>
      </c>
      <c r="Q36" s="10">
        <f t="shared" si="9"/>
        <v>28.961160689843958</v>
      </c>
      <c r="R36" s="10">
        <f t="shared" si="9"/>
        <v>31.595377574709076</v>
      </c>
      <c r="S36" s="10">
        <f t="shared" si="9"/>
        <v>9.525492484229714</v>
      </c>
    </row>
    <row r="37" spans="1:19" s="9" customFormat="1">
      <c r="A37" s="143" t="s">
        <v>105</v>
      </c>
      <c r="B37" s="31">
        <f>+(B34+B22)/B22</f>
        <v>9.2864659781577696</v>
      </c>
      <c r="C37" s="136">
        <f t="shared" ref="C37:S37" si="10">+(C34+C22)/C22</f>
        <v>8.6946428571428562</v>
      </c>
      <c r="D37" s="136">
        <f t="shared" si="10"/>
        <v>11.531578947368422</v>
      </c>
      <c r="E37" s="31">
        <f t="shared" si="10"/>
        <v>5.1548065625000019</v>
      </c>
      <c r="F37" s="31">
        <f t="shared" si="10"/>
        <v>21.185187392003815</v>
      </c>
      <c r="G37" s="31">
        <f>+(G34+G22)/G22</f>
        <v>18.089376630434781</v>
      </c>
      <c r="H37" s="31">
        <f t="shared" si="10"/>
        <v>11.17308351121301</v>
      </c>
      <c r="I37" s="31">
        <f>+(I34+I22)/I22</f>
        <v>22.370584300000001</v>
      </c>
      <c r="J37" s="31">
        <f t="shared" si="10"/>
        <v>6.4276692708333334</v>
      </c>
      <c r="K37" s="31">
        <f t="shared" si="10"/>
        <v>6.3215294565217395</v>
      </c>
      <c r="L37" s="31">
        <f t="shared" si="10"/>
        <v>28.574165536832592</v>
      </c>
      <c r="M37" s="136">
        <f>+(M34+M22)/M22</f>
        <v>4.857990217391305</v>
      </c>
      <c r="N37" s="31">
        <f t="shared" si="10"/>
        <v>19.73076923076923</v>
      </c>
      <c r="O37" s="31">
        <f t="shared" si="10"/>
        <v>9.6315789473684195</v>
      </c>
      <c r="P37" s="31">
        <f t="shared" si="10"/>
        <v>8.6699893688771024</v>
      </c>
      <c r="Q37" s="31">
        <f t="shared" si="10"/>
        <v>16.360070103092784</v>
      </c>
      <c r="R37" s="31">
        <f>+(R34+R22)/R22</f>
        <v>24.632138134722219</v>
      </c>
      <c r="S37" s="31">
        <f t="shared" si="10"/>
        <v>5.5213173846153873</v>
      </c>
    </row>
    <row r="38" spans="1:19" s="9" customFormat="1">
      <c r="A38" s="144"/>
      <c r="B38" s="8"/>
      <c r="C38" s="19"/>
      <c r="D38" s="19"/>
      <c r="E38" s="8"/>
      <c r="F38" s="8"/>
      <c r="G38" s="19"/>
      <c r="H38" s="19"/>
      <c r="I38" s="19"/>
      <c r="J38" s="19"/>
      <c r="K38" s="19"/>
      <c r="L38" s="19"/>
      <c r="M38" s="19"/>
      <c r="N38" s="19"/>
      <c r="O38" s="19"/>
      <c r="P38" s="19"/>
      <c r="Q38" s="19"/>
      <c r="R38" s="19"/>
      <c r="S38" s="19"/>
    </row>
    <row r="39" spans="1:19" s="9" customFormat="1">
      <c r="A39" s="143" t="s">
        <v>53</v>
      </c>
      <c r="B39" s="8"/>
      <c r="C39" s="19"/>
      <c r="D39" s="19"/>
      <c r="E39" s="8"/>
      <c r="F39" s="8"/>
      <c r="G39" s="8"/>
      <c r="H39" s="8"/>
      <c r="I39" s="8"/>
      <c r="J39" s="8"/>
      <c r="K39" s="8"/>
      <c r="L39" s="8"/>
      <c r="M39" s="19"/>
      <c r="N39" s="8"/>
      <c r="O39" s="8"/>
      <c r="P39" s="8"/>
      <c r="Q39" s="8"/>
      <c r="R39" s="8"/>
      <c r="S39" s="8"/>
    </row>
    <row r="40" spans="1:19" s="9" customFormat="1">
      <c r="A40" s="143" t="s">
        <v>54</v>
      </c>
      <c r="B40" s="12">
        <f t="shared" ref="B40:S41" si="11">+B44/B$47*100</f>
        <v>57.683337652241519</v>
      </c>
      <c r="C40" s="21">
        <f t="shared" si="11"/>
        <v>53.530813080767579</v>
      </c>
      <c r="D40" s="21">
        <f t="shared" si="11"/>
        <v>76.058200822743459</v>
      </c>
      <c r="E40" s="12">
        <f t="shared" si="11"/>
        <v>75.143491331693951</v>
      </c>
      <c r="F40" s="12">
        <f t="shared" si="11"/>
        <v>31.648987370236338</v>
      </c>
      <c r="G40" s="12">
        <f>+G44/G$47*100</f>
        <v>64.155642023346303</v>
      </c>
      <c r="H40" s="12">
        <f t="shared" si="11"/>
        <v>57.004495309847002</v>
      </c>
      <c r="I40" s="12">
        <f>+I44/I$47*100</f>
        <v>63.075066906506386</v>
      </c>
      <c r="J40" s="12">
        <f t="shared" si="11"/>
        <v>46.125574272588061</v>
      </c>
      <c r="K40" s="12">
        <f t="shared" si="11"/>
        <v>25.588325968554106</v>
      </c>
      <c r="L40" s="12">
        <f t="shared" si="11"/>
        <v>55.053796029701473</v>
      </c>
      <c r="M40" s="21">
        <f t="shared" si="11"/>
        <v>52.549019607843142</v>
      </c>
      <c r="N40" s="12">
        <f t="shared" si="11"/>
        <v>52.688588007736939</v>
      </c>
      <c r="O40" s="12">
        <f t="shared" si="11"/>
        <v>42.246606382309132</v>
      </c>
      <c r="P40" s="12">
        <f t="shared" si="11"/>
        <v>37.758383096003669</v>
      </c>
      <c r="Q40" s="12">
        <f t="shared" si="11"/>
        <v>65.535176567205028</v>
      </c>
      <c r="R40" s="12">
        <f t="shared" si="11"/>
        <v>58.528787554066689</v>
      </c>
      <c r="S40" s="12">
        <f t="shared" si="11"/>
        <v>1.6270160755204415</v>
      </c>
    </row>
    <row r="41" spans="1:19" s="9" customFormat="1">
      <c r="A41" s="143" t="s">
        <v>55</v>
      </c>
      <c r="B41" s="12">
        <f t="shared" si="11"/>
        <v>15.081627364602229</v>
      </c>
      <c r="C41" s="21">
        <f t="shared" si="11"/>
        <v>13.116390595199</v>
      </c>
      <c r="D41" s="21">
        <f t="shared" si="11"/>
        <v>0</v>
      </c>
      <c r="E41" s="12">
        <f t="shared" si="11"/>
        <v>5.9432190897680126</v>
      </c>
      <c r="F41" s="12">
        <f t="shared" si="11"/>
        <v>25.100502634503663</v>
      </c>
      <c r="G41" s="12">
        <f>+G45/G$47*100</f>
        <v>8.2178988326848259</v>
      </c>
      <c r="H41" s="12">
        <f t="shared" si="11"/>
        <v>0</v>
      </c>
      <c r="I41" s="12">
        <f>+I45/I$47*100</f>
        <v>0</v>
      </c>
      <c r="J41" s="12">
        <f t="shared" si="11"/>
        <v>17.825421133231242</v>
      </c>
      <c r="K41" s="12">
        <f t="shared" si="11"/>
        <v>19.175829822217654</v>
      </c>
      <c r="L41" s="12">
        <f t="shared" si="11"/>
        <v>15.244734050613729</v>
      </c>
      <c r="M41" s="21">
        <f t="shared" si="11"/>
        <v>14.509803921568629</v>
      </c>
      <c r="N41" s="12">
        <f t="shared" si="11"/>
        <v>14.158607350096711</v>
      </c>
      <c r="O41" s="12">
        <f t="shared" si="11"/>
        <v>19.883347670100495</v>
      </c>
      <c r="P41" s="12">
        <f t="shared" si="11"/>
        <v>17.638952687184197</v>
      </c>
      <c r="Q41" s="12">
        <f t="shared" si="11"/>
        <v>13.961127840131399</v>
      </c>
      <c r="R41" s="12">
        <f t="shared" si="11"/>
        <v>21.222413497310896</v>
      </c>
      <c r="S41" s="12">
        <f t="shared" si="11"/>
        <v>11.227207176919196</v>
      </c>
    </row>
    <row r="42" spans="1:19" s="9" customFormat="1">
      <c r="A42" s="143" t="s">
        <v>56</v>
      </c>
      <c r="B42" s="12">
        <f t="shared" ref="B42:S42" si="12">+(B46/6)/B$47*100</f>
        <v>27.235034983156257</v>
      </c>
      <c r="C42" s="21">
        <f t="shared" si="12"/>
        <v>33.352796324033406</v>
      </c>
      <c r="D42" s="21">
        <f t="shared" si="12"/>
        <v>23.941799177256538</v>
      </c>
      <c r="E42" s="12">
        <f t="shared" si="12"/>
        <v>18.913289578538034</v>
      </c>
      <c r="F42" s="12">
        <f t="shared" si="12"/>
        <v>43.250509995259996</v>
      </c>
      <c r="G42" s="12">
        <f>+(G46/6)/G$47*100</f>
        <v>27.626459143968873</v>
      </c>
      <c r="H42" s="12">
        <f t="shared" si="12"/>
        <v>42.995504690153005</v>
      </c>
      <c r="I42" s="12">
        <f>+(I46/6)/I$47*100</f>
        <v>36.924933093493614</v>
      </c>
      <c r="J42" s="12">
        <f t="shared" si="12"/>
        <v>36.049004594180708</v>
      </c>
      <c r="K42" s="12">
        <f t="shared" si="12"/>
        <v>55.235844209228233</v>
      </c>
      <c r="L42" s="12">
        <f t="shared" si="12"/>
        <v>29.701469919684804</v>
      </c>
      <c r="M42" s="21">
        <f t="shared" si="12"/>
        <v>32.941176470588232</v>
      </c>
      <c r="N42" s="12">
        <f t="shared" si="12"/>
        <v>33.152804642166345</v>
      </c>
      <c r="O42" s="12">
        <f t="shared" si="12"/>
        <v>37.870045947590363</v>
      </c>
      <c r="P42" s="12">
        <f t="shared" si="12"/>
        <v>44.60266421681213</v>
      </c>
      <c r="Q42" s="12">
        <f t="shared" si="12"/>
        <v>20.503695592663561</v>
      </c>
      <c r="R42" s="12">
        <f t="shared" si="12"/>
        <v>20.248798948622422</v>
      </c>
      <c r="S42" s="12">
        <f t="shared" si="12"/>
        <v>87.145776747560362</v>
      </c>
    </row>
    <row r="43" spans="1:19" s="9" customFormat="1">
      <c r="A43" s="143"/>
      <c r="B43" s="12"/>
      <c r="C43" s="21"/>
      <c r="D43" s="21"/>
      <c r="E43" s="12"/>
      <c r="F43" s="12"/>
      <c r="G43" s="12"/>
      <c r="H43" s="12"/>
      <c r="I43" s="12"/>
      <c r="J43" s="12"/>
      <c r="K43" s="12"/>
      <c r="L43" s="12"/>
      <c r="M43" s="21"/>
      <c r="N43" s="12"/>
      <c r="O43" s="12"/>
      <c r="P43" s="12"/>
      <c r="Q43" s="12"/>
      <c r="R43" s="12"/>
      <c r="S43" s="12"/>
    </row>
    <row r="44" spans="1:19" s="9" customFormat="1">
      <c r="A44" s="143" t="s">
        <v>62</v>
      </c>
      <c r="B44" s="12">
        <v>371</v>
      </c>
      <c r="C44" s="21">
        <f>241.365-23.473</f>
        <v>217.892</v>
      </c>
      <c r="D44" s="21">
        <v>854.55799999999999</v>
      </c>
      <c r="E44" s="12">
        <f>359.666+6.517</f>
        <v>366.18299999999999</v>
      </c>
      <c r="F44" s="12">
        <v>65.212000000000003</v>
      </c>
      <c r="G44" s="12">
        <f>621+66</f>
        <v>687</v>
      </c>
      <c r="H44" s="12">
        <v>163.83699999999999</v>
      </c>
      <c r="I44" s="12">
        <v>143.767</v>
      </c>
      <c r="J44" s="12">
        <v>251</v>
      </c>
      <c r="K44" s="12">
        <v>83</v>
      </c>
      <c r="L44" s="12">
        <v>363.3</v>
      </c>
      <c r="M44" s="21">
        <v>134</v>
      </c>
      <c r="N44" s="12">
        <f>63+164</f>
        <v>227</v>
      </c>
      <c r="O44" s="12">
        <f>74.5777777777778</f>
        <v>74.577777777777797</v>
      </c>
      <c r="P44" s="12">
        <f>139-2</f>
        <v>137</v>
      </c>
      <c r="Q44" s="12">
        <v>399</v>
      </c>
      <c r="R44" s="12">
        <v>182.51900000000001</v>
      </c>
      <c r="S44" s="12">
        <v>6.8111111111111109</v>
      </c>
    </row>
    <row r="45" spans="1:19" s="9" customFormat="1">
      <c r="A45" s="143" t="s">
        <v>63</v>
      </c>
      <c r="B45" s="12">
        <v>97</v>
      </c>
      <c r="C45" s="21">
        <v>53.389000000000003</v>
      </c>
      <c r="D45" s="21"/>
      <c r="E45" s="12">
        <v>28.962</v>
      </c>
      <c r="F45" s="12">
        <v>51.719000000000001</v>
      </c>
      <c r="G45" s="12">
        <v>88</v>
      </c>
      <c r="H45" s="12"/>
      <c r="I45" s="12"/>
      <c r="J45" s="12">
        <v>97</v>
      </c>
      <c r="K45" s="12">
        <f>30.2+32</f>
        <v>62.2</v>
      </c>
      <c r="L45" s="12">
        <v>100.6</v>
      </c>
      <c r="M45" s="21">
        <v>37</v>
      </c>
      <c r="N45" s="12">
        <f>50+11</f>
        <v>61</v>
      </c>
      <c r="O45" s="12">
        <v>35.1</v>
      </c>
      <c r="P45" s="12">
        <f>69-5</f>
        <v>64</v>
      </c>
      <c r="Q45" s="12">
        <v>85</v>
      </c>
      <c r="R45" s="12">
        <v>66.180999999999997</v>
      </c>
      <c r="S45" s="12">
        <v>47</v>
      </c>
    </row>
    <row r="46" spans="1:19" s="9" customFormat="1">
      <c r="A46" s="143" t="s">
        <v>64</v>
      </c>
      <c r="B46" s="12">
        <v>1051</v>
      </c>
      <c r="C46" s="21">
        <f>873.484-58.928</f>
        <v>814.55600000000004</v>
      </c>
      <c r="D46" s="21">
        <v>1614</v>
      </c>
      <c r="E46" s="12">
        <v>553</v>
      </c>
      <c r="F46" s="12">
        <v>534.70000000000005</v>
      </c>
      <c r="G46" s="12">
        <v>1775</v>
      </c>
      <c r="H46" s="12">
        <v>741.44200000000001</v>
      </c>
      <c r="I46" s="12">
        <v>504.97800000000001</v>
      </c>
      <c r="J46" s="12">
        <v>1177</v>
      </c>
      <c r="K46" s="12">
        <v>1075</v>
      </c>
      <c r="L46" s="12">
        <v>1176</v>
      </c>
      <c r="M46" s="21">
        <v>504</v>
      </c>
      <c r="N46" s="12">
        <f>437+420</f>
        <v>857</v>
      </c>
      <c r="O46" s="12">
        <f>+(36.1*1000)/90</f>
        <v>401.11111111111109</v>
      </c>
      <c r="P46" s="12">
        <v>971</v>
      </c>
      <c r="Q46" s="12">
        <v>749</v>
      </c>
      <c r="R46" s="12">
        <v>378.86900000000003</v>
      </c>
      <c r="S46" s="12">
        <f>197/0.09</f>
        <v>2188.8888888888891</v>
      </c>
    </row>
    <row r="47" spans="1:19" s="9" customFormat="1">
      <c r="A47" s="143" t="s">
        <v>65</v>
      </c>
      <c r="B47" s="12">
        <f t="shared" ref="B47:S47" si="13">+B44+B45+B46/6</f>
        <v>643.16666666666663</v>
      </c>
      <c r="C47" s="21">
        <f t="shared" si="13"/>
        <v>407.04033333333336</v>
      </c>
      <c r="D47" s="21">
        <f t="shared" si="13"/>
        <v>1123.558</v>
      </c>
      <c r="E47" s="12">
        <f t="shared" si="13"/>
        <v>487.31166666666667</v>
      </c>
      <c r="F47" s="12">
        <f t="shared" si="13"/>
        <v>206.04766666666669</v>
      </c>
      <c r="G47" s="12">
        <f>+G44+G45+G46/6</f>
        <v>1070.8333333333333</v>
      </c>
      <c r="H47" s="12">
        <f t="shared" si="13"/>
        <v>287.41066666666666</v>
      </c>
      <c r="I47" s="12">
        <f>+I44+I45+I46/6</f>
        <v>227.93</v>
      </c>
      <c r="J47" s="12">
        <f t="shared" si="13"/>
        <v>544.16666666666663</v>
      </c>
      <c r="K47" s="12">
        <f t="shared" si="13"/>
        <v>324.36666666666667</v>
      </c>
      <c r="L47" s="12">
        <f t="shared" si="13"/>
        <v>659.9</v>
      </c>
      <c r="M47" s="21">
        <f t="shared" si="13"/>
        <v>255</v>
      </c>
      <c r="N47" s="12">
        <f t="shared" si="13"/>
        <v>430.83333333333337</v>
      </c>
      <c r="O47" s="12">
        <f t="shared" si="13"/>
        <v>176.52962962962965</v>
      </c>
      <c r="P47" s="12">
        <f t="shared" si="13"/>
        <v>362.83333333333337</v>
      </c>
      <c r="Q47" s="12">
        <f t="shared" si="13"/>
        <v>608.83333333333337</v>
      </c>
      <c r="R47" s="12">
        <f t="shared" si="13"/>
        <v>311.84483333333333</v>
      </c>
      <c r="S47" s="12">
        <f t="shared" si="13"/>
        <v>418.62592592592597</v>
      </c>
    </row>
    <row r="48" spans="1:19" s="9" customFormat="1">
      <c r="A48" s="143" t="s">
        <v>66</v>
      </c>
      <c r="B48" s="12">
        <f>+B47*0.09</f>
        <v>57.884999999999991</v>
      </c>
      <c r="C48" s="12">
        <f t="shared" ref="C48:S48" si="14">+C47*0.09</f>
        <v>36.633630000000004</v>
      </c>
      <c r="D48" s="12">
        <f t="shared" si="14"/>
        <v>101.12021999999999</v>
      </c>
      <c r="E48" s="12">
        <f t="shared" si="14"/>
        <v>43.858049999999999</v>
      </c>
      <c r="F48" s="12">
        <f t="shared" si="14"/>
        <v>18.54429</v>
      </c>
      <c r="G48" s="12">
        <f t="shared" si="14"/>
        <v>96.374999999999986</v>
      </c>
      <c r="H48" s="12">
        <f t="shared" si="14"/>
        <v>25.866959999999999</v>
      </c>
      <c r="I48" s="12">
        <f t="shared" si="14"/>
        <v>20.5137</v>
      </c>
      <c r="J48" s="12">
        <f t="shared" si="14"/>
        <v>48.974999999999994</v>
      </c>
      <c r="K48" s="12">
        <f t="shared" si="14"/>
        <v>29.192999999999998</v>
      </c>
      <c r="L48" s="12">
        <f t="shared" si="14"/>
        <v>59.390999999999998</v>
      </c>
      <c r="M48" s="12">
        <f t="shared" si="14"/>
        <v>22.95</v>
      </c>
      <c r="N48" s="12">
        <f t="shared" si="14"/>
        <v>38.774999999999999</v>
      </c>
      <c r="O48" s="12">
        <f t="shared" si="14"/>
        <v>15.887666666666668</v>
      </c>
      <c r="P48" s="12">
        <f t="shared" si="14"/>
        <v>32.655000000000001</v>
      </c>
      <c r="Q48" s="12">
        <f t="shared" si="14"/>
        <v>54.795000000000002</v>
      </c>
      <c r="R48" s="12">
        <f t="shared" si="14"/>
        <v>28.066034999999999</v>
      </c>
      <c r="S48" s="12">
        <f t="shared" si="14"/>
        <v>37.676333333333339</v>
      </c>
    </row>
    <row r="49" spans="1:19" s="9" customFormat="1">
      <c r="A49" s="143"/>
      <c r="B49" s="12"/>
      <c r="C49" s="21"/>
      <c r="D49" s="21"/>
      <c r="E49" s="12"/>
      <c r="F49" s="12"/>
      <c r="G49" s="12"/>
      <c r="H49" s="12" t="s">
        <v>131</v>
      </c>
      <c r="I49" s="12" t="s">
        <v>131</v>
      </c>
      <c r="J49" s="12"/>
      <c r="K49" s="12"/>
      <c r="L49" s="12"/>
      <c r="M49" s="21"/>
      <c r="N49" s="12"/>
      <c r="O49" s="12"/>
      <c r="P49" s="12"/>
      <c r="Q49" s="12"/>
      <c r="R49" s="12"/>
      <c r="S49" s="12"/>
    </row>
    <row r="50" spans="1:19" s="9" customFormat="1">
      <c r="A50" s="143" t="s">
        <v>106</v>
      </c>
      <c r="B50" s="12">
        <f t="shared" ref="B50:G50" si="15">+B36*B48*4</f>
        <v>7010.0559999999996</v>
      </c>
      <c r="C50" s="21">
        <f t="shared" si="15"/>
        <v>3895.2</v>
      </c>
      <c r="D50" s="21">
        <f t="shared" si="15"/>
        <v>6929.1587602783056</v>
      </c>
      <c r="E50" s="12">
        <f t="shared" si="15"/>
        <v>2086.702213788742</v>
      </c>
      <c r="F50" s="12">
        <f t="shared" si="15"/>
        <v>1422.2040000000002</v>
      </c>
      <c r="G50" s="12">
        <f t="shared" si="15"/>
        <v>13313.781200000001</v>
      </c>
      <c r="H50" s="12">
        <f t="shared" ref="H50:S50" si="16">+H36*H48*4</f>
        <v>3391.88</v>
      </c>
      <c r="I50" s="12">
        <f>+I36*I48*4</f>
        <v>2684.470116</v>
      </c>
      <c r="J50" s="12">
        <f t="shared" si="16"/>
        <v>2468.2249999999995</v>
      </c>
      <c r="K50" s="12">
        <f t="shared" si="16"/>
        <v>2326.3228399999998</v>
      </c>
      <c r="L50" s="12">
        <f t="shared" si="16"/>
        <v>7081.3639999999996</v>
      </c>
      <c r="M50" s="21">
        <f t="shared" si="16"/>
        <v>1787.7404000000001</v>
      </c>
      <c r="N50" s="12">
        <f>+N36*N48*4</f>
        <v>4104</v>
      </c>
      <c r="O50" s="12">
        <f t="shared" si="16"/>
        <v>1463.9999999999998</v>
      </c>
      <c r="P50" s="12">
        <f t="shared" si="16"/>
        <v>3033.7679999999991</v>
      </c>
      <c r="Q50" s="12">
        <f t="shared" si="16"/>
        <v>6347.7071999999989</v>
      </c>
      <c r="R50" s="12">
        <f t="shared" si="16"/>
        <v>3547.0278914</v>
      </c>
      <c r="S50" s="12">
        <f t="shared" si="16"/>
        <v>1435.5425200000006</v>
      </c>
    </row>
    <row r="51" spans="1:19" s="9" customFormat="1">
      <c r="A51" s="144" t="s">
        <v>143</v>
      </c>
      <c r="B51" s="12">
        <f>12200</f>
        <v>12200</v>
      </c>
      <c r="C51" s="21">
        <f>8336-400</f>
        <v>7936</v>
      </c>
      <c r="D51" s="21">
        <f>+(644+21334)/1.29</f>
        <v>17037.20930232558</v>
      </c>
      <c r="E51" s="12">
        <f>9781/1.29</f>
        <v>7582.1705426356584</v>
      </c>
      <c r="F51" s="12">
        <v>1500</v>
      </c>
      <c r="G51" s="12">
        <v>17046</v>
      </c>
      <c r="H51" s="12">
        <v>6166.1</v>
      </c>
      <c r="I51" s="12">
        <f>72+2370</f>
        <v>2442</v>
      </c>
      <c r="J51" s="12">
        <v>6066</v>
      </c>
      <c r="K51" s="12">
        <v>4198</v>
      </c>
      <c r="L51" s="12">
        <f>6071.604+363.155-350</f>
        <v>6084.759</v>
      </c>
      <c r="M51" s="21">
        <v>5587</v>
      </c>
      <c r="N51" s="12">
        <v>5495</v>
      </c>
      <c r="O51" s="12">
        <v>2434</v>
      </c>
      <c r="P51" s="12">
        <f>6858-435</f>
        <v>6423</v>
      </c>
      <c r="Q51" s="12">
        <v>10309</v>
      </c>
      <c r="R51" s="12">
        <f>449+2284-450</f>
        <v>2283</v>
      </c>
      <c r="S51" s="12">
        <v>4393</v>
      </c>
    </row>
    <row r="52" spans="1:19" s="9" customFormat="1">
      <c r="A52" s="144" t="s">
        <v>142</v>
      </c>
      <c r="B52" s="31">
        <f>+B51/B50</f>
        <v>1.740356995721575</v>
      </c>
      <c r="C52" s="136">
        <f t="shared" ref="C52:S52" si="17">+C51/C50</f>
        <v>2.0373793386732388</v>
      </c>
      <c r="D52" s="136">
        <f t="shared" si="17"/>
        <v>2.4587702334072787</v>
      </c>
      <c r="E52" s="31">
        <f t="shared" si="17"/>
        <v>3.6335661564613062</v>
      </c>
      <c r="F52" s="31">
        <f t="shared" si="17"/>
        <v>1.0547010133567336</v>
      </c>
      <c r="G52" s="31">
        <f t="shared" si="17"/>
        <v>1.2803274850273187</v>
      </c>
      <c r="H52" s="31">
        <f t="shared" si="17"/>
        <v>1.8179003974197201</v>
      </c>
      <c r="I52" s="31">
        <f t="shared" si="17"/>
        <v>0.90967673115270398</v>
      </c>
      <c r="J52" s="31">
        <f t="shared" si="17"/>
        <v>2.4576365606863235</v>
      </c>
      <c r="K52" s="31">
        <f t="shared" si="17"/>
        <v>1.8045646665275403</v>
      </c>
      <c r="L52" s="31">
        <f t="shared" si="17"/>
        <v>0.85926369552532544</v>
      </c>
      <c r="M52" s="136">
        <f t="shared" si="17"/>
        <v>3.1251741024591713</v>
      </c>
      <c r="N52" s="31">
        <f t="shared" si="17"/>
        <v>1.3389376218323588</v>
      </c>
      <c r="O52" s="31">
        <f t="shared" si="17"/>
        <v>1.6625683060109293</v>
      </c>
      <c r="P52" s="31">
        <f t="shared" si="17"/>
        <v>2.1171691441138552</v>
      </c>
      <c r="Q52" s="31">
        <f t="shared" si="17"/>
        <v>1.6240509644175147</v>
      </c>
      <c r="R52" s="31">
        <f t="shared" si="17"/>
        <v>0.643637453636968</v>
      </c>
      <c r="S52" s="31">
        <f t="shared" si="17"/>
        <v>3.0601671067186489</v>
      </c>
    </row>
    <row r="53" spans="1:19" s="9" customFormat="1">
      <c r="A53" s="144"/>
      <c r="B53" s="31"/>
      <c r="C53" s="136"/>
      <c r="D53" s="136"/>
      <c r="E53" s="31"/>
      <c r="F53" s="31"/>
      <c r="G53" s="31"/>
      <c r="H53" s="31"/>
      <c r="I53" s="31"/>
      <c r="J53" s="31"/>
      <c r="K53" s="31"/>
      <c r="L53" s="31"/>
      <c r="M53" s="136"/>
      <c r="N53" s="31"/>
      <c r="O53" s="31"/>
      <c r="P53" s="31"/>
      <c r="Q53" s="31"/>
      <c r="R53" s="31"/>
      <c r="S53" s="31"/>
    </row>
    <row r="54" spans="1:19" s="9" customFormat="1">
      <c r="A54" s="144" t="s">
        <v>171</v>
      </c>
      <c r="B54" s="31"/>
      <c r="C54" s="136"/>
      <c r="D54" s="20">
        <f>+(741+325)/D58/D48</f>
        <v>8.3348414329744251</v>
      </c>
      <c r="E54" s="31"/>
      <c r="F54" s="31"/>
      <c r="G54" s="31"/>
      <c r="H54" s="31"/>
      <c r="I54" s="31"/>
      <c r="J54" s="31"/>
      <c r="K54" s="31"/>
      <c r="L54" s="31"/>
      <c r="M54" s="136"/>
      <c r="N54" s="31"/>
      <c r="O54" s="31"/>
      <c r="P54" s="31"/>
      <c r="Q54" s="31"/>
      <c r="R54" s="31"/>
      <c r="S54" s="31"/>
    </row>
    <row r="55" spans="1:19" s="9" customFormat="1" ht="24.75" customHeight="1">
      <c r="A55" s="277" t="s">
        <v>127</v>
      </c>
      <c r="B55" s="278"/>
      <c r="C55" s="278"/>
      <c r="D55" s="278"/>
      <c r="E55" s="278"/>
      <c r="F55" s="278"/>
      <c r="G55" s="278"/>
      <c r="H55" s="278"/>
      <c r="I55" s="278"/>
      <c r="J55" s="278"/>
      <c r="K55" s="278"/>
      <c r="L55" s="278"/>
      <c r="M55" s="278"/>
      <c r="N55" s="278"/>
      <c r="O55" s="278"/>
      <c r="P55" s="278"/>
      <c r="Q55" s="278"/>
      <c r="R55" s="278"/>
      <c r="S55" s="278"/>
    </row>
    <row r="56" spans="1:19" s="9" customFormat="1">
      <c r="A56" s="277" t="s">
        <v>199</v>
      </c>
      <c r="B56" s="278"/>
      <c r="C56" s="278"/>
      <c r="D56" s="278"/>
      <c r="E56" s="278"/>
      <c r="F56" s="278"/>
      <c r="G56" s="278"/>
      <c r="H56" s="278"/>
      <c r="I56" s="278"/>
      <c r="J56" s="278"/>
      <c r="K56" s="278"/>
      <c r="L56" s="278"/>
      <c r="M56" s="278"/>
      <c r="N56" s="278"/>
      <c r="O56" s="278"/>
      <c r="P56" s="278"/>
      <c r="Q56" s="278"/>
      <c r="R56" s="278"/>
      <c r="S56" s="278"/>
    </row>
    <row r="57" spans="1:19" s="9" customFormat="1">
      <c r="A57" s="144"/>
      <c r="B57" s="8"/>
      <c r="C57" s="123"/>
      <c r="D57" s="8"/>
      <c r="E57" s="8"/>
      <c r="F57" s="8"/>
      <c r="G57" s="8"/>
      <c r="H57" s="8"/>
      <c r="I57" s="8"/>
      <c r="J57" s="8"/>
      <c r="K57" s="8"/>
      <c r="L57" s="8"/>
      <c r="M57" s="19"/>
      <c r="N57" s="8"/>
      <c r="O57" s="8"/>
      <c r="P57" s="8"/>
      <c r="Q57" s="8"/>
      <c r="R57" s="8"/>
      <c r="S57" s="8"/>
    </row>
    <row r="58" spans="1:19">
      <c r="A58" s="22" t="s">
        <v>94</v>
      </c>
      <c r="B58" s="23"/>
      <c r="C58" s="124"/>
      <c r="D58" s="58">
        <v>1.2647999999999999</v>
      </c>
    </row>
    <row r="59" spans="1:19" s="9" customFormat="1">
      <c r="B59" s="14"/>
      <c r="C59" s="150" t="s">
        <v>184</v>
      </c>
      <c r="D59" s="150"/>
      <c r="E59" s="14"/>
      <c r="F59" s="14"/>
      <c r="G59" s="14">
        <f>G44*90/1000</f>
        <v>61.83</v>
      </c>
      <c r="H59" s="14"/>
      <c r="I59" s="14"/>
      <c r="J59" s="14"/>
      <c r="K59" s="14"/>
      <c r="L59" s="14"/>
      <c r="M59" s="14">
        <f>M44*90/1000</f>
        <v>12.06</v>
      </c>
      <c r="N59" s="14"/>
      <c r="O59" s="14"/>
      <c r="P59" s="14">
        <v>61.5</v>
      </c>
      <c r="Q59" s="14">
        <f>Q44*90/1000</f>
        <v>35.909999999999997</v>
      </c>
      <c r="R59" s="14"/>
      <c r="S59" s="14">
        <f>S44*90/1000</f>
        <v>0.61299999999999999</v>
      </c>
    </row>
    <row r="60" spans="1:19" s="9" customFormat="1">
      <c r="B60" s="14"/>
      <c r="C60" s="148" t="s">
        <v>178</v>
      </c>
      <c r="D60" s="149">
        <f>52.08+41.079</f>
        <v>93.158999999999992</v>
      </c>
      <c r="E60" s="14"/>
      <c r="F60" s="14"/>
      <c r="G60" s="14">
        <f>G45*90/1000</f>
        <v>7.92</v>
      </c>
      <c r="H60" s="14"/>
      <c r="I60" s="14"/>
      <c r="J60" s="14"/>
      <c r="K60" s="14"/>
      <c r="L60" s="14"/>
      <c r="M60" s="14">
        <f>M45*90/1000</f>
        <v>3.33</v>
      </c>
      <c r="N60" s="14"/>
      <c r="O60" s="14"/>
      <c r="P60" s="14">
        <v>64.55</v>
      </c>
      <c r="Q60" s="14">
        <f>Q45*90/1000</f>
        <v>7.65</v>
      </c>
      <c r="R60" s="14"/>
      <c r="S60" s="14">
        <f>S45*90/1000</f>
        <v>4.2300000000000004</v>
      </c>
    </row>
    <row r="61" spans="1:19" s="9" customFormat="1">
      <c r="B61" s="14"/>
      <c r="C61" s="148" t="s">
        <v>179</v>
      </c>
      <c r="D61" s="149">
        <v>63.274000000000001</v>
      </c>
      <c r="E61" s="14"/>
      <c r="F61" s="14"/>
      <c r="G61" s="14">
        <f>G46*90/1000</f>
        <v>159.75</v>
      </c>
      <c r="H61" s="14"/>
      <c r="I61" s="14"/>
      <c r="J61" s="14"/>
      <c r="K61" s="14"/>
      <c r="L61" s="14"/>
      <c r="M61" s="14">
        <f>M46*90/1000</f>
        <v>45.36</v>
      </c>
      <c r="N61" s="14"/>
      <c r="O61" s="14"/>
      <c r="P61" s="14">
        <v>68.14</v>
      </c>
      <c r="Q61" s="14">
        <f>Q46*90/1000</f>
        <v>67.41</v>
      </c>
      <c r="R61" s="14"/>
      <c r="S61" s="14">
        <f>S46*90/1000</f>
        <v>197.00000000000003</v>
      </c>
    </row>
    <row r="62" spans="1:19" s="9" customFormat="1">
      <c r="B62" s="14"/>
      <c r="C62" s="148" t="s">
        <v>180</v>
      </c>
      <c r="D62" s="149">
        <v>89.176000000000002</v>
      </c>
      <c r="E62" s="14"/>
      <c r="F62" s="14"/>
      <c r="G62" s="14"/>
      <c r="H62" s="14"/>
      <c r="I62" s="14"/>
      <c r="J62" s="14"/>
      <c r="K62" s="14"/>
      <c r="L62" s="14"/>
      <c r="M62" s="14"/>
      <c r="N62" s="14"/>
      <c r="O62" s="14"/>
      <c r="P62" s="14">
        <v>103</v>
      </c>
      <c r="Q62" s="14"/>
      <c r="R62" s="14"/>
      <c r="S62" s="14"/>
    </row>
    <row r="63" spans="1:19" s="9" customFormat="1">
      <c r="B63" s="14"/>
      <c r="C63" s="148" t="s">
        <v>181</v>
      </c>
      <c r="D63" s="149">
        <v>111.851</v>
      </c>
      <c r="E63" s="14"/>
      <c r="F63" s="14"/>
      <c r="G63" s="14">
        <f>G59*G9</f>
        <v>3742.6347000000001</v>
      </c>
      <c r="H63" s="14"/>
      <c r="I63" s="14"/>
      <c r="J63" s="14"/>
      <c r="K63" s="14"/>
      <c r="L63" s="14"/>
      <c r="M63" s="14">
        <f>M59*M9</f>
        <v>745.54920000000004</v>
      </c>
      <c r="N63" s="14"/>
      <c r="O63" s="14"/>
      <c r="P63" s="14">
        <v>19</v>
      </c>
      <c r="Q63" s="14">
        <f>Q59*Q9</f>
        <v>2190.8690999999999</v>
      </c>
      <c r="R63" s="14"/>
      <c r="S63" s="14">
        <f>S59*S9</f>
        <v>34.334129999999995</v>
      </c>
    </row>
    <row r="64" spans="1:19" s="9" customFormat="1">
      <c r="B64" s="14"/>
      <c r="C64" s="148" t="s">
        <v>61</v>
      </c>
      <c r="D64" s="149">
        <v>456.07600000000002</v>
      </c>
      <c r="E64" s="14"/>
      <c r="F64" s="14"/>
      <c r="G64" s="14">
        <f>G60*G11</f>
        <v>211.3056</v>
      </c>
      <c r="H64" s="14"/>
      <c r="I64" s="14"/>
      <c r="J64" s="14"/>
      <c r="K64" s="14"/>
      <c r="L64" s="14"/>
      <c r="M64" s="14">
        <f>M60*M11</f>
        <v>70.296300000000002</v>
      </c>
      <c r="N64" s="14"/>
      <c r="O64" s="14"/>
      <c r="P64" s="14">
        <v>15</v>
      </c>
      <c r="Q64" s="14">
        <f>Q60*Q11</f>
        <v>193.92750000000001</v>
      </c>
      <c r="R64" s="14"/>
      <c r="S64" s="14">
        <f>S60*S11</f>
        <v>65.268900000000002</v>
      </c>
    </row>
    <row r="65" spans="1:19" s="9" customFormat="1">
      <c r="B65" s="14"/>
      <c r="C65" s="148" t="s">
        <v>182</v>
      </c>
      <c r="D65" s="149">
        <v>21.584</v>
      </c>
      <c r="E65" s="14"/>
      <c r="F65" s="14"/>
      <c r="G65" s="14">
        <f>G61*G13</f>
        <v>827.505</v>
      </c>
      <c r="H65" s="14"/>
      <c r="I65" s="14"/>
      <c r="J65" s="14"/>
      <c r="K65" s="14"/>
      <c r="L65" s="14"/>
      <c r="M65" s="14">
        <f>M61*M13</f>
        <v>175.08959999999999</v>
      </c>
      <c r="N65" s="14"/>
      <c r="O65" s="14"/>
      <c r="P65" s="14">
        <f>+SUMPRODUCT(P59:P61,P62:P64)/SUM(P62:P64)</f>
        <v>62.649999999999991</v>
      </c>
      <c r="Q65" s="14">
        <f>Q61*Q13</f>
        <v>122.6862</v>
      </c>
      <c r="R65" s="14"/>
      <c r="S65" s="14">
        <f>S61*S13</f>
        <v>535.84000000000015</v>
      </c>
    </row>
    <row r="66" spans="1:19" s="9" customFormat="1">
      <c r="B66" s="14"/>
      <c r="C66" s="148" t="s">
        <v>183</v>
      </c>
      <c r="D66" s="149">
        <v>19.437999999999999</v>
      </c>
      <c r="E66" s="14"/>
      <c r="F66" s="14"/>
      <c r="G66" s="14">
        <f>G65+G64+G63</f>
        <v>4781.4453000000003</v>
      </c>
      <c r="H66" s="14"/>
      <c r="I66" s="14"/>
      <c r="J66" s="14"/>
      <c r="K66" s="14"/>
      <c r="L66" s="14"/>
      <c r="M66" s="14">
        <f>M65+M64+M63</f>
        <v>990.93510000000003</v>
      </c>
      <c r="N66" s="14"/>
      <c r="O66" s="14"/>
      <c r="P66" s="14">
        <v>25.47</v>
      </c>
      <c r="Q66" s="14">
        <f>Q65+Q64+Q63</f>
        <v>2507.4827999999998</v>
      </c>
      <c r="R66" s="14"/>
      <c r="S66" s="14">
        <f>S65+S64+S63</f>
        <v>635.44303000000014</v>
      </c>
    </row>
    <row r="67" spans="1:19" s="9" customFormat="1">
      <c r="B67" s="14"/>
      <c r="C67" s="150" t="s">
        <v>185</v>
      </c>
      <c r="D67" s="150"/>
      <c r="E67" s="14"/>
      <c r="F67" s="14"/>
      <c r="G67" s="14">
        <f>G66/G48</f>
        <v>49.61292140077822</v>
      </c>
      <c r="H67" s="14"/>
      <c r="I67" s="14"/>
      <c r="J67" s="14"/>
      <c r="K67" s="14"/>
      <c r="L67" s="14"/>
      <c r="M67" s="14">
        <f>M66/M48</f>
        <v>43.178000000000004</v>
      </c>
      <c r="N67" s="14"/>
      <c r="O67" s="14"/>
      <c r="P67" s="14">
        <v>28.41</v>
      </c>
      <c r="Q67" s="14">
        <f>Q66/Q48</f>
        <v>45.761160689843962</v>
      </c>
      <c r="R67" s="14"/>
      <c r="S67" s="14">
        <f>S66/S48</f>
        <v>16.865840536499483</v>
      </c>
    </row>
    <row r="68" spans="1:19" s="9" customFormat="1">
      <c r="B68" s="14"/>
      <c r="C68" s="148" t="s">
        <v>178</v>
      </c>
      <c r="D68" s="148">
        <v>53.48</v>
      </c>
      <c r="E68" s="14"/>
      <c r="F68" s="14"/>
      <c r="G68" s="14"/>
      <c r="H68" s="14"/>
      <c r="I68" s="14"/>
      <c r="J68" s="14"/>
      <c r="K68" s="14"/>
      <c r="L68" s="14"/>
      <c r="M68" s="14"/>
      <c r="N68" s="14"/>
      <c r="O68" s="14"/>
      <c r="P68" s="14">
        <v>63</v>
      </c>
      <c r="Q68" s="14"/>
      <c r="R68" s="14"/>
      <c r="S68" s="14"/>
    </row>
    <row r="69" spans="1:19" s="9" customFormat="1">
      <c r="B69" s="14"/>
      <c r="C69" s="148" t="s">
        <v>179</v>
      </c>
      <c r="D69" s="148">
        <v>55.54</v>
      </c>
      <c r="E69" s="14"/>
      <c r="F69" s="14"/>
      <c r="G69" s="14"/>
      <c r="H69" s="14"/>
      <c r="I69" s="14"/>
      <c r="J69" s="14"/>
      <c r="K69" s="14"/>
      <c r="L69" s="14"/>
      <c r="M69" s="14"/>
      <c r="N69" s="14"/>
      <c r="O69" s="14"/>
      <c r="P69" s="14">
        <v>1</v>
      </c>
      <c r="Q69" s="14"/>
      <c r="R69" s="14"/>
      <c r="S69" s="14"/>
    </row>
    <row r="70" spans="1:19" s="9" customFormat="1">
      <c r="B70" s="14"/>
      <c r="C70" s="148" t="s">
        <v>180</v>
      </c>
      <c r="D70" s="148">
        <v>62.65</v>
      </c>
      <c r="E70" s="14"/>
      <c r="F70" s="14"/>
      <c r="G70" s="14"/>
      <c r="H70" s="14"/>
      <c r="I70" s="14"/>
      <c r="J70" s="14"/>
      <c r="K70" s="14"/>
      <c r="L70" s="14"/>
      <c r="M70" s="14"/>
      <c r="N70" s="14"/>
      <c r="O70" s="14"/>
      <c r="P70" s="14">
        <f>+SUMPRODUCT(P66:P67,P68:P69)/SUM(P68:P69)</f>
        <v>25.5159375</v>
      </c>
      <c r="Q70" s="14"/>
      <c r="R70" s="14"/>
      <c r="S70" s="14"/>
    </row>
    <row r="71" spans="1:19" s="9" customFormat="1">
      <c r="B71" s="14"/>
      <c r="C71" s="148" t="s">
        <v>181</v>
      </c>
      <c r="D71" s="148">
        <v>61.11</v>
      </c>
      <c r="E71" s="14"/>
      <c r="F71" s="14"/>
      <c r="G71" s="14"/>
      <c r="H71" s="14"/>
      <c r="I71" s="14"/>
      <c r="J71" s="14"/>
      <c r="K71" s="14"/>
      <c r="L71" s="14"/>
      <c r="M71" s="14"/>
      <c r="N71" s="14"/>
      <c r="O71" s="14"/>
      <c r="P71" s="14">
        <v>2.6</v>
      </c>
      <c r="Q71" s="14"/>
      <c r="R71" s="14"/>
      <c r="S71" s="14"/>
    </row>
    <row r="72" spans="1:19" s="9" customFormat="1">
      <c r="B72" s="14"/>
      <c r="C72" s="148" t="s">
        <v>61</v>
      </c>
      <c r="D72" s="148">
        <v>71.88</v>
      </c>
      <c r="E72" s="14"/>
      <c r="F72" s="14"/>
      <c r="G72" s="14"/>
      <c r="H72" s="14"/>
      <c r="I72" s="14"/>
      <c r="J72" s="14"/>
      <c r="K72" s="14"/>
      <c r="L72" s="14"/>
      <c r="M72" s="14"/>
      <c r="N72" s="14"/>
      <c r="O72" s="14"/>
      <c r="P72" s="14">
        <v>3.54</v>
      </c>
      <c r="Q72" s="14"/>
      <c r="R72" s="14"/>
      <c r="S72" s="14"/>
    </row>
    <row r="73" spans="1:19" s="9" customFormat="1">
      <c r="B73" s="14"/>
      <c r="C73" s="148" t="s">
        <v>182</v>
      </c>
      <c r="D73" s="148">
        <v>79.349999999999994</v>
      </c>
      <c r="E73" s="14"/>
      <c r="F73" s="14"/>
      <c r="G73" s="14"/>
      <c r="H73" s="14"/>
      <c r="I73" s="14"/>
      <c r="J73" s="14"/>
      <c r="K73" s="14"/>
      <c r="L73" s="14"/>
      <c r="M73" s="14"/>
      <c r="N73" s="14"/>
      <c r="O73" s="14"/>
      <c r="P73" s="14">
        <v>5.48</v>
      </c>
      <c r="Q73" s="14"/>
      <c r="R73" s="14"/>
      <c r="S73" s="14"/>
    </row>
    <row r="74" spans="1:19" s="9" customFormat="1">
      <c r="B74" s="14"/>
      <c r="C74" s="148" t="s">
        <v>183</v>
      </c>
      <c r="D74" s="148">
        <v>78.849999999999994</v>
      </c>
      <c r="E74" s="14"/>
      <c r="F74" s="14"/>
      <c r="G74" s="14"/>
      <c r="H74" s="14"/>
      <c r="I74" s="14"/>
      <c r="J74" s="14"/>
      <c r="K74" s="14"/>
      <c r="L74" s="14"/>
      <c r="M74" s="14"/>
      <c r="N74" s="14"/>
      <c r="O74" s="14"/>
      <c r="P74" s="9">
        <v>0.27</v>
      </c>
      <c r="Q74" s="14"/>
      <c r="R74" s="14"/>
      <c r="S74" s="14"/>
    </row>
    <row r="75" spans="1:19" s="9" customFormat="1">
      <c r="B75" s="14"/>
      <c r="C75" s="148" t="s">
        <v>70</v>
      </c>
      <c r="D75" s="148">
        <f>+SUMPRODUCT(D60:D66,D68:D74)/SUM(D60:D66)</f>
        <v>66.638650471939883</v>
      </c>
      <c r="E75" s="14"/>
      <c r="F75" s="14"/>
      <c r="G75" s="14"/>
      <c r="H75" s="14"/>
      <c r="I75" s="14"/>
      <c r="J75" s="14"/>
      <c r="K75" s="14"/>
      <c r="L75" s="14"/>
      <c r="M75" s="14"/>
      <c r="N75" s="14"/>
      <c r="O75" s="14"/>
      <c r="P75" s="14">
        <v>482</v>
      </c>
      <c r="Q75" s="14"/>
      <c r="R75" s="14"/>
      <c r="S75" s="14"/>
    </row>
    <row r="76" spans="1:19">
      <c r="P76" s="2">
        <v>22</v>
      </c>
    </row>
    <row r="77" spans="1:19">
      <c r="P77" s="2">
        <v>261</v>
      </c>
    </row>
    <row r="78" spans="1:19">
      <c r="P78" s="2">
        <v>206</v>
      </c>
    </row>
    <row r="79" spans="1:19">
      <c r="A79" s="1" t="s">
        <v>109</v>
      </c>
      <c r="P79" s="2">
        <f>+SUMPRODUCT(P71:P74,P75:P78)/SUM(P75:P78)</f>
        <v>2.901112255406797</v>
      </c>
    </row>
    <row r="80" spans="1:19">
      <c r="B80" s="2" t="str">
        <f>B7</f>
        <v>APC</v>
      </c>
      <c r="C80" s="125" t="str">
        <f t="shared" ref="C80:S80" si="18">C7</f>
        <v>APA</v>
      </c>
      <c r="D80" s="2" t="str">
        <f t="shared" si="18"/>
        <v>CNQCN</v>
      </c>
      <c r="E80" s="2" t="str">
        <f t="shared" si="18"/>
        <v>CVECN</v>
      </c>
      <c r="F80" s="2" t="str">
        <f t="shared" si="18"/>
        <v>XEC</v>
      </c>
      <c r="G80" s="2" t="str">
        <f t="shared" si="18"/>
        <v>COP</v>
      </c>
      <c r="H80" s="2" t="str">
        <f t="shared" si="18"/>
        <v>CLR</v>
      </c>
      <c r="I80" s="2" t="str">
        <f t="shared" si="18"/>
        <v>CXO</v>
      </c>
      <c r="J80" s="2" t="str">
        <f t="shared" si="18"/>
        <v>DVN</v>
      </c>
      <c r="K80" s="2" t="str">
        <f t="shared" si="18"/>
        <v>ECACN</v>
      </c>
      <c r="L80" s="2" t="str">
        <f t="shared" si="18"/>
        <v>EOG</v>
      </c>
      <c r="M80" s="2" t="str">
        <f t="shared" si="18"/>
        <v>HES</v>
      </c>
      <c r="N80" s="2" t="str">
        <f t="shared" si="18"/>
        <v>MRO</v>
      </c>
      <c r="O80" s="2" t="str">
        <f t="shared" si="18"/>
        <v>NFX</v>
      </c>
      <c r="P80" s="2" t="str">
        <f t="shared" si="18"/>
        <v>NBL</v>
      </c>
      <c r="Q80" s="2" t="str">
        <f t="shared" si="18"/>
        <v>OXY</v>
      </c>
      <c r="R80" s="2" t="str">
        <f t="shared" si="18"/>
        <v>PXD</v>
      </c>
      <c r="S80" s="2" t="str">
        <f t="shared" si="18"/>
        <v>SWN</v>
      </c>
    </row>
    <row r="81" spans="1:19">
      <c r="A81" s="1" t="s">
        <v>110</v>
      </c>
      <c r="B81" s="2">
        <f t="shared" ref="B81:S81" si="19">RANK(B35,$B$35:$S$35)</f>
        <v>8</v>
      </c>
      <c r="C81" s="125">
        <f t="shared" si="19"/>
        <v>11</v>
      </c>
      <c r="D81" s="2">
        <f t="shared" si="19"/>
        <v>14</v>
      </c>
      <c r="E81" s="2">
        <f t="shared" si="19"/>
        <v>17</v>
      </c>
      <c r="F81" s="2">
        <f t="shared" si="19"/>
        <v>9</v>
      </c>
      <c r="G81" s="2">
        <f t="shared" si="19"/>
        <v>1</v>
      </c>
      <c r="H81" s="2">
        <f t="shared" si="19"/>
        <v>6</v>
      </c>
      <c r="I81" s="2">
        <f t="shared" si="19"/>
        <v>4</v>
      </c>
      <c r="J81" s="2">
        <f t="shared" si="19"/>
        <v>16</v>
      </c>
      <c r="K81" s="2">
        <f t="shared" si="19"/>
        <v>12</v>
      </c>
      <c r="L81" s="2">
        <f t="shared" si="19"/>
        <v>3</v>
      </c>
      <c r="M81" s="2">
        <f t="shared" si="19"/>
        <v>18</v>
      </c>
      <c r="N81" s="2">
        <f t="shared" si="19"/>
        <v>10</v>
      </c>
      <c r="O81" s="2">
        <f t="shared" si="19"/>
        <v>7</v>
      </c>
      <c r="P81" s="2">
        <f t="shared" si="19"/>
        <v>13</v>
      </c>
      <c r="Q81" s="2">
        <f t="shared" si="19"/>
        <v>5</v>
      </c>
      <c r="R81" s="2">
        <f t="shared" si="19"/>
        <v>2</v>
      </c>
      <c r="S81" s="2">
        <f t="shared" si="19"/>
        <v>15</v>
      </c>
    </row>
    <row r="82" spans="1:19">
      <c r="B82" s="2" t="str">
        <f>B80</f>
        <v>APC</v>
      </c>
      <c r="C82" s="125" t="str">
        <f t="shared" ref="C82:S82" si="20">C80</f>
        <v>APA</v>
      </c>
      <c r="D82" s="2" t="str">
        <f t="shared" si="20"/>
        <v>CNQCN</v>
      </c>
      <c r="E82" s="2" t="str">
        <f t="shared" si="20"/>
        <v>CVECN</v>
      </c>
      <c r="F82" s="2" t="str">
        <f t="shared" si="20"/>
        <v>XEC</v>
      </c>
      <c r="G82" s="2" t="str">
        <f t="shared" si="20"/>
        <v>COP</v>
      </c>
      <c r="H82" s="2" t="str">
        <f t="shared" si="20"/>
        <v>CLR</v>
      </c>
      <c r="I82" s="2" t="str">
        <f t="shared" si="20"/>
        <v>CXO</v>
      </c>
      <c r="J82" s="2" t="str">
        <f t="shared" si="20"/>
        <v>DVN</v>
      </c>
      <c r="K82" s="2" t="str">
        <f t="shared" si="20"/>
        <v>ECACN</v>
      </c>
      <c r="L82" s="2" t="str">
        <f t="shared" si="20"/>
        <v>EOG</v>
      </c>
      <c r="M82" s="2" t="str">
        <f t="shared" si="20"/>
        <v>HES</v>
      </c>
      <c r="N82" s="2" t="str">
        <f t="shared" si="20"/>
        <v>MRO</v>
      </c>
      <c r="O82" s="2" t="str">
        <f t="shared" si="20"/>
        <v>NFX</v>
      </c>
      <c r="P82" s="2" t="str">
        <f t="shared" si="20"/>
        <v>NBL</v>
      </c>
      <c r="Q82" s="2" t="str">
        <f t="shared" si="20"/>
        <v>OXY</v>
      </c>
      <c r="R82" s="2" t="str">
        <f t="shared" si="20"/>
        <v>PXD</v>
      </c>
      <c r="S82" s="2" t="str">
        <f t="shared" si="20"/>
        <v>SWN</v>
      </c>
    </row>
    <row r="83" spans="1:19">
      <c r="A83" s="1" t="s">
        <v>107</v>
      </c>
      <c r="B83" s="2">
        <f t="shared" ref="B83:S83" si="21">RANK(B37,$B$37:$S$37)</f>
        <v>11</v>
      </c>
      <c r="C83" s="125">
        <f t="shared" si="21"/>
        <v>12</v>
      </c>
      <c r="D83" s="2">
        <f t="shared" si="21"/>
        <v>8</v>
      </c>
      <c r="E83" s="2">
        <f t="shared" si="21"/>
        <v>17</v>
      </c>
      <c r="F83" s="2">
        <f t="shared" si="21"/>
        <v>4</v>
      </c>
      <c r="G83" s="2">
        <f t="shared" si="21"/>
        <v>6</v>
      </c>
      <c r="H83" s="2">
        <f t="shared" si="21"/>
        <v>9</v>
      </c>
      <c r="I83" s="2">
        <f t="shared" si="21"/>
        <v>3</v>
      </c>
      <c r="J83" s="2">
        <f t="shared" si="21"/>
        <v>14</v>
      </c>
      <c r="K83" s="2">
        <f t="shared" si="21"/>
        <v>15</v>
      </c>
      <c r="L83" s="2">
        <f t="shared" si="21"/>
        <v>1</v>
      </c>
      <c r="M83" s="2">
        <f t="shared" si="21"/>
        <v>18</v>
      </c>
      <c r="N83" s="2">
        <f t="shared" si="21"/>
        <v>5</v>
      </c>
      <c r="O83" s="2">
        <f t="shared" si="21"/>
        <v>10</v>
      </c>
      <c r="P83" s="2">
        <f t="shared" si="21"/>
        <v>13</v>
      </c>
      <c r="Q83" s="2">
        <f t="shared" si="21"/>
        <v>7</v>
      </c>
      <c r="R83" s="2">
        <f t="shared" si="21"/>
        <v>2</v>
      </c>
      <c r="S83" s="2">
        <f t="shared" si="21"/>
        <v>16</v>
      </c>
    </row>
    <row r="84" spans="1:19">
      <c r="B84" s="2" t="str">
        <f>B82</f>
        <v>APC</v>
      </c>
      <c r="C84" s="125" t="str">
        <f t="shared" ref="C84:S84" si="22">C82</f>
        <v>APA</v>
      </c>
      <c r="D84" s="2" t="str">
        <f t="shared" si="22"/>
        <v>CNQCN</v>
      </c>
      <c r="E84" s="2" t="str">
        <f t="shared" si="22"/>
        <v>CVECN</v>
      </c>
      <c r="F84" s="2" t="str">
        <f t="shared" si="22"/>
        <v>XEC</v>
      </c>
      <c r="G84" s="2" t="str">
        <f t="shared" si="22"/>
        <v>COP</v>
      </c>
      <c r="H84" s="2" t="str">
        <f t="shared" si="22"/>
        <v>CLR</v>
      </c>
      <c r="I84" s="2" t="str">
        <f t="shared" si="22"/>
        <v>CXO</v>
      </c>
      <c r="J84" s="2" t="str">
        <f t="shared" si="22"/>
        <v>DVN</v>
      </c>
      <c r="K84" s="2" t="str">
        <f t="shared" si="22"/>
        <v>ECACN</v>
      </c>
      <c r="L84" s="2" t="str">
        <f t="shared" si="22"/>
        <v>EOG</v>
      </c>
      <c r="M84" s="2" t="str">
        <f t="shared" si="22"/>
        <v>HES</v>
      </c>
      <c r="N84" s="2" t="str">
        <f t="shared" si="22"/>
        <v>MRO</v>
      </c>
      <c r="O84" s="2" t="str">
        <f t="shared" si="22"/>
        <v>NFX</v>
      </c>
      <c r="P84" s="2" t="str">
        <f t="shared" si="22"/>
        <v>NBL</v>
      </c>
      <c r="Q84" s="2" t="str">
        <f t="shared" si="22"/>
        <v>OXY</v>
      </c>
      <c r="R84" s="2" t="str">
        <f t="shared" si="22"/>
        <v>PXD</v>
      </c>
      <c r="S84" s="2" t="str">
        <f t="shared" si="22"/>
        <v>SWN</v>
      </c>
    </row>
    <row r="85" spans="1:19">
      <c r="A85" s="1" t="s">
        <v>111</v>
      </c>
      <c r="B85" s="2">
        <f t="shared" ref="B85:S85" si="23">RANK(B34,$B$34:$S$34)</f>
        <v>7</v>
      </c>
      <c r="C85" s="125">
        <f t="shared" si="23"/>
        <v>9</v>
      </c>
      <c r="D85" s="2">
        <f t="shared" si="23"/>
        <v>14</v>
      </c>
      <c r="E85" s="2">
        <f t="shared" si="23"/>
        <v>17</v>
      </c>
      <c r="F85" s="2">
        <f t="shared" si="23"/>
        <v>12</v>
      </c>
      <c r="G85" s="2">
        <f t="shared" si="23"/>
        <v>1</v>
      </c>
      <c r="H85" s="2">
        <f t="shared" si="23"/>
        <v>4</v>
      </c>
      <c r="I85" s="2">
        <f t="shared" si="23"/>
        <v>2</v>
      </c>
      <c r="J85" s="2">
        <f t="shared" si="23"/>
        <v>16</v>
      </c>
      <c r="K85" s="2">
        <f t="shared" si="23"/>
        <v>13</v>
      </c>
      <c r="L85" s="2">
        <f t="shared" si="23"/>
        <v>5</v>
      </c>
      <c r="M85" s="2">
        <f t="shared" si="23"/>
        <v>15</v>
      </c>
      <c r="N85" s="2">
        <f t="shared" si="23"/>
        <v>8</v>
      </c>
      <c r="O85" s="2">
        <f t="shared" si="23"/>
        <v>10</v>
      </c>
      <c r="P85" s="2">
        <f t="shared" si="23"/>
        <v>11</v>
      </c>
      <c r="Q85" s="2">
        <f t="shared" si="23"/>
        <v>6</v>
      </c>
      <c r="R85" s="2">
        <f t="shared" si="23"/>
        <v>3</v>
      </c>
      <c r="S85" s="2">
        <f t="shared" si="23"/>
        <v>18</v>
      </c>
    </row>
    <row r="89" spans="1:19">
      <c r="A89" s="1" t="s">
        <v>130</v>
      </c>
      <c r="B89" s="61">
        <f>B15-'2Q16 Actual'!B15</f>
        <v>22.736998774968804</v>
      </c>
      <c r="C89" s="126">
        <f>C15-'2Q16 Actual'!C15</f>
        <v>14.488771589902775</v>
      </c>
      <c r="D89" s="61">
        <f>D15-'2Q16 Actual'!D15</f>
        <v>11.69693208402445</v>
      </c>
      <c r="E89" s="61">
        <f>E15-'2Q16 Actual'!E15</f>
        <v>4.8599970988432979</v>
      </c>
      <c r="F89" s="61">
        <f>F15-'2Q16 Actual'!F15</f>
        <v>10.287236940806906</v>
      </c>
      <c r="G89" s="61">
        <f>G15-'2Q16 Actual'!G15</f>
        <v>21.504752501062423</v>
      </c>
      <c r="H89" s="61">
        <f>H15-'2Q16 Actual'!H15</f>
        <v>16.700800341439432</v>
      </c>
      <c r="I89" s="61">
        <f>I15-'2Q16 Actual'!I15</f>
        <v>16.170000000000002</v>
      </c>
      <c r="J89" s="61">
        <f>J15-'2Q16 Actual'!J15</f>
        <v>9.25</v>
      </c>
      <c r="K89" s="61">
        <f>K15-'2Q16 Actual'!K15</f>
        <v>15.060000000000002</v>
      </c>
      <c r="L89" s="61">
        <f>L15-'2Q16 Actual'!L15</f>
        <v>17.684666927802269</v>
      </c>
      <c r="M89" s="61">
        <f>M15-'2Q16 Actual'!M15</f>
        <v>9.1547925202128724</v>
      </c>
      <c r="N89" s="61">
        <f>N15-'2Q16 Actual'!N15</f>
        <v>15.363598833223637</v>
      </c>
      <c r="O89" s="61">
        <f>O15-'2Q16 Actual'!O15</f>
        <v>11.495363761742439</v>
      </c>
      <c r="P89" s="61">
        <f>P15-'2Q16 Actual'!P15</f>
        <v>14.114606464359309</v>
      </c>
      <c r="Q89" s="61">
        <f>Q15-'2Q16 Actual'!Q15</f>
        <v>18.407865529553654</v>
      </c>
      <c r="R89" s="61">
        <f>R15-'2Q16 Actual'!R15</f>
        <v>16.16</v>
      </c>
      <c r="S89" s="61">
        <f>S15-'2Q16 Actual'!S15</f>
        <v>9.1172739769340403</v>
      </c>
    </row>
    <row r="90" spans="1:19">
      <c r="A90" s="1" t="s">
        <v>132</v>
      </c>
      <c r="B90" s="61">
        <f>B28-'2Q16 Actual'!B28</f>
        <v>3.3120789651286522</v>
      </c>
      <c r="C90" s="126">
        <f>C28-'2Q16 Actual'!C28</f>
        <v>5.1451223120195788</v>
      </c>
      <c r="D90" s="61">
        <f>D28-'2Q16 Actual'!D28</f>
        <v>3.3951584251726779</v>
      </c>
      <c r="E90" s="61">
        <f>E28-'2Q16 Actual'!E28</f>
        <v>-1.1427397757316804</v>
      </c>
      <c r="F90" s="61">
        <f>F28-'2Q16 Actual'!F28</f>
        <v>-1.0836598633568304</v>
      </c>
      <c r="G90" s="61">
        <f>G28-'2Q16 Actual'!G28</f>
        <v>-1.9405297170952558</v>
      </c>
      <c r="H90" s="61">
        <f>H28-'2Q16 Actual'!H28</f>
        <v>1.619147291721232</v>
      </c>
      <c r="I90" s="61">
        <f>I28-'2Q16 Actual'!I28</f>
        <v>-1.5891476131550739</v>
      </c>
      <c r="J90" s="61">
        <f>J28-'2Q16 Actual'!J28</f>
        <v>2.5155909618739756</v>
      </c>
      <c r="K90" s="61">
        <f>K28-'2Q16 Actual'!K28</f>
        <v>-1.0211751510184115</v>
      </c>
      <c r="L90" s="61">
        <f>L28-'2Q16 Actual'!L28</f>
        <v>2.0657263269277024</v>
      </c>
      <c r="M90" s="61">
        <f>M28-'2Q16 Actual'!M28</f>
        <v>1.64791274760249</v>
      </c>
      <c r="N90" s="61">
        <f>N28-'2Q16 Actual'!N28</f>
        <v>-4.6773887430823677</v>
      </c>
      <c r="O90" s="61">
        <f>O28-'2Q16 Actual'!O28</f>
        <v>0.43466412230177021</v>
      </c>
      <c r="P90" s="61">
        <f>P28-'2Q16 Actual'!P28</f>
        <v>3.0676510778317372</v>
      </c>
      <c r="Q90" s="61">
        <f>Q28-'2Q16 Actual'!Q28</f>
        <v>3.5389483725369271</v>
      </c>
      <c r="R90" s="61">
        <f>R28-'2Q16 Actual'!R28</f>
        <v>-1.1641745357420188</v>
      </c>
      <c r="S90" s="61">
        <f>S28-'2Q16 Actual'!S28</f>
        <v>-0.16556407036563314</v>
      </c>
    </row>
    <row r="91" spans="1:19">
      <c r="A91" s="1" t="s">
        <v>129</v>
      </c>
      <c r="B91" s="62">
        <f>B48-'2Q16 Actual'!B48</f>
        <v>-14.15666666666668</v>
      </c>
      <c r="C91" s="127">
        <f>C48-'2Q16 Actual'!C48</f>
        <v>-12.092911499999992</v>
      </c>
      <c r="D91" s="62">
        <f>D48-'2Q16 Actual'!D48</f>
        <v>29.78440999999998</v>
      </c>
      <c r="E91" s="62">
        <f>E48-'2Q16 Actual'!E48</f>
        <v>19.781269999999996</v>
      </c>
      <c r="F91" s="62">
        <f>F48-'2Q16 Actual'!F48</f>
        <v>3.768771666666666</v>
      </c>
      <c r="G91" s="62">
        <f>G48-'2Q16 Actual'!G48</f>
        <v>-15.691500000000005</v>
      </c>
      <c r="H91" s="62">
        <f>H48-'2Q16 Actual'!H48</f>
        <v>5.9085214999999955</v>
      </c>
      <c r="I91" s="62">
        <f>I48-'2Q16 Actual'!I48</f>
        <v>7.3043219999999991</v>
      </c>
      <c r="J91" s="62">
        <f>J48-'2Q16 Actual'!J48</f>
        <v>-9.6745000000000019</v>
      </c>
      <c r="K91" s="62">
        <f>K48-'2Q16 Actual'!K48</f>
        <v>-4.3253333333333401</v>
      </c>
      <c r="L91" s="62">
        <f>L48-'2Q16 Actual'!L48</f>
        <v>9.25</v>
      </c>
      <c r="M91" s="62">
        <f>M48-'2Q16 Actual'!M48</f>
        <v>-5.517833333333332</v>
      </c>
      <c r="N91" s="62">
        <f>N48-'2Q16 Actual'!N48</f>
        <v>2.936166666666665</v>
      </c>
      <c r="O91" s="62">
        <f>O48-'2Q16 Actual'!O48</f>
        <v>0.65433333333333366</v>
      </c>
      <c r="P91" s="62">
        <f>P48-'2Q16 Actual'!P48</f>
        <v>-6.1868333333333325</v>
      </c>
      <c r="Q91" s="62">
        <f>Q48-'2Q16 Actual'!Q48</f>
        <v>-4.6128333333333345</v>
      </c>
      <c r="R91" s="62">
        <f>R48-'2Q16 Actual'!R48</f>
        <v>6.8900619999999968</v>
      </c>
      <c r="S91" s="62">
        <f>S48-'2Q16 Actual'!S48</f>
        <v>0.12100000000001643</v>
      </c>
    </row>
    <row r="94" spans="1:19">
      <c r="A94" s="163"/>
    </row>
    <row r="175" spans="12:17" hidden="1">
      <c r="L175" s="2" t="s">
        <v>58</v>
      </c>
    </row>
    <row r="176" spans="12:17" hidden="1">
      <c r="L176" s="2" t="s">
        <v>54</v>
      </c>
      <c r="M176" s="2">
        <v>52.63</v>
      </c>
      <c r="N176" s="2">
        <v>176</v>
      </c>
      <c r="Q176" s="2">
        <f>+N176*M176</f>
        <v>9262.880000000001</v>
      </c>
    </row>
    <row r="177" spans="2:17" hidden="1">
      <c r="D177" s="2" t="s">
        <v>72</v>
      </c>
      <c r="E177" s="2" t="s">
        <v>73</v>
      </c>
      <c r="L177" s="2" t="s">
        <v>55</v>
      </c>
      <c r="M177" s="2">
        <v>14.77</v>
      </c>
      <c r="N177" s="2">
        <v>37</v>
      </c>
      <c r="Q177" s="2">
        <f>+N177*M177</f>
        <v>546.49</v>
      </c>
    </row>
    <row r="178" spans="2:17" hidden="1">
      <c r="B178" s="2" t="s">
        <v>61</v>
      </c>
      <c r="C178" s="125">
        <v>95.057000000000002</v>
      </c>
      <c r="D178" s="2">
        <f>73.05</f>
        <v>73.05</v>
      </c>
      <c r="F178" s="2">
        <f>+D178*C178</f>
        <v>6943.9138499999999</v>
      </c>
      <c r="L178" s="2" t="s">
        <v>59</v>
      </c>
      <c r="M178" s="2">
        <v>2.76</v>
      </c>
      <c r="N178" s="2">
        <v>361</v>
      </c>
      <c r="P178" s="2">
        <f>+N178/6</f>
        <v>60.166666666666664</v>
      </c>
      <c r="Q178" s="2">
        <f>+N178*M178</f>
        <v>996.3599999999999</v>
      </c>
    </row>
    <row r="179" spans="2:17" hidden="1">
      <c r="B179" s="2" t="s">
        <v>71</v>
      </c>
      <c r="C179" s="125">
        <f>458.144-C178</f>
        <v>363.08699999999999</v>
      </c>
      <c r="D179" s="2">
        <f>53.09</f>
        <v>53.09</v>
      </c>
      <c r="F179" s="2">
        <f>+D179*C179</f>
        <v>19276.288830000001</v>
      </c>
      <c r="G179" s="2">
        <f>+SUM(F178:F179)/(C178+C179)</f>
        <v>57.231356691345958</v>
      </c>
    </row>
    <row r="180" spans="2:17" hidden="1">
      <c r="L180" s="2" t="s">
        <v>60</v>
      </c>
    </row>
    <row r="181" spans="2:17" hidden="1">
      <c r="L181" s="2" t="s">
        <v>54</v>
      </c>
      <c r="M181" s="2">
        <v>56.7</v>
      </c>
      <c r="N181" s="2">
        <v>33</v>
      </c>
      <c r="Q181" s="2">
        <f>+N181*M181</f>
        <v>1871.1000000000001</v>
      </c>
    </row>
    <row r="182" spans="2:17" hidden="1">
      <c r="D182" s="2">
        <v>608</v>
      </c>
      <c r="E182" s="2">
        <v>58</v>
      </c>
      <c r="L182" s="2" t="s">
        <v>55</v>
      </c>
      <c r="M182" s="2">
        <v>3.1</v>
      </c>
      <c r="N182" s="2">
        <v>9</v>
      </c>
      <c r="Q182" s="2">
        <f>+N182*M182</f>
        <v>27.900000000000002</v>
      </c>
    </row>
    <row r="183" spans="2:17" hidden="1">
      <c r="D183" s="2">
        <v>138</v>
      </c>
      <c r="E183" s="2">
        <v>33.299999999999997</v>
      </c>
      <c r="L183" s="2" t="s">
        <v>59</v>
      </c>
      <c r="M183" s="2">
        <v>0.78</v>
      </c>
      <c r="N183" s="2">
        <v>396</v>
      </c>
      <c r="P183" s="2">
        <f>+N183/6</f>
        <v>66</v>
      </c>
      <c r="Q183" s="2">
        <f>+N183*M183</f>
        <v>308.88</v>
      </c>
    </row>
    <row r="184" spans="2:17" hidden="1">
      <c r="E184" s="2">
        <f>+SUMPRODUCT(D182:D183,E182:E183)/SUM(D182:D183)</f>
        <v>53.430831099195714</v>
      </c>
    </row>
    <row r="185" spans="2:17" hidden="1">
      <c r="L185" s="2" t="s">
        <v>61</v>
      </c>
    </row>
    <row r="186" spans="2:17" hidden="1">
      <c r="L186" s="2" t="s">
        <v>54</v>
      </c>
      <c r="M186" s="2">
        <v>52.46</v>
      </c>
      <c r="N186" s="2">
        <v>29</v>
      </c>
      <c r="Q186" s="2">
        <f>+N186*M186</f>
        <v>1521.34</v>
      </c>
    </row>
  </sheetData>
  <mergeCells count="2">
    <mergeCell ref="A55:S55"/>
    <mergeCell ref="A56:S56"/>
  </mergeCells>
  <pageMargins left="0.7" right="0.24" top="0.75" bottom="0.75" header="0.3" footer="0.3"/>
  <pageSetup orientation="portrait" r:id="rId1"/>
  <headerFooter>
    <oddFooter>&amp;C&amp;"Expert Sans Regular,Regular"&amp;10&amp;K000000 Restricted - External_x000D_&amp;1#&amp;"Calibri"&amp;10 Restricted - External</oddFooter>
    <evenFooter>&amp;C&amp;"Expert Sans Regular,Regular"&amp;10&amp;K000000 Restricted - External</evenFooter>
    <firstFooter>&amp;C&amp;"Expert Sans Regular,Regular"&amp;10&amp;K000000 Restricted - External</first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autoPageBreaks="0"/>
  </sheetPr>
  <dimension ref="A1:T179"/>
  <sheetViews>
    <sheetView workbookViewId="0">
      <pane xSplit="1" ySplit="7" topLeftCell="B14" activePane="bottomRight" state="frozen"/>
      <selection activeCell="B36" sqref="B36:V36"/>
      <selection pane="topRight" activeCell="B36" sqref="B36:V36"/>
      <selection pane="bottomLeft" activeCell="B36" sqref="B36:V36"/>
      <selection pane="bottomRight" activeCell="B36" sqref="B36:V36"/>
    </sheetView>
  </sheetViews>
  <sheetFormatPr defaultRowHeight="14.25"/>
  <cols>
    <col min="1" max="1" width="36.375" style="1" customWidth="1"/>
    <col min="2" max="2" width="9.25" style="2" customWidth="1"/>
    <col min="3" max="3" width="9.25" style="125" customWidth="1"/>
    <col min="4" max="6" width="9.25" style="2" customWidth="1"/>
    <col min="7" max="7" width="10.75" style="2" customWidth="1"/>
    <col min="8" max="19" width="9.25" style="2" customWidth="1"/>
    <col min="20" max="21" width="11.5" style="1" customWidth="1"/>
    <col min="22" max="22" width="10.75" style="1" bestFit="1" customWidth="1"/>
    <col min="23" max="16384" width="9" style="1"/>
  </cols>
  <sheetData>
    <row r="1" spans="1:19" s="9" customFormat="1">
      <c r="A1" s="134" t="s">
        <v>169</v>
      </c>
      <c r="B1" s="8"/>
      <c r="C1" s="8"/>
      <c r="D1" s="8"/>
      <c r="E1" s="8"/>
      <c r="F1" s="8"/>
      <c r="G1" s="8"/>
      <c r="H1" s="8"/>
      <c r="I1" s="8"/>
      <c r="J1" s="8"/>
      <c r="K1" s="8"/>
      <c r="L1" s="8"/>
      <c r="M1" s="19"/>
      <c r="N1" s="8"/>
      <c r="O1" s="8"/>
      <c r="P1" s="8"/>
      <c r="Q1" s="8"/>
      <c r="R1" s="8"/>
      <c r="S1" s="8"/>
    </row>
    <row r="2" spans="1:19" s="9" customFormat="1">
      <c r="A2" s="134" t="s">
        <v>1</v>
      </c>
      <c r="B2" s="10">
        <v>55.23</v>
      </c>
      <c r="C2" s="8"/>
      <c r="D2" s="8"/>
      <c r="E2" s="8"/>
      <c r="F2" s="8"/>
      <c r="G2" s="8"/>
      <c r="H2" s="8"/>
      <c r="I2" s="8"/>
      <c r="J2" s="8"/>
      <c r="K2" s="8"/>
      <c r="L2" s="8"/>
      <c r="M2" s="19"/>
      <c r="N2" s="8"/>
      <c r="O2" s="8"/>
      <c r="P2" s="8"/>
      <c r="Q2" s="8"/>
      <c r="R2" s="8"/>
      <c r="S2" s="8"/>
    </row>
    <row r="3" spans="1:19" s="9" customFormat="1">
      <c r="A3" s="134" t="s">
        <v>0</v>
      </c>
      <c r="B3" s="10">
        <v>32.072000000000003</v>
      </c>
      <c r="C3" s="8"/>
      <c r="D3" s="8"/>
      <c r="E3" s="8"/>
      <c r="F3" s="8"/>
      <c r="G3" s="8"/>
      <c r="H3" s="8"/>
      <c r="I3" s="8"/>
      <c r="J3" s="8"/>
      <c r="K3" s="8"/>
      <c r="L3" s="8"/>
      <c r="M3" s="19"/>
      <c r="N3" s="8"/>
      <c r="O3" s="8"/>
      <c r="P3" s="8"/>
      <c r="Q3" s="8"/>
      <c r="R3" s="8"/>
      <c r="S3" s="8"/>
    </row>
    <row r="4" spans="1:19" s="9" customFormat="1">
      <c r="A4" s="134" t="s">
        <v>2</v>
      </c>
      <c r="B4" s="10">
        <v>2.919</v>
      </c>
      <c r="C4" s="8"/>
      <c r="D4" s="8"/>
      <c r="E4" s="8"/>
      <c r="F4" s="8"/>
      <c r="G4" s="8"/>
      <c r="H4" s="135"/>
      <c r="I4" s="8"/>
      <c r="J4" s="8"/>
      <c r="K4" s="8"/>
      <c r="L4" s="8"/>
      <c r="M4" s="19"/>
      <c r="N4" s="8"/>
      <c r="O4" s="8"/>
      <c r="P4" s="8"/>
      <c r="Q4" s="8"/>
      <c r="R4" s="8"/>
      <c r="S4" s="8"/>
    </row>
    <row r="5" spans="1:19" s="9" customFormat="1" ht="15" thickBot="1">
      <c r="A5" s="134"/>
      <c r="B5" s="8"/>
      <c r="C5" s="8"/>
      <c r="D5" s="8"/>
      <c r="E5" s="8"/>
      <c r="F5" s="8"/>
      <c r="G5" s="8"/>
      <c r="H5" s="8"/>
      <c r="I5" s="8"/>
      <c r="J5" s="8"/>
      <c r="K5" s="8"/>
      <c r="L5" s="8"/>
      <c r="M5" s="19"/>
      <c r="N5" s="8"/>
      <c r="O5" s="8"/>
      <c r="P5" s="8"/>
      <c r="Q5" s="8"/>
      <c r="R5" s="8"/>
      <c r="S5" s="8"/>
    </row>
    <row r="6" spans="1:19" ht="26.25" thickBot="1">
      <c r="A6" s="132" t="s">
        <v>15</v>
      </c>
      <c r="B6" s="131" t="s">
        <v>17</v>
      </c>
      <c r="C6" s="131" t="s">
        <v>18</v>
      </c>
      <c r="D6" s="131" t="s">
        <v>19</v>
      </c>
      <c r="E6" s="131" t="s">
        <v>21</v>
      </c>
      <c r="F6" s="131" t="s">
        <v>22</v>
      </c>
      <c r="G6" s="131" t="s">
        <v>20</v>
      </c>
      <c r="H6" s="131" t="s">
        <v>23</v>
      </c>
      <c r="I6" s="131" t="s">
        <v>139</v>
      </c>
      <c r="J6" s="131" t="s">
        <v>24</v>
      </c>
      <c r="K6" s="131" t="s">
        <v>25</v>
      </c>
      <c r="L6" s="131" t="s">
        <v>26</v>
      </c>
      <c r="M6" s="131" t="s">
        <v>27</v>
      </c>
      <c r="N6" s="131" t="s">
        <v>28</v>
      </c>
      <c r="O6" s="131" t="s">
        <v>162</v>
      </c>
      <c r="P6" s="131" t="s">
        <v>29</v>
      </c>
      <c r="Q6" s="131" t="s">
        <v>30</v>
      </c>
      <c r="R6" s="131" t="s">
        <v>31</v>
      </c>
      <c r="S6" s="131" t="s">
        <v>32</v>
      </c>
    </row>
    <row r="7" spans="1:19" ht="18" customHeight="1" thickBot="1">
      <c r="A7" s="25" t="s">
        <v>16</v>
      </c>
      <c r="B7" s="69" t="s">
        <v>33</v>
      </c>
      <c r="C7" s="69" t="s">
        <v>34</v>
      </c>
      <c r="D7" s="69" t="s">
        <v>35</v>
      </c>
      <c r="E7" s="69" t="s">
        <v>37</v>
      </c>
      <c r="F7" s="69" t="s">
        <v>38</v>
      </c>
      <c r="G7" s="69" t="s">
        <v>36</v>
      </c>
      <c r="H7" s="69" t="s">
        <v>39</v>
      </c>
      <c r="I7" s="69" t="s">
        <v>140</v>
      </c>
      <c r="J7" s="69" t="s">
        <v>40</v>
      </c>
      <c r="K7" s="69" t="s">
        <v>41</v>
      </c>
      <c r="L7" s="69" t="s">
        <v>42</v>
      </c>
      <c r="M7" s="69" t="s">
        <v>43</v>
      </c>
      <c r="N7" s="69" t="s">
        <v>44</v>
      </c>
      <c r="O7" s="69" t="s">
        <v>163</v>
      </c>
      <c r="P7" s="69" t="s">
        <v>45</v>
      </c>
      <c r="Q7" s="69" t="s">
        <v>46</v>
      </c>
      <c r="R7" s="69" t="s">
        <v>47</v>
      </c>
      <c r="S7" s="69" t="s">
        <v>48</v>
      </c>
    </row>
    <row r="8" spans="1:19" s="9" customFormat="1">
      <c r="A8" s="134"/>
      <c r="B8" s="8"/>
      <c r="C8" s="8"/>
      <c r="D8" s="8"/>
      <c r="E8" s="8"/>
      <c r="F8" s="8"/>
      <c r="G8" s="8"/>
      <c r="H8" s="8"/>
      <c r="I8" s="8"/>
      <c r="J8" s="8"/>
      <c r="K8" s="8"/>
      <c r="L8" s="8"/>
      <c r="M8" s="8"/>
      <c r="N8" s="8"/>
      <c r="O8" s="8"/>
      <c r="P8" s="8"/>
      <c r="Q8" s="8"/>
      <c r="R8" s="8"/>
      <c r="S8" s="8"/>
    </row>
    <row r="9" spans="1:19" s="9" customFormat="1">
      <c r="A9" s="134" t="s">
        <v>50</v>
      </c>
      <c r="B9" s="10">
        <v>56.32</v>
      </c>
      <c r="C9" s="20">
        <v>58.36</v>
      </c>
      <c r="D9" s="20">
        <f>59.349/D58</f>
        <v>46.716782115869016</v>
      </c>
      <c r="E9" s="10">
        <f>46.08/D58</f>
        <v>36.272040302267001</v>
      </c>
      <c r="F9" s="10">
        <v>51.68</v>
      </c>
      <c r="G9" s="10">
        <v>55.6</v>
      </c>
      <c r="H9" s="10">
        <v>51.16</v>
      </c>
      <c r="I9" s="10">
        <v>52.84</v>
      </c>
      <c r="J9" s="10">
        <v>42.59</v>
      </c>
      <c r="K9" s="10">
        <v>54.47</v>
      </c>
      <c r="L9" s="10">
        <v>56.97</v>
      </c>
      <c r="M9" s="20">
        <v>57.32</v>
      </c>
      <c r="N9" s="10">
        <v>57.094038500000003</v>
      </c>
      <c r="O9" s="10">
        <v>51.13</v>
      </c>
      <c r="P9" s="10">
        <f>709/((P44*0.092))</f>
        <v>55.442602439787301</v>
      </c>
      <c r="Q9" s="10">
        <v>53.67</v>
      </c>
      <c r="R9" s="10">
        <v>52.81</v>
      </c>
      <c r="S9" s="10">
        <v>48.05</v>
      </c>
    </row>
    <row r="10" spans="1:19" s="9" customFormat="1">
      <c r="A10" s="134" t="s">
        <v>3</v>
      </c>
      <c r="B10" s="10">
        <f t="shared" ref="B10:S10" si="0">+B9-$B$2</f>
        <v>1.0900000000000034</v>
      </c>
      <c r="C10" s="20">
        <f t="shared" si="0"/>
        <v>3.1300000000000026</v>
      </c>
      <c r="D10" s="20">
        <f t="shared" si="0"/>
        <v>-8.5132178841309809</v>
      </c>
      <c r="E10" s="10">
        <f t="shared" si="0"/>
        <v>-18.957959697732996</v>
      </c>
      <c r="F10" s="10">
        <f t="shared" si="0"/>
        <v>-3.5499999999999972</v>
      </c>
      <c r="G10" s="10">
        <f>+G9-$B$2</f>
        <v>0.37000000000000455</v>
      </c>
      <c r="H10" s="10">
        <f t="shared" si="0"/>
        <v>-4.07</v>
      </c>
      <c r="I10" s="10">
        <f t="shared" si="0"/>
        <v>-2.3899999999999935</v>
      </c>
      <c r="J10" s="10">
        <f t="shared" si="0"/>
        <v>-12.639999999999993</v>
      </c>
      <c r="K10" s="10">
        <f t="shared" si="0"/>
        <v>-0.75999999999999801</v>
      </c>
      <c r="L10" s="10">
        <f t="shared" si="0"/>
        <v>1.740000000000002</v>
      </c>
      <c r="M10" s="20">
        <f t="shared" si="0"/>
        <v>2.0900000000000034</v>
      </c>
      <c r="N10" s="10">
        <f t="shared" si="0"/>
        <v>1.8640385000000066</v>
      </c>
      <c r="O10" s="10">
        <f t="shared" si="0"/>
        <v>-4.0999999999999943</v>
      </c>
      <c r="P10" s="10">
        <f t="shared" si="0"/>
        <v>0.21260243978730387</v>
      </c>
      <c r="Q10" s="10">
        <f t="shared" si="0"/>
        <v>-1.5599999999999952</v>
      </c>
      <c r="R10" s="10">
        <f t="shared" si="0"/>
        <v>-2.4199999999999946</v>
      </c>
      <c r="S10" s="10">
        <f t="shared" si="0"/>
        <v>-7.18</v>
      </c>
    </row>
    <row r="11" spans="1:19" s="9" customFormat="1">
      <c r="A11" s="134" t="s">
        <v>51</v>
      </c>
      <c r="B11" s="10">
        <v>35.28</v>
      </c>
      <c r="C11" s="20">
        <v>21.06</v>
      </c>
      <c r="D11" s="20"/>
      <c r="E11" s="10">
        <f>20.19/D58</f>
        <v>15.892632241813603</v>
      </c>
      <c r="F11" s="10">
        <v>25.88</v>
      </c>
      <c r="G11" s="10">
        <v>32.08</v>
      </c>
      <c r="H11" s="10"/>
      <c r="I11" s="10"/>
      <c r="J11" s="10">
        <v>18.46</v>
      </c>
      <c r="K11" s="10">
        <v>39.96</v>
      </c>
      <c r="L11" s="10">
        <v>26.92</v>
      </c>
      <c r="M11" s="20">
        <v>22.78</v>
      </c>
      <c r="N11" s="10">
        <v>19.628709700000002</v>
      </c>
      <c r="O11" s="10">
        <v>30.15</v>
      </c>
      <c r="P11" s="10">
        <f>164/(P45*0.092)</f>
        <v>27.853260869565219</v>
      </c>
      <c r="Q11" s="10">
        <v>25.08</v>
      </c>
      <c r="R11" s="10">
        <v>21.64</v>
      </c>
      <c r="S11" s="10">
        <v>17.98</v>
      </c>
    </row>
    <row r="12" spans="1:19" s="9" customFormat="1">
      <c r="A12" s="134" t="s">
        <v>3</v>
      </c>
      <c r="B12" s="10">
        <f t="shared" ref="B12:S12" si="1">+B11-$B$3</f>
        <v>3.2079999999999984</v>
      </c>
      <c r="C12" s="20">
        <f t="shared" si="1"/>
        <v>-11.012000000000004</v>
      </c>
      <c r="D12" s="20">
        <f t="shared" si="1"/>
        <v>-32.072000000000003</v>
      </c>
      <c r="E12" s="10">
        <f t="shared" si="1"/>
        <v>-16.179367758186402</v>
      </c>
      <c r="F12" s="10">
        <f t="shared" si="1"/>
        <v>-6.1920000000000037</v>
      </c>
      <c r="G12" s="10">
        <f>+G11-$B$3</f>
        <v>7.9999999999955662E-3</v>
      </c>
      <c r="H12" s="10">
        <f t="shared" si="1"/>
        <v>-32.072000000000003</v>
      </c>
      <c r="I12" s="10">
        <f t="shared" si="1"/>
        <v>-32.072000000000003</v>
      </c>
      <c r="J12" s="10">
        <f t="shared" si="1"/>
        <v>-13.612000000000002</v>
      </c>
      <c r="K12" s="10">
        <f t="shared" si="1"/>
        <v>7.8879999999999981</v>
      </c>
      <c r="L12" s="10">
        <f t="shared" si="1"/>
        <v>-5.152000000000001</v>
      </c>
      <c r="M12" s="20">
        <f t="shared" si="1"/>
        <v>-9.2920000000000016</v>
      </c>
      <c r="N12" s="10">
        <f t="shared" si="1"/>
        <v>-12.443290300000001</v>
      </c>
      <c r="O12" s="10">
        <f t="shared" si="1"/>
        <v>-1.9220000000000041</v>
      </c>
      <c r="P12" s="10">
        <f t="shared" si="1"/>
        <v>-4.2187391304347841</v>
      </c>
      <c r="Q12" s="10">
        <f t="shared" si="1"/>
        <v>-6.9920000000000044</v>
      </c>
      <c r="R12" s="10">
        <f t="shared" si="1"/>
        <v>-10.432000000000002</v>
      </c>
      <c r="S12" s="10">
        <f t="shared" si="1"/>
        <v>-14.092000000000002</v>
      </c>
    </row>
    <row r="13" spans="1:19" s="9" customFormat="1">
      <c r="A13" s="134" t="s">
        <v>52</v>
      </c>
      <c r="B13" s="10">
        <v>2.63</v>
      </c>
      <c r="C13" s="20">
        <v>2.9</v>
      </c>
      <c r="D13" s="20">
        <f>2.09/D58</f>
        <v>1.6451511335012594</v>
      </c>
      <c r="E13" s="10"/>
      <c r="F13" s="10">
        <v>2.58</v>
      </c>
      <c r="G13" s="10">
        <v>4.8</v>
      </c>
      <c r="H13" s="10">
        <v>3.3</v>
      </c>
      <c r="I13" s="10">
        <v>3.33</v>
      </c>
      <c r="J13" s="10">
        <v>2.29</v>
      </c>
      <c r="K13" s="10">
        <v>2.11</v>
      </c>
      <c r="L13" s="10">
        <v>2.31</v>
      </c>
      <c r="M13" s="20">
        <v>3.69</v>
      </c>
      <c r="N13" s="10">
        <v>1.48132336</v>
      </c>
      <c r="O13" s="10">
        <v>2.57</v>
      </c>
      <c r="P13" s="10">
        <f>269/(P46*0.092)</f>
        <v>2.8892421378243687</v>
      </c>
      <c r="Q13" s="10">
        <v>1.74</v>
      </c>
      <c r="R13" s="10">
        <v>2.5299999999999998</v>
      </c>
      <c r="S13" s="10">
        <v>2</v>
      </c>
    </row>
    <row r="14" spans="1:19" s="9" customFormat="1">
      <c r="A14" s="134" t="s">
        <v>3</v>
      </c>
      <c r="B14" s="10">
        <f t="shared" ref="B14:S14" si="2">+B13-$B$4</f>
        <v>-0.28900000000000015</v>
      </c>
      <c r="C14" s="20">
        <f t="shared" si="2"/>
        <v>-1.9000000000000128E-2</v>
      </c>
      <c r="D14" s="20">
        <f t="shared" si="2"/>
        <v>-1.2738488664987406</v>
      </c>
      <c r="E14" s="10">
        <f t="shared" si="2"/>
        <v>-2.919</v>
      </c>
      <c r="F14" s="10">
        <f t="shared" si="2"/>
        <v>-0.33899999999999997</v>
      </c>
      <c r="G14" s="10">
        <f>+G13-$B$4</f>
        <v>1.8809999999999998</v>
      </c>
      <c r="H14" s="10">
        <f t="shared" si="2"/>
        <v>0.38099999999999978</v>
      </c>
      <c r="I14" s="10">
        <f t="shared" si="2"/>
        <v>0.41100000000000003</v>
      </c>
      <c r="J14" s="10">
        <f t="shared" si="2"/>
        <v>-0.629</v>
      </c>
      <c r="K14" s="10">
        <f t="shared" si="2"/>
        <v>-0.80900000000000016</v>
      </c>
      <c r="L14" s="10">
        <f t="shared" si="2"/>
        <v>-0.60899999999999999</v>
      </c>
      <c r="M14" s="20">
        <f t="shared" si="2"/>
        <v>0.77099999999999991</v>
      </c>
      <c r="N14" s="10">
        <f t="shared" si="2"/>
        <v>-1.4376766400000001</v>
      </c>
      <c r="O14" s="10">
        <f t="shared" si="2"/>
        <v>-0.3490000000000002</v>
      </c>
      <c r="P14" s="10">
        <f t="shared" si="2"/>
        <v>-2.9757862175631367E-2</v>
      </c>
      <c r="Q14" s="10">
        <f t="shared" si="2"/>
        <v>-1.179</v>
      </c>
      <c r="R14" s="10">
        <f t="shared" si="2"/>
        <v>-0.38900000000000023</v>
      </c>
      <c r="S14" s="10">
        <f t="shared" si="2"/>
        <v>-0.91900000000000004</v>
      </c>
    </row>
    <row r="15" spans="1:19" s="9" customFormat="1">
      <c r="A15" s="134" t="s">
        <v>49</v>
      </c>
      <c r="B15" s="74">
        <f>+(1900+258+301)/B48</f>
        <v>41.937647807895218</v>
      </c>
      <c r="C15" s="20">
        <f>(1640-156)/C48</f>
        <v>40.005277964974283</v>
      </c>
      <c r="D15" s="20">
        <f>(2991+2323)/D48/D58</f>
        <v>44.570806238264375</v>
      </c>
      <c r="E15" s="10">
        <f>39.29/D58</f>
        <v>30.927267002518892</v>
      </c>
      <c r="F15" s="10">
        <f>+(293.686+126.81+118.918)/F48</f>
        <v>29.210091678534877</v>
      </c>
      <c r="G15" s="10">
        <f>G67</f>
        <v>46.052719586660409</v>
      </c>
      <c r="H15" s="10">
        <v>38.270000000000003</v>
      </c>
      <c r="I15" s="10">
        <v>40.18</v>
      </c>
      <c r="J15" s="10">
        <v>27.59</v>
      </c>
      <c r="K15" s="10">
        <v>28.78</v>
      </c>
      <c r="L15" s="10">
        <f>+(1929.471+249.172+246.922)/L48</f>
        <v>39.824032460382263</v>
      </c>
      <c r="M15" s="20">
        <f>M67</f>
        <v>41.715483870967738</v>
      </c>
      <c r="N15" s="10">
        <f>1336/N48</f>
        <v>35.00620119831607</v>
      </c>
      <c r="O15" s="10">
        <f>509/O48</f>
        <v>32.601037596874399</v>
      </c>
      <c r="P15" s="10">
        <f>P67</f>
        <v>33.398323259894724</v>
      </c>
      <c r="Q15" s="10">
        <f>Q67</f>
        <v>40.12869565217391</v>
      </c>
      <c r="R15" s="10">
        <v>38.68</v>
      </c>
      <c r="S15" s="10">
        <f>S67</f>
        <v>13.146173691768913</v>
      </c>
    </row>
    <row r="16" spans="1:19" s="9" customFormat="1">
      <c r="A16" s="134"/>
      <c r="B16" s="10"/>
      <c r="C16" s="20"/>
      <c r="D16" s="20"/>
      <c r="E16" s="10"/>
      <c r="F16" s="10"/>
      <c r="G16" s="10"/>
      <c r="H16" s="10"/>
      <c r="I16" s="10"/>
      <c r="J16" s="10"/>
      <c r="K16" s="10"/>
      <c r="L16" s="10"/>
      <c r="M16" s="20"/>
      <c r="N16" s="10"/>
      <c r="O16" s="10"/>
      <c r="P16" s="10"/>
      <c r="Q16" s="10"/>
      <c r="R16" s="10"/>
      <c r="S16" s="10"/>
    </row>
    <row r="17" spans="1:20" s="9" customFormat="1">
      <c r="A17" s="134" t="s">
        <v>4</v>
      </c>
      <c r="B17" s="10"/>
      <c r="C17" s="20"/>
      <c r="D17" s="20"/>
      <c r="E17" s="10"/>
      <c r="F17" s="10"/>
      <c r="G17" s="10"/>
      <c r="H17" s="10"/>
      <c r="I17" s="10"/>
      <c r="J17" s="10"/>
      <c r="K17" s="10"/>
      <c r="L17" s="10"/>
      <c r="M17" s="20"/>
      <c r="N17" s="10"/>
      <c r="O17" s="10"/>
      <c r="P17" s="10"/>
      <c r="Q17" s="10"/>
      <c r="R17" s="10"/>
      <c r="S17" s="10"/>
    </row>
    <row r="18" spans="1:20" s="9" customFormat="1">
      <c r="A18" s="133" t="s">
        <v>75</v>
      </c>
      <c r="B18" s="10">
        <f>+(252+216)/B48</f>
        <v>7.9816263416408946</v>
      </c>
      <c r="C18" s="20">
        <f>(334+35)/C48</f>
        <v>9.9474040222880795</v>
      </c>
      <c r="D18" s="20">
        <f>(797+846+339+670)/D48/D58</f>
        <v>22.24346596610409</v>
      </c>
      <c r="E18" s="10">
        <f>(5.42+8.32)/D58</f>
        <v>10.815491183879093</v>
      </c>
      <c r="F18" s="10">
        <f>+(71.771+59.606)/F48</f>
        <v>7.1142651367055301</v>
      </c>
      <c r="G18" s="10">
        <f>(1324)/G48</f>
        <v>13.519308922335451</v>
      </c>
      <c r="H18" s="10">
        <f>84.371/H48</f>
        <v>3.1955466543271784</v>
      </c>
      <c r="I18" s="10">
        <f>115/I48</f>
        <v>5.9218318199763136</v>
      </c>
      <c r="J18" s="10">
        <f>(236+163)/J48</f>
        <v>7.9165619502387532</v>
      </c>
      <c r="K18" s="10">
        <f>6.39+3.6</f>
        <v>9.99</v>
      </c>
      <c r="L18" s="10">
        <f>+(281.941+191.717+43.295)/L48</f>
        <v>8.4875701341716212</v>
      </c>
      <c r="M18" s="20">
        <f>(314+144)/M48</f>
        <v>16.612661411229865</v>
      </c>
      <c r="N18" s="10">
        <f>(185+122)/N48</f>
        <v>8.044089646619037</v>
      </c>
      <c r="O18" s="10">
        <f>+(48+77)/O48</f>
        <v>8.0061487222186649</v>
      </c>
      <c r="P18" s="10">
        <f>+(157+99)/P48</f>
        <v>7.4868395398713208</v>
      </c>
      <c r="Q18" s="10">
        <v>11.51</v>
      </c>
      <c r="R18" s="10">
        <f>0.78+0.79+4.14-0.34</f>
        <v>5.37</v>
      </c>
      <c r="S18" s="10">
        <f>0.91*6</f>
        <v>5.46</v>
      </c>
    </row>
    <row r="19" spans="1:20" s="9" customFormat="1">
      <c r="A19" s="133" t="s">
        <v>74</v>
      </c>
      <c r="B19" s="10"/>
      <c r="C19" s="20"/>
      <c r="D19" s="20">
        <f>313/D48/D58</f>
        <v>2.6252657795590424</v>
      </c>
      <c r="E19" s="10">
        <f>3.16/D58</f>
        <v>2.4874055415617131</v>
      </c>
      <c r="F19" s="10"/>
      <c r="G19" s="10"/>
      <c r="H19" s="10"/>
      <c r="I19" s="10"/>
      <c r="J19" s="10"/>
      <c r="K19" s="10"/>
      <c r="L19" s="10"/>
      <c r="M19" s="20"/>
      <c r="N19" s="10"/>
      <c r="O19" s="10"/>
      <c r="P19" s="10"/>
      <c r="Q19" s="10"/>
      <c r="R19" s="10"/>
      <c r="S19" s="10"/>
    </row>
    <row r="20" spans="1:20" s="9" customFormat="1">
      <c r="A20" s="133" t="s">
        <v>10</v>
      </c>
      <c r="B20" s="10">
        <f>(133-11.385)/B48</f>
        <v>2.074114289612516</v>
      </c>
      <c r="C20" s="20">
        <f>34/C48</f>
        <v>0.91656297224334604</v>
      </c>
      <c r="D20" s="20"/>
      <c r="E20" s="10">
        <f>0.01/D58</f>
        <v>7.8715365239294711E-3</v>
      </c>
      <c r="F20" s="10">
        <f>26.76/F48</f>
        <v>1.4490948572294997</v>
      </c>
      <c r="G20" s="10">
        <f>205/G48</f>
        <v>2.0932464721138726</v>
      </c>
      <c r="H20" s="10">
        <f>73.816/H48</f>
        <v>2.7957766511694189</v>
      </c>
      <c r="I20" s="10">
        <f>59/I48</f>
        <v>3.0381571945965433</v>
      </c>
      <c r="J20" s="10">
        <f>(51+13)/J48</f>
        <v>1.2698244732212538</v>
      </c>
      <c r="K20" s="10">
        <f>32/K48</f>
        <v>1.0374609871441294</v>
      </c>
      <c r="L20" s="10">
        <f>158.343/L48</f>
        <v>2.5997475936016179</v>
      </c>
      <c r="M20" s="20">
        <f>31/M48</f>
        <v>1.1244377811094453</v>
      </c>
      <c r="N20" s="10">
        <f>55/N48</f>
        <v>1.4411235523258861</v>
      </c>
      <c r="O20" s="10">
        <f>21/O48</f>
        <v>1.3450329853327356</v>
      </c>
      <c r="P20" s="10">
        <f>19/P48</f>
        <v>0.5556638720998246</v>
      </c>
      <c r="Q20" s="10">
        <v>1.4</v>
      </c>
      <c r="R20" s="10">
        <v>2.23</v>
      </c>
      <c r="S20" s="10">
        <f>0.07*6</f>
        <v>0.42000000000000004</v>
      </c>
    </row>
    <row r="21" spans="1:20" s="9" customFormat="1">
      <c r="A21" s="133" t="s">
        <v>11</v>
      </c>
      <c r="B21" s="10">
        <f>+(235-12.394)/B48</f>
        <v>3.7964912679643441</v>
      </c>
      <c r="C21" s="20">
        <f>88/C48</f>
        <v>2.3722806340416014</v>
      </c>
      <c r="D21" s="20">
        <f>(84+97)/D48/D58</f>
        <v>1.5181249396172096</v>
      </c>
      <c r="E21" s="10">
        <f>91/E48/D58</f>
        <v>1.6203567759924962</v>
      </c>
      <c r="F21" s="74">
        <f>+(43.873+12.625)/F48</f>
        <v>3.0594529612762433</v>
      </c>
      <c r="G21" s="10">
        <f>138/G48</f>
        <v>1.4091122592766558</v>
      </c>
      <c r="H21" s="10">
        <f>61.294/H48</f>
        <v>2.3215066388964227</v>
      </c>
      <c r="I21" s="10">
        <f>64/I48</f>
        <v>3.2956281432911658</v>
      </c>
      <c r="J21" s="10">
        <f>(192)/J48</f>
        <v>3.8094734196637612</v>
      </c>
      <c r="K21" s="10">
        <f>(86+25)/K48</f>
        <v>3.5986927991561988</v>
      </c>
      <c r="L21" s="10">
        <f>117.005/L48</f>
        <v>1.9210414555070783</v>
      </c>
      <c r="M21" s="20">
        <f>(120)/M48</f>
        <v>4.3526623784881746</v>
      </c>
      <c r="N21" s="10">
        <f>101/N48</f>
        <v>2.6464268869984453</v>
      </c>
      <c r="O21" s="10">
        <f>49/O48</f>
        <v>3.1384102991097165</v>
      </c>
      <c r="P21" s="10">
        <f>(111-4.115)/P48</f>
        <v>3.1259017352310399</v>
      </c>
      <c r="Q21" s="10">
        <v>3.45</v>
      </c>
      <c r="R21" s="10">
        <f>80/R48</f>
        <v>2.8511378855662071</v>
      </c>
      <c r="S21" s="10">
        <f>0.22*6</f>
        <v>1.32</v>
      </c>
    </row>
    <row r="22" spans="1:20" s="9" customFormat="1">
      <c r="A22" s="133" t="s">
        <v>12</v>
      </c>
      <c r="B22" s="10">
        <f>+(252-35.592)/B48</f>
        <v>3.6907858832090232</v>
      </c>
      <c r="C22" s="20">
        <f>(457-344)/C48</f>
        <v>3.0462239959852382</v>
      </c>
      <c r="D22" s="20">
        <f>169/D48/D58</f>
        <v>1.4174757723497704</v>
      </c>
      <c r="E22" s="10">
        <f>166/E48/D58</f>
        <v>2.9558156573049925</v>
      </c>
      <c r="F22" s="10">
        <f>16.836/F48</f>
        <v>0.91169510524349229</v>
      </c>
      <c r="G22" s="10">
        <f>226/G48</f>
        <v>2.3076765985255379</v>
      </c>
      <c r="H22" s="10">
        <f>75.823/H48</f>
        <v>2.8717916579280756</v>
      </c>
      <c r="I22" s="10">
        <f>28/I48</f>
        <v>1.4418373126898849</v>
      </c>
      <c r="J22" s="10">
        <f>(78+18)/J48</f>
        <v>1.9047367098318806</v>
      </c>
      <c r="K22" s="10">
        <f>101/K48</f>
        <v>3.2744862406736583</v>
      </c>
      <c r="L22" s="10">
        <f>63.362/L48</f>
        <v>1.040306215151827</v>
      </c>
      <c r="M22" s="20">
        <f>(385-288-7)/M48</f>
        <v>3.264496783866131</v>
      </c>
      <c r="N22" s="10">
        <f>(110)/N48</f>
        <v>2.8822471046517721</v>
      </c>
      <c r="O22" s="10">
        <f>38/O48</f>
        <v>2.433869211554474</v>
      </c>
      <c r="P22" s="10">
        <f>+(403-306-(4.059-2.471))/P48</f>
        <v>2.7903684928836037</v>
      </c>
      <c r="Q22" s="10">
        <f>87/Q48</f>
        <v>1.5227893299726949</v>
      </c>
      <c r="R22" s="10">
        <f>35/R48</f>
        <v>1.2473728249352156</v>
      </c>
      <c r="S22" s="10">
        <f>+(64)/S48</f>
        <v>1.6124562243329721</v>
      </c>
    </row>
    <row r="23" spans="1:20" s="9" customFormat="1">
      <c r="A23" s="133" t="s">
        <v>13</v>
      </c>
      <c r="B23" s="10">
        <f>+(1044-74.062)/B48</f>
        <v>16.542057031107877</v>
      </c>
      <c r="C23" s="20">
        <f>538/C48</f>
        <v>14.503261149027063</v>
      </c>
      <c r="D23" s="20">
        <f>(939+464)/D48/D58</f>
        <v>11.76756513968478</v>
      </c>
      <c r="E23" s="10">
        <f>(383+167)/E48/D58</f>
        <v>9.7933651296249753</v>
      </c>
      <c r="F23" s="10">
        <f>142.482/F48</f>
        <v>7.7156178418450514</v>
      </c>
      <c r="G23" s="10">
        <f>1633/G48</f>
        <v>16.674495068107092</v>
      </c>
      <c r="H23" s="10">
        <f>476.732/H48</f>
        <v>18.056196413586477</v>
      </c>
      <c r="I23" s="10">
        <f>298/I48</f>
        <v>15.34526854219949</v>
      </c>
      <c r="J23" s="10">
        <f>+(389)/J48</f>
        <v>7.7181518762979326</v>
      </c>
      <c r="K23" s="10">
        <f>210/K48</f>
        <v>6.808337728133349</v>
      </c>
      <c r="L23" s="10">
        <f>881.745/L48</f>
        <v>14.476891570326814</v>
      </c>
      <c r="M23" s="20">
        <v>24.79</v>
      </c>
      <c r="N23" s="10">
        <f>583/N48</f>
        <v>15.275909654654392</v>
      </c>
      <c r="O23" s="10">
        <f>127/O48</f>
        <v>8.1342471017741627</v>
      </c>
      <c r="P23" s="10">
        <f>+(499-4.47)/P48</f>
        <v>14.46276077208033</v>
      </c>
      <c r="Q23" s="10">
        <v>15.47</v>
      </c>
      <c r="R23" s="10">
        <f>367/R48</f>
        <v>13.079595050034976</v>
      </c>
      <c r="S23" s="10">
        <f>140/S48</f>
        <v>3.5272479907283767</v>
      </c>
    </row>
    <row r="24" spans="1:20" s="9" customFormat="1">
      <c r="A24" s="133"/>
      <c r="B24" s="10"/>
      <c r="C24" s="20"/>
      <c r="D24" s="20"/>
      <c r="E24" s="10"/>
      <c r="F24" s="10"/>
      <c r="G24" s="10"/>
      <c r="H24" s="10"/>
      <c r="I24" s="10"/>
      <c r="J24" s="10"/>
      <c r="K24" s="10"/>
      <c r="L24" s="10"/>
      <c r="M24" s="20"/>
      <c r="N24" s="10"/>
      <c r="O24" s="10"/>
      <c r="P24" s="10"/>
      <c r="Q24" s="10"/>
      <c r="R24" s="10"/>
      <c r="S24" s="10"/>
    </row>
    <row r="25" spans="1:20" s="9" customFormat="1">
      <c r="A25" s="134" t="s">
        <v>9</v>
      </c>
      <c r="B25" s="8"/>
      <c r="C25" s="19"/>
      <c r="D25" s="19"/>
      <c r="E25" s="8"/>
      <c r="F25" s="8"/>
      <c r="G25" s="8"/>
      <c r="H25" s="8"/>
      <c r="I25" s="8"/>
      <c r="J25" s="8"/>
      <c r="K25" s="8"/>
      <c r="L25" s="8"/>
      <c r="M25" s="19"/>
      <c r="N25" s="8"/>
      <c r="O25" s="8"/>
      <c r="P25" s="8"/>
      <c r="Q25" s="8"/>
      <c r="R25" s="8"/>
      <c r="S25" s="8"/>
    </row>
    <row r="26" spans="1:20" s="9" customFormat="1">
      <c r="A26" s="133" t="s">
        <v>165</v>
      </c>
      <c r="B26" s="10">
        <f>+B18+B20</f>
        <v>10.055740631253411</v>
      </c>
      <c r="C26" s="20">
        <f>+C18+C20</f>
        <v>10.863966994531426</v>
      </c>
      <c r="D26" s="20">
        <f>+D18+D20+D19</f>
        <v>24.868731745663133</v>
      </c>
      <c r="E26" s="20">
        <f>+E18+E20+E19</f>
        <v>13.310768261964736</v>
      </c>
      <c r="F26" s="10">
        <f>+F18+F20</f>
        <v>8.5633599939350304</v>
      </c>
      <c r="G26" s="10">
        <f>+G18+G20</f>
        <v>15.612555394449323</v>
      </c>
      <c r="H26" s="10">
        <f t="shared" ref="H26:S26" si="3">+H18+H20</f>
        <v>5.9913233054965973</v>
      </c>
      <c r="I26" s="10">
        <f>+I18+I20</f>
        <v>8.9599890145728569</v>
      </c>
      <c r="J26" s="10">
        <f t="shared" si="3"/>
        <v>9.1863864234600072</v>
      </c>
      <c r="K26" s="10">
        <f t="shared" si="3"/>
        <v>11.02746098714413</v>
      </c>
      <c r="L26" s="10">
        <f t="shared" si="3"/>
        <v>11.08731772777324</v>
      </c>
      <c r="M26" s="20">
        <f t="shared" si="3"/>
        <v>17.737099192339311</v>
      </c>
      <c r="N26" s="10">
        <f t="shared" si="3"/>
        <v>9.4852131989449227</v>
      </c>
      <c r="O26" s="10">
        <f t="shared" si="3"/>
        <v>9.351181707551401</v>
      </c>
      <c r="P26" s="10">
        <f t="shared" si="3"/>
        <v>8.0425034119711452</v>
      </c>
      <c r="Q26" s="10">
        <f t="shared" si="3"/>
        <v>12.91</v>
      </c>
      <c r="R26" s="10">
        <f t="shared" si="3"/>
        <v>7.6</v>
      </c>
      <c r="S26" s="10">
        <f t="shared" si="3"/>
        <v>5.88</v>
      </c>
    </row>
    <row r="27" spans="1:20" s="9" customFormat="1">
      <c r="A27" s="133" t="s">
        <v>6</v>
      </c>
      <c r="B27" s="10">
        <f t="shared" ref="B27:S29" si="4">+B26+B21</f>
        <v>13.852231899217754</v>
      </c>
      <c r="C27" s="20">
        <f t="shared" si="4"/>
        <v>13.236247628573027</v>
      </c>
      <c r="D27" s="20">
        <f>+D26+D21</f>
        <v>26.386856685280343</v>
      </c>
      <c r="E27" s="10">
        <f t="shared" ref="E27:F29" si="5">+E26+E21</f>
        <v>14.931125037957232</v>
      </c>
      <c r="F27" s="10">
        <f t="shared" si="5"/>
        <v>11.622812955211273</v>
      </c>
      <c r="G27" s="10">
        <f>+G26+G21</f>
        <v>17.021667653725981</v>
      </c>
      <c r="H27" s="10">
        <f t="shared" si="4"/>
        <v>8.3128299443930196</v>
      </c>
      <c r="I27" s="10">
        <f>+I26+I21</f>
        <v>12.255617157864023</v>
      </c>
      <c r="J27" s="10">
        <f t="shared" si="4"/>
        <v>12.995859843123768</v>
      </c>
      <c r="K27" s="10">
        <f t="shared" si="4"/>
        <v>14.626153786300328</v>
      </c>
      <c r="L27" s="10">
        <f t="shared" si="4"/>
        <v>13.008359183280318</v>
      </c>
      <c r="M27" s="20">
        <f t="shared" si="4"/>
        <v>22.089761570827484</v>
      </c>
      <c r="N27" s="10">
        <f t="shared" si="4"/>
        <v>12.131640085943367</v>
      </c>
      <c r="O27" s="10">
        <f t="shared" si="4"/>
        <v>12.489592006661118</v>
      </c>
      <c r="P27" s="10">
        <f t="shared" si="4"/>
        <v>11.168405147202185</v>
      </c>
      <c r="Q27" s="10">
        <f t="shared" si="4"/>
        <v>16.36</v>
      </c>
      <c r="R27" s="10">
        <f t="shared" si="4"/>
        <v>10.451137885566206</v>
      </c>
      <c r="S27" s="10">
        <f t="shared" si="4"/>
        <v>7.2</v>
      </c>
    </row>
    <row r="28" spans="1:20" s="9" customFormat="1">
      <c r="A28" s="133" t="s">
        <v>7</v>
      </c>
      <c r="B28" s="10">
        <f t="shared" si="4"/>
        <v>17.543017782426777</v>
      </c>
      <c r="C28" s="20">
        <f t="shared" si="4"/>
        <v>16.282471624558266</v>
      </c>
      <c r="D28" s="20">
        <f t="shared" si="4"/>
        <v>27.804332457630114</v>
      </c>
      <c r="E28" s="10">
        <f t="shared" si="5"/>
        <v>17.886940695262226</v>
      </c>
      <c r="F28" s="10">
        <f t="shared" si="5"/>
        <v>12.534508060454765</v>
      </c>
      <c r="G28" s="10">
        <f>+G27+G22</f>
        <v>19.32934425225152</v>
      </c>
      <c r="H28" s="10">
        <f t="shared" si="4"/>
        <v>11.184621602321094</v>
      </c>
      <c r="I28" s="10">
        <f>+I27+I22</f>
        <v>13.697454470553907</v>
      </c>
      <c r="J28" s="10">
        <f t="shared" si="4"/>
        <v>14.900596552955648</v>
      </c>
      <c r="K28" s="10">
        <f t="shared" si="4"/>
        <v>17.900640026973988</v>
      </c>
      <c r="L28" s="10">
        <f t="shared" si="4"/>
        <v>14.048665398432144</v>
      </c>
      <c r="M28" s="20">
        <f t="shared" si="4"/>
        <v>25.354258354693616</v>
      </c>
      <c r="N28" s="10">
        <f t="shared" si="4"/>
        <v>15.013887190595138</v>
      </c>
      <c r="O28" s="10">
        <f t="shared" si="4"/>
        <v>14.923461218215593</v>
      </c>
      <c r="P28" s="10">
        <f t="shared" si="4"/>
        <v>13.958773640085788</v>
      </c>
      <c r="Q28" s="10">
        <f t="shared" si="4"/>
        <v>17.882789329972695</v>
      </c>
      <c r="R28" s="10">
        <f t="shared" si="4"/>
        <v>11.698510710501422</v>
      </c>
      <c r="S28" s="10">
        <f t="shared" si="4"/>
        <v>8.8124562243329727</v>
      </c>
      <c r="T28" s="65"/>
    </row>
    <row r="29" spans="1:20" s="9" customFormat="1">
      <c r="A29" s="133" t="s">
        <v>8</v>
      </c>
      <c r="B29" s="10">
        <f t="shared" si="4"/>
        <v>34.085074813534654</v>
      </c>
      <c r="C29" s="20">
        <f t="shared" si="4"/>
        <v>30.78573277358533</v>
      </c>
      <c r="D29" s="20">
        <f t="shared" si="4"/>
        <v>39.571897597314894</v>
      </c>
      <c r="E29" s="10">
        <f t="shared" si="5"/>
        <v>27.680305824887199</v>
      </c>
      <c r="F29" s="10">
        <f t="shared" si="5"/>
        <v>20.250125902299818</v>
      </c>
      <c r="G29" s="10">
        <f>+G28+G23</f>
        <v>36.003839320358608</v>
      </c>
      <c r="H29" s="10">
        <f t="shared" si="4"/>
        <v>29.240818015907571</v>
      </c>
      <c r="I29" s="10">
        <f>+I28+I23</f>
        <v>29.042723012753399</v>
      </c>
      <c r="J29" s="10">
        <f t="shared" si="4"/>
        <v>22.618748429253579</v>
      </c>
      <c r="K29" s="10">
        <f t="shared" si="4"/>
        <v>24.708977755107338</v>
      </c>
      <c r="L29" s="10">
        <f t="shared" si="4"/>
        <v>28.525556968758956</v>
      </c>
      <c r="M29" s="20">
        <f t="shared" si="4"/>
        <v>50.144258354693619</v>
      </c>
      <c r="N29" s="10">
        <f t="shared" si="4"/>
        <v>30.28979684524953</v>
      </c>
      <c r="O29" s="10">
        <f t="shared" si="4"/>
        <v>23.057708319989757</v>
      </c>
      <c r="P29" s="10">
        <f t="shared" si="4"/>
        <v>28.421534412166118</v>
      </c>
      <c r="Q29" s="10">
        <f t="shared" si="4"/>
        <v>33.352789329972694</v>
      </c>
      <c r="R29" s="10">
        <f t="shared" si="4"/>
        <v>24.778105760536398</v>
      </c>
      <c r="S29" s="10">
        <f t="shared" si="4"/>
        <v>12.339704215061349</v>
      </c>
      <c r="T29" s="65"/>
    </row>
    <row r="30" spans="1:20" s="9" customFormat="1">
      <c r="A30" s="134"/>
      <c r="B30" s="10"/>
      <c r="C30" s="20"/>
      <c r="D30" s="20"/>
      <c r="E30" s="10"/>
      <c r="F30" s="10"/>
      <c r="G30" s="10"/>
      <c r="H30" s="10"/>
      <c r="I30" s="10"/>
      <c r="J30" s="10"/>
      <c r="K30" s="10"/>
      <c r="L30" s="10"/>
      <c r="M30" s="20"/>
      <c r="N30" s="10"/>
      <c r="O30" s="10"/>
      <c r="P30" s="10"/>
      <c r="Q30" s="10"/>
      <c r="R30" s="10"/>
      <c r="S30" s="10"/>
    </row>
    <row r="31" spans="1:20" s="9" customFormat="1">
      <c r="A31" s="133" t="s">
        <v>14</v>
      </c>
      <c r="B31" s="10"/>
      <c r="C31" s="20"/>
      <c r="D31" s="20"/>
      <c r="E31" s="10"/>
      <c r="F31" s="10"/>
      <c r="G31" s="10"/>
      <c r="H31" s="10"/>
      <c r="I31" s="10"/>
      <c r="J31" s="10"/>
      <c r="K31" s="10"/>
      <c r="L31" s="10"/>
      <c r="M31" s="20"/>
      <c r="N31" s="10"/>
      <c r="O31" s="10"/>
      <c r="P31" s="10"/>
      <c r="Q31" s="10"/>
      <c r="R31" s="10"/>
      <c r="S31" s="10"/>
    </row>
    <row r="32" spans="1:20" s="9" customFormat="1">
      <c r="A32" s="133" t="s">
        <v>67</v>
      </c>
      <c r="B32" s="10">
        <f t="shared" ref="B32:S35" si="6">+B$15-B26</f>
        <v>31.881907176641807</v>
      </c>
      <c r="C32" s="20">
        <f t="shared" si="6"/>
        <v>29.141310970442859</v>
      </c>
      <c r="D32" s="20">
        <f t="shared" si="6"/>
        <v>19.702074492601241</v>
      </c>
      <c r="E32" s="10">
        <f t="shared" si="6"/>
        <v>17.616498740554157</v>
      </c>
      <c r="F32" s="10">
        <f t="shared" si="6"/>
        <v>20.646731684599846</v>
      </c>
      <c r="G32" s="10">
        <f>+G$15-G26</f>
        <v>30.440164192211085</v>
      </c>
      <c r="H32" s="10">
        <f t="shared" si="6"/>
        <v>32.278676694503403</v>
      </c>
      <c r="I32" s="10">
        <f>+I$15-I26</f>
        <v>31.220010985427145</v>
      </c>
      <c r="J32" s="10">
        <f t="shared" si="6"/>
        <v>18.403613576539993</v>
      </c>
      <c r="K32" s="10">
        <f t="shared" si="6"/>
        <v>17.75253901285587</v>
      </c>
      <c r="L32" s="10">
        <f t="shared" si="6"/>
        <v>28.736714732609023</v>
      </c>
      <c r="M32" s="20">
        <f t="shared" si="6"/>
        <v>23.978384678628426</v>
      </c>
      <c r="N32" s="10">
        <f t="shared" si="6"/>
        <v>25.520987999371147</v>
      </c>
      <c r="O32" s="10">
        <f t="shared" si="6"/>
        <v>23.249855889322998</v>
      </c>
      <c r="P32" s="10">
        <f t="shared" si="6"/>
        <v>25.355819847923577</v>
      </c>
      <c r="Q32" s="10">
        <f>+Q$15-Q26</f>
        <v>27.21869565217391</v>
      </c>
      <c r="R32" s="10">
        <f t="shared" si="6"/>
        <v>31.08</v>
      </c>
      <c r="S32" s="10">
        <f t="shared" si="6"/>
        <v>7.2661736917689135</v>
      </c>
    </row>
    <row r="33" spans="1:19" s="9" customFormat="1">
      <c r="A33" s="133" t="s">
        <v>68</v>
      </c>
      <c r="B33" s="10">
        <f t="shared" si="6"/>
        <v>28.085415908677462</v>
      </c>
      <c r="C33" s="20">
        <f t="shared" si="6"/>
        <v>26.769030336401258</v>
      </c>
      <c r="D33" s="20">
        <f t="shared" si="6"/>
        <v>18.183949552984032</v>
      </c>
      <c r="E33" s="10">
        <f t="shared" si="6"/>
        <v>15.99614196456166</v>
      </c>
      <c r="F33" s="10">
        <f t="shared" si="6"/>
        <v>17.587278723323603</v>
      </c>
      <c r="G33" s="10">
        <f>+G$15-G27</f>
        <v>29.031051932934428</v>
      </c>
      <c r="H33" s="10">
        <f t="shared" si="6"/>
        <v>29.957170055606984</v>
      </c>
      <c r="I33" s="10">
        <f>+I$15-I27</f>
        <v>27.924382842135977</v>
      </c>
      <c r="J33" s="10">
        <f t="shared" si="6"/>
        <v>14.594140156876232</v>
      </c>
      <c r="K33" s="10">
        <f t="shared" si="6"/>
        <v>14.153846213699673</v>
      </c>
      <c r="L33" s="10">
        <f t="shared" si="6"/>
        <v>26.815673277101943</v>
      </c>
      <c r="M33" s="20">
        <f t="shared" si="6"/>
        <v>19.625722300140254</v>
      </c>
      <c r="N33" s="10">
        <f t="shared" si="6"/>
        <v>22.874561112372703</v>
      </c>
      <c r="O33" s="10">
        <f t="shared" si="6"/>
        <v>20.111445590213279</v>
      </c>
      <c r="P33" s="10">
        <f t="shared" si="6"/>
        <v>22.229918112692538</v>
      </c>
      <c r="Q33" s="10">
        <f t="shared" si="6"/>
        <v>23.768695652173911</v>
      </c>
      <c r="R33" s="10">
        <f t="shared" si="6"/>
        <v>28.228862114433795</v>
      </c>
      <c r="S33" s="10">
        <f t="shared" si="6"/>
        <v>5.9461736917689132</v>
      </c>
    </row>
    <row r="34" spans="1:19" s="9" customFormat="1">
      <c r="A34" s="133" t="s">
        <v>69</v>
      </c>
      <c r="B34" s="10">
        <f t="shared" si="6"/>
        <v>24.394630025468441</v>
      </c>
      <c r="C34" s="20">
        <f t="shared" si="6"/>
        <v>23.722806340416017</v>
      </c>
      <c r="D34" s="20">
        <f t="shared" si="6"/>
        <v>16.766473780634261</v>
      </c>
      <c r="E34" s="10">
        <f t="shared" si="6"/>
        <v>13.040326307256667</v>
      </c>
      <c r="F34" s="10">
        <f>+F$15-F28</f>
        <v>16.675583618080111</v>
      </c>
      <c r="G34" s="10">
        <f>+G$15-G28</f>
        <v>26.723375334408889</v>
      </c>
      <c r="H34" s="10">
        <f t="shared" si="6"/>
        <v>27.085378397678909</v>
      </c>
      <c r="I34" s="10">
        <f>+I$15-I28</f>
        <v>26.482545529446092</v>
      </c>
      <c r="J34" s="10">
        <f t="shared" si="6"/>
        <v>12.689403447044352</v>
      </c>
      <c r="K34" s="10">
        <f t="shared" si="6"/>
        <v>10.879359973026013</v>
      </c>
      <c r="L34" s="10">
        <f t="shared" si="6"/>
        <v>25.775367061950121</v>
      </c>
      <c r="M34" s="20">
        <f t="shared" si="6"/>
        <v>16.361225516274121</v>
      </c>
      <c r="N34" s="10">
        <f t="shared" si="6"/>
        <v>19.992314007720932</v>
      </c>
      <c r="O34" s="10">
        <f t="shared" si="6"/>
        <v>17.677576378658806</v>
      </c>
      <c r="P34" s="10">
        <f t="shared" si="6"/>
        <v>19.439549619808936</v>
      </c>
      <c r="Q34" s="10">
        <f t="shared" si="6"/>
        <v>22.245906322201215</v>
      </c>
      <c r="R34" s="10">
        <f t="shared" si="6"/>
        <v>26.981489289498576</v>
      </c>
      <c r="S34" s="10">
        <f t="shared" si="6"/>
        <v>4.3337174674359407</v>
      </c>
    </row>
    <row r="35" spans="1:19" s="9" customFormat="1">
      <c r="A35" s="133" t="s">
        <v>70</v>
      </c>
      <c r="B35" s="10">
        <f t="shared" si="6"/>
        <v>7.852572994360564</v>
      </c>
      <c r="C35" s="20">
        <f t="shared" si="6"/>
        <v>9.2195451913889528</v>
      </c>
      <c r="D35" s="20">
        <f t="shared" si="6"/>
        <v>4.9989086409494803</v>
      </c>
      <c r="E35" s="10">
        <f t="shared" si="6"/>
        <v>3.2469611776316931</v>
      </c>
      <c r="F35" s="10">
        <f t="shared" si="6"/>
        <v>8.9599657762350589</v>
      </c>
      <c r="G35" s="10">
        <f>+G$15-G29</f>
        <v>10.048880266301801</v>
      </c>
      <c r="H35" s="10">
        <f t="shared" si="6"/>
        <v>9.0291819840924319</v>
      </c>
      <c r="I35" s="10">
        <f>+I$15-I29</f>
        <v>11.137276987246601</v>
      </c>
      <c r="J35" s="10">
        <f t="shared" si="6"/>
        <v>4.9712515707464213</v>
      </c>
      <c r="K35" s="10">
        <f t="shared" si="6"/>
        <v>4.0710222448926636</v>
      </c>
      <c r="L35" s="10">
        <f t="shared" si="6"/>
        <v>11.298475491623307</v>
      </c>
      <c r="M35" s="20">
        <f t="shared" si="6"/>
        <v>-8.4287744837258813</v>
      </c>
      <c r="N35" s="10">
        <f t="shared" si="6"/>
        <v>4.7164043530665403</v>
      </c>
      <c r="O35" s="10">
        <f t="shared" si="6"/>
        <v>9.5433292768846414</v>
      </c>
      <c r="P35" s="10">
        <f t="shared" si="6"/>
        <v>4.9767888477286064</v>
      </c>
      <c r="Q35" s="10">
        <f t="shared" si="6"/>
        <v>6.7759063222012159</v>
      </c>
      <c r="R35" s="10">
        <f t="shared" si="6"/>
        <v>13.901894239463601</v>
      </c>
      <c r="S35" s="10">
        <f t="shared" si="6"/>
        <v>0.80646947670756397</v>
      </c>
    </row>
    <row r="36" spans="1:19" s="9" customFormat="1">
      <c r="A36" s="133" t="s">
        <v>112</v>
      </c>
      <c r="B36" s="10">
        <f>+B15-B18-B19-B20-B21</f>
        <v>28.085415908677458</v>
      </c>
      <c r="C36" s="20">
        <f t="shared" ref="C36:S36" si="7">+C15-C18-C19-C20-C21</f>
        <v>26.769030336401258</v>
      </c>
      <c r="D36" s="20">
        <f t="shared" si="7"/>
        <v>18.183949552984032</v>
      </c>
      <c r="E36" s="10">
        <f t="shared" si="7"/>
        <v>15.99614196456166</v>
      </c>
      <c r="F36" s="10">
        <f t="shared" si="7"/>
        <v>17.587278723323603</v>
      </c>
      <c r="G36" s="10">
        <f>+G15-G18-G19-G20-G21</f>
        <v>29.031051932934432</v>
      </c>
      <c r="H36" s="10">
        <f t="shared" si="7"/>
        <v>29.95717005560698</v>
      </c>
      <c r="I36" s="10">
        <f>+I15-I18-I19-I20-I21</f>
        <v>27.92438284213598</v>
      </c>
      <c r="J36" s="10">
        <f t="shared" si="7"/>
        <v>14.594140156876232</v>
      </c>
      <c r="K36" s="10">
        <f t="shared" si="7"/>
        <v>14.153846213699671</v>
      </c>
      <c r="L36" s="10">
        <f t="shared" si="7"/>
        <v>26.815673277101947</v>
      </c>
      <c r="M36" s="20">
        <f>+M15-M18-M19-M20-M21</f>
        <v>19.625722300140254</v>
      </c>
      <c r="N36" s="10">
        <f t="shared" si="7"/>
        <v>22.874561112372703</v>
      </c>
      <c r="O36" s="10">
        <f t="shared" si="7"/>
        <v>20.111445590213282</v>
      </c>
      <c r="P36" s="10">
        <f t="shared" si="7"/>
        <v>22.229918112692541</v>
      </c>
      <c r="Q36" s="10">
        <f t="shared" si="7"/>
        <v>23.768695652173914</v>
      </c>
      <c r="R36" s="10">
        <f t="shared" si="7"/>
        <v>28.228862114433795</v>
      </c>
      <c r="S36" s="10">
        <f t="shared" si="7"/>
        <v>5.9461736917689132</v>
      </c>
    </row>
    <row r="37" spans="1:19" s="9" customFormat="1">
      <c r="A37" s="133" t="s">
        <v>105</v>
      </c>
      <c r="B37" s="31">
        <f>+(B34+B22)/B22</f>
        <v>7.609603156999742</v>
      </c>
      <c r="C37" s="136">
        <f t="shared" ref="C37:S37" si="8">+(C34+C22)/C22</f>
        <v>8.787610619469028</v>
      </c>
      <c r="D37" s="136">
        <f t="shared" si="8"/>
        <v>12.828402366863902</v>
      </c>
      <c r="E37" s="31">
        <f t="shared" si="8"/>
        <v>5.4117522265060236</v>
      </c>
      <c r="F37" s="31">
        <f t="shared" si="8"/>
        <v>19.290746020432408</v>
      </c>
      <c r="G37" s="31">
        <f>+(G34+G22)/G22</f>
        <v>12.580208141592919</v>
      </c>
      <c r="H37" s="31">
        <f t="shared" si="8"/>
        <v>10.43152624700509</v>
      </c>
      <c r="I37" s="31">
        <f>+(I34+I22)/I22</f>
        <v>19.367221666666662</v>
      </c>
      <c r="J37" s="31">
        <f t="shared" si="8"/>
        <v>7.6620249305555559</v>
      </c>
      <c r="K37" s="31">
        <f t="shared" si="8"/>
        <v>4.3224631815181507</v>
      </c>
      <c r="L37" s="31">
        <f t="shared" si="8"/>
        <v>25.776711593699694</v>
      </c>
      <c r="M37" s="136">
        <f>+(M34+M22)/M22</f>
        <v>6.0118675555555567</v>
      </c>
      <c r="N37" s="31">
        <f t="shared" si="8"/>
        <v>7.9363636363636374</v>
      </c>
      <c r="O37" s="31">
        <f t="shared" si="8"/>
        <v>8.2631578947368389</v>
      </c>
      <c r="P37" s="31">
        <f t="shared" si="8"/>
        <v>7.9666603781495002</v>
      </c>
      <c r="Q37" s="31">
        <f t="shared" si="8"/>
        <v>15.608656551724135</v>
      </c>
      <c r="R37" s="31">
        <f>+(R34+R22)/R22</f>
        <v>22.630653442285713</v>
      </c>
      <c r="S37" s="31">
        <f t="shared" si="8"/>
        <v>3.6876496874999987</v>
      </c>
    </row>
    <row r="38" spans="1:19" s="9" customFormat="1">
      <c r="A38" s="134"/>
      <c r="B38" s="8"/>
      <c r="C38" s="19"/>
      <c r="D38" s="19"/>
      <c r="E38" s="8"/>
      <c r="F38" s="8"/>
      <c r="G38" s="19"/>
      <c r="H38" s="19"/>
      <c r="I38" s="19"/>
      <c r="J38" s="19"/>
      <c r="K38" s="19"/>
      <c r="L38" s="19"/>
      <c r="M38" s="19"/>
      <c r="N38" s="19"/>
      <c r="O38" s="19"/>
      <c r="P38" s="19"/>
      <c r="Q38" s="19"/>
      <c r="R38" s="19"/>
      <c r="S38" s="19"/>
    </row>
    <row r="39" spans="1:19" s="9" customFormat="1">
      <c r="A39" s="133" t="s">
        <v>53</v>
      </c>
      <c r="B39" s="8"/>
      <c r="C39" s="19"/>
      <c r="D39" s="19"/>
      <c r="E39" s="8"/>
      <c r="F39" s="8"/>
      <c r="G39" s="8"/>
      <c r="H39" s="8"/>
      <c r="I39" s="8"/>
      <c r="J39" s="8"/>
      <c r="K39" s="8"/>
      <c r="L39" s="8"/>
      <c r="M39" s="19"/>
      <c r="N39" s="8"/>
      <c r="O39" s="8"/>
      <c r="P39" s="8"/>
      <c r="Q39" s="8"/>
      <c r="R39" s="8"/>
      <c r="S39" s="8"/>
    </row>
    <row r="40" spans="1:19" s="9" customFormat="1">
      <c r="A40" s="133" t="s">
        <v>54</v>
      </c>
      <c r="B40" s="12">
        <f t="shared" ref="B40:S41" si="9">+B44/B$47*100</f>
        <v>57.5836820083682</v>
      </c>
      <c r="C40" s="21">
        <f t="shared" si="9"/>
        <v>54.214990951726286</v>
      </c>
      <c r="D40" s="21">
        <f t="shared" si="9"/>
        <v>72.943829036368982</v>
      </c>
      <c r="E40" s="12">
        <f t="shared" si="9"/>
        <v>76.461468023558297</v>
      </c>
      <c r="F40" s="12">
        <f t="shared" si="9"/>
        <v>30.773944451363803</v>
      </c>
      <c r="G40" s="12">
        <f>+G44/G$47*100</f>
        <v>63.410051667449508</v>
      </c>
      <c r="H40" s="12">
        <f t="shared" si="9"/>
        <v>58.562506606020968</v>
      </c>
      <c r="I40" s="12">
        <f>+I44/I$47*100</f>
        <v>61.509830240821159</v>
      </c>
      <c r="J40" s="12">
        <f t="shared" si="9"/>
        <v>44.904167934286583</v>
      </c>
      <c r="K40" s="12">
        <f t="shared" si="9"/>
        <v>25.352952873334662</v>
      </c>
      <c r="L40" s="12">
        <f t="shared" si="9"/>
        <v>55.601429938069579</v>
      </c>
      <c r="M40" s="21">
        <f t="shared" si="9"/>
        <v>55.394883203559509</v>
      </c>
      <c r="N40" s="12">
        <f t="shared" si="9"/>
        <v>50.140618722378463</v>
      </c>
      <c r="O40" s="12">
        <f t="shared" si="9"/>
        <v>39.55037468776019</v>
      </c>
      <c r="P40" s="12">
        <f t="shared" si="9"/>
        <v>37.399103139013455</v>
      </c>
      <c r="Q40" s="12">
        <f t="shared" si="9"/>
        <v>63.768115942028977</v>
      </c>
      <c r="R40" s="12">
        <f t="shared" si="9"/>
        <v>58.93232156587154</v>
      </c>
      <c r="S40" s="12">
        <f t="shared" si="9"/>
        <v>1.4612884533017558</v>
      </c>
    </row>
    <row r="41" spans="1:19" s="9" customFormat="1">
      <c r="A41" s="133" t="s">
        <v>55</v>
      </c>
      <c r="B41" s="12">
        <f t="shared" si="9"/>
        <v>14.59205020920502</v>
      </c>
      <c r="C41" s="21">
        <f t="shared" si="9"/>
        <v>13.011161328777643</v>
      </c>
      <c r="D41" s="21">
        <f t="shared" si="9"/>
        <v>0</v>
      </c>
      <c r="E41" s="12">
        <f t="shared" si="9"/>
        <v>5.6408815633389526</v>
      </c>
      <c r="F41" s="12">
        <f t="shared" si="9"/>
        <v>24.886785402914434</v>
      </c>
      <c r="G41" s="12">
        <f>+G45/G$47*100</f>
        <v>7.8910286519492718</v>
      </c>
      <c r="H41" s="12">
        <f t="shared" si="9"/>
        <v>0</v>
      </c>
      <c r="I41" s="12">
        <f>+I45/I$47*100</f>
        <v>0</v>
      </c>
      <c r="J41" s="12">
        <f t="shared" si="9"/>
        <v>19.348950410708852</v>
      </c>
      <c r="K41" s="12">
        <f t="shared" si="9"/>
        <v>20.163054285146149</v>
      </c>
      <c r="L41" s="12">
        <f t="shared" si="9"/>
        <v>15.195609485927191</v>
      </c>
      <c r="M41" s="21">
        <f t="shared" si="9"/>
        <v>13.681868743047831</v>
      </c>
      <c r="N41" s="12">
        <f t="shared" si="9"/>
        <v>14.945761349939735</v>
      </c>
      <c r="O41" s="12">
        <f t="shared" si="9"/>
        <v>21.37961954781272</v>
      </c>
      <c r="P41" s="12">
        <f t="shared" si="9"/>
        <v>17.219730941704036</v>
      </c>
      <c r="Q41" s="12">
        <f t="shared" si="9"/>
        <v>14.492753623188406</v>
      </c>
      <c r="R41" s="12">
        <f t="shared" si="9"/>
        <v>20.458126062538902</v>
      </c>
      <c r="S41" s="12">
        <f t="shared" si="9"/>
        <v>10.357511778488824</v>
      </c>
    </row>
    <row r="42" spans="1:19" s="9" customFormat="1">
      <c r="A42" s="133" t="s">
        <v>56</v>
      </c>
      <c r="B42" s="12">
        <f t="shared" ref="B42:S42" si="10">+(B46/6)/B$47*100</f>
        <v>27.824267782426777</v>
      </c>
      <c r="C42" s="21">
        <f t="shared" si="10"/>
        <v>32.773847719496075</v>
      </c>
      <c r="D42" s="21">
        <f t="shared" si="10"/>
        <v>27.056170963631015</v>
      </c>
      <c r="E42" s="12">
        <f t="shared" si="10"/>
        <v>17.897650413102745</v>
      </c>
      <c r="F42" s="12">
        <f t="shared" si="10"/>
        <v>44.339270145721763</v>
      </c>
      <c r="G42" s="12">
        <f>+(G46/6)/G$47*100</f>
        <v>28.698919680601222</v>
      </c>
      <c r="H42" s="12">
        <f t="shared" si="10"/>
        <v>41.437493393979025</v>
      </c>
      <c r="I42" s="12">
        <f>+(I46/6)/I$47*100</f>
        <v>38.490169759178841</v>
      </c>
      <c r="J42" s="12">
        <f t="shared" si="10"/>
        <v>35.746881655004564</v>
      </c>
      <c r="K42" s="12">
        <f t="shared" si="10"/>
        <v>54.483992841519189</v>
      </c>
      <c r="L42" s="12">
        <f t="shared" si="10"/>
        <v>29.202960576003218</v>
      </c>
      <c r="M42" s="21">
        <f t="shared" si="10"/>
        <v>30.923248053392662</v>
      </c>
      <c r="N42" s="12">
        <f t="shared" si="10"/>
        <v>34.9136199276818</v>
      </c>
      <c r="O42" s="12">
        <f t="shared" si="10"/>
        <v>39.07000576442708</v>
      </c>
      <c r="P42" s="12">
        <f t="shared" si="10"/>
        <v>45.381165919282509</v>
      </c>
      <c r="Q42" s="12">
        <f t="shared" si="10"/>
        <v>21.739130434782609</v>
      </c>
      <c r="R42" s="12">
        <f t="shared" si="10"/>
        <v>20.609552371589562</v>
      </c>
      <c r="S42" s="12">
        <f t="shared" si="10"/>
        <v>88.18119976820941</v>
      </c>
    </row>
    <row r="43" spans="1:19" s="9" customFormat="1">
      <c r="A43" s="133"/>
      <c r="B43" s="12"/>
      <c r="C43" s="21"/>
      <c r="D43" s="21"/>
      <c r="E43" s="12"/>
      <c r="F43" s="12"/>
      <c r="G43" s="12"/>
      <c r="H43" s="12"/>
      <c r="I43" s="12"/>
      <c r="J43" s="12"/>
      <c r="K43" s="12"/>
      <c r="L43" s="12"/>
      <c r="M43" s="21"/>
      <c r="N43" s="12"/>
      <c r="O43" s="12"/>
      <c r="P43" s="12"/>
      <c r="Q43" s="12"/>
      <c r="R43" s="12"/>
      <c r="S43" s="12"/>
    </row>
    <row r="44" spans="1:19" s="9" customFormat="1">
      <c r="A44" s="133" t="s">
        <v>62</v>
      </c>
      <c r="B44" s="12">
        <v>367</v>
      </c>
      <c r="C44" s="21">
        <f>242.58-23.981</f>
        <v>218.59900000000002</v>
      </c>
      <c r="D44" s="21">
        <f>744.1</f>
        <v>744.1</v>
      </c>
      <c r="E44" s="12">
        <f>361.363+6.042</f>
        <v>367.40499999999997</v>
      </c>
      <c r="F44" s="12">
        <v>61.771000000000001</v>
      </c>
      <c r="G44" s="12">
        <f>608+67</f>
        <v>675</v>
      </c>
      <c r="H44" s="12">
        <v>168.066</v>
      </c>
      <c r="I44" s="12">
        <v>129.83699999999999</v>
      </c>
      <c r="J44" s="12">
        <v>246</v>
      </c>
      <c r="K44" s="12">
        <v>85</v>
      </c>
      <c r="L44" s="12">
        <v>368.1</v>
      </c>
      <c r="M44" s="21">
        <v>166</v>
      </c>
      <c r="N44" s="12">
        <f>150+58</f>
        <v>208</v>
      </c>
      <c r="O44" s="12">
        <v>67.119565217391298</v>
      </c>
      <c r="P44" s="12">
        <f>141-2</f>
        <v>139</v>
      </c>
      <c r="Q44" s="12">
        <f>214+32+150</f>
        <v>396</v>
      </c>
      <c r="R44" s="12">
        <v>179.73699999999999</v>
      </c>
      <c r="S44" s="12">
        <v>6.3043478260869561</v>
      </c>
    </row>
    <row r="45" spans="1:19" s="9" customFormat="1">
      <c r="A45" s="133" t="s">
        <v>63</v>
      </c>
      <c r="B45" s="12">
        <v>93</v>
      </c>
      <c r="C45" s="21">
        <v>52.462000000000003</v>
      </c>
      <c r="D45" s="21"/>
      <c r="E45" s="12">
        <v>27.105</v>
      </c>
      <c r="F45" s="12">
        <v>49.954000000000001</v>
      </c>
      <c r="G45" s="12">
        <v>84</v>
      </c>
      <c r="H45" s="12"/>
      <c r="I45" s="12"/>
      <c r="J45" s="12">
        <v>106</v>
      </c>
      <c r="K45" s="12">
        <f>33.7+33.9</f>
        <v>67.599999999999994</v>
      </c>
      <c r="L45" s="12">
        <v>100.6</v>
      </c>
      <c r="M45" s="21">
        <v>41</v>
      </c>
      <c r="N45" s="12">
        <f>49+13</f>
        <v>62</v>
      </c>
      <c r="O45" s="12">
        <v>36.282608695652172</v>
      </c>
      <c r="P45" s="12">
        <f>70-6</f>
        <v>64</v>
      </c>
      <c r="Q45" s="12">
        <f>58+32</f>
        <v>90</v>
      </c>
      <c r="R45" s="12">
        <v>62.395000000000003</v>
      </c>
      <c r="S45" s="12">
        <v>44.684782608695649</v>
      </c>
    </row>
    <row r="46" spans="1:19" s="9" customFormat="1">
      <c r="A46" s="133" t="s">
        <v>64</v>
      </c>
      <c r="B46" s="12">
        <v>1064</v>
      </c>
      <c r="C46" s="21">
        <f>870.956-78.076</f>
        <v>792.88</v>
      </c>
      <c r="D46" s="21">
        <v>1656</v>
      </c>
      <c r="E46" s="12">
        <v>516</v>
      </c>
      <c r="F46" s="12">
        <v>534</v>
      </c>
      <c r="G46" s="12">
        <v>1833</v>
      </c>
      <c r="H46" s="12">
        <v>713.51800000000003</v>
      </c>
      <c r="I46" s="12">
        <v>487.47800000000001</v>
      </c>
      <c r="J46" s="12">
        <v>1175</v>
      </c>
      <c r="K46" s="12">
        <v>1096</v>
      </c>
      <c r="L46" s="12">
        <v>1160</v>
      </c>
      <c r="M46" s="21">
        <v>556</v>
      </c>
      <c r="N46" s="12">
        <f>376+493</f>
        <v>869</v>
      </c>
      <c r="O46" s="12">
        <f>+(36.6*1000)/92</f>
        <v>397.82608695652175</v>
      </c>
      <c r="P46" s="12">
        <v>1012</v>
      </c>
      <c r="Q46" s="12">
        <f>279+7+524</f>
        <v>810</v>
      </c>
      <c r="R46" s="12">
        <v>377.14100000000002</v>
      </c>
      <c r="S46" s="12">
        <f>210/0.092</f>
        <v>2282.608695652174</v>
      </c>
    </row>
    <row r="47" spans="1:19" s="9" customFormat="1">
      <c r="A47" s="133" t="s">
        <v>65</v>
      </c>
      <c r="B47" s="12">
        <f t="shared" ref="B47:S47" si="11">+B44+B45+B46/6</f>
        <v>637.33333333333337</v>
      </c>
      <c r="C47" s="21">
        <f t="shared" si="11"/>
        <v>403.20766666666668</v>
      </c>
      <c r="D47" s="21">
        <f t="shared" si="11"/>
        <v>1020.1</v>
      </c>
      <c r="E47" s="12">
        <f t="shared" si="11"/>
        <v>480.51</v>
      </c>
      <c r="F47" s="12">
        <f t="shared" si="11"/>
        <v>200.72499999999999</v>
      </c>
      <c r="G47" s="12">
        <f>+G44+G45+G46/6</f>
        <v>1064.5</v>
      </c>
      <c r="H47" s="12">
        <f t="shared" si="11"/>
        <v>286.9856666666667</v>
      </c>
      <c r="I47" s="12">
        <f>+I44+I45+I46/6</f>
        <v>211.08333333333331</v>
      </c>
      <c r="J47" s="12">
        <f t="shared" si="11"/>
        <v>547.83333333333337</v>
      </c>
      <c r="K47" s="12">
        <f t="shared" si="11"/>
        <v>335.26666666666665</v>
      </c>
      <c r="L47" s="12">
        <f t="shared" si="11"/>
        <v>662.03333333333342</v>
      </c>
      <c r="M47" s="21">
        <f t="shared" si="11"/>
        <v>299.66666666666669</v>
      </c>
      <c r="N47" s="12">
        <f t="shared" si="11"/>
        <v>414.83333333333337</v>
      </c>
      <c r="O47" s="12">
        <f t="shared" si="11"/>
        <v>169.70652173913044</v>
      </c>
      <c r="P47" s="12">
        <f t="shared" si="11"/>
        <v>371.66666666666663</v>
      </c>
      <c r="Q47" s="12">
        <f t="shared" si="11"/>
        <v>621</v>
      </c>
      <c r="R47" s="12">
        <f t="shared" si="11"/>
        <v>304.98883333333333</v>
      </c>
      <c r="S47" s="12">
        <f t="shared" si="11"/>
        <v>431.42391304347831</v>
      </c>
    </row>
    <row r="48" spans="1:19" s="9" customFormat="1">
      <c r="A48" s="133" t="s">
        <v>66</v>
      </c>
      <c r="B48" s="12">
        <f>+B47*0.092</f>
        <v>58.634666666666668</v>
      </c>
      <c r="C48" s="21">
        <f t="shared" ref="C48:S48" si="12">+C47*0.092</f>
        <v>37.095105333333336</v>
      </c>
      <c r="D48" s="21">
        <f t="shared" si="12"/>
        <v>93.849199999999996</v>
      </c>
      <c r="E48" s="12">
        <f t="shared" si="12"/>
        <v>44.206919999999997</v>
      </c>
      <c r="F48" s="12">
        <f t="shared" si="12"/>
        <v>18.466699999999999</v>
      </c>
      <c r="G48" s="12">
        <f t="shared" si="12"/>
        <v>97.933999999999997</v>
      </c>
      <c r="H48" s="12">
        <f t="shared" si="12"/>
        <v>26.402681333333337</v>
      </c>
      <c r="I48" s="12">
        <f t="shared" si="12"/>
        <v>19.419666666666664</v>
      </c>
      <c r="J48" s="12">
        <f t="shared" si="12"/>
        <v>50.400666666666666</v>
      </c>
      <c r="K48" s="12">
        <f t="shared" si="12"/>
        <v>30.844533333333331</v>
      </c>
      <c r="L48" s="12">
        <f t="shared" si="12"/>
        <v>60.907066666666672</v>
      </c>
      <c r="M48" s="21">
        <f t="shared" si="12"/>
        <v>27.569333333333336</v>
      </c>
      <c r="N48" s="12">
        <f t="shared" si="12"/>
        <v>38.164666666666669</v>
      </c>
      <c r="O48" s="12">
        <f t="shared" si="12"/>
        <v>15.613</v>
      </c>
      <c r="P48" s="12">
        <f t="shared" si="12"/>
        <v>34.193333333333328</v>
      </c>
      <c r="Q48" s="12">
        <f t="shared" si="12"/>
        <v>57.131999999999998</v>
      </c>
      <c r="R48" s="12">
        <f t="shared" si="12"/>
        <v>28.058972666666666</v>
      </c>
      <c r="S48" s="12">
        <f t="shared" si="12"/>
        <v>39.691000000000003</v>
      </c>
    </row>
    <row r="49" spans="1:19" s="9" customFormat="1">
      <c r="A49" s="133"/>
      <c r="B49" s="12"/>
      <c r="C49" s="21"/>
      <c r="D49" s="21"/>
      <c r="E49" s="12"/>
      <c r="F49" s="12"/>
      <c r="G49" s="12"/>
      <c r="H49" s="12" t="s">
        <v>131</v>
      </c>
      <c r="I49" s="12" t="s">
        <v>131</v>
      </c>
      <c r="J49" s="12"/>
      <c r="K49" s="12"/>
      <c r="L49" s="12"/>
      <c r="M49" s="21"/>
      <c r="N49" s="12"/>
      <c r="O49" s="12"/>
      <c r="P49" s="12"/>
      <c r="Q49" s="12"/>
      <c r="R49" s="12"/>
      <c r="S49" s="12"/>
    </row>
    <row r="50" spans="1:19" s="9" customFormat="1">
      <c r="A50" s="133" t="s">
        <v>106</v>
      </c>
      <c r="B50" s="12">
        <f>+B36*B48*4</f>
        <v>6587.116</v>
      </c>
      <c r="C50" s="21">
        <f t="shared" ref="C50:S50" si="13">+C36*C48*4</f>
        <v>3972.0000000000009</v>
      </c>
      <c r="D50" s="21">
        <f>+D36*D48*4</f>
        <v>6826.1964735516358</v>
      </c>
      <c r="E50" s="12">
        <f>+E36*E48*4</f>
        <v>2828.5606725440803</v>
      </c>
      <c r="F50" s="12">
        <f>+F36*F48*4</f>
        <v>1299.116</v>
      </c>
      <c r="G50" s="12">
        <f>+G36*G48*4</f>
        <v>11372.508160000003</v>
      </c>
      <c r="H50" s="12">
        <f t="shared" si="13"/>
        <v>3163.7984585066674</v>
      </c>
      <c r="I50" s="12">
        <f>+I36*I48*4</f>
        <v>2169.1288266666666</v>
      </c>
      <c r="J50" s="12">
        <f t="shared" si="13"/>
        <v>2942.2175733333333</v>
      </c>
      <c r="K50" s="12">
        <f t="shared" si="13"/>
        <v>1746.2751253333331</v>
      </c>
      <c r="L50" s="12">
        <f t="shared" si="13"/>
        <v>6533.0560000000014</v>
      </c>
      <c r="M50" s="21">
        <f t="shared" si="13"/>
        <v>2164.2723200000005</v>
      </c>
      <c r="N50" s="12">
        <f t="shared" si="13"/>
        <v>3492.0000000000005</v>
      </c>
      <c r="O50" s="12">
        <f t="shared" si="13"/>
        <v>1255.9999999999998</v>
      </c>
      <c r="P50" s="12">
        <f t="shared" si="13"/>
        <v>3040.4600000000005</v>
      </c>
      <c r="Q50" s="12">
        <f t="shared" si="13"/>
        <v>5431.8124799999996</v>
      </c>
      <c r="R50" s="12">
        <f t="shared" si="13"/>
        <v>3168.29148192</v>
      </c>
      <c r="S50" s="12">
        <f t="shared" si="13"/>
        <v>944.03831999999977</v>
      </c>
    </row>
    <row r="51" spans="1:19" s="9" customFormat="1">
      <c r="A51" s="134" t="s">
        <v>143</v>
      </c>
      <c r="B51" s="12">
        <f>12196-114</f>
        <v>12082</v>
      </c>
      <c r="C51" s="21">
        <f>550+7934-400-150</f>
        <v>7934</v>
      </c>
      <c r="D51" s="21">
        <f>+(22458-1500)/1.2571</f>
        <v>16671.704717206267</v>
      </c>
      <c r="E51" s="12">
        <f>9513/1.2571</f>
        <v>7567.4170710365115</v>
      </c>
      <c r="F51" s="12">
        <v>1486.9</v>
      </c>
      <c r="G51" s="12">
        <f>19703-2250</f>
        <v>17453</v>
      </c>
      <c r="H51" s="12">
        <f>6353.7-95</f>
        <v>6258.7</v>
      </c>
      <c r="I51" s="12">
        <f>116+2691</f>
        <v>2807</v>
      </c>
      <c r="J51" s="12">
        <f>10406-3542.1</f>
        <v>6863.9</v>
      </c>
      <c r="K51" s="12">
        <v>4276</v>
      </c>
      <c r="L51" s="12">
        <f>356.235+6030.836-350</f>
        <v>6037.0709999999999</v>
      </c>
      <c r="M51" s="21">
        <f>5997-350-150</f>
        <v>5497</v>
      </c>
      <c r="N51" s="12">
        <v>5494</v>
      </c>
      <c r="O51" s="12">
        <v>2434</v>
      </c>
      <c r="P51" s="12">
        <f>6887-88.1-200</f>
        <v>6598.9</v>
      </c>
      <c r="Q51" s="12">
        <f>500+9328+500</f>
        <v>10328</v>
      </c>
      <c r="R51" s="12">
        <f>449+2283-450</f>
        <v>2282</v>
      </c>
      <c r="S51" s="12">
        <v>4391</v>
      </c>
    </row>
    <row r="52" spans="1:19" s="9" customFormat="1">
      <c r="A52" s="134" t="s">
        <v>142</v>
      </c>
      <c r="B52" s="31">
        <f>+B51/B50</f>
        <v>1.8341866152045903</v>
      </c>
      <c r="C52" s="136">
        <f t="shared" ref="C52:S52" si="14">+C51/C50</f>
        <v>1.9974823766364547</v>
      </c>
      <c r="D52" s="136">
        <f t="shared" si="14"/>
        <v>2.4423124622623207</v>
      </c>
      <c r="E52" s="31">
        <f t="shared" si="14"/>
        <v>2.6753596429770701</v>
      </c>
      <c r="F52" s="31">
        <f t="shared" si="14"/>
        <v>1.1445475230849287</v>
      </c>
      <c r="G52" s="31">
        <f t="shared" si="14"/>
        <v>1.5346658586174182</v>
      </c>
      <c r="H52" s="31">
        <f t="shared" si="14"/>
        <v>1.9782233546425536</v>
      </c>
      <c r="I52" s="31">
        <f t="shared" si="14"/>
        <v>1.2940679066598177</v>
      </c>
      <c r="J52" s="31">
        <f t="shared" si="14"/>
        <v>2.3329002118030537</v>
      </c>
      <c r="K52" s="31">
        <f t="shared" si="14"/>
        <v>2.4486405022712483</v>
      </c>
      <c r="L52" s="31">
        <f t="shared" si="14"/>
        <v>0.92408070587486146</v>
      </c>
      <c r="M52" s="136">
        <f t="shared" si="14"/>
        <v>2.5398837055773087</v>
      </c>
      <c r="N52" s="31">
        <f t="shared" si="14"/>
        <v>1.5733104238258875</v>
      </c>
      <c r="O52" s="31">
        <f t="shared" si="14"/>
        <v>1.9378980891719748</v>
      </c>
      <c r="P52" s="31">
        <f t="shared" si="14"/>
        <v>2.1703623793768045</v>
      </c>
      <c r="Q52" s="31">
        <f t="shared" si="14"/>
        <v>1.9013911172426925</v>
      </c>
      <c r="R52" s="31">
        <f t="shared" si="14"/>
        <v>0.72026201283004965</v>
      </c>
      <c r="S52" s="31">
        <f t="shared" si="14"/>
        <v>4.6512942398355195</v>
      </c>
    </row>
    <row r="53" spans="1:19" s="9" customFormat="1">
      <c r="A53" s="137"/>
      <c r="B53" s="31"/>
      <c r="C53" s="136"/>
      <c r="D53" s="136"/>
      <c r="E53" s="31"/>
      <c r="F53" s="31"/>
      <c r="G53" s="31"/>
      <c r="H53" s="31"/>
      <c r="I53" s="31"/>
      <c r="J53" s="31"/>
      <c r="K53" s="31"/>
      <c r="L53" s="31"/>
      <c r="M53" s="136"/>
      <c r="N53" s="31"/>
      <c r="O53" s="31"/>
      <c r="P53" s="31"/>
      <c r="Q53" s="31"/>
      <c r="R53" s="31"/>
      <c r="S53" s="31"/>
    </row>
    <row r="54" spans="1:19" s="9" customFormat="1">
      <c r="A54" s="137" t="s">
        <v>171</v>
      </c>
      <c r="B54" s="31"/>
      <c r="C54" s="136"/>
      <c r="D54" s="20">
        <f>+(670+339)/D58/D48</f>
        <v>8.462917481070523</v>
      </c>
      <c r="E54" s="31"/>
      <c r="F54" s="31"/>
      <c r="G54" s="31"/>
      <c r="H54" s="31"/>
      <c r="I54" s="31"/>
      <c r="J54" s="31"/>
      <c r="K54" s="31"/>
      <c r="L54" s="31"/>
      <c r="M54" s="136"/>
      <c r="N54" s="31"/>
      <c r="O54" s="31"/>
      <c r="P54" s="31"/>
      <c r="Q54" s="31"/>
      <c r="R54" s="31"/>
      <c r="S54" s="31"/>
    </row>
    <row r="55" spans="1:19" s="9" customFormat="1" ht="24.75" customHeight="1">
      <c r="A55" s="277" t="s">
        <v>127</v>
      </c>
      <c r="B55" s="278"/>
      <c r="C55" s="278"/>
      <c r="D55" s="278"/>
      <c r="E55" s="278"/>
      <c r="F55" s="278"/>
      <c r="G55" s="278"/>
      <c r="H55" s="278"/>
      <c r="I55" s="278"/>
      <c r="J55" s="278"/>
      <c r="K55" s="278"/>
      <c r="L55" s="278"/>
      <c r="M55" s="278"/>
      <c r="N55" s="278"/>
      <c r="O55" s="278"/>
      <c r="P55" s="278"/>
      <c r="Q55" s="278"/>
      <c r="R55" s="278"/>
      <c r="S55" s="278"/>
    </row>
    <row r="56" spans="1:19" s="9" customFormat="1">
      <c r="A56" s="277" t="s">
        <v>76</v>
      </c>
      <c r="B56" s="278"/>
      <c r="C56" s="278"/>
      <c r="D56" s="278"/>
      <c r="E56" s="278"/>
      <c r="F56" s="278"/>
      <c r="G56" s="278"/>
      <c r="H56" s="278"/>
      <c r="I56" s="278"/>
      <c r="J56" s="278"/>
      <c r="K56" s="278"/>
      <c r="L56" s="278"/>
      <c r="M56" s="278"/>
      <c r="N56" s="278"/>
      <c r="O56" s="278"/>
      <c r="P56" s="278"/>
      <c r="Q56" s="278"/>
      <c r="R56" s="278"/>
      <c r="S56" s="278"/>
    </row>
    <row r="57" spans="1:19" s="9" customFormat="1">
      <c r="A57" s="134"/>
      <c r="B57" s="8"/>
      <c r="C57" s="123"/>
      <c r="D57" s="8"/>
      <c r="E57" s="8"/>
      <c r="F57" s="8"/>
      <c r="G57" s="8"/>
      <c r="H57" s="8"/>
      <c r="I57" s="8"/>
      <c r="J57" s="8"/>
      <c r="K57" s="8"/>
      <c r="L57" s="8"/>
      <c r="M57" s="19"/>
      <c r="N57" s="8"/>
      <c r="O57" s="8"/>
      <c r="P57" s="8"/>
      <c r="Q57" s="8"/>
      <c r="R57" s="8"/>
      <c r="S57" s="8"/>
    </row>
    <row r="58" spans="1:19" ht="15" hidden="1">
      <c r="A58" s="22" t="s">
        <v>94</v>
      </c>
      <c r="B58" s="23"/>
      <c r="C58" s="124"/>
      <c r="D58" s="58">
        <v>1.2704</v>
      </c>
    </row>
    <row r="59" spans="1:19" hidden="1">
      <c r="A59" s="3"/>
      <c r="G59" s="2">
        <f>G44*92/1000</f>
        <v>62.1</v>
      </c>
      <c r="M59" s="2">
        <f>M44*92/1000</f>
        <v>15.272</v>
      </c>
      <c r="P59" s="2">
        <f t="shared" ref="P59:Q61" si="15">P44*92/1000</f>
        <v>12.788</v>
      </c>
      <c r="Q59" s="2">
        <f t="shared" si="15"/>
        <v>36.432000000000002</v>
      </c>
      <c r="S59" s="2">
        <f>S44*92/1000</f>
        <v>0.57999999999999996</v>
      </c>
    </row>
    <row r="60" spans="1:19" hidden="1">
      <c r="A60" s="3"/>
      <c r="G60" s="2">
        <f>G45*92/1000</f>
        <v>7.7279999999999998</v>
      </c>
      <c r="M60" s="2">
        <f>M45*92/1000</f>
        <v>3.7719999999999998</v>
      </c>
      <c r="P60" s="2">
        <f t="shared" si="15"/>
        <v>5.8879999999999999</v>
      </c>
      <c r="Q60" s="2">
        <f t="shared" si="15"/>
        <v>8.2799999999999994</v>
      </c>
      <c r="S60" s="2">
        <f>S45*92/1000</f>
        <v>4.1109999999999998</v>
      </c>
    </row>
    <row r="61" spans="1:19" hidden="1">
      <c r="A61" s="3"/>
      <c r="G61" s="2">
        <f>G46*92/1000</f>
        <v>168.636</v>
      </c>
      <c r="M61" s="2">
        <f>M46*92/1000</f>
        <v>51.152000000000001</v>
      </c>
      <c r="P61" s="2">
        <f t="shared" si="15"/>
        <v>93.103999999999999</v>
      </c>
      <c r="Q61" s="2">
        <f t="shared" si="15"/>
        <v>74.52</v>
      </c>
      <c r="S61" s="2">
        <f>S46*92/1000</f>
        <v>210</v>
      </c>
    </row>
    <row r="62" spans="1:19" hidden="1">
      <c r="A62" s="3"/>
    </row>
    <row r="63" spans="1:19" hidden="1">
      <c r="A63" s="3"/>
      <c r="G63" s="2">
        <f>G59*G9</f>
        <v>3452.76</v>
      </c>
      <c r="M63" s="2">
        <f>M59*M9</f>
        <v>875.39103999999998</v>
      </c>
      <c r="P63" s="2">
        <f>P59*P9</f>
        <v>709</v>
      </c>
      <c r="Q63" s="2">
        <f>Q59*Q9</f>
        <v>1955.3054400000001</v>
      </c>
      <c r="S63" s="2">
        <f>S59*S9</f>
        <v>27.868999999999996</v>
      </c>
    </row>
    <row r="64" spans="1:19" hidden="1">
      <c r="A64" s="3"/>
      <c r="G64" s="2">
        <f>G60*G11</f>
        <v>247.91423999999998</v>
      </c>
      <c r="M64" s="2">
        <f>M60*M11</f>
        <v>85.926159999999996</v>
      </c>
      <c r="P64" s="2">
        <f>P60*P11</f>
        <v>164</v>
      </c>
      <c r="Q64" s="2">
        <f>Q60*Q11</f>
        <v>207.66239999999996</v>
      </c>
      <c r="S64" s="2">
        <f>S60*S11</f>
        <v>73.915779999999998</v>
      </c>
    </row>
    <row r="65" spans="1:19" hidden="1">
      <c r="A65" s="3"/>
      <c r="G65" s="2">
        <f>G61*G13</f>
        <v>809.45279999999991</v>
      </c>
      <c r="M65" s="2">
        <f>M61*M13</f>
        <v>188.75088</v>
      </c>
      <c r="P65" s="2">
        <f>P61*P13</f>
        <v>269</v>
      </c>
      <c r="Q65" s="2">
        <f>Q61*Q13</f>
        <v>129.66479999999999</v>
      </c>
      <c r="S65" s="2">
        <f>S61*S13</f>
        <v>420</v>
      </c>
    </row>
    <row r="66" spans="1:19" hidden="1">
      <c r="G66" s="2">
        <f>G65+G64+G63</f>
        <v>4510.1270400000003</v>
      </c>
      <c r="M66" s="2">
        <f>M65+M64+M63</f>
        <v>1150.06808</v>
      </c>
      <c r="P66" s="2">
        <f>P65+P64+P63</f>
        <v>1142</v>
      </c>
      <c r="Q66" s="2">
        <f>Q65+Q64+Q63</f>
        <v>2292.6326399999998</v>
      </c>
      <c r="S66" s="2">
        <f>S65+S64+S63</f>
        <v>521.78477999999996</v>
      </c>
    </row>
    <row r="67" spans="1:19" hidden="1">
      <c r="G67" s="2">
        <f>G66/G48</f>
        <v>46.052719586660409</v>
      </c>
      <c r="M67" s="2">
        <f>M66/M48</f>
        <v>41.715483870967738</v>
      </c>
      <c r="P67" s="2">
        <f>P66/P48</f>
        <v>33.398323259894724</v>
      </c>
      <c r="Q67" s="2">
        <f>Q66/Q48</f>
        <v>40.12869565217391</v>
      </c>
      <c r="S67" s="2">
        <f>S66/S48</f>
        <v>13.146173691768913</v>
      </c>
    </row>
    <row r="68" spans="1:19" hidden="1"/>
    <row r="69" spans="1:19" hidden="1"/>
    <row r="70" spans="1:19" hidden="1"/>
    <row r="71" spans="1:19" hidden="1"/>
    <row r="72" spans="1:19" hidden="1">
      <c r="A72" s="1" t="s">
        <v>109</v>
      </c>
    </row>
    <row r="73" spans="1:19" hidden="1">
      <c r="B73" s="2" t="str">
        <f>B7</f>
        <v>APC</v>
      </c>
      <c r="C73" s="125" t="str">
        <f t="shared" ref="C73:S73" si="16">C7</f>
        <v>APA</v>
      </c>
      <c r="D73" s="2" t="str">
        <f t="shared" si="16"/>
        <v>CNQCN</v>
      </c>
      <c r="E73" s="2" t="str">
        <f t="shared" si="16"/>
        <v>CVECN</v>
      </c>
      <c r="F73" s="2" t="str">
        <f t="shared" si="16"/>
        <v>XEC</v>
      </c>
      <c r="G73" s="2" t="str">
        <f t="shared" si="16"/>
        <v>COP</v>
      </c>
      <c r="H73" s="2" t="str">
        <f t="shared" si="16"/>
        <v>CLR</v>
      </c>
      <c r="I73" s="2" t="str">
        <f t="shared" si="16"/>
        <v>CXO</v>
      </c>
      <c r="J73" s="2" t="str">
        <f t="shared" si="16"/>
        <v>DVN</v>
      </c>
      <c r="K73" s="2" t="str">
        <f t="shared" si="16"/>
        <v>ECACN</v>
      </c>
      <c r="L73" s="2" t="str">
        <f t="shared" si="16"/>
        <v>EOG</v>
      </c>
      <c r="M73" s="2" t="str">
        <f t="shared" si="16"/>
        <v>HES</v>
      </c>
      <c r="N73" s="2" t="str">
        <f t="shared" si="16"/>
        <v>MRO</v>
      </c>
      <c r="O73" s="2" t="str">
        <f t="shared" si="16"/>
        <v>NFX</v>
      </c>
      <c r="P73" s="2" t="str">
        <f t="shared" si="16"/>
        <v>NBL</v>
      </c>
      <c r="Q73" s="2" t="str">
        <f t="shared" si="16"/>
        <v>OXY</v>
      </c>
      <c r="R73" s="2" t="str">
        <f t="shared" si="16"/>
        <v>PXD</v>
      </c>
      <c r="S73" s="2" t="str">
        <f t="shared" si="16"/>
        <v>SWN</v>
      </c>
    </row>
    <row r="74" spans="1:19" hidden="1">
      <c r="A74" s="1" t="s">
        <v>110</v>
      </c>
      <c r="B74" s="2">
        <f t="shared" ref="B74:S74" si="17">RANK(B35,$B$35:$S$35)</f>
        <v>9</v>
      </c>
      <c r="C74" s="125">
        <f t="shared" si="17"/>
        <v>6</v>
      </c>
      <c r="D74" s="2">
        <f t="shared" si="17"/>
        <v>11</v>
      </c>
      <c r="E74" s="2">
        <f t="shared" si="17"/>
        <v>16</v>
      </c>
      <c r="F74" s="2">
        <f t="shared" si="17"/>
        <v>8</v>
      </c>
      <c r="G74" s="2">
        <f t="shared" si="17"/>
        <v>4</v>
      </c>
      <c r="H74" s="2">
        <f t="shared" si="17"/>
        <v>7</v>
      </c>
      <c r="I74" s="2">
        <f t="shared" si="17"/>
        <v>3</v>
      </c>
      <c r="J74" s="2">
        <f t="shared" si="17"/>
        <v>13</v>
      </c>
      <c r="K74" s="2">
        <f t="shared" si="17"/>
        <v>15</v>
      </c>
      <c r="L74" s="2">
        <f t="shared" si="17"/>
        <v>2</v>
      </c>
      <c r="M74" s="2">
        <f t="shared" si="17"/>
        <v>18</v>
      </c>
      <c r="N74" s="2">
        <f t="shared" si="17"/>
        <v>14</v>
      </c>
      <c r="O74" s="2">
        <f t="shared" si="17"/>
        <v>5</v>
      </c>
      <c r="P74" s="2">
        <f t="shared" si="17"/>
        <v>12</v>
      </c>
      <c r="Q74" s="2">
        <f t="shared" si="17"/>
        <v>10</v>
      </c>
      <c r="R74" s="2">
        <f t="shared" si="17"/>
        <v>1</v>
      </c>
      <c r="S74" s="2">
        <f t="shared" si="17"/>
        <v>17</v>
      </c>
    </row>
    <row r="75" spans="1:19" hidden="1">
      <c r="B75" s="2" t="str">
        <f>B73</f>
        <v>APC</v>
      </c>
      <c r="C75" s="125" t="str">
        <f t="shared" ref="C75:S75" si="18">C73</f>
        <v>APA</v>
      </c>
      <c r="D75" s="2" t="str">
        <f t="shared" si="18"/>
        <v>CNQCN</v>
      </c>
      <c r="E75" s="2" t="str">
        <f t="shared" si="18"/>
        <v>CVECN</v>
      </c>
      <c r="F75" s="2" t="str">
        <f t="shared" si="18"/>
        <v>XEC</v>
      </c>
      <c r="G75" s="2" t="str">
        <f t="shared" si="18"/>
        <v>COP</v>
      </c>
      <c r="H75" s="2" t="str">
        <f t="shared" si="18"/>
        <v>CLR</v>
      </c>
      <c r="I75" s="2" t="str">
        <f t="shared" si="18"/>
        <v>CXO</v>
      </c>
      <c r="J75" s="2" t="str">
        <f t="shared" si="18"/>
        <v>DVN</v>
      </c>
      <c r="K75" s="2" t="str">
        <f t="shared" si="18"/>
        <v>ECACN</v>
      </c>
      <c r="L75" s="2" t="str">
        <f t="shared" si="18"/>
        <v>EOG</v>
      </c>
      <c r="M75" s="2" t="str">
        <f t="shared" si="18"/>
        <v>HES</v>
      </c>
      <c r="N75" s="2" t="str">
        <f t="shared" si="18"/>
        <v>MRO</v>
      </c>
      <c r="O75" s="2" t="str">
        <f t="shared" si="18"/>
        <v>NFX</v>
      </c>
      <c r="P75" s="2" t="str">
        <f t="shared" si="18"/>
        <v>NBL</v>
      </c>
      <c r="Q75" s="2" t="str">
        <f t="shared" si="18"/>
        <v>OXY</v>
      </c>
      <c r="R75" s="2" t="str">
        <f t="shared" si="18"/>
        <v>PXD</v>
      </c>
      <c r="S75" s="2" t="str">
        <f t="shared" si="18"/>
        <v>SWN</v>
      </c>
    </row>
    <row r="76" spans="1:19" hidden="1">
      <c r="A76" s="1" t="s">
        <v>107</v>
      </c>
      <c r="B76" s="2">
        <f t="shared" ref="B76:S76" si="19">RANK(B37,$B$37:$S$37)</f>
        <v>14</v>
      </c>
      <c r="C76" s="125">
        <f t="shared" si="19"/>
        <v>9</v>
      </c>
      <c r="D76" s="2">
        <f t="shared" si="19"/>
        <v>6</v>
      </c>
      <c r="E76" s="2">
        <f t="shared" si="19"/>
        <v>16</v>
      </c>
      <c r="F76" s="2">
        <f t="shared" si="19"/>
        <v>4</v>
      </c>
      <c r="G76" s="2">
        <f t="shared" si="19"/>
        <v>7</v>
      </c>
      <c r="H76" s="2">
        <f t="shared" si="19"/>
        <v>8</v>
      </c>
      <c r="I76" s="2">
        <f t="shared" si="19"/>
        <v>3</v>
      </c>
      <c r="J76" s="2">
        <f t="shared" si="19"/>
        <v>13</v>
      </c>
      <c r="K76" s="2">
        <f t="shared" si="19"/>
        <v>17</v>
      </c>
      <c r="L76" s="2">
        <f t="shared" si="19"/>
        <v>1</v>
      </c>
      <c r="M76" s="2">
        <f t="shared" si="19"/>
        <v>15</v>
      </c>
      <c r="N76" s="2">
        <f t="shared" si="19"/>
        <v>12</v>
      </c>
      <c r="O76" s="2">
        <f t="shared" si="19"/>
        <v>10</v>
      </c>
      <c r="P76" s="2">
        <f t="shared" si="19"/>
        <v>11</v>
      </c>
      <c r="Q76" s="2">
        <f t="shared" si="19"/>
        <v>5</v>
      </c>
      <c r="R76" s="2">
        <f t="shared" si="19"/>
        <v>2</v>
      </c>
      <c r="S76" s="2">
        <f t="shared" si="19"/>
        <v>18</v>
      </c>
    </row>
    <row r="77" spans="1:19" hidden="1">
      <c r="B77" s="2" t="str">
        <f>B75</f>
        <v>APC</v>
      </c>
      <c r="C77" s="125" t="str">
        <f t="shared" ref="C77:S77" si="20">C75</f>
        <v>APA</v>
      </c>
      <c r="D77" s="2" t="str">
        <f t="shared" si="20"/>
        <v>CNQCN</v>
      </c>
      <c r="E77" s="2" t="str">
        <f t="shared" si="20"/>
        <v>CVECN</v>
      </c>
      <c r="F77" s="2" t="str">
        <f t="shared" si="20"/>
        <v>XEC</v>
      </c>
      <c r="G77" s="2" t="str">
        <f t="shared" si="20"/>
        <v>COP</v>
      </c>
      <c r="H77" s="2" t="str">
        <f t="shared" si="20"/>
        <v>CLR</v>
      </c>
      <c r="I77" s="2" t="str">
        <f t="shared" si="20"/>
        <v>CXO</v>
      </c>
      <c r="J77" s="2" t="str">
        <f t="shared" si="20"/>
        <v>DVN</v>
      </c>
      <c r="K77" s="2" t="str">
        <f t="shared" si="20"/>
        <v>ECACN</v>
      </c>
      <c r="L77" s="2" t="str">
        <f t="shared" si="20"/>
        <v>EOG</v>
      </c>
      <c r="M77" s="2" t="str">
        <f t="shared" si="20"/>
        <v>HES</v>
      </c>
      <c r="N77" s="2" t="str">
        <f t="shared" si="20"/>
        <v>MRO</v>
      </c>
      <c r="O77" s="2" t="str">
        <f t="shared" si="20"/>
        <v>NFX</v>
      </c>
      <c r="P77" s="2" t="str">
        <f t="shared" si="20"/>
        <v>NBL</v>
      </c>
      <c r="Q77" s="2" t="str">
        <f t="shared" si="20"/>
        <v>OXY</v>
      </c>
      <c r="R77" s="2" t="str">
        <f t="shared" si="20"/>
        <v>PXD</v>
      </c>
      <c r="S77" s="2" t="str">
        <f t="shared" si="20"/>
        <v>SWN</v>
      </c>
    </row>
    <row r="78" spans="1:19" hidden="1">
      <c r="A78" s="1" t="s">
        <v>111</v>
      </c>
      <c r="B78" s="2">
        <f t="shared" ref="B78:S78" si="21">RANK(B34,$B$34:$S$34)</f>
        <v>6</v>
      </c>
      <c r="C78" s="125">
        <f t="shared" si="21"/>
        <v>7</v>
      </c>
      <c r="D78" s="2">
        <f t="shared" si="21"/>
        <v>12</v>
      </c>
      <c r="E78" s="2">
        <f t="shared" si="21"/>
        <v>15</v>
      </c>
      <c r="F78" s="2">
        <f t="shared" si="21"/>
        <v>13</v>
      </c>
      <c r="G78" s="2">
        <f t="shared" si="21"/>
        <v>3</v>
      </c>
      <c r="H78" s="2">
        <f t="shared" si="21"/>
        <v>1</v>
      </c>
      <c r="I78" s="2">
        <f t="shared" si="21"/>
        <v>4</v>
      </c>
      <c r="J78" s="2">
        <f t="shared" si="21"/>
        <v>16</v>
      </c>
      <c r="K78" s="2">
        <f t="shared" si="21"/>
        <v>17</v>
      </c>
      <c r="L78" s="2">
        <f t="shared" si="21"/>
        <v>5</v>
      </c>
      <c r="M78" s="2">
        <f t="shared" si="21"/>
        <v>14</v>
      </c>
      <c r="N78" s="2">
        <f t="shared" si="21"/>
        <v>9</v>
      </c>
      <c r="O78" s="2">
        <f t="shared" si="21"/>
        <v>11</v>
      </c>
      <c r="P78" s="2">
        <f t="shared" si="21"/>
        <v>10</v>
      </c>
      <c r="Q78" s="2">
        <f t="shared" si="21"/>
        <v>8</v>
      </c>
      <c r="R78" s="2">
        <f t="shared" si="21"/>
        <v>2</v>
      </c>
      <c r="S78" s="2">
        <f t="shared" si="21"/>
        <v>18</v>
      </c>
    </row>
    <row r="79" spans="1:19" hidden="1"/>
    <row r="80" spans="1:19" hidden="1"/>
    <row r="81" spans="1:19" hidden="1"/>
    <row r="82" spans="1:19" hidden="1">
      <c r="A82" s="1" t="s">
        <v>130</v>
      </c>
      <c r="B82" s="61">
        <f>B15-'2Q16 Actual'!B15</f>
        <v>18.617809751215056</v>
      </c>
      <c r="C82" s="126">
        <f>C15-'2Q16 Actual'!C15</f>
        <v>11.560821261639404</v>
      </c>
      <c r="D82" s="61">
        <f>D15-'2Q16 Actual'!D15</f>
        <v>15.555243630452214</v>
      </c>
      <c r="E82" s="61">
        <f>E15-'2Q16 Actual'!E15</f>
        <v>9.5380547401983655</v>
      </c>
      <c r="F82" s="61">
        <f>F15-'2Q16 Actual'!F15</f>
        <v>9.5451978017154389</v>
      </c>
      <c r="G82" s="61">
        <f>G15-'2Q16 Actual'!G15</f>
        <v>17.944550686944613</v>
      </c>
      <c r="H82" s="61">
        <f>H15-'2Q16 Actual'!H15</f>
        <v>11.910000000000004</v>
      </c>
      <c r="I82" s="61">
        <f>I15-'2Q16 Actual'!I15</f>
        <v>10.18</v>
      </c>
      <c r="J82" s="61">
        <f>J15-'2Q16 Actual'!J15</f>
        <v>9.09</v>
      </c>
      <c r="K82" s="61">
        <f>K15-'2Q16 Actual'!K15</f>
        <v>11.490000000000002</v>
      </c>
      <c r="L82" s="61">
        <f>L15-'2Q16 Actual'!L15</f>
        <v>13.352362569474622</v>
      </c>
      <c r="M82" s="61">
        <f>M15-'2Q16 Actual'!M15</f>
        <v>7.6922763911806058</v>
      </c>
      <c r="N82" s="61">
        <f>N15-'2Q16 Actual'!N15</f>
        <v>10.730857413873682</v>
      </c>
      <c r="O82" s="61">
        <f>O15-'2Q16 Actual'!O15</f>
        <v>7.5900966778372023</v>
      </c>
      <c r="P82" s="61">
        <f>P15-'2Q16 Actual'!P15</f>
        <v>11.591937533165382</v>
      </c>
      <c r="Q82" s="61">
        <f>Q15-'2Q16 Actual'!Q15</f>
        <v>12.775400491883602</v>
      </c>
      <c r="R82" s="61">
        <f>R15-'2Q16 Actual'!R15</f>
        <v>9.73</v>
      </c>
      <c r="S82" s="61">
        <f>S15-'2Q16 Actual'!S15</f>
        <v>5.3976071322034702</v>
      </c>
    </row>
    <row r="83" spans="1:19" hidden="1">
      <c r="A83" s="1" t="s">
        <v>132</v>
      </c>
      <c r="B83" s="61">
        <f>B28-'2Q16 Actual'!B28</f>
        <v>1.8138425366199513</v>
      </c>
      <c r="C83" s="126">
        <f>C28-'2Q16 Actual'!C28</f>
        <v>2.0191978808225226</v>
      </c>
      <c r="D83" s="61">
        <f>D28-'2Q16 Actual'!D28</f>
        <v>6.132416179129244</v>
      </c>
      <c r="E83" s="61">
        <f>E28-'2Q16 Actual'!E28</f>
        <v>8.2143345010049273E-2</v>
      </c>
      <c r="F83" s="61">
        <f>F28-'2Q16 Actual'!F28</f>
        <v>-0.23323353372055422</v>
      </c>
      <c r="G83" s="61">
        <f>G28-'2Q16 Actual'!G28</f>
        <v>0.40308172062967174</v>
      </c>
      <c r="H83" s="61">
        <f>H28-'2Q16 Actual'!H28</f>
        <v>-0.40907096035107848</v>
      </c>
      <c r="I83" s="61">
        <f>I28-'2Q16 Actual'!I28</f>
        <v>-2.808553582209818</v>
      </c>
      <c r="J83" s="61">
        <f>J28-'2Q16 Actual'!J28</f>
        <v>0.30541671340032295</v>
      </c>
      <c r="K83" s="61">
        <f>K28-'2Q16 Actual'!K28</f>
        <v>1.2999478684537777</v>
      </c>
      <c r="L83" s="61">
        <f>L28-'2Q16 Actual'!L28</f>
        <v>0.72310348303356697</v>
      </c>
      <c r="M83" s="61">
        <f>M28-'2Q16 Actual'!M28</f>
        <v>-0.7102471983574894</v>
      </c>
      <c r="N83" s="61">
        <f>N28-'2Q16 Actual'!N28</f>
        <v>-4.1831662849179203</v>
      </c>
      <c r="O83" s="61">
        <f>O28-'2Q16 Actual'!O28</f>
        <v>-0.50323462423517107</v>
      </c>
      <c r="P83" s="61">
        <f>P28-'2Q16 Actual'!P28</f>
        <v>1.6524544224038209</v>
      </c>
      <c r="Q83" s="61">
        <f>Q28-'2Q16 Actual'!Q28</f>
        <v>2.8515031920615872</v>
      </c>
      <c r="R83" s="61">
        <f>R28-'2Q16 Actual'!R28</f>
        <v>-4.2629754511970255</v>
      </c>
      <c r="S83" s="61">
        <f>S28-'2Q16 Actual'!S28</f>
        <v>-0.41867685929474163</v>
      </c>
    </row>
    <row r="84" spans="1:19" hidden="1">
      <c r="A84" s="1" t="s">
        <v>129</v>
      </c>
      <c r="B84" s="62">
        <f>B48-'2Q16 Actual'!B48</f>
        <v>-13.407000000000004</v>
      </c>
      <c r="C84" s="127">
        <f>C48-'2Q16 Actual'!C48</f>
        <v>-11.63143616666666</v>
      </c>
      <c r="D84" s="62">
        <f>D48-'2Q16 Actual'!D48</f>
        <v>22.513389999999987</v>
      </c>
      <c r="E84" s="62">
        <f>E48-'2Q16 Actual'!E48</f>
        <v>20.130139999999994</v>
      </c>
      <c r="F84" s="62">
        <f>F48-'2Q16 Actual'!F48</f>
        <v>3.6911816666666653</v>
      </c>
      <c r="G84" s="62">
        <f>G48-'2Q16 Actual'!G48</f>
        <v>-14.132499999999993</v>
      </c>
      <c r="H84" s="62">
        <f>H48-'2Q16 Actual'!H48</f>
        <v>6.4442428333333339</v>
      </c>
      <c r="I84" s="62">
        <f>I48-'2Q16 Actual'!I48</f>
        <v>6.2102886666666635</v>
      </c>
      <c r="J84" s="62">
        <f>J48-'2Q16 Actual'!J48</f>
        <v>-8.2488333333333301</v>
      </c>
      <c r="K84" s="62">
        <f>K48-'2Q16 Actual'!K48</f>
        <v>-2.6738000000000071</v>
      </c>
      <c r="L84" s="62">
        <f>L48-'2Q16 Actual'!L48</f>
        <v>10.766066666666674</v>
      </c>
      <c r="M84" s="62">
        <f>M48-'2Q16 Actual'!M48</f>
        <v>-0.89849999999999497</v>
      </c>
      <c r="N84" s="62">
        <f>N48-'2Q16 Actual'!N48</f>
        <v>2.3258333333333354</v>
      </c>
      <c r="O84" s="62">
        <f>O48-'2Q16 Actual'!O48</f>
        <v>0.37966666666666526</v>
      </c>
      <c r="P84" s="62">
        <f>P48-'2Q16 Actual'!P48</f>
        <v>-4.6485000000000056</v>
      </c>
      <c r="Q84" s="62">
        <f>Q48-'2Q16 Actual'!Q48</f>
        <v>-2.2758333333333383</v>
      </c>
      <c r="R84" s="62">
        <f>R48-'2Q16 Actual'!R48</f>
        <v>6.8829996666666631</v>
      </c>
      <c r="S84" s="62">
        <f>S48-'2Q16 Actual'!S48</f>
        <v>2.1356666666666797</v>
      </c>
    </row>
    <row r="168" spans="2:17" hidden="1">
      <c r="L168" s="2" t="s">
        <v>58</v>
      </c>
    </row>
    <row r="169" spans="2:17" hidden="1">
      <c r="L169" s="2" t="s">
        <v>54</v>
      </c>
      <c r="M169" s="2">
        <v>52.63</v>
      </c>
      <c r="N169" s="2">
        <v>176</v>
      </c>
      <c r="Q169" s="2">
        <f>+N169*M169</f>
        <v>9262.880000000001</v>
      </c>
    </row>
    <row r="170" spans="2:17" hidden="1">
      <c r="D170" s="2" t="s">
        <v>72</v>
      </c>
      <c r="E170" s="2" t="s">
        <v>73</v>
      </c>
      <c r="L170" s="2" t="s">
        <v>55</v>
      </c>
      <c r="M170" s="2">
        <v>14.77</v>
      </c>
      <c r="N170" s="2">
        <v>37</v>
      </c>
      <c r="Q170" s="2">
        <f>+N170*M170</f>
        <v>546.49</v>
      </c>
    </row>
    <row r="171" spans="2:17" hidden="1">
      <c r="B171" s="2" t="s">
        <v>61</v>
      </c>
      <c r="C171" s="125">
        <v>95.057000000000002</v>
      </c>
      <c r="D171" s="2">
        <f>73.05</f>
        <v>73.05</v>
      </c>
      <c r="F171" s="2">
        <f>+D171*C171</f>
        <v>6943.9138499999999</v>
      </c>
      <c r="L171" s="2" t="s">
        <v>59</v>
      </c>
      <c r="M171" s="2">
        <v>2.76</v>
      </c>
      <c r="N171" s="2">
        <v>361</v>
      </c>
      <c r="P171" s="2">
        <f>+N171/6</f>
        <v>60.166666666666664</v>
      </c>
      <c r="Q171" s="2">
        <f>+N171*M171</f>
        <v>996.3599999999999</v>
      </c>
    </row>
    <row r="172" spans="2:17" hidden="1">
      <c r="B172" s="2" t="s">
        <v>71</v>
      </c>
      <c r="C172" s="125">
        <f>458.144-C171</f>
        <v>363.08699999999999</v>
      </c>
      <c r="D172" s="2">
        <f>53.09</f>
        <v>53.09</v>
      </c>
      <c r="F172" s="2">
        <f>+D172*C172</f>
        <v>19276.288830000001</v>
      </c>
      <c r="G172" s="2">
        <f>+SUM(F171:F172)/(C171+C172)</f>
        <v>57.231356691345958</v>
      </c>
    </row>
    <row r="173" spans="2:17" hidden="1">
      <c r="L173" s="2" t="s">
        <v>60</v>
      </c>
    </row>
    <row r="174" spans="2:17" hidden="1">
      <c r="L174" s="2" t="s">
        <v>54</v>
      </c>
      <c r="M174" s="2">
        <v>56.7</v>
      </c>
      <c r="N174" s="2">
        <v>33</v>
      </c>
      <c r="Q174" s="2">
        <f>+N174*M174</f>
        <v>1871.1000000000001</v>
      </c>
    </row>
    <row r="175" spans="2:17" hidden="1">
      <c r="D175" s="2">
        <v>608</v>
      </c>
      <c r="E175" s="2">
        <v>58</v>
      </c>
      <c r="L175" s="2" t="s">
        <v>55</v>
      </c>
      <c r="M175" s="2">
        <v>3.1</v>
      </c>
      <c r="N175" s="2">
        <v>9</v>
      </c>
      <c r="Q175" s="2">
        <f>+N175*M175</f>
        <v>27.900000000000002</v>
      </c>
    </row>
    <row r="176" spans="2:17" hidden="1">
      <c r="D176" s="2">
        <v>138</v>
      </c>
      <c r="E176" s="2">
        <v>33.299999999999997</v>
      </c>
      <c r="L176" s="2" t="s">
        <v>59</v>
      </c>
      <c r="M176" s="2">
        <v>0.78</v>
      </c>
      <c r="N176" s="2">
        <v>396</v>
      </c>
      <c r="P176" s="2">
        <f>+N176/6</f>
        <v>66</v>
      </c>
      <c r="Q176" s="2">
        <f>+N176*M176</f>
        <v>308.88</v>
      </c>
    </row>
    <row r="177" spans="5:17" hidden="1">
      <c r="E177" s="2">
        <f>+SUMPRODUCT(D175:D176,E175:E176)/SUM(D175:D176)</f>
        <v>53.430831099195714</v>
      </c>
    </row>
    <row r="178" spans="5:17" hidden="1">
      <c r="L178" s="2" t="s">
        <v>61</v>
      </c>
    </row>
    <row r="179" spans="5:17" hidden="1">
      <c r="L179" s="2" t="s">
        <v>54</v>
      </c>
      <c r="M179" s="2">
        <v>52.46</v>
      </c>
      <c r="N179" s="2">
        <v>29</v>
      </c>
      <c r="Q179" s="2">
        <f>+N179*M179</f>
        <v>1521.34</v>
      </c>
    </row>
  </sheetData>
  <mergeCells count="2">
    <mergeCell ref="A55:S55"/>
    <mergeCell ref="A56:S56"/>
  </mergeCells>
  <pageMargins left="0.7" right="0.24" top="0.75" bottom="0.75" header="0.3" footer="0.3"/>
  <pageSetup orientation="portrait" r:id="rId1"/>
  <headerFooter>
    <oddFooter>&amp;C&amp;"Expert Sans Regular,Regular"&amp;10&amp;K000000 Restricted - External_x000D_&amp;1#&amp;"Calibri"&amp;10 Restricted - External</oddFooter>
    <evenFooter>&amp;C&amp;"Expert Sans Regular,Regular"&amp;10&amp;K000000 Restricted - External</evenFooter>
    <firstFooter>&amp;C&amp;"Expert Sans Regular,Regular"&amp;10&amp;K000000 Restricted - External</first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autoPageBreaks="0"/>
  </sheetPr>
  <dimension ref="A1:T177"/>
  <sheetViews>
    <sheetView workbookViewId="0">
      <pane xSplit="1" ySplit="7" topLeftCell="B14" activePane="bottomRight" state="frozen"/>
      <selection activeCell="B36" sqref="B36:V36"/>
      <selection pane="topRight" activeCell="B36" sqref="B36:V36"/>
      <selection pane="bottomLeft" activeCell="B36" sqref="B36:V36"/>
      <selection pane="bottomRight" activeCell="B36" sqref="B36:V36"/>
    </sheetView>
  </sheetViews>
  <sheetFormatPr defaultRowHeight="14.25"/>
  <cols>
    <col min="1" max="1" width="36.375" style="1" customWidth="1"/>
    <col min="2" max="2" width="9.25" style="2" customWidth="1"/>
    <col min="3" max="3" width="9.25" style="125" customWidth="1"/>
    <col min="4" max="19" width="9.25" style="2" customWidth="1"/>
    <col min="20" max="21" width="11.5" style="1" customWidth="1"/>
    <col min="22" max="22" width="10.75" style="1" bestFit="1" customWidth="1"/>
    <col min="23" max="16384" width="9" style="1"/>
  </cols>
  <sheetData>
    <row r="1" spans="1:19" s="9" customFormat="1">
      <c r="A1" s="121" t="s">
        <v>166</v>
      </c>
      <c r="B1" s="8"/>
      <c r="C1" s="8"/>
      <c r="D1" s="8"/>
      <c r="E1" s="8"/>
      <c r="F1" s="8"/>
      <c r="G1" s="8"/>
      <c r="H1" s="8"/>
      <c r="I1" s="8"/>
      <c r="J1" s="8"/>
      <c r="K1" s="8"/>
      <c r="L1" s="8"/>
      <c r="M1" s="19"/>
      <c r="N1" s="8"/>
      <c r="O1" s="8"/>
      <c r="P1" s="8"/>
      <c r="Q1" s="8"/>
      <c r="R1" s="8"/>
      <c r="S1" s="8"/>
    </row>
    <row r="2" spans="1:19" s="9" customFormat="1">
      <c r="A2" s="121" t="s">
        <v>1</v>
      </c>
      <c r="B2" s="10">
        <v>48.13</v>
      </c>
      <c r="C2" s="8"/>
      <c r="D2" s="8"/>
      <c r="E2" s="8"/>
      <c r="F2" s="8"/>
      <c r="G2" s="8"/>
      <c r="H2" s="8"/>
      <c r="I2" s="8"/>
      <c r="J2" s="8"/>
      <c r="K2" s="8"/>
      <c r="L2" s="8"/>
      <c r="M2" s="19"/>
      <c r="N2" s="8"/>
      <c r="O2" s="8"/>
      <c r="P2" s="8"/>
      <c r="Q2" s="8"/>
      <c r="R2" s="8"/>
      <c r="S2" s="8"/>
    </row>
    <row r="3" spans="1:19" s="9" customFormat="1">
      <c r="A3" s="121" t="s">
        <v>0</v>
      </c>
      <c r="B3" s="10">
        <v>27.219000000000001</v>
      </c>
      <c r="C3" s="8"/>
      <c r="D3" s="8"/>
      <c r="E3" s="8"/>
      <c r="F3" s="8"/>
      <c r="G3" s="8"/>
      <c r="H3" s="8"/>
      <c r="I3" s="8"/>
      <c r="J3" s="8"/>
      <c r="K3" s="8"/>
      <c r="L3" s="8"/>
      <c r="M3" s="19"/>
      <c r="N3" s="8"/>
      <c r="O3" s="8"/>
      <c r="P3" s="8"/>
      <c r="Q3" s="8"/>
      <c r="R3" s="8"/>
      <c r="S3" s="8"/>
    </row>
    <row r="4" spans="1:19" s="9" customFormat="1">
      <c r="A4" s="121" t="s">
        <v>2</v>
      </c>
      <c r="B4" s="10">
        <v>2.9302999999999999</v>
      </c>
      <c r="C4" s="8"/>
      <c r="D4" s="8"/>
      <c r="E4" s="8"/>
      <c r="F4" s="8"/>
      <c r="G4" s="8"/>
      <c r="H4" s="8"/>
      <c r="I4" s="8"/>
      <c r="J4" s="8"/>
      <c r="K4" s="8"/>
      <c r="L4" s="8"/>
      <c r="M4" s="19"/>
      <c r="N4" s="8"/>
      <c r="O4" s="8"/>
      <c r="P4" s="8"/>
      <c r="Q4" s="8"/>
      <c r="R4" s="8"/>
      <c r="S4" s="8"/>
    </row>
    <row r="5" spans="1:19" s="9" customFormat="1" ht="15" thickBot="1">
      <c r="A5" s="121"/>
      <c r="B5" s="8"/>
      <c r="C5" s="8"/>
      <c r="D5" s="8"/>
      <c r="E5" s="8"/>
      <c r="F5" s="8"/>
      <c r="G5" s="8"/>
      <c r="H5" s="8"/>
      <c r="I5" s="8"/>
      <c r="J5" s="8"/>
      <c r="K5" s="8"/>
      <c r="L5" s="8"/>
      <c r="M5" s="19"/>
      <c r="N5" s="8"/>
      <c r="O5" s="8"/>
      <c r="P5" s="8"/>
      <c r="Q5" s="8"/>
      <c r="R5" s="8"/>
      <c r="S5" s="8"/>
    </row>
    <row r="6" spans="1:19" ht="26.25" thickBot="1">
      <c r="A6" s="119" t="s">
        <v>15</v>
      </c>
      <c r="B6" s="118" t="s">
        <v>17</v>
      </c>
      <c r="C6" s="122" t="s">
        <v>18</v>
      </c>
      <c r="D6" s="118" t="s">
        <v>19</v>
      </c>
      <c r="E6" s="118" t="s">
        <v>21</v>
      </c>
      <c r="F6" s="118" t="s">
        <v>22</v>
      </c>
      <c r="G6" s="139" t="s">
        <v>174</v>
      </c>
      <c r="H6" s="118" t="s">
        <v>23</v>
      </c>
      <c r="I6" s="118" t="s">
        <v>139</v>
      </c>
      <c r="J6" s="118" t="s">
        <v>24</v>
      </c>
      <c r="K6" s="118" t="s">
        <v>25</v>
      </c>
      <c r="L6" s="118" t="s">
        <v>26</v>
      </c>
      <c r="M6" s="118" t="s">
        <v>27</v>
      </c>
      <c r="N6" s="118" t="s">
        <v>28</v>
      </c>
      <c r="O6" s="118" t="s">
        <v>162</v>
      </c>
      <c r="P6" s="118" t="s">
        <v>29</v>
      </c>
      <c r="Q6" s="118" t="s">
        <v>30</v>
      </c>
      <c r="R6" s="118" t="s">
        <v>31</v>
      </c>
      <c r="S6" s="139" t="s">
        <v>175</v>
      </c>
    </row>
    <row r="7" spans="1:19" ht="18" customHeight="1" thickBot="1">
      <c r="A7" s="25" t="s">
        <v>16</v>
      </c>
      <c r="B7" s="69" t="s">
        <v>33</v>
      </c>
      <c r="C7" s="69" t="s">
        <v>34</v>
      </c>
      <c r="D7" s="69" t="s">
        <v>35</v>
      </c>
      <c r="E7" s="69" t="s">
        <v>37</v>
      </c>
      <c r="F7" s="69" t="s">
        <v>38</v>
      </c>
      <c r="G7" s="69" t="s">
        <v>36</v>
      </c>
      <c r="H7" s="69" t="s">
        <v>39</v>
      </c>
      <c r="I7" s="69" t="s">
        <v>140</v>
      </c>
      <c r="J7" s="69" t="s">
        <v>40</v>
      </c>
      <c r="K7" s="69" t="s">
        <v>41</v>
      </c>
      <c r="L7" s="69" t="s">
        <v>42</v>
      </c>
      <c r="M7" s="69" t="s">
        <v>43</v>
      </c>
      <c r="N7" s="69" t="s">
        <v>44</v>
      </c>
      <c r="O7" s="69" t="s">
        <v>163</v>
      </c>
      <c r="P7" s="69" t="s">
        <v>45</v>
      </c>
      <c r="Q7" s="69" t="s">
        <v>46</v>
      </c>
      <c r="R7" s="69" t="s">
        <v>47</v>
      </c>
      <c r="S7" s="69" t="s">
        <v>48</v>
      </c>
    </row>
    <row r="8" spans="1:19" s="9" customFormat="1">
      <c r="A8" s="121"/>
      <c r="B8" s="8"/>
      <c r="C8" s="8"/>
      <c r="D8" s="8"/>
      <c r="E8" s="8"/>
      <c r="F8" s="8"/>
      <c r="G8" s="8"/>
      <c r="H8" s="8"/>
      <c r="I8" s="8"/>
      <c r="J8" s="8"/>
      <c r="K8" s="8"/>
      <c r="L8" s="8"/>
      <c r="M8" s="8"/>
      <c r="N8" s="8"/>
      <c r="O8" s="8"/>
      <c r="P8" s="8"/>
      <c r="Q8" s="8"/>
      <c r="R8" s="8"/>
      <c r="S8" s="8"/>
    </row>
    <row r="9" spans="1:19" s="9" customFormat="1">
      <c r="A9" s="121" t="s">
        <v>50</v>
      </c>
      <c r="B9" s="10">
        <v>48.31</v>
      </c>
      <c r="C9" s="10">
        <v>49.34</v>
      </c>
      <c r="D9" s="10">
        <f>(3786+186)/(D44*0.092)/D56</f>
        <v>47.845458313459552</v>
      </c>
      <c r="E9" s="10">
        <f>40.2403455938947/D56</f>
        <v>32.084472647021769</v>
      </c>
      <c r="F9" s="10">
        <v>44.38</v>
      </c>
      <c r="G9" s="10">
        <v>46.801980982567365</v>
      </c>
      <c r="H9" s="10">
        <v>43.27</v>
      </c>
      <c r="I9" s="10">
        <v>45.29</v>
      </c>
      <c r="J9" s="10">
        <v>39.36</v>
      </c>
      <c r="K9" s="10">
        <v>45.66</v>
      </c>
      <c r="L9" s="10">
        <v>48.11</v>
      </c>
      <c r="M9" s="10">
        <v>47.36</v>
      </c>
      <c r="N9" s="10">
        <v>48.154541062801933</v>
      </c>
      <c r="O9" s="10">
        <v>43.96</v>
      </c>
      <c r="P9" s="10">
        <f>553/((P44*0.092))</f>
        <v>46.5958881024604</v>
      </c>
      <c r="Q9" s="10">
        <v>46.19</v>
      </c>
      <c r="R9" s="10">
        <v>45.35</v>
      </c>
      <c r="S9" s="10">
        <v>40.49</v>
      </c>
    </row>
    <row r="10" spans="1:19" s="9" customFormat="1">
      <c r="A10" s="121" t="s">
        <v>3</v>
      </c>
      <c r="B10" s="10">
        <f t="shared" ref="B10:S10" si="0">+B9-$B$2</f>
        <v>0.17999999999999972</v>
      </c>
      <c r="C10" s="10">
        <f t="shared" si="0"/>
        <v>1.2100000000000009</v>
      </c>
      <c r="D10" s="10">
        <f t="shared" si="0"/>
        <v>-0.2845416865404502</v>
      </c>
      <c r="E10" s="10">
        <f t="shared" si="0"/>
        <v>-16.045527352978233</v>
      </c>
      <c r="F10" s="10">
        <f t="shared" si="0"/>
        <v>-3.75</v>
      </c>
      <c r="G10" s="10">
        <f>+G9-$B$2</f>
        <v>-1.3280190174326378</v>
      </c>
      <c r="H10" s="10">
        <f t="shared" si="0"/>
        <v>-4.8599999999999994</v>
      </c>
      <c r="I10" s="10">
        <f t="shared" si="0"/>
        <v>-2.8400000000000034</v>
      </c>
      <c r="J10" s="10">
        <f t="shared" si="0"/>
        <v>-8.7700000000000031</v>
      </c>
      <c r="K10" s="10">
        <f t="shared" si="0"/>
        <v>-2.470000000000006</v>
      </c>
      <c r="L10" s="10">
        <f t="shared" si="0"/>
        <v>-2.0000000000003126E-2</v>
      </c>
      <c r="M10" s="10">
        <f t="shared" si="0"/>
        <v>-0.77000000000000313</v>
      </c>
      <c r="N10" s="10">
        <f t="shared" si="0"/>
        <v>2.4541062801930025E-2</v>
      </c>
      <c r="O10" s="10">
        <f t="shared" si="0"/>
        <v>-4.1700000000000017</v>
      </c>
      <c r="P10" s="10">
        <f t="shared" si="0"/>
        <v>-1.5341118975396029</v>
      </c>
      <c r="Q10" s="10">
        <f t="shared" si="0"/>
        <v>-1.9400000000000048</v>
      </c>
      <c r="R10" s="10">
        <f t="shared" si="0"/>
        <v>-2.7800000000000011</v>
      </c>
      <c r="S10" s="10">
        <f t="shared" si="0"/>
        <v>-7.6400000000000006</v>
      </c>
    </row>
    <row r="11" spans="1:19" s="9" customFormat="1">
      <c r="A11" s="121" t="s">
        <v>51</v>
      </c>
      <c r="B11" s="10">
        <v>31.15</v>
      </c>
      <c r="C11" s="10">
        <v>16.38</v>
      </c>
      <c r="D11" s="10">
        <f>220.6/(D45*0.092)/D56</f>
        <v>48.136493111754859</v>
      </c>
      <c r="E11" s="10">
        <f>30.78/D56</f>
        <v>24.541540424174773</v>
      </c>
      <c r="F11" s="10">
        <v>21.63</v>
      </c>
      <c r="G11" s="10">
        <v>22.5</v>
      </c>
      <c r="H11" s="10"/>
      <c r="I11" s="10"/>
      <c r="J11" s="10">
        <v>15.15</v>
      </c>
      <c r="K11" s="10">
        <v>32.75</v>
      </c>
      <c r="L11" s="10">
        <v>22.38</v>
      </c>
      <c r="M11" s="10">
        <v>17.22</v>
      </c>
      <c r="N11" s="10">
        <v>16.61561403508772</v>
      </c>
      <c r="O11" s="10">
        <v>25.72</v>
      </c>
      <c r="P11" s="10">
        <f>116/(P45*0.092)</f>
        <v>20.013802622498275</v>
      </c>
      <c r="Q11" s="10">
        <v>20.73</v>
      </c>
      <c r="R11" s="10">
        <v>18.96</v>
      </c>
      <c r="S11" s="10">
        <f>14.47-0.02</f>
        <v>14.450000000000001</v>
      </c>
    </row>
    <row r="12" spans="1:19" s="9" customFormat="1">
      <c r="A12" s="121" t="s">
        <v>3</v>
      </c>
      <c r="B12" s="10">
        <f t="shared" ref="B12:S12" si="1">+B11-$B$3</f>
        <v>3.9309999999999974</v>
      </c>
      <c r="C12" s="10">
        <f t="shared" si="1"/>
        <v>-10.839000000000002</v>
      </c>
      <c r="D12" s="10">
        <f t="shared" si="1"/>
        <v>20.917493111754858</v>
      </c>
      <c r="E12" s="10">
        <f t="shared" si="1"/>
        <v>-2.6774595758252282</v>
      </c>
      <c r="F12" s="10">
        <f t="shared" si="1"/>
        <v>-5.5890000000000022</v>
      </c>
      <c r="G12" s="10">
        <f>+G11-$B$3</f>
        <v>-4.7190000000000012</v>
      </c>
      <c r="H12" s="10">
        <f t="shared" si="1"/>
        <v>-27.219000000000001</v>
      </c>
      <c r="I12" s="10">
        <f t="shared" si="1"/>
        <v>-27.219000000000001</v>
      </c>
      <c r="J12" s="10">
        <f t="shared" si="1"/>
        <v>-12.069000000000001</v>
      </c>
      <c r="K12" s="10">
        <f t="shared" si="1"/>
        <v>5.5309999999999988</v>
      </c>
      <c r="L12" s="10">
        <f t="shared" si="1"/>
        <v>-4.8390000000000022</v>
      </c>
      <c r="M12" s="10">
        <f t="shared" si="1"/>
        <v>-9.9990000000000023</v>
      </c>
      <c r="N12" s="10">
        <f t="shared" si="1"/>
        <v>-10.603385964912281</v>
      </c>
      <c r="O12" s="10">
        <f t="shared" si="1"/>
        <v>-1.4990000000000023</v>
      </c>
      <c r="P12" s="10">
        <f t="shared" si="1"/>
        <v>-7.205197377501726</v>
      </c>
      <c r="Q12" s="10">
        <f t="shared" si="1"/>
        <v>-6.4890000000000008</v>
      </c>
      <c r="R12" s="10">
        <f t="shared" si="1"/>
        <v>-8.2590000000000003</v>
      </c>
      <c r="S12" s="10">
        <f t="shared" si="1"/>
        <v>-12.769</v>
      </c>
    </row>
    <row r="13" spans="1:19" s="9" customFormat="1">
      <c r="A13" s="121" t="s">
        <v>52</v>
      </c>
      <c r="B13" s="10">
        <v>2.69</v>
      </c>
      <c r="C13" s="10">
        <v>2.75</v>
      </c>
      <c r="D13" s="10">
        <f>350.6/(D46*0.092)/D56</f>
        <v>1.8260134243257042</v>
      </c>
      <c r="E13" s="10">
        <f>1.77/D56</f>
        <v>1.4112581725402646</v>
      </c>
      <c r="F13" s="10">
        <v>2.65</v>
      </c>
      <c r="G13" s="10">
        <v>3.88</v>
      </c>
      <c r="H13" s="10">
        <v>2.74</v>
      </c>
      <c r="I13" s="10">
        <v>3.18</v>
      </c>
      <c r="J13" s="10">
        <v>2.4500000000000002</v>
      </c>
      <c r="K13" s="10">
        <v>1.98</v>
      </c>
      <c r="L13" s="10">
        <v>2.19</v>
      </c>
      <c r="M13" s="10">
        <v>3.35</v>
      </c>
      <c r="N13" s="10">
        <v>1.4367123287671233</v>
      </c>
      <c r="O13" s="10">
        <v>2.58</v>
      </c>
      <c r="P13" s="10">
        <f>238/(P46*0.092)</f>
        <v>2.6451498177291723</v>
      </c>
      <c r="Q13" s="10">
        <v>1.77</v>
      </c>
      <c r="R13" s="10">
        <v>2.58</v>
      </c>
      <c r="S13" s="10">
        <v>1.89</v>
      </c>
    </row>
    <row r="14" spans="1:19" s="9" customFormat="1">
      <c r="A14" s="121" t="s">
        <v>3</v>
      </c>
      <c r="B14" s="10">
        <f t="shared" ref="B14:S14" si="2">+B13-$B$4</f>
        <v>-0.24029999999999996</v>
      </c>
      <c r="C14" s="10">
        <f t="shared" si="2"/>
        <v>-0.1802999999999999</v>
      </c>
      <c r="D14" s="10">
        <f t="shared" si="2"/>
        <v>-1.1042865756742957</v>
      </c>
      <c r="E14" s="10">
        <f t="shared" si="2"/>
        <v>-1.5190418274597353</v>
      </c>
      <c r="F14" s="10">
        <f t="shared" si="2"/>
        <v>-0.28029999999999999</v>
      </c>
      <c r="G14" s="10">
        <f>+G13-$B$4</f>
        <v>0.94969999999999999</v>
      </c>
      <c r="H14" s="10">
        <f t="shared" si="2"/>
        <v>-0.19029999999999969</v>
      </c>
      <c r="I14" s="10">
        <f t="shared" si="2"/>
        <v>0.24970000000000026</v>
      </c>
      <c r="J14" s="10">
        <f t="shared" si="2"/>
        <v>-0.48029999999999973</v>
      </c>
      <c r="K14" s="10">
        <f t="shared" si="2"/>
        <v>-0.95029999999999992</v>
      </c>
      <c r="L14" s="10">
        <f t="shared" si="2"/>
        <v>-0.74029999999999996</v>
      </c>
      <c r="M14" s="10">
        <f t="shared" si="2"/>
        <v>0.41970000000000018</v>
      </c>
      <c r="N14" s="10">
        <f t="shared" si="2"/>
        <v>-1.4935876712328766</v>
      </c>
      <c r="O14" s="10">
        <f t="shared" si="2"/>
        <v>-0.35029999999999983</v>
      </c>
      <c r="P14" s="10">
        <f t="shared" si="2"/>
        <v>-0.28515018227082756</v>
      </c>
      <c r="Q14" s="10">
        <f t="shared" si="2"/>
        <v>-1.1602999999999999</v>
      </c>
      <c r="R14" s="10">
        <f t="shared" si="2"/>
        <v>-0.35029999999999983</v>
      </c>
      <c r="S14" s="10">
        <f t="shared" si="2"/>
        <v>-1.0403</v>
      </c>
    </row>
    <row r="15" spans="1:19" s="9" customFormat="1">
      <c r="A15" s="121" t="s">
        <v>49</v>
      </c>
      <c r="B15" s="10">
        <f>+(1567+269+265)/B48</f>
        <v>36.480761216835674</v>
      </c>
      <c r="C15" s="10">
        <f>(1070+238+81-101.5)/C48</f>
        <v>33.296174371716056</v>
      </c>
      <c r="D15" s="10">
        <f>(2477+2067)/D48/D56</f>
        <v>37.993126610359269</v>
      </c>
      <c r="E15" s="10">
        <f>34.55/D56</f>
        <v>27.547440599585393</v>
      </c>
      <c r="F15" s="10">
        <f>+(231.441+125.707+95.191)/F48</f>
        <v>25.808197250208117</v>
      </c>
      <c r="G15" s="10">
        <f>G65</f>
        <v>37.610271580989334</v>
      </c>
      <c r="H15" s="10">
        <v>31.86</v>
      </c>
      <c r="I15" s="10">
        <v>35.29</v>
      </c>
      <c r="J15" s="10">
        <v>25.67</v>
      </c>
      <c r="K15" s="10">
        <v>24.67</v>
      </c>
      <c r="L15" s="10">
        <f>+(1451.41+180.038+220.402)/L48</f>
        <v>33.662084309871382</v>
      </c>
      <c r="M15" s="20">
        <f>M65</f>
        <v>35.128681672025728</v>
      </c>
      <c r="N15" s="10">
        <v>29.691804878048782</v>
      </c>
      <c r="O15" s="10">
        <f>439/O48</f>
        <v>29.504010036291945</v>
      </c>
      <c r="P15" s="10">
        <f>P65</f>
        <v>27.770973668095532</v>
      </c>
      <c r="Q15" s="10">
        <f>Q65</f>
        <v>34.574295246038368</v>
      </c>
      <c r="R15" s="10">
        <v>33.72</v>
      </c>
      <c r="S15" s="10">
        <f>S65</f>
        <v>12.146827612384511</v>
      </c>
    </row>
    <row r="16" spans="1:19" s="9" customFormat="1">
      <c r="A16" s="121"/>
      <c r="B16" s="10"/>
      <c r="C16" s="10"/>
      <c r="D16" s="10"/>
      <c r="E16" s="10"/>
      <c r="F16" s="10"/>
      <c r="G16" s="10"/>
      <c r="H16" s="10"/>
      <c r="I16" s="10"/>
      <c r="J16" s="10"/>
      <c r="K16" s="10"/>
      <c r="L16" s="10"/>
      <c r="M16" s="20"/>
      <c r="N16" s="10"/>
      <c r="O16" s="10"/>
      <c r="P16" s="10"/>
      <c r="Q16" s="10"/>
      <c r="R16" s="10"/>
      <c r="S16" s="10"/>
    </row>
    <row r="17" spans="1:20" s="9" customFormat="1">
      <c r="A17" s="121" t="s">
        <v>4</v>
      </c>
      <c r="B17" s="10"/>
      <c r="C17" s="10"/>
      <c r="D17" s="10"/>
      <c r="E17" s="10"/>
      <c r="F17" s="10"/>
      <c r="G17" s="10"/>
      <c r="H17" s="10"/>
      <c r="I17" s="10"/>
      <c r="J17" s="10"/>
      <c r="K17" s="10"/>
      <c r="L17" s="10"/>
      <c r="M17" s="20"/>
      <c r="N17" s="10"/>
      <c r="O17" s="10"/>
      <c r="P17" s="10"/>
      <c r="Q17" s="10"/>
      <c r="R17" s="10"/>
      <c r="S17" s="10"/>
    </row>
    <row r="18" spans="1:20" s="9" customFormat="1">
      <c r="A18" s="120" t="s">
        <v>75</v>
      </c>
      <c r="B18" s="10">
        <f>+(257+220)/B48</f>
        <v>8.2824003333796359</v>
      </c>
      <c r="C18" s="10">
        <f>(358+39)/C48</f>
        <v>10.266859204327204</v>
      </c>
      <c r="D18" s="20">
        <f>(746+480+829+246)/D48/D56</f>
        <v>19.239037044550322</v>
      </c>
      <c r="E18" s="10">
        <f>(5.11+7.92)/D56</f>
        <v>10.389092648700368</v>
      </c>
      <c r="F18" s="10">
        <f>+(65.41+58.387)/F48</f>
        <v>7.0632366322249771</v>
      </c>
      <c r="G18" s="10">
        <f>(1224)/G48</f>
        <v>12.904314089318095</v>
      </c>
      <c r="H18" s="10">
        <f>84.514/H48</f>
        <v>3.7836783366917679</v>
      </c>
      <c r="I18" s="10">
        <f>106/I48</f>
        <v>5.9647805592870879</v>
      </c>
      <c r="J18" s="10">
        <f>391/J48</f>
        <v>8.0619664875118566</v>
      </c>
      <c r="K18" s="10">
        <f>6.5+4.41</f>
        <v>10.91</v>
      </c>
      <c r="L18" s="10">
        <f>+(251.943+183.565+32.59)/L48</f>
        <v>8.5088718531642282</v>
      </c>
      <c r="M18" s="20">
        <f>(310+140)/M48</f>
        <v>15.727666713267162</v>
      </c>
      <c r="N18" s="10">
        <f>(194+109)/N48</f>
        <v>8.0328738069989392</v>
      </c>
      <c r="O18" s="10">
        <f>+(53+80)/O48</f>
        <v>8.9385725166898151</v>
      </c>
      <c r="P18" s="10">
        <f>+(151+93)/P48</f>
        <v>7.4709124311083901</v>
      </c>
      <c r="Q18" s="10">
        <v>11.25</v>
      </c>
      <c r="R18" s="10">
        <f>1.02+0.8+4.48-0.29</f>
        <v>6.0100000000000007</v>
      </c>
      <c r="S18" s="10">
        <f>0.91*6</f>
        <v>5.46</v>
      </c>
    </row>
    <row r="19" spans="1:20" s="9" customFormat="1">
      <c r="A19" s="120" t="s">
        <v>74</v>
      </c>
      <c r="B19" s="10"/>
      <c r="C19" s="10"/>
      <c r="D19" s="10">
        <f>259/D48/D56</f>
        <v>2.1655413274830657</v>
      </c>
      <c r="E19" s="10">
        <f>1.52/D56</f>
        <v>1.2119279221814703</v>
      </c>
      <c r="F19" s="10"/>
      <c r="G19" s="10"/>
      <c r="H19" s="10"/>
      <c r="I19" s="10"/>
      <c r="J19" s="10"/>
      <c r="K19" s="10"/>
      <c r="L19" s="10"/>
      <c r="M19" s="20"/>
      <c r="N19" s="10"/>
      <c r="O19" s="10"/>
      <c r="P19" s="10"/>
      <c r="Q19" s="10"/>
      <c r="R19" s="10"/>
      <c r="S19" s="10"/>
    </row>
    <row r="20" spans="1:20" s="9" customFormat="1">
      <c r="A20" s="120" t="s">
        <v>10</v>
      </c>
      <c r="B20" s="10">
        <f>(159-11.215)/B48</f>
        <v>2.5660682039172107</v>
      </c>
      <c r="C20" s="10">
        <f>46/C48</f>
        <v>1.1896108901739331</v>
      </c>
      <c r="D20" s="10"/>
      <c r="E20" s="10">
        <f>0.01/D56</f>
        <v>7.9732100143517781E-3</v>
      </c>
      <c r="F20" s="10">
        <f>24.314/F48</f>
        <v>1.3872350337723702</v>
      </c>
      <c r="G20" s="10">
        <f>175/G48</f>
        <v>1.8449795470838779</v>
      </c>
      <c r="H20" s="10">
        <f>51.264/H48</f>
        <v>2.2950811256379628</v>
      </c>
      <c r="I20" s="10">
        <f>48/I48</f>
        <v>2.7010327060922661</v>
      </c>
      <c r="J20" s="10">
        <f>71/J48</f>
        <v>1.4639376486274727</v>
      </c>
      <c r="K20" s="10">
        <f>27/K48</f>
        <v>1.0333741579914268</v>
      </c>
      <c r="L20" s="10">
        <f>125.912/L48</f>
        <v>2.288770882968127</v>
      </c>
      <c r="M20" s="20">
        <f>27/M48</f>
        <v>0.94366000279602968</v>
      </c>
      <c r="N20" s="10">
        <f>44/N48</f>
        <v>1.166489925768823</v>
      </c>
      <c r="O20" s="10">
        <f>16/O48</f>
        <v>1.0753169944890002</v>
      </c>
      <c r="P20" s="10">
        <f>36/P48</f>
        <v>1.1022657685241888</v>
      </c>
      <c r="Q20" s="10">
        <v>1.29</v>
      </c>
      <c r="R20" s="10">
        <v>2.1</v>
      </c>
      <c r="S20" s="10">
        <f>0.1*6</f>
        <v>0.60000000000000009</v>
      </c>
    </row>
    <row r="21" spans="1:20" s="9" customFormat="1">
      <c r="A21" s="120" t="s">
        <v>11</v>
      </c>
      <c r="B21" s="10">
        <f>+(280-12.158)/B48</f>
        <v>4.6506806500902904</v>
      </c>
      <c r="C21" s="10">
        <f>98/C48</f>
        <v>2.5343884181966398</v>
      </c>
      <c r="D21" s="10">
        <f>(114+73)/D48/D56</f>
        <v>1.5635375607696265</v>
      </c>
      <c r="E21" s="10">
        <f>116/E48/D56</f>
        <v>2.0994068897632858</v>
      </c>
      <c r="F21" s="74">
        <f>+(21.039+7.038+18.846+5.485)/F48</f>
        <v>2.9901379308193787</v>
      </c>
      <c r="G21" s="10">
        <f>132/G48</f>
        <v>1.3916417155146965</v>
      </c>
      <c r="H21" s="10">
        <f>44.006/H48</f>
        <v>1.9701416201393609</v>
      </c>
      <c r="I21" s="10">
        <f>64/I48</f>
        <v>3.6013769414563548</v>
      </c>
      <c r="J21" s="10">
        <f>(196-30-19)/J48</f>
        <v>3.0309694978625137</v>
      </c>
      <c r="K21" s="10">
        <f>(43+28)/K48</f>
        <v>2.7173913043478262</v>
      </c>
      <c r="L21" s="10">
        <f>111.717/L48</f>
        <v>2.0307406500774365</v>
      </c>
      <c r="M21" s="20">
        <f>(113-3)/M48</f>
        <v>3.844540752131973</v>
      </c>
      <c r="N21" s="10">
        <f>97/N48</f>
        <v>2.5715800636267234</v>
      </c>
      <c r="O21" s="10">
        <f>53/O48</f>
        <v>3.5619875442448135</v>
      </c>
      <c r="P21" s="10">
        <f>(102-3.087)/P48</f>
        <v>3.0285670545009187</v>
      </c>
      <c r="Q21" s="10">
        <v>3.88</v>
      </c>
      <c r="R21" s="10">
        <f>81/R48</f>
        <v>3.1933286921870838</v>
      </c>
      <c r="S21" s="10">
        <f>0.23*6</f>
        <v>1.3800000000000001</v>
      </c>
    </row>
    <row r="22" spans="1:20" s="9" customFormat="1">
      <c r="A22" s="120" t="s">
        <v>12</v>
      </c>
      <c r="B22" s="10">
        <f>+(230-35.544)/B48</f>
        <v>3.376441172385054</v>
      </c>
      <c r="C22" s="10">
        <f>113/C48</f>
        <v>2.9223050128185744</v>
      </c>
      <c r="D22" s="10">
        <f>204/D48/D56</f>
        <v>1.7056773390214106</v>
      </c>
      <c r="E22" s="10">
        <f>168/E48/D56</f>
        <v>3.0405203231054485</v>
      </c>
      <c r="F22" s="10">
        <f>16.838/F48</f>
        <v>0.96069192640697409</v>
      </c>
      <c r="G22" s="10">
        <f>251/G48</f>
        <v>2.6462278075317336</v>
      </c>
      <c r="H22" s="10">
        <f>74.756/H48</f>
        <v>3.3468142288582934</v>
      </c>
      <c r="I22" s="10">
        <f>39/I48</f>
        <v>2.1945890736999663</v>
      </c>
      <c r="J22" s="10">
        <f>97/J48</f>
        <v>2.0000274917868288</v>
      </c>
      <c r="K22" s="10">
        <f>101/K48</f>
        <v>3.8655848132271893</v>
      </c>
      <c r="L22" s="10">
        <f>69.082/L48</f>
        <v>1.2557410742201229</v>
      </c>
      <c r="M22" s="20">
        <f>(95-7)/M48</f>
        <v>3.0756326017055784</v>
      </c>
      <c r="N22" s="10">
        <f>(35+47)/N48</f>
        <v>2.1739130434782608</v>
      </c>
      <c r="O22" s="10">
        <f>37/O48</f>
        <v>2.486670549755813</v>
      </c>
      <c r="P22" s="10">
        <f>+(100-1.493)/P48</f>
        <v>3.0161359461114516</v>
      </c>
      <c r="Q22" s="10">
        <f>91/Q48</f>
        <v>1.6499256626899228</v>
      </c>
      <c r="R22" s="10">
        <f>37/R48</f>
        <v>1.4586810075422483</v>
      </c>
      <c r="S22" s="10">
        <f>+(58)/S48</f>
        <v>1.5010481456879361</v>
      </c>
    </row>
    <row r="23" spans="1:20" s="9" customFormat="1">
      <c r="A23" s="120" t="s">
        <v>13</v>
      </c>
      <c r="B23" s="10">
        <f>+(1083-72.539)/B48</f>
        <v>17.545162522572578</v>
      </c>
      <c r="C23" s="10">
        <f>524/C48</f>
        <v>13.551219705459584</v>
      </c>
      <c r="D23" s="10">
        <f>(324+945)/D48/D56</f>
        <v>10.610316388324364</v>
      </c>
      <c r="E23" s="10">
        <f>552/E48/D56</f>
        <v>9.9902810616321869</v>
      </c>
      <c r="F23" s="10">
        <f>112.893/F48</f>
        <v>6.4411090181650152</v>
      </c>
      <c r="G23" s="10">
        <f>1608/G48</f>
        <v>16.952726352633576</v>
      </c>
      <c r="H23" s="10">
        <f>420.243/H48</f>
        <v>18.81421226360554</v>
      </c>
      <c r="I23" s="10">
        <f>284/I48</f>
        <v>15.981110177712575</v>
      </c>
      <c r="J23" s="10">
        <f>+(400-136.3)/J48</f>
        <v>5.4371881400431619</v>
      </c>
      <c r="K23" s="10">
        <f>210/K48</f>
        <v>8.0373545621555422</v>
      </c>
      <c r="L23" s="10">
        <f>846.222/L48</f>
        <v>15.382237389026098</v>
      </c>
      <c r="M23" s="20">
        <v>24.79</v>
      </c>
      <c r="N23" s="10">
        <f>641/N48</f>
        <v>16.993637327677625</v>
      </c>
      <c r="O23" s="10">
        <f>124/O48</f>
        <v>8.3337067072897515</v>
      </c>
      <c r="P23" s="10">
        <f>+(523-3.562)/P48</f>
        <v>15.904409063074098</v>
      </c>
      <c r="Q23" s="10">
        <v>14.74</v>
      </c>
      <c r="R23" s="10">
        <f>355/R48</f>
        <v>13.995452910202651</v>
      </c>
      <c r="S23" s="10">
        <f>120/S48</f>
        <v>3.1056168531474539</v>
      </c>
    </row>
    <row r="24" spans="1:20" s="9" customFormat="1">
      <c r="A24" s="120"/>
      <c r="B24" s="10"/>
      <c r="C24" s="10"/>
      <c r="D24" s="10"/>
      <c r="E24" s="10"/>
      <c r="F24" s="10"/>
      <c r="G24" s="10"/>
      <c r="H24" s="10"/>
      <c r="I24" s="10"/>
      <c r="J24" s="10"/>
      <c r="K24" s="10"/>
      <c r="L24" s="10"/>
      <c r="M24" s="20"/>
      <c r="N24" s="10"/>
      <c r="O24" s="10"/>
      <c r="P24" s="10"/>
      <c r="Q24" s="10"/>
      <c r="R24" s="10"/>
      <c r="S24" s="10"/>
    </row>
    <row r="25" spans="1:20" s="9" customFormat="1">
      <c r="A25" s="121" t="s">
        <v>9</v>
      </c>
      <c r="B25" s="8"/>
      <c r="C25" s="8"/>
      <c r="D25" s="8"/>
      <c r="E25" s="8"/>
      <c r="F25" s="8"/>
      <c r="G25" s="8"/>
      <c r="H25" s="8"/>
      <c r="I25" s="8"/>
      <c r="J25" s="8"/>
      <c r="K25" s="8"/>
      <c r="L25" s="8"/>
      <c r="M25" s="19"/>
      <c r="N25" s="8"/>
      <c r="O25" s="8"/>
      <c r="P25" s="8"/>
      <c r="Q25" s="8"/>
      <c r="R25" s="8"/>
      <c r="S25" s="8"/>
    </row>
    <row r="26" spans="1:20" s="9" customFormat="1">
      <c r="A26" s="120" t="s">
        <v>165</v>
      </c>
      <c r="B26" s="10">
        <f>+B18+B20</f>
        <v>10.848468537296846</v>
      </c>
      <c r="C26" s="10">
        <f>+C18+C20</f>
        <v>11.456470094501137</v>
      </c>
      <c r="D26" s="10">
        <f>+D18+D20+D19</f>
        <v>21.404578372033388</v>
      </c>
      <c r="E26" s="10">
        <f>+E18+E20+E19</f>
        <v>11.60899378089619</v>
      </c>
      <c r="F26" s="10">
        <f>+F18+F20</f>
        <v>8.4504716659973482</v>
      </c>
      <c r="G26" s="10">
        <f>+G18+G20</f>
        <v>14.749293636401973</v>
      </c>
      <c r="H26" s="10">
        <f t="shared" ref="H26:S26" si="3">+H18+H20</f>
        <v>6.0787594623297307</v>
      </c>
      <c r="I26" s="10">
        <f>+I18+I20</f>
        <v>8.665813265379354</v>
      </c>
      <c r="J26" s="10">
        <f t="shared" si="3"/>
        <v>9.5259041361393297</v>
      </c>
      <c r="K26" s="10">
        <f t="shared" si="3"/>
        <v>11.943374157991427</v>
      </c>
      <c r="L26" s="10">
        <f t="shared" si="3"/>
        <v>10.797642736132355</v>
      </c>
      <c r="M26" s="20">
        <f t="shared" si="3"/>
        <v>16.671326716063191</v>
      </c>
      <c r="N26" s="10">
        <f t="shared" si="3"/>
        <v>9.1993637327677629</v>
      </c>
      <c r="O26" s="10">
        <f t="shared" si="3"/>
        <v>10.013889511178816</v>
      </c>
      <c r="P26" s="10">
        <f t="shared" si="3"/>
        <v>8.5731781996325793</v>
      </c>
      <c r="Q26" s="10">
        <f t="shared" si="3"/>
        <v>12.54</v>
      </c>
      <c r="R26" s="10">
        <f t="shared" si="3"/>
        <v>8.1100000000000012</v>
      </c>
      <c r="S26" s="10">
        <f t="shared" si="3"/>
        <v>6.0600000000000005</v>
      </c>
    </row>
    <row r="27" spans="1:20" s="9" customFormat="1">
      <c r="A27" s="120" t="s">
        <v>6</v>
      </c>
      <c r="B27" s="10">
        <f t="shared" ref="B27:S29" si="4">+B26+B21</f>
        <v>15.499149187387136</v>
      </c>
      <c r="C27" s="10">
        <f t="shared" si="4"/>
        <v>13.990858512697777</v>
      </c>
      <c r="D27" s="10">
        <f>+D26+D21</f>
        <v>22.968115932803016</v>
      </c>
      <c r="E27" s="10">
        <f t="shared" ref="E27:F29" si="5">+E26+E21</f>
        <v>13.708400670659476</v>
      </c>
      <c r="F27" s="10">
        <f t="shared" si="5"/>
        <v>11.440609596816728</v>
      </c>
      <c r="G27" s="10">
        <f>+G26+G21</f>
        <v>16.140935351916671</v>
      </c>
      <c r="H27" s="10">
        <f t="shared" si="4"/>
        <v>8.0489010824690919</v>
      </c>
      <c r="I27" s="10">
        <f>+I26+I21</f>
        <v>12.267190206835709</v>
      </c>
      <c r="J27" s="10">
        <f t="shared" si="4"/>
        <v>12.556873634001843</v>
      </c>
      <c r="K27" s="10">
        <f t="shared" si="4"/>
        <v>14.660765462339253</v>
      </c>
      <c r="L27" s="10">
        <f t="shared" si="4"/>
        <v>12.828383386209792</v>
      </c>
      <c r="M27" s="20">
        <f t="shared" si="4"/>
        <v>20.515867468195164</v>
      </c>
      <c r="N27" s="10">
        <f t="shared" si="4"/>
        <v>11.770943796394487</v>
      </c>
      <c r="O27" s="10">
        <f t="shared" si="4"/>
        <v>13.575877055423629</v>
      </c>
      <c r="P27" s="10">
        <f t="shared" si="4"/>
        <v>11.601745254133498</v>
      </c>
      <c r="Q27" s="10">
        <f t="shared" si="4"/>
        <v>16.419999999999998</v>
      </c>
      <c r="R27" s="10">
        <f t="shared" si="4"/>
        <v>11.303328692187085</v>
      </c>
      <c r="S27" s="10">
        <f t="shared" si="4"/>
        <v>7.44</v>
      </c>
    </row>
    <row r="28" spans="1:20" s="9" customFormat="1">
      <c r="A28" s="120" t="s">
        <v>7</v>
      </c>
      <c r="B28" s="10">
        <f t="shared" si="4"/>
        <v>18.87559035977219</v>
      </c>
      <c r="C28" s="10">
        <f t="shared" si="4"/>
        <v>16.913163525516353</v>
      </c>
      <c r="D28" s="10">
        <f t="shared" si="4"/>
        <v>24.673793271824426</v>
      </c>
      <c r="E28" s="10">
        <f t="shared" si="5"/>
        <v>16.748920993764923</v>
      </c>
      <c r="F28" s="10">
        <f t="shared" si="5"/>
        <v>12.401301523223703</v>
      </c>
      <c r="G28" s="10">
        <f>+G27+G22</f>
        <v>18.787163159448404</v>
      </c>
      <c r="H28" s="10">
        <f t="shared" si="4"/>
        <v>11.395715311327386</v>
      </c>
      <c r="I28" s="10">
        <f>+I27+I22</f>
        <v>14.461779280535675</v>
      </c>
      <c r="J28" s="10">
        <f t="shared" si="4"/>
        <v>14.556901125788672</v>
      </c>
      <c r="K28" s="10">
        <f t="shared" si="4"/>
        <v>18.526350275566443</v>
      </c>
      <c r="L28" s="10">
        <f t="shared" si="4"/>
        <v>14.084124460429916</v>
      </c>
      <c r="M28" s="20">
        <f t="shared" si="4"/>
        <v>23.591500069900743</v>
      </c>
      <c r="N28" s="10">
        <f t="shared" si="4"/>
        <v>13.944856839872749</v>
      </c>
      <c r="O28" s="10">
        <f t="shared" si="4"/>
        <v>16.062547605179443</v>
      </c>
      <c r="P28" s="10">
        <f t="shared" si="4"/>
        <v>14.617881200244948</v>
      </c>
      <c r="Q28" s="10">
        <f t="shared" si="4"/>
        <v>18.069925662689922</v>
      </c>
      <c r="R28" s="10">
        <f t="shared" si="4"/>
        <v>12.762009699729333</v>
      </c>
      <c r="S28" s="10">
        <f t="shared" si="4"/>
        <v>8.9410481456879367</v>
      </c>
      <c r="T28" s="65"/>
    </row>
    <row r="29" spans="1:20" s="9" customFormat="1">
      <c r="A29" s="120" t="s">
        <v>8</v>
      </c>
      <c r="B29" s="10">
        <f t="shared" si="4"/>
        <v>36.420752882344772</v>
      </c>
      <c r="C29" s="10">
        <f t="shared" si="4"/>
        <v>30.464383230975937</v>
      </c>
      <c r="D29" s="10">
        <f t="shared" si="4"/>
        <v>35.284109660148786</v>
      </c>
      <c r="E29" s="10">
        <f t="shared" si="5"/>
        <v>26.739202055397108</v>
      </c>
      <c r="F29" s="10">
        <f t="shared" si="5"/>
        <v>18.842410541388716</v>
      </c>
      <c r="G29" s="10">
        <f>+G28+G23</f>
        <v>35.73988951208198</v>
      </c>
      <c r="H29" s="10">
        <f t="shared" si="4"/>
        <v>30.209927574932927</v>
      </c>
      <c r="I29" s="10">
        <f>+I28+I23</f>
        <v>30.442889458248249</v>
      </c>
      <c r="J29" s="10">
        <f t="shared" si="4"/>
        <v>19.994089265831832</v>
      </c>
      <c r="K29" s="10">
        <f t="shared" si="4"/>
        <v>26.563704837721986</v>
      </c>
      <c r="L29" s="10">
        <f t="shared" si="4"/>
        <v>29.466361849456014</v>
      </c>
      <c r="M29" s="20">
        <f t="shared" si="4"/>
        <v>48.381500069900738</v>
      </c>
      <c r="N29" s="10">
        <f t="shared" si="4"/>
        <v>30.938494167550374</v>
      </c>
      <c r="O29" s="10">
        <f t="shared" si="4"/>
        <v>24.396254312469196</v>
      </c>
      <c r="P29" s="10">
        <f t="shared" si="4"/>
        <v>30.522290263319046</v>
      </c>
      <c r="Q29" s="10">
        <f t="shared" si="4"/>
        <v>32.809925662689921</v>
      </c>
      <c r="R29" s="10">
        <f t="shared" si="4"/>
        <v>26.757462609931984</v>
      </c>
      <c r="S29" s="10">
        <f t="shared" si="4"/>
        <v>12.046664998835391</v>
      </c>
      <c r="T29" s="65"/>
    </row>
    <row r="30" spans="1:20" s="9" customFormat="1">
      <c r="A30" s="121"/>
      <c r="B30" s="10"/>
      <c r="C30" s="10"/>
      <c r="D30" s="10"/>
      <c r="E30" s="10"/>
      <c r="F30" s="10"/>
      <c r="G30" s="10"/>
      <c r="H30" s="10"/>
      <c r="I30" s="10"/>
      <c r="J30" s="10"/>
      <c r="K30" s="10"/>
      <c r="L30" s="10"/>
      <c r="M30" s="10"/>
      <c r="N30" s="10"/>
      <c r="O30" s="10"/>
      <c r="P30" s="10"/>
      <c r="Q30" s="10"/>
      <c r="R30" s="10"/>
      <c r="S30" s="10"/>
    </row>
    <row r="31" spans="1:20" s="9" customFormat="1">
      <c r="A31" s="120" t="s">
        <v>14</v>
      </c>
      <c r="B31" s="10"/>
      <c r="C31" s="10"/>
      <c r="D31" s="10"/>
      <c r="E31" s="10"/>
      <c r="F31" s="10"/>
      <c r="G31" s="10"/>
      <c r="H31" s="10"/>
      <c r="I31" s="10"/>
      <c r="J31" s="10"/>
      <c r="K31" s="10"/>
      <c r="L31" s="10"/>
      <c r="M31" s="20"/>
      <c r="N31" s="10"/>
      <c r="O31" s="10"/>
      <c r="P31" s="10"/>
      <c r="Q31" s="10"/>
      <c r="R31" s="10"/>
      <c r="S31" s="10"/>
    </row>
    <row r="32" spans="1:20" s="9" customFormat="1">
      <c r="A32" s="120" t="s">
        <v>67</v>
      </c>
      <c r="B32" s="10">
        <f t="shared" ref="B32:S35" si="6">+B$15-B26</f>
        <v>25.632292679538828</v>
      </c>
      <c r="C32" s="10">
        <f t="shared" si="6"/>
        <v>21.839704277214921</v>
      </c>
      <c r="D32" s="10">
        <f t="shared" si="6"/>
        <v>16.588548238325881</v>
      </c>
      <c r="E32" s="10">
        <f t="shared" si="6"/>
        <v>15.938446818689203</v>
      </c>
      <c r="F32" s="10">
        <f t="shared" si="6"/>
        <v>17.357725584210769</v>
      </c>
      <c r="G32" s="10">
        <f>+G$15-G26</f>
        <v>22.860977944587361</v>
      </c>
      <c r="H32" s="10">
        <f t="shared" si="6"/>
        <v>25.781240537670268</v>
      </c>
      <c r="I32" s="10">
        <f>+I$15-I26</f>
        <v>26.624186734620643</v>
      </c>
      <c r="J32" s="10">
        <f t="shared" si="6"/>
        <v>16.14409586386067</v>
      </c>
      <c r="K32" s="10">
        <f t="shared" si="6"/>
        <v>12.726625842008575</v>
      </c>
      <c r="L32" s="10">
        <f t="shared" si="6"/>
        <v>22.864441573739029</v>
      </c>
      <c r="M32" s="20">
        <f t="shared" si="6"/>
        <v>18.457354955962536</v>
      </c>
      <c r="N32" s="10">
        <f t="shared" si="6"/>
        <v>20.49244114528102</v>
      </c>
      <c r="O32" s="10">
        <f t="shared" si="6"/>
        <v>19.490120525113127</v>
      </c>
      <c r="P32" s="10">
        <f t="shared" si="6"/>
        <v>19.197795468462953</v>
      </c>
      <c r="Q32" s="10">
        <f t="shared" si="6"/>
        <v>22.034295246038369</v>
      </c>
      <c r="R32" s="10">
        <f t="shared" si="6"/>
        <v>25.61</v>
      </c>
      <c r="S32" s="10">
        <f t="shared" si="6"/>
        <v>6.0868276123845106</v>
      </c>
    </row>
    <row r="33" spans="1:19" s="9" customFormat="1">
      <c r="A33" s="120" t="s">
        <v>68</v>
      </c>
      <c r="B33" s="10">
        <f t="shared" si="6"/>
        <v>20.981612029448538</v>
      </c>
      <c r="C33" s="10">
        <f t="shared" si="6"/>
        <v>19.305315859018279</v>
      </c>
      <c r="D33" s="10">
        <f t="shared" si="6"/>
        <v>15.025010677556253</v>
      </c>
      <c r="E33" s="10">
        <f t="shared" si="6"/>
        <v>13.839039928925917</v>
      </c>
      <c r="F33" s="10">
        <f t="shared" si="6"/>
        <v>14.367587653391389</v>
      </c>
      <c r="G33" s="10">
        <f>+G$15-G27</f>
        <v>21.469336229072663</v>
      </c>
      <c r="H33" s="10">
        <f t="shared" si="6"/>
        <v>23.811098917530906</v>
      </c>
      <c r="I33" s="10">
        <f>+I$15-I27</f>
        <v>23.022809793164292</v>
      </c>
      <c r="J33" s="10">
        <f t="shared" si="6"/>
        <v>13.113126365998159</v>
      </c>
      <c r="K33" s="10">
        <f t="shared" si="6"/>
        <v>10.009234537660749</v>
      </c>
      <c r="L33" s="10">
        <f t="shared" si="6"/>
        <v>20.833700923661588</v>
      </c>
      <c r="M33" s="20">
        <f t="shared" si="6"/>
        <v>14.612814203830563</v>
      </c>
      <c r="N33" s="10">
        <f t="shared" si="6"/>
        <v>17.920861081654294</v>
      </c>
      <c r="O33" s="10">
        <f t="shared" si="6"/>
        <v>15.928132980868316</v>
      </c>
      <c r="P33" s="10">
        <f t="shared" si="6"/>
        <v>16.169228413962035</v>
      </c>
      <c r="Q33" s="10">
        <f t="shared" si="6"/>
        <v>18.15429524603837</v>
      </c>
      <c r="R33" s="10">
        <f t="shared" si="6"/>
        <v>22.416671307812912</v>
      </c>
      <c r="S33" s="10">
        <f t="shared" si="6"/>
        <v>4.7068276123845108</v>
      </c>
    </row>
    <row r="34" spans="1:19" s="9" customFormat="1">
      <c r="A34" s="120" t="s">
        <v>69</v>
      </c>
      <c r="B34" s="10">
        <f t="shared" si="6"/>
        <v>17.605170857063484</v>
      </c>
      <c r="C34" s="10">
        <f t="shared" si="6"/>
        <v>16.383010846199703</v>
      </c>
      <c r="D34" s="10">
        <f t="shared" si="6"/>
        <v>13.319333338534843</v>
      </c>
      <c r="E34" s="10">
        <f t="shared" si="6"/>
        <v>10.79851960582047</v>
      </c>
      <c r="F34" s="10">
        <f>+F$15-F28</f>
        <v>13.406895726984414</v>
      </c>
      <c r="G34" s="10">
        <f>+G$15-G28</f>
        <v>18.82310842154093</v>
      </c>
      <c r="H34" s="10">
        <f t="shared" si="6"/>
        <v>20.464284688672613</v>
      </c>
      <c r="I34" s="10">
        <f>+I$15-I28</f>
        <v>20.828220719464326</v>
      </c>
      <c r="J34" s="10">
        <f t="shared" si="6"/>
        <v>11.11309887421133</v>
      </c>
      <c r="K34" s="10">
        <f t="shared" si="6"/>
        <v>6.1436497244335584</v>
      </c>
      <c r="L34" s="10">
        <f t="shared" si="6"/>
        <v>19.577959849441466</v>
      </c>
      <c r="M34" s="20">
        <f t="shared" si="6"/>
        <v>11.537181602124985</v>
      </c>
      <c r="N34" s="10">
        <f t="shared" si="6"/>
        <v>15.746948038176033</v>
      </c>
      <c r="O34" s="10">
        <f t="shared" si="6"/>
        <v>13.441462431112502</v>
      </c>
      <c r="P34" s="10">
        <f t="shared" si="6"/>
        <v>13.153092467850584</v>
      </c>
      <c r="Q34" s="10">
        <f t="shared" si="6"/>
        <v>16.504369583348446</v>
      </c>
      <c r="R34" s="10">
        <f t="shared" si="6"/>
        <v>20.957990300270666</v>
      </c>
      <c r="S34" s="10">
        <f t="shared" si="6"/>
        <v>3.2057794666965744</v>
      </c>
    </row>
    <row r="35" spans="1:19" s="9" customFormat="1">
      <c r="A35" s="120" t="s">
        <v>70</v>
      </c>
      <c r="B35" s="10">
        <f t="shared" si="6"/>
        <v>6.0008334490902371E-2</v>
      </c>
      <c r="C35" s="10">
        <f t="shared" si="6"/>
        <v>2.8317911407401191</v>
      </c>
      <c r="D35" s="10">
        <f t="shared" si="6"/>
        <v>2.7090169502104828</v>
      </c>
      <c r="E35" s="10">
        <f t="shared" si="6"/>
        <v>0.80823854418828489</v>
      </c>
      <c r="F35" s="10">
        <f t="shared" si="6"/>
        <v>6.965786708819401</v>
      </c>
      <c r="G35" s="10">
        <f>+G$15-G29</f>
        <v>1.8703820689073538</v>
      </c>
      <c r="H35" s="10">
        <f t="shared" si="6"/>
        <v>1.6500724250670729</v>
      </c>
      <c r="I35" s="10">
        <f>+I$15-I29</f>
        <v>4.8471105417517499</v>
      </c>
      <c r="J35" s="10">
        <f t="shared" si="6"/>
        <v>5.6759107341681698</v>
      </c>
      <c r="K35" s="10">
        <f t="shared" si="6"/>
        <v>-1.8937048377219838</v>
      </c>
      <c r="L35" s="10">
        <f t="shared" si="6"/>
        <v>4.195722460415368</v>
      </c>
      <c r="M35" s="20">
        <f t="shared" si="6"/>
        <v>-13.252818397875011</v>
      </c>
      <c r="N35" s="10">
        <f t="shared" si="6"/>
        <v>-1.2466892895015924</v>
      </c>
      <c r="O35" s="10">
        <f t="shared" si="6"/>
        <v>5.1077557238227485</v>
      </c>
      <c r="P35" s="10">
        <f t="shared" si="6"/>
        <v>-2.7513165952235141</v>
      </c>
      <c r="Q35" s="10">
        <f t="shared" si="6"/>
        <v>1.7643695833484472</v>
      </c>
      <c r="R35" s="10">
        <f t="shared" si="6"/>
        <v>6.9625373900680145</v>
      </c>
      <c r="S35" s="10">
        <f t="shared" si="6"/>
        <v>0.10016261354912004</v>
      </c>
    </row>
    <row r="36" spans="1:19" s="9" customFormat="1">
      <c r="A36" s="120" t="s">
        <v>112</v>
      </c>
      <c r="B36" s="10">
        <f>+B15-B18-B19-B20-B21</f>
        <v>20.981612029448538</v>
      </c>
      <c r="C36" s="10">
        <f t="shared" ref="C36:S36" si="7">+C15-C18-C19-C20-C21</f>
        <v>19.305315859018279</v>
      </c>
      <c r="D36" s="10">
        <f t="shared" si="7"/>
        <v>15.025010677556255</v>
      </c>
      <c r="E36" s="10">
        <f t="shared" si="7"/>
        <v>13.839039928925915</v>
      </c>
      <c r="F36" s="10">
        <f t="shared" si="7"/>
        <v>14.367587653391389</v>
      </c>
      <c r="G36" s="10">
        <f>+G15-G18-G19-G20-G21</f>
        <v>21.469336229072663</v>
      </c>
      <c r="H36" s="10">
        <f t="shared" si="7"/>
        <v>23.811098917530906</v>
      </c>
      <c r="I36" s="10">
        <f>+I15-I18-I19-I20-I21</f>
        <v>23.022809793164289</v>
      </c>
      <c r="J36" s="10">
        <f t="shared" si="7"/>
        <v>13.113126365998159</v>
      </c>
      <c r="K36" s="10">
        <f t="shared" si="7"/>
        <v>10.009234537660749</v>
      </c>
      <c r="L36" s="10">
        <f t="shared" si="7"/>
        <v>20.833700923661588</v>
      </c>
      <c r="M36" s="10">
        <f>+M15-M18-M19-M20-M21</f>
        <v>14.612814203830563</v>
      </c>
      <c r="N36" s="10">
        <f t="shared" si="7"/>
        <v>17.920861081654298</v>
      </c>
      <c r="O36" s="10">
        <f t="shared" si="7"/>
        <v>15.928132980868314</v>
      </c>
      <c r="P36" s="10">
        <f t="shared" si="7"/>
        <v>16.169228413962035</v>
      </c>
      <c r="Q36" s="10">
        <f t="shared" si="7"/>
        <v>18.15429524603837</v>
      </c>
      <c r="R36" s="10">
        <f t="shared" si="7"/>
        <v>22.416671307812912</v>
      </c>
      <c r="S36" s="10">
        <f t="shared" si="7"/>
        <v>4.7068276123845108</v>
      </c>
    </row>
    <row r="37" spans="1:19" s="9" customFormat="1">
      <c r="A37" s="120" t="s">
        <v>105</v>
      </c>
      <c r="B37" s="31">
        <f>+(B34+B22)/B22</f>
        <v>6.2141204179865879</v>
      </c>
      <c r="C37" s="31">
        <f t="shared" ref="C37:S37" si="8">+(C34+C22)/C22</f>
        <v>6.606194690265486</v>
      </c>
      <c r="D37" s="31">
        <f t="shared" si="8"/>
        <v>8.8088235294117663</v>
      </c>
      <c r="E37" s="31">
        <f t="shared" si="8"/>
        <v>4.5515367300000005</v>
      </c>
      <c r="F37" s="31">
        <f t="shared" si="8"/>
        <v>14.955457892861384</v>
      </c>
      <c r="G37" s="31">
        <f>+(G34+G22)/G22</f>
        <v>8.1131851792828691</v>
      </c>
      <c r="H37" s="31">
        <f t="shared" si="8"/>
        <v>7.1145564974048892</v>
      </c>
      <c r="I37" s="31">
        <f>+(I34+I22)/I22</f>
        <v>10.490715582735039</v>
      </c>
      <c r="J37" s="31">
        <f t="shared" si="8"/>
        <v>6.5564730584192441</v>
      </c>
      <c r="K37" s="31">
        <f t="shared" si="8"/>
        <v>2.5893196039603961</v>
      </c>
      <c r="L37" s="31">
        <f t="shared" si="8"/>
        <v>16.590761703482816</v>
      </c>
      <c r="M37" s="31">
        <f>+(M34+M22)/M22</f>
        <v>4.7511572727272728</v>
      </c>
      <c r="N37" s="31">
        <f t="shared" si="8"/>
        <v>8.2435960975609763</v>
      </c>
      <c r="O37" s="31">
        <f t="shared" si="8"/>
        <v>6.4054054054054044</v>
      </c>
      <c r="P37" s="31">
        <f t="shared" si="8"/>
        <v>5.3609083618423057</v>
      </c>
      <c r="Q37" s="31">
        <f t="shared" si="8"/>
        <v>11.003098901098904</v>
      </c>
      <c r="R37" s="31">
        <f>+(R34+R22)/R22</f>
        <v>15.367767998558557</v>
      </c>
      <c r="S37" s="31">
        <f t="shared" si="8"/>
        <v>3.1356939655172442</v>
      </c>
    </row>
    <row r="38" spans="1:19" s="9" customFormat="1">
      <c r="A38" s="121"/>
      <c r="B38" s="8"/>
      <c r="C38" s="8"/>
      <c r="D38" s="8"/>
      <c r="E38" s="8"/>
      <c r="F38" s="8"/>
      <c r="G38" s="19"/>
      <c r="H38" s="19"/>
      <c r="I38" s="19"/>
      <c r="J38" s="19"/>
      <c r="K38" s="19"/>
      <c r="L38" s="19"/>
      <c r="M38" s="19"/>
      <c r="N38" s="19"/>
      <c r="O38" s="19"/>
      <c r="P38" s="19"/>
      <c r="Q38" s="19"/>
      <c r="R38" s="19"/>
      <c r="S38" s="19"/>
    </row>
    <row r="39" spans="1:19" s="9" customFormat="1">
      <c r="A39" s="120" t="s">
        <v>53</v>
      </c>
      <c r="B39" s="8"/>
      <c r="C39" s="8"/>
      <c r="D39" s="8"/>
      <c r="E39" s="8"/>
      <c r="F39" s="8"/>
      <c r="G39" s="8"/>
      <c r="H39" s="8"/>
      <c r="I39" s="8"/>
      <c r="J39" s="8"/>
      <c r="K39" s="8"/>
      <c r="L39" s="8"/>
      <c r="M39" s="19"/>
      <c r="N39" s="8"/>
      <c r="O39" s="8"/>
      <c r="P39" s="8"/>
      <c r="Q39" s="8"/>
      <c r="R39" s="8"/>
      <c r="S39" s="8"/>
    </row>
    <row r="40" spans="1:19" s="9" customFormat="1">
      <c r="A40" s="120" t="s">
        <v>54</v>
      </c>
      <c r="B40" s="12">
        <f t="shared" ref="B40:S41" si="9">+B44/B$47*100</f>
        <v>56.389776357827479</v>
      </c>
      <c r="C40" s="12">
        <f t="shared" si="9"/>
        <v>52.229628210908494</v>
      </c>
      <c r="D40" s="12">
        <f t="shared" si="9"/>
        <v>69.412107859390076</v>
      </c>
      <c r="E40" s="12">
        <f t="shared" si="9"/>
        <v>77.055828659017905</v>
      </c>
      <c r="F40" s="12">
        <f t="shared" si="9"/>
        <v>29.755341355062104</v>
      </c>
      <c r="G40" s="12">
        <f>+G44/G$47*100</f>
        <v>61.202715809893306</v>
      </c>
      <c r="H40" s="12">
        <f t="shared" si="9"/>
        <v>57.915215352784259</v>
      </c>
      <c r="I40" s="12">
        <f>+I44/I$47*100</f>
        <v>61.898553638251677</v>
      </c>
      <c r="J40" s="12">
        <f t="shared" si="9"/>
        <v>44.198545684476763</v>
      </c>
      <c r="K40" s="12">
        <f t="shared" si="9"/>
        <v>26.478873239436624</v>
      </c>
      <c r="L40" s="12">
        <f t="shared" si="9"/>
        <v>54.835832543620043</v>
      </c>
      <c r="M40" s="21">
        <f t="shared" si="9"/>
        <v>56.59163987138264</v>
      </c>
      <c r="N40" s="12">
        <f t="shared" si="9"/>
        <v>50.487804878048777</v>
      </c>
      <c r="O40" s="12">
        <f t="shared" si="9"/>
        <v>42.118822527891034</v>
      </c>
      <c r="P40" s="12">
        <f t="shared" si="9"/>
        <v>36.338028169014088</v>
      </c>
      <c r="Q40" s="12">
        <f t="shared" si="9"/>
        <v>63.21934945788157</v>
      </c>
      <c r="R40" s="12">
        <f t="shared" si="9"/>
        <v>58.624500079793783</v>
      </c>
      <c r="S40" s="12">
        <f t="shared" si="9"/>
        <v>1.715853311363968</v>
      </c>
    </row>
    <row r="41" spans="1:19" s="9" customFormat="1">
      <c r="A41" s="120" t="s">
        <v>55</v>
      </c>
      <c r="B41" s="12">
        <f t="shared" si="9"/>
        <v>14.696485623003195</v>
      </c>
      <c r="C41" s="12">
        <f t="shared" si="9"/>
        <v>12.575614642206681</v>
      </c>
      <c r="D41" s="12">
        <f t="shared" si="9"/>
        <v>3.8317553537196658</v>
      </c>
      <c r="E41" s="12">
        <f t="shared" si="9"/>
        <v>5.5068517180458496</v>
      </c>
      <c r="F41" s="12">
        <f t="shared" si="9"/>
        <v>25.111498763846583</v>
      </c>
      <c r="G41" s="12">
        <f>+G45/G$47*100</f>
        <v>8.4384093113482059</v>
      </c>
      <c r="H41" s="12">
        <f t="shared" si="9"/>
        <v>0</v>
      </c>
      <c r="I41" s="12">
        <f>+I45/I$47*100</f>
        <v>0</v>
      </c>
      <c r="J41" s="12">
        <f t="shared" si="9"/>
        <v>17.831172937085046</v>
      </c>
      <c r="K41" s="12">
        <f t="shared" si="9"/>
        <v>18.415492957746476</v>
      </c>
      <c r="L41" s="12">
        <f t="shared" si="9"/>
        <v>14.616199342215289</v>
      </c>
      <c r="M41" s="21">
        <f t="shared" si="9"/>
        <v>13.826366559485532</v>
      </c>
      <c r="N41" s="12">
        <f t="shared" si="9"/>
        <v>13.902439024390246</v>
      </c>
      <c r="O41" s="12">
        <f t="shared" si="9"/>
        <v>22.03727765580895</v>
      </c>
      <c r="P41" s="12">
        <f t="shared" si="9"/>
        <v>17.74647887323944</v>
      </c>
      <c r="Q41" s="12">
        <f t="shared" si="9"/>
        <v>14.512093411175981</v>
      </c>
      <c r="R41" s="12">
        <f t="shared" si="9"/>
        <v>20.799340371307117</v>
      </c>
      <c r="S41" s="12">
        <f t="shared" si="9"/>
        <v>9.8603335087431638</v>
      </c>
    </row>
    <row r="42" spans="1:19" s="9" customFormat="1">
      <c r="A42" s="120" t="s">
        <v>56</v>
      </c>
      <c r="B42" s="12">
        <f t="shared" ref="B42:S42" si="10">+(B46/6)/B$47*100</f>
        <v>28.913738019169326</v>
      </c>
      <c r="C42" s="12">
        <f t="shared" si="10"/>
        <v>35.194757146884825</v>
      </c>
      <c r="D42" s="12">
        <f t="shared" si="10"/>
        <v>26.756136786890259</v>
      </c>
      <c r="E42" s="12">
        <f t="shared" si="10"/>
        <v>17.437319622936233</v>
      </c>
      <c r="F42" s="12">
        <f t="shared" si="10"/>
        <v>45.133159881091316</v>
      </c>
      <c r="G42" s="12">
        <f>+(G46/6)/G$47*100</f>
        <v>30.358874878758485</v>
      </c>
      <c r="H42" s="12">
        <f t="shared" si="10"/>
        <v>42.084784647215741</v>
      </c>
      <c r="I42" s="12">
        <f>+(I46/6)/I$47*100</f>
        <v>38.101446361748337</v>
      </c>
      <c r="J42" s="12">
        <f t="shared" si="10"/>
        <v>37.970281378438195</v>
      </c>
      <c r="K42" s="12">
        <f t="shared" si="10"/>
        <v>55.105633802816897</v>
      </c>
      <c r="L42" s="12">
        <f t="shared" si="10"/>
        <v>30.547968114164668</v>
      </c>
      <c r="M42" s="21">
        <f t="shared" si="10"/>
        <v>29.581993569131832</v>
      </c>
      <c r="N42" s="12">
        <f t="shared" si="10"/>
        <v>35.609756097560975</v>
      </c>
      <c r="O42" s="12">
        <f t="shared" si="10"/>
        <v>35.843899816300009</v>
      </c>
      <c r="P42" s="12">
        <f t="shared" si="10"/>
        <v>45.91549295774648</v>
      </c>
      <c r="Q42" s="12">
        <f t="shared" si="10"/>
        <v>22.268557130942451</v>
      </c>
      <c r="R42" s="12">
        <f t="shared" si="10"/>
        <v>20.576159548899088</v>
      </c>
      <c r="S42" s="12">
        <f t="shared" si="10"/>
        <v>88.423813179892861</v>
      </c>
    </row>
    <row r="43" spans="1:19" s="9" customFormat="1">
      <c r="A43" s="120"/>
      <c r="B43" s="12"/>
      <c r="C43" s="12"/>
      <c r="D43" s="12"/>
      <c r="E43" s="12"/>
      <c r="F43" s="12"/>
      <c r="G43" s="12"/>
      <c r="H43" s="12"/>
      <c r="I43" s="12"/>
      <c r="J43" s="12"/>
      <c r="K43" s="12"/>
      <c r="L43" s="12"/>
      <c r="M43" s="21"/>
      <c r="N43" s="12"/>
      <c r="O43" s="12"/>
      <c r="P43" s="12"/>
      <c r="Q43" s="12"/>
      <c r="R43" s="12"/>
      <c r="S43" s="12"/>
    </row>
    <row r="44" spans="1:19" s="9" customFormat="1">
      <c r="A44" s="120" t="s">
        <v>62</v>
      </c>
      <c r="B44" s="12">
        <v>353</v>
      </c>
      <c r="C44" s="12">
        <v>219.524</v>
      </c>
      <c r="D44" s="12">
        <v>719.47199999999998</v>
      </c>
      <c r="E44" s="12">
        <f>362.494+6.494</f>
        <v>368.98800000000006</v>
      </c>
      <c r="F44" s="12">
        <v>56.686999999999998</v>
      </c>
      <c r="G44" s="12">
        <f>568+63</f>
        <v>631</v>
      </c>
      <c r="H44" s="12">
        <v>140.61099999999999</v>
      </c>
      <c r="I44" s="12">
        <v>119.565</v>
      </c>
      <c r="J44" s="12">
        <v>233</v>
      </c>
      <c r="K44" s="12">
        <v>75.2</v>
      </c>
      <c r="L44" s="12">
        <v>327.9</v>
      </c>
      <c r="M44" s="21">
        <v>176</v>
      </c>
      <c r="N44" s="12">
        <f>139+68</f>
        <v>207</v>
      </c>
      <c r="O44" s="12">
        <f>6.267/0.092</f>
        <v>68.119565217391312</v>
      </c>
      <c r="P44" s="12">
        <v>129</v>
      </c>
      <c r="Q44" s="12">
        <f>199+32+148</f>
        <v>379</v>
      </c>
      <c r="R44" s="12">
        <v>161.63399999999999</v>
      </c>
      <c r="S44" s="12">
        <v>7.2065217391304346</v>
      </c>
    </row>
    <row r="45" spans="1:19" s="9" customFormat="1">
      <c r="A45" s="120" t="s">
        <v>63</v>
      </c>
      <c r="B45" s="12">
        <v>92</v>
      </c>
      <c r="C45" s="12">
        <v>52.856000000000002</v>
      </c>
      <c r="D45" s="12">
        <v>39.716999999999999</v>
      </c>
      <c r="E45" s="12">
        <f>26.37</f>
        <v>26.37</v>
      </c>
      <c r="F45" s="12">
        <v>47.84</v>
      </c>
      <c r="G45" s="12">
        <v>87</v>
      </c>
      <c r="H45" s="12"/>
      <c r="I45" s="12"/>
      <c r="J45" s="12">
        <v>94</v>
      </c>
      <c r="K45" s="12">
        <f>27.9+24.4</f>
        <v>52.3</v>
      </c>
      <c r="L45" s="12">
        <v>87.4</v>
      </c>
      <c r="M45" s="21">
        <v>43</v>
      </c>
      <c r="N45" s="12">
        <f>44+13</f>
        <v>57</v>
      </c>
      <c r="O45" s="12">
        <f>3.279/0.092</f>
        <v>35.641304347826086</v>
      </c>
      <c r="P45" s="12">
        <v>63</v>
      </c>
      <c r="Q45" s="12">
        <f>54+33</f>
        <v>87</v>
      </c>
      <c r="R45" s="12">
        <v>57.345999999999997</v>
      </c>
      <c r="S45" s="12">
        <v>41.413043478260867</v>
      </c>
    </row>
    <row r="46" spans="1:19" s="9" customFormat="1">
      <c r="A46" s="120" t="s">
        <v>64</v>
      </c>
      <c r="B46" s="12">
        <v>1086</v>
      </c>
      <c r="C46" s="12">
        <v>887.553</v>
      </c>
      <c r="D46" s="12">
        <v>1664</v>
      </c>
      <c r="E46" s="12">
        <f>495+6</f>
        <v>501</v>
      </c>
      <c r="F46" s="12">
        <v>515.9</v>
      </c>
      <c r="G46" s="12">
        <v>1878</v>
      </c>
      <c r="H46" s="12">
        <v>613.05999999999995</v>
      </c>
      <c r="I46" s="12">
        <v>441.58699999999999</v>
      </c>
      <c r="J46" s="12">
        <v>1201</v>
      </c>
      <c r="K46" s="12">
        <v>939</v>
      </c>
      <c r="L46" s="12">
        <v>1096</v>
      </c>
      <c r="M46" s="21">
        <v>552</v>
      </c>
      <c r="N46" s="12">
        <f>369+507</f>
        <v>876</v>
      </c>
      <c r="O46" s="12">
        <f>32/0.092</f>
        <v>347.82608695652175</v>
      </c>
      <c r="P46" s="12">
        <v>978</v>
      </c>
      <c r="Q46" s="12">
        <f>261+7+533</f>
        <v>801</v>
      </c>
      <c r="R46" s="12">
        <v>340.38400000000001</v>
      </c>
      <c r="S46" s="12">
        <f>2.22826086956522*1000</f>
        <v>2228.2608695652198</v>
      </c>
    </row>
    <row r="47" spans="1:19" s="9" customFormat="1">
      <c r="A47" s="120" t="s">
        <v>65</v>
      </c>
      <c r="B47" s="12">
        <f t="shared" ref="B47:S47" si="11">+B44+B45+B46/6</f>
        <v>626</v>
      </c>
      <c r="C47" s="12">
        <f t="shared" si="11"/>
        <v>420.30549999999999</v>
      </c>
      <c r="D47" s="12">
        <f t="shared" si="11"/>
        <v>1036.5223333333333</v>
      </c>
      <c r="E47" s="12">
        <f t="shared" si="11"/>
        <v>478.85800000000006</v>
      </c>
      <c r="F47" s="12">
        <f t="shared" si="11"/>
        <v>190.51033333333334</v>
      </c>
      <c r="G47" s="12">
        <f>+G44+G45+G46/6</f>
        <v>1031</v>
      </c>
      <c r="H47" s="12">
        <f t="shared" si="11"/>
        <v>242.78766666666667</v>
      </c>
      <c r="I47" s="12">
        <f>+I44+I45+I46/6</f>
        <v>193.16283333333331</v>
      </c>
      <c r="J47" s="12">
        <f t="shared" si="11"/>
        <v>527.16666666666663</v>
      </c>
      <c r="K47" s="12">
        <f t="shared" si="11"/>
        <v>284</v>
      </c>
      <c r="L47" s="12">
        <f t="shared" si="11"/>
        <v>597.96666666666658</v>
      </c>
      <c r="M47" s="21">
        <f t="shared" si="11"/>
        <v>311</v>
      </c>
      <c r="N47" s="12">
        <f t="shared" si="11"/>
        <v>410</v>
      </c>
      <c r="O47" s="12">
        <f t="shared" si="11"/>
        <v>161.73188405797103</v>
      </c>
      <c r="P47" s="12">
        <f t="shared" si="11"/>
        <v>355</v>
      </c>
      <c r="Q47" s="12">
        <f t="shared" si="11"/>
        <v>599.5</v>
      </c>
      <c r="R47" s="12">
        <f t="shared" si="11"/>
        <v>275.71066666666667</v>
      </c>
      <c r="S47" s="12">
        <f t="shared" si="11"/>
        <v>419.99637681159459</v>
      </c>
    </row>
    <row r="48" spans="1:19" s="9" customFormat="1">
      <c r="A48" s="120" t="s">
        <v>66</v>
      </c>
      <c r="B48" s="12">
        <f>+B47*0.092</f>
        <v>57.591999999999999</v>
      </c>
      <c r="C48" s="12">
        <f t="shared" ref="C48:S48" si="12">+C47*0.092</f>
        <v>38.668106000000002</v>
      </c>
      <c r="D48" s="12">
        <f t="shared" si="12"/>
        <v>95.36005466666667</v>
      </c>
      <c r="E48" s="12">
        <f t="shared" si="12"/>
        <v>44.054936000000005</v>
      </c>
      <c r="F48" s="12">
        <f t="shared" si="12"/>
        <v>17.526950666666668</v>
      </c>
      <c r="G48" s="12">
        <f t="shared" si="12"/>
        <v>94.852000000000004</v>
      </c>
      <c r="H48" s="12">
        <f t="shared" si="12"/>
        <v>22.336465333333333</v>
      </c>
      <c r="I48" s="12">
        <f t="shared" si="12"/>
        <v>17.770980666666663</v>
      </c>
      <c r="J48" s="12">
        <f t="shared" si="12"/>
        <v>48.499333333333333</v>
      </c>
      <c r="K48" s="12">
        <f t="shared" si="12"/>
        <v>26.128</v>
      </c>
      <c r="L48" s="12">
        <f t="shared" si="12"/>
        <v>55.012933333333322</v>
      </c>
      <c r="M48" s="12">
        <f t="shared" si="12"/>
        <v>28.611999999999998</v>
      </c>
      <c r="N48" s="12">
        <f t="shared" si="12"/>
        <v>37.72</v>
      </c>
      <c r="O48" s="12">
        <f t="shared" si="12"/>
        <v>14.879333333333335</v>
      </c>
      <c r="P48" s="12">
        <f t="shared" si="12"/>
        <v>32.659999999999997</v>
      </c>
      <c r="Q48" s="12">
        <f t="shared" si="12"/>
        <v>55.153999999999996</v>
      </c>
      <c r="R48" s="12">
        <f t="shared" si="12"/>
        <v>25.365381333333332</v>
      </c>
      <c r="S48" s="12">
        <f t="shared" si="12"/>
        <v>38.639666666666699</v>
      </c>
    </row>
    <row r="49" spans="1:19" s="9" customFormat="1">
      <c r="A49" s="120"/>
      <c r="B49" s="12"/>
      <c r="C49" s="12"/>
      <c r="D49" s="12"/>
      <c r="E49" s="12"/>
      <c r="F49" s="12"/>
      <c r="G49" s="12"/>
      <c r="H49" s="12" t="s">
        <v>131</v>
      </c>
      <c r="I49" s="12" t="s">
        <v>131</v>
      </c>
      <c r="J49" s="12"/>
      <c r="K49" s="12"/>
      <c r="L49" s="12"/>
      <c r="M49" s="12"/>
      <c r="N49" s="12"/>
      <c r="O49" s="12"/>
      <c r="P49" s="12"/>
      <c r="Q49" s="12"/>
      <c r="R49" s="12"/>
      <c r="S49" s="12"/>
    </row>
    <row r="50" spans="1:19" s="9" customFormat="1">
      <c r="A50" s="120" t="s">
        <v>106</v>
      </c>
      <c r="B50" s="12">
        <f>+B36*B48*4</f>
        <v>4833.4920000000011</v>
      </c>
      <c r="C50" s="12">
        <f t="shared" ref="C50:S50" si="13">+C36*C48*4</f>
        <v>2985.9999999999995</v>
      </c>
      <c r="D50" s="12">
        <f>+D36*D48*4</f>
        <v>5731.1433583160597</v>
      </c>
      <c r="E50" s="12">
        <f>+E36*E48*4</f>
        <v>2438.7120734811033</v>
      </c>
      <c r="F50" s="12">
        <f>+F36*F48*4</f>
        <v>1007.28</v>
      </c>
      <c r="G50" s="12">
        <f>+G36*G48*4</f>
        <v>8145.637920000001</v>
      </c>
      <c r="H50" s="12">
        <f t="shared" si="13"/>
        <v>2127.4231420799997</v>
      </c>
      <c r="I50" s="12">
        <f>+I36*I48*4</f>
        <v>1636.5516309066659</v>
      </c>
      <c r="J50" s="12">
        <f t="shared" si="13"/>
        <v>2543.9115466666667</v>
      </c>
      <c r="K50" s="12">
        <f t="shared" si="13"/>
        <v>1046.0851200000002</v>
      </c>
      <c r="L50" s="12">
        <f t="shared" si="13"/>
        <v>4584.4919999999993</v>
      </c>
      <c r="M50" s="12">
        <f t="shared" si="13"/>
        <v>1672.4073600000002</v>
      </c>
      <c r="N50" s="12">
        <f t="shared" si="13"/>
        <v>2703.8995200000004</v>
      </c>
      <c r="O50" s="12">
        <f t="shared" si="13"/>
        <v>947.99999999999989</v>
      </c>
      <c r="P50" s="12">
        <f t="shared" si="13"/>
        <v>2112.348</v>
      </c>
      <c r="Q50" s="12">
        <f t="shared" si="13"/>
        <v>4005.1280000000006</v>
      </c>
      <c r="R50" s="12">
        <f t="shared" si="13"/>
        <v>2274.429663786666</v>
      </c>
      <c r="S50" s="12">
        <f t="shared" si="13"/>
        <v>727.48100000000079</v>
      </c>
    </row>
    <row r="51" spans="1:19" s="9" customFormat="1">
      <c r="A51" s="121" t="s">
        <v>143</v>
      </c>
      <c r="B51" s="12">
        <v>12201</v>
      </c>
      <c r="C51" s="12">
        <f>550+7933</f>
        <v>8483</v>
      </c>
      <c r="D51" s="12">
        <f>(1875+21046)/1.2888</f>
        <v>17784.761018001242</v>
      </c>
      <c r="E51" s="12">
        <f>12094/1.2888</f>
        <v>9383.9230291744261</v>
      </c>
      <c r="F51" s="12">
        <v>1486.509</v>
      </c>
      <c r="G51" s="12">
        <f>1331+19673</f>
        <v>21004</v>
      </c>
      <c r="H51" s="12">
        <f>6612.281+2.268</f>
        <v>6614.549</v>
      </c>
      <c r="I51" s="12">
        <f>68+2738</f>
        <v>2806</v>
      </c>
      <c r="J51" s="12">
        <f>20+10383-3466.8</f>
        <v>6936.2</v>
      </c>
      <c r="K51" s="12">
        <v>4216</v>
      </c>
      <c r="L51" s="12">
        <f>6.579+6380.427</f>
        <v>6387.0059999999994</v>
      </c>
      <c r="M51" s="21">
        <f>6714-698</f>
        <v>6016</v>
      </c>
      <c r="N51" s="12">
        <v>6488</v>
      </c>
      <c r="O51" s="12">
        <v>2433</v>
      </c>
      <c r="P51" s="12">
        <f>7487-203.8</f>
        <v>7283.2</v>
      </c>
      <c r="Q51" s="12">
        <f>500+9326</f>
        <v>9826</v>
      </c>
      <c r="R51" s="12">
        <f>449+2282</f>
        <v>2731</v>
      </c>
      <c r="S51" s="12">
        <v>4396</v>
      </c>
    </row>
    <row r="52" spans="1:19" s="9" customFormat="1">
      <c r="A52" s="121" t="s">
        <v>142</v>
      </c>
      <c r="B52" s="31">
        <f>+B51/B50</f>
        <v>2.5242619621590348</v>
      </c>
      <c r="C52" s="31">
        <f t="shared" ref="C52:S52" si="14">+C51/C50</f>
        <v>2.840924313462827</v>
      </c>
      <c r="D52" s="31">
        <f t="shared" si="14"/>
        <v>3.1031785293234768</v>
      </c>
      <c r="E52" s="31">
        <f t="shared" si="14"/>
        <v>3.847901165216066</v>
      </c>
      <c r="F52" s="31">
        <f t="shared" si="14"/>
        <v>1.4757654276864427</v>
      </c>
      <c r="G52" s="31">
        <f t="shared" si="14"/>
        <v>2.578558021641109</v>
      </c>
      <c r="H52" s="31">
        <f t="shared" si="14"/>
        <v>3.109183532493164</v>
      </c>
      <c r="I52" s="31">
        <f t="shared" si="14"/>
        <v>1.7145807972128861</v>
      </c>
      <c r="J52" s="31">
        <f t="shared" si="14"/>
        <v>2.7265885125167295</v>
      </c>
      <c r="K52" s="31">
        <f t="shared" si="14"/>
        <v>4.0302647646875993</v>
      </c>
      <c r="L52" s="31">
        <f t="shared" si="14"/>
        <v>1.3931763868275919</v>
      </c>
      <c r="M52" s="31">
        <f t="shared" si="14"/>
        <v>3.5972097133081258</v>
      </c>
      <c r="N52" s="31">
        <f t="shared" si="14"/>
        <v>2.3994974487809366</v>
      </c>
      <c r="O52" s="31">
        <f t="shared" si="14"/>
        <v>2.566455696202532</v>
      </c>
      <c r="P52" s="31">
        <f t="shared" si="14"/>
        <v>3.4479167258425223</v>
      </c>
      <c r="Q52" s="31">
        <f t="shared" si="14"/>
        <v>2.4533547991474927</v>
      </c>
      <c r="R52" s="31">
        <f t="shared" si="14"/>
        <v>1.2007405827855746</v>
      </c>
      <c r="S52" s="31">
        <f t="shared" si="14"/>
        <v>6.0427695018838916</v>
      </c>
    </row>
    <row r="53" spans="1:19" s="9" customFormat="1" ht="24.75" customHeight="1">
      <c r="A53" s="277" t="s">
        <v>127</v>
      </c>
      <c r="B53" s="278"/>
      <c r="C53" s="278"/>
      <c r="D53" s="278"/>
      <c r="E53" s="278"/>
      <c r="F53" s="278"/>
      <c r="G53" s="278"/>
      <c r="H53" s="278"/>
      <c r="I53" s="278"/>
      <c r="J53" s="278"/>
      <c r="K53" s="278"/>
      <c r="L53" s="278"/>
      <c r="M53" s="278"/>
      <c r="N53" s="278"/>
      <c r="O53" s="278"/>
      <c r="P53" s="278"/>
      <c r="Q53" s="278"/>
      <c r="R53" s="278"/>
      <c r="S53" s="278"/>
    </row>
    <row r="54" spans="1:19" s="9" customFormat="1">
      <c r="A54" s="277" t="s">
        <v>199</v>
      </c>
      <c r="B54" s="278"/>
      <c r="C54" s="278"/>
      <c r="D54" s="278"/>
      <c r="E54" s="278"/>
      <c r="F54" s="278"/>
      <c r="G54" s="278"/>
      <c r="H54" s="278"/>
      <c r="I54" s="278"/>
      <c r="J54" s="278"/>
      <c r="K54" s="278"/>
      <c r="L54" s="278"/>
      <c r="M54" s="278"/>
      <c r="N54" s="278"/>
      <c r="O54" s="278"/>
      <c r="P54" s="278"/>
      <c r="Q54" s="278"/>
      <c r="R54" s="278"/>
      <c r="S54" s="278"/>
    </row>
    <row r="55" spans="1:19" s="9" customFormat="1">
      <c r="A55" s="121"/>
      <c r="B55" s="8"/>
      <c r="C55" s="123"/>
      <c r="D55" s="8"/>
      <c r="E55" s="8"/>
      <c r="F55" s="8"/>
      <c r="G55" s="8"/>
      <c r="H55" s="8"/>
      <c r="I55" s="8"/>
      <c r="J55" s="8"/>
      <c r="K55" s="8"/>
      <c r="L55" s="8"/>
      <c r="M55" s="19"/>
      <c r="N55" s="8"/>
      <c r="O55" s="8"/>
      <c r="P55" s="8"/>
      <c r="Q55" s="8"/>
      <c r="R55" s="8"/>
      <c r="S55" s="8"/>
    </row>
    <row r="56" spans="1:19">
      <c r="A56" s="22" t="s">
        <v>94</v>
      </c>
      <c r="B56" s="23"/>
      <c r="C56" s="124"/>
      <c r="D56" s="58">
        <v>1.2542</v>
      </c>
    </row>
    <row r="57" spans="1:19">
      <c r="A57" s="3"/>
      <c r="G57" s="2">
        <f>G44*92/1000</f>
        <v>58.052</v>
      </c>
      <c r="K57" s="2">
        <f>3.31*K48</f>
        <v>86.483680000000007</v>
      </c>
      <c r="M57" s="2">
        <f>M44*92/1000</f>
        <v>16.192</v>
      </c>
      <c r="P57" s="2">
        <f t="shared" ref="P57:Q59" si="15">P44*92/1000</f>
        <v>11.868</v>
      </c>
      <c r="Q57" s="2">
        <f t="shared" si="15"/>
        <v>34.868000000000002</v>
      </c>
      <c r="S57" s="2">
        <f>S44*92/1000</f>
        <v>0.66300000000000003</v>
      </c>
    </row>
    <row r="58" spans="1:19">
      <c r="A58" s="3"/>
      <c r="G58" s="2">
        <f>G45*92/1000</f>
        <v>8.0039999999999996</v>
      </c>
      <c r="K58" s="2">
        <f>30/K48</f>
        <v>1.1481935088793631</v>
      </c>
      <c r="M58" s="2">
        <f>M45*92/1000</f>
        <v>3.956</v>
      </c>
      <c r="P58" s="2">
        <f t="shared" si="15"/>
        <v>5.7960000000000003</v>
      </c>
      <c r="Q58" s="2">
        <f t="shared" si="15"/>
        <v>8.0039999999999996</v>
      </c>
      <c r="S58" s="2">
        <f>S45*92/1000</f>
        <v>3.81</v>
      </c>
    </row>
    <row r="59" spans="1:19">
      <c r="A59" s="3"/>
      <c r="G59" s="2">
        <f>G46*92/1000</f>
        <v>172.77600000000001</v>
      </c>
      <c r="M59" s="2">
        <f>M46*92/1000</f>
        <v>50.783999999999999</v>
      </c>
      <c r="P59" s="2">
        <f t="shared" si="15"/>
        <v>89.975999999999999</v>
      </c>
      <c r="Q59" s="2">
        <f t="shared" si="15"/>
        <v>73.691999999999993</v>
      </c>
      <c r="S59" s="2">
        <f>S46*92/1000</f>
        <v>205.00000000000023</v>
      </c>
    </row>
    <row r="60" spans="1:19">
      <c r="A60" s="3"/>
    </row>
    <row r="61" spans="1:19">
      <c r="A61" s="3"/>
      <c r="G61" s="2">
        <f>G57*G9</f>
        <v>2716.9486000000006</v>
      </c>
      <c r="M61" s="2">
        <f>M57*M9</f>
        <v>766.85311999999999</v>
      </c>
      <c r="P61" s="2">
        <f>P57*P9</f>
        <v>553</v>
      </c>
      <c r="Q61" s="2">
        <f>Q57*Q9</f>
        <v>1610.5529200000001</v>
      </c>
      <c r="S61" s="2">
        <f>S57*S9</f>
        <v>26.844870000000004</v>
      </c>
    </row>
    <row r="62" spans="1:19">
      <c r="A62" s="3"/>
      <c r="G62" s="2">
        <f>G58*G11</f>
        <v>180.09</v>
      </c>
      <c r="M62" s="2">
        <f>M58*M11</f>
        <v>68.122319999999988</v>
      </c>
      <c r="P62" s="2">
        <f>P58*P11</f>
        <v>116.00000000000001</v>
      </c>
      <c r="Q62" s="2">
        <f>Q58*Q11</f>
        <v>165.92292</v>
      </c>
      <c r="S62" s="2">
        <f>S58*S11</f>
        <v>55.054500000000004</v>
      </c>
    </row>
    <row r="63" spans="1:19">
      <c r="A63" s="3"/>
      <c r="G63" s="2">
        <f>G59*G13</f>
        <v>670.37088000000006</v>
      </c>
      <c r="M63" s="2">
        <f>M59*M13</f>
        <v>170.12639999999999</v>
      </c>
      <c r="P63" s="2">
        <f>P59*P13</f>
        <v>238</v>
      </c>
      <c r="Q63" s="2">
        <f>Q59*Q13</f>
        <v>130.43483999999998</v>
      </c>
      <c r="S63" s="2">
        <f>S59*S13</f>
        <v>387.45000000000039</v>
      </c>
    </row>
    <row r="64" spans="1:19">
      <c r="G64" s="2">
        <f>G63+G62+G61</f>
        <v>3567.4094800000007</v>
      </c>
      <c r="M64" s="2">
        <f>M63+M62+M61</f>
        <v>1005.10184</v>
      </c>
      <c r="P64" s="2">
        <f>P63+P62+P61</f>
        <v>907</v>
      </c>
      <c r="Q64" s="2">
        <f>Q63+Q62+Q61</f>
        <v>1906.91068</v>
      </c>
      <c r="S64" s="2">
        <f>S63+S62+S61</f>
        <v>469.34937000000042</v>
      </c>
    </row>
    <row r="65" spans="1:19">
      <c r="G65" s="2">
        <f>G64/G48</f>
        <v>37.610271580989334</v>
      </c>
      <c r="M65" s="2">
        <f>M64/M48</f>
        <v>35.128681672025728</v>
      </c>
      <c r="P65" s="2">
        <f>P64/P48</f>
        <v>27.770973668095532</v>
      </c>
      <c r="Q65" s="2">
        <f>Q64/Q48</f>
        <v>34.574295246038368</v>
      </c>
      <c r="S65" s="2">
        <f>S64/S48</f>
        <v>12.146827612384511</v>
      </c>
    </row>
    <row r="70" spans="1:19">
      <c r="A70" s="1" t="s">
        <v>109</v>
      </c>
    </row>
    <row r="71" spans="1:19">
      <c r="B71" s="2" t="str">
        <f>B7</f>
        <v>APC</v>
      </c>
      <c r="C71" s="125" t="str">
        <f t="shared" ref="C71:S71" si="16">C7</f>
        <v>APA</v>
      </c>
      <c r="D71" s="2" t="str">
        <f t="shared" si="16"/>
        <v>CNQCN</v>
      </c>
      <c r="E71" s="2" t="str">
        <f t="shared" si="16"/>
        <v>CVECN</v>
      </c>
      <c r="F71" s="2" t="str">
        <f t="shared" si="16"/>
        <v>XEC</v>
      </c>
      <c r="G71" s="2" t="str">
        <f t="shared" si="16"/>
        <v>COP</v>
      </c>
      <c r="H71" s="2" t="str">
        <f t="shared" si="16"/>
        <v>CLR</v>
      </c>
      <c r="I71" s="2" t="str">
        <f t="shared" si="16"/>
        <v>CXO</v>
      </c>
      <c r="J71" s="2" t="str">
        <f t="shared" si="16"/>
        <v>DVN</v>
      </c>
      <c r="K71" s="2" t="str">
        <f t="shared" si="16"/>
        <v>ECACN</v>
      </c>
      <c r="L71" s="2" t="str">
        <f t="shared" si="16"/>
        <v>EOG</v>
      </c>
      <c r="M71" s="2" t="str">
        <f t="shared" si="16"/>
        <v>HES</v>
      </c>
      <c r="N71" s="2" t="str">
        <f t="shared" si="16"/>
        <v>MRO</v>
      </c>
      <c r="O71" s="2" t="str">
        <f t="shared" si="16"/>
        <v>NFX</v>
      </c>
      <c r="P71" s="2" t="str">
        <f t="shared" si="16"/>
        <v>NBL</v>
      </c>
      <c r="Q71" s="2" t="str">
        <f t="shared" si="16"/>
        <v>OXY</v>
      </c>
      <c r="R71" s="2" t="str">
        <f t="shared" si="16"/>
        <v>PXD</v>
      </c>
      <c r="S71" s="2" t="str">
        <f t="shared" si="16"/>
        <v>SWN</v>
      </c>
    </row>
    <row r="72" spans="1:19">
      <c r="A72" s="1" t="s">
        <v>110</v>
      </c>
      <c r="B72" s="2">
        <f t="shared" ref="B72:S72" si="17">RANK(B35,$B$35:$S$35)</f>
        <v>14</v>
      </c>
      <c r="C72" s="125">
        <f t="shared" si="17"/>
        <v>7</v>
      </c>
      <c r="D72" s="2">
        <f t="shared" si="17"/>
        <v>8</v>
      </c>
      <c r="E72" s="2">
        <f t="shared" si="17"/>
        <v>12</v>
      </c>
      <c r="F72" s="2">
        <f t="shared" si="17"/>
        <v>1</v>
      </c>
      <c r="G72" s="2">
        <f t="shared" si="17"/>
        <v>9</v>
      </c>
      <c r="H72" s="2">
        <f t="shared" si="17"/>
        <v>11</v>
      </c>
      <c r="I72" s="2">
        <f t="shared" si="17"/>
        <v>5</v>
      </c>
      <c r="J72" s="2">
        <f t="shared" si="17"/>
        <v>3</v>
      </c>
      <c r="K72" s="2">
        <f t="shared" si="17"/>
        <v>16</v>
      </c>
      <c r="L72" s="2">
        <f t="shared" si="17"/>
        <v>6</v>
      </c>
      <c r="M72" s="2">
        <f t="shared" si="17"/>
        <v>18</v>
      </c>
      <c r="N72" s="2">
        <f t="shared" si="17"/>
        <v>15</v>
      </c>
      <c r="O72" s="2">
        <f t="shared" si="17"/>
        <v>4</v>
      </c>
      <c r="P72" s="2">
        <f t="shared" si="17"/>
        <v>17</v>
      </c>
      <c r="Q72" s="2">
        <f t="shared" si="17"/>
        <v>10</v>
      </c>
      <c r="R72" s="2">
        <f t="shared" si="17"/>
        <v>2</v>
      </c>
      <c r="S72" s="2">
        <f t="shared" si="17"/>
        <v>13</v>
      </c>
    </row>
    <row r="73" spans="1:19">
      <c r="B73" s="2" t="str">
        <f>B71</f>
        <v>APC</v>
      </c>
      <c r="C73" s="125" t="str">
        <f t="shared" ref="C73:S73" si="18">C71</f>
        <v>APA</v>
      </c>
      <c r="D73" s="2" t="str">
        <f t="shared" si="18"/>
        <v>CNQCN</v>
      </c>
      <c r="E73" s="2" t="str">
        <f t="shared" si="18"/>
        <v>CVECN</v>
      </c>
      <c r="F73" s="2" t="str">
        <f t="shared" si="18"/>
        <v>XEC</v>
      </c>
      <c r="G73" s="2" t="str">
        <f t="shared" si="18"/>
        <v>COP</v>
      </c>
      <c r="H73" s="2" t="str">
        <f t="shared" si="18"/>
        <v>CLR</v>
      </c>
      <c r="I73" s="2" t="str">
        <f t="shared" si="18"/>
        <v>CXO</v>
      </c>
      <c r="J73" s="2" t="str">
        <f t="shared" si="18"/>
        <v>DVN</v>
      </c>
      <c r="K73" s="2" t="str">
        <f t="shared" si="18"/>
        <v>ECACN</v>
      </c>
      <c r="L73" s="2" t="str">
        <f t="shared" si="18"/>
        <v>EOG</v>
      </c>
      <c r="M73" s="2" t="str">
        <f t="shared" si="18"/>
        <v>HES</v>
      </c>
      <c r="N73" s="2" t="str">
        <f t="shared" si="18"/>
        <v>MRO</v>
      </c>
      <c r="O73" s="2" t="str">
        <f t="shared" si="18"/>
        <v>NFX</v>
      </c>
      <c r="P73" s="2" t="str">
        <f t="shared" si="18"/>
        <v>NBL</v>
      </c>
      <c r="Q73" s="2" t="str">
        <f t="shared" si="18"/>
        <v>OXY</v>
      </c>
      <c r="R73" s="2" t="str">
        <f t="shared" si="18"/>
        <v>PXD</v>
      </c>
      <c r="S73" s="2" t="str">
        <f t="shared" si="18"/>
        <v>SWN</v>
      </c>
    </row>
    <row r="74" spans="1:19">
      <c r="A74" s="1" t="s">
        <v>107</v>
      </c>
      <c r="B74" s="2">
        <f t="shared" ref="B74:S74" si="19">RANK(B37,$B$37:$S$37)</f>
        <v>13</v>
      </c>
      <c r="C74" s="125">
        <f t="shared" si="19"/>
        <v>10</v>
      </c>
      <c r="D74" s="2">
        <f t="shared" si="19"/>
        <v>6</v>
      </c>
      <c r="E74" s="2">
        <f t="shared" si="19"/>
        <v>16</v>
      </c>
      <c r="F74" s="2">
        <f t="shared" si="19"/>
        <v>3</v>
      </c>
      <c r="G74" s="2">
        <f t="shared" si="19"/>
        <v>8</v>
      </c>
      <c r="H74" s="2">
        <f t="shared" si="19"/>
        <v>9</v>
      </c>
      <c r="I74" s="2">
        <f t="shared" si="19"/>
        <v>5</v>
      </c>
      <c r="J74" s="2">
        <f t="shared" si="19"/>
        <v>11</v>
      </c>
      <c r="K74" s="2">
        <f t="shared" si="19"/>
        <v>18</v>
      </c>
      <c r="L74" s="2">
        <f t="shared" si="19"/>
        <v>1</v>
      </c>
      <c r="M74" s="2">
        <f t="shared" si="19"/>
        <v>15</v>
      </c>
      <c r="N74" s="2">
        <f t="shared" si="19"/>
        <v>7</v>
      </c>
      <c r="O74" s="2">
        <f t="shared" si="19"/>
        <v>12</v>
      </c>
      <c r="P74" s="2">
        <f t="shared" si="19"/>
        <v>14</v>
      </c>
      <c r="Q74" s="2">
        <f t="shared" si="19"/>
        <v>4</v>
      </c>
      <c r="R74" s="2">
        <f t="shared" si="19"/>
        <v>2</v>
      </c>
      <c r="S74" s="2">
        <f t="shared" si="19"/>
        <v>17</v>
      </c>
    </row>
    <row r="75" spans="1:19">
      <c r="B75" s="2" t="str">
        <f>B73</f>
        <v>APC</v>
      </c>
      <c r="C75" s="125" t="str">
        <f t="shared" ref="C75:S75" si="20">C73</f>
        <v>APA</v>
      </c>
      <c r="D75" s="2" t="str">
        <f t="shared" si="20"/>
        <v>CNQCN</v>
      </c>
      <c r="E75" s="2" t="str">
        <f t="shared" si="20"/>
        <v>CVECN</v>
      </c>
      <c r="F75" s="2" t="str">
        <f t="shared" si="20"/>
        <v>XEC</v>
      </c>
      <c r="G75" s="2" t="str">
        <f t="shared" si="20"/>
        <v>COP</v>
      </c>
      <c r="H75" s="2" t="str">
        <f t="shared" si="20"/>
        <v>CLR</v>
      </c>
      <c r="I75" s="2" t="str">
        <f t="shared" si="20"/>
        <v>CXO</v>
      </c>
      <c r="J75" s="2" t="str">
        <f t="shared" si="20"/>
        <v>DVN</v>
      </c>
      <c r="K75" s="2" t="str">
        <f t="shared" si="20"/>
        <v>ECACN</v>
      </c>
      <c r="L75" s="2" t="str">
        <f t="shared" si="20"/>
        <v>EOG</v>
      </c>
      <c r="M75" s="2" t="str">
        <f t="shared" si="20"/>
        <v>HES</v>
      </c>
      <c r="N75" s="2" t="str">
        <f t="shared" si="20"/>
        <v>MRO</v>
      </c>
      <c r="O75" s="2" t="str">
        <f t="shared" si="20"/>
        <v>NFX</v>
      </c>
      <c r="P75" s="2" t="str">
        <f t="shared" si="20"/>
        <v>NBL</v>
      </c>
      <c r="Q75" s="2" t="str">
        <f t="shared" si="20"/>
        <v>OXY</v>
      </c>
      <c r="R75" s="2" t="str">
        <f t="shared" si="20"/>
        <v>PXD</v>
      </c>
      <c r="S75" s="2" t="str">
        <f t="shared" si="20"/>
        <v>SWN</v>
      </c>
    </row>
    <row r="76" spans="1:19">
      <c r="A76" s="1" t="s">
        <v>111</v>
      </c>
      <c r="B76" s="2">
        <f t="shared" ref="B76:S76" si="21">RANK(B34,$B$34:$S$34)</f>
        <v>6</v>
      </c>
      <c r="C76" s="125">
        <f t="shared" si="21"/>
        <v>8</v>
      </c>
      <c r="D76" s="2">
        <f t="shared" si="21"/>
        <v>12</v>
      </c>
      <c r="E76" s="2">
        <f t="shared" si="21"/>
        <v>16</v>
      </c>
      <c r="F76" s="2">
        <f t="shared" si="21"/>
        <v>11</v>
      </c>
      <c r="G76" s="2">
        <f t="shared" si="21"/>
        <v>5</v>
      </c>
      <c r="H76" s="2">
        <f t="shared" si="21"/>
        <v>3</v>
      </c>
      <c r="I76" s="2">
        <f t="shared" si="21"/>
        <v>2</v>
      </c>
      <c r="J76" s="2">
        <f t="shared" si="21"/>
        <v>15</v>
      </c>
      <c r="K76" s="2">
        <f t="shared" si="21"/>
        <v>17</v>
      </c>
      <c r="L76" s="2">
        <f t="shared" si="21"/>
        <v>4</v>
      </c>
      <c r="M76" s="2">
        <f t="shared" si="21"/>
        <v>14</v>
      </c>
      <c r="N76" s="2">
        <f t="shared" si="21"/>
        <v>9</v>
      </c>
      <c r="O76" s="2">
        <f t="shared" si="21"/>
        <v>10</v>
      </c>
      <c r="P76" s="2">
        <f t="shared" si="21"/>
        <v>13</v>
      </c>
      <c r="Q76" s="2">
        <f t="shared" si="21"/>
        <v>7</v>
      </c>
      <c r="R76" s="2">
        <f t="shared" si="21"/>
        <v>1</v>
      </c>
      <c r="S76" s="2">
        <f t="shared" si="21"/>
        <v>18</v>
      </c>
    </row>
    <row r="80" spans="1:19">
      <c r="A80" s="1" t="s">
        <v>130</v>
      </c>
      <c r="B80" s="61">
        <f>B15-'2Q16 Actual'!B15</f>
        <v>13.160923160155512</v>
      </c>
      <c r="C80" s="126">
        <f>C15-'2Q16 Actual'!C15</f>
        <v>4.8517176683811769</v>
      </c>
      <c r="D80" s="61">
        <f>D15-'2Q16 Actual'!D15</f>
        <v>8.9775640025471084</v>
      </c>
      <c r="E80" s="61">
        <f>E15-'2Q16 Actual'!E15</f>
        <v>6.1582283372648661</v>
      </c>
      <c r="F80" s="61">
        <f>F15-'2Q16 Actual'!F15</f>
        <v>6.1433033733886795</v>
      </c>
      <c r="G80" s="61">
        <f>G15-'2Q16 Actual'!G15</f>
        <v>9.5021026812735379</v>
      </c>
      <c r="H80" s="61">
        <f>H15-'2Q16 Actual'!H15</f>
        <v>5.5</v>
      </c>
      <c r="I80" s="61">
        <f>I15-'2Q16 Actual'!I15</f>
        <v>5.2899999999999991</v>
      </c>
      <c r="J80" s="61">
        <f>J15-'2Q16 Actual'!J15</f>
        <v>7.1700000000000017</v>
      </c>
      <c r="K80" s="61">
        <f>K15-'2Q16 Actual'!K15</f>
        <v>7.3800000000000026</v>
      </c>
      <c r="L80" s="61">
        <f>L15-'2Q16 Actual'!L15</f>
        <v>7.1904144189637407</v>
      </c>
      <c r="M80" s="61">
        <f>M15-'2Q16 Actual'!M15</f>
        <v>1.1054741922385958</v>
      </c>
      <c r="N80" s="61">
        <f>N15-'2Q16 Actual'!N15</f>
        <v>5.4164610936063937</v>
      </c>
      <c r="O80" s="61">
        <f>O15-'2Q16 Actual'!O15</f>
        <v>4.4930691172547483</v>
      </c>
      <c r="P80" s="61">
        <f>P15-'2Q16 Actual'!P15</f>
        <v>5.9645879413661902</v>
      </c>
      <c r="Q80" s="61">
        <f>Q15-'2Q16 Actual'!Q15</f>
        <v>7.2210000857480594</v>
      </c>
      <c r="R80" s="61">
        <f>R15-'2Q16 Actual'!R15</f>
        <v>4.7699999999999996</v>
      </c>
      <c r="S80" s="61">
        <f>S15-'2Q16 Actual'!S15</f>
        <v>4.398261052819068</v>
      </c>
    </row>
    <row r="81" spans="1:19">
      <c r="A81" s="1" t="s">
        <v>132</v>
      </c>
      <c r="B81" s="61">
        <f>B28-'2Q16 Actual'!B28</f>
        <v>3.1464151139653644</v>
      </c>
      <c r="C81" s="126">
        <f>C28-'2Q16 Actual'!C28</f>
        <v>2.64988978178061</v>
      </c>
      <c r="D81" s="61">
        <f>D28-'2Q16 Actual'!D28</f>
        <v>3.0018769933235561</v>
      </c>
      <c r="E81" s="61">
        <f>E28-'2Q16 Actual'!E28</f>
        <v>-1.0558763564872535</v>
      </c>
      <c r="F81" s="61">
        <f>F28-'2Q16 Actual'!F28</f>
        <v>-0.3664400709516169</v>
      </c>
      <c r="G81" s="61">
        <f>G28-'2Q16 Actual'!G28</f>
        <v>-0.13909937217344392</v>
      </c>
      <c r="H81" s="61">
        <f>H28-'2Q16 Actual'!H28</f>
        <v>-0.19797725134478661</v>
      </c>
      <c r="I81" s="61">
        <f>I28-'2Q16 Actual'!I28</f>
        <v>-2.0442287722280508</v>
      </c>
      <c r="J81" s="61">
        <f>J28-'2Q16 Actual'!J28</f>
        <v>-3.8278713766652928E-2</v>
      </c>
      <c r="K81" s="61">
        <f>K28-'2Q16 Actual'!K28</f>
        <v>1.9256581170462326</v>
      </c>
      <c r="L81" s="61">
        <f>L28-'2Q16 Actual'!L28</f>
        <v>0.75856254503133869</v>
      </c>
      <c r="M81" s="61">
        <f>M28-'2Q16 Actual'!M28</f>
        <v>-2.4730054831503629</v>
      </c>
      <c r="N81" s="61">
        <f>N28-'2Q16 Actual'!N28</f>
        <v>-5.2521966356403098</v>
      </c>
      <c r="O81" s="61">
        <f>O28-'2Q16 Actual'!O28</f>
        <v>0.63585176272867905</v>
      </c>
      <c r="P81" s="61">
        <f>P28-'2Q16 Actual'!P28</f>
        <v>2.3115619825629814</v>
      </c>
      <c r="Q81" s="61">
        <f>Q28-'2Q16 Actual'!Q28</f>
        <v>3.038639524778814</v>
      </c>
      <c r="R81" s="61">
        <f>R28-'2Q16 Actual'!R28</f>
        <v>-3.1994764619691143</v>
      </c>
      <c r="S81" s="61">
        <f>S28-'2Q16 Actual'!S28</f>
        <v>-0.29008493793977763</v>
      </c>
    </row>
    <row r="82" spans="1:19">
      <c r="A82" s="1" t="s">
        <v>129</v>
      </c>
      <c r="B82" s="62">
        <f>B48-'2Q16 Actual'!B48</f>
        <v>-14.449666666666673</v>
      </c>
      <c r="C82" s="127">
        <f>C48-'2Q16 Actual'!C48</f>
        <v>-10.058435499999995</v>
      </c>
      <c r="D82" s="62">
        <f>D48-'2Q16 Actual'!D48</f>
        <v>24.024244666666661</v>
      </c>
      <c r="E82" s="62">
        <f>E48-'2Q16 Actual'!E48</f>
        <v>19.978156000000002</v>
      </c>
      <c r="F82" s="62">
        <f>F48-'2Q16 Actual'!F48</f>
        <v>2.7514323333333337</v>
      </c>
      <c r="G82" s="62">
        <f>G48-'2Q16 Actual'!G48</f>
        <v>-17.214499999999987</v>
      </c>
      <c r="H82" s="62">
        <f>H48-'2Q16 Actual'!H48</f>
        <v>2.3780268333333296</v>
      </c>
      <c r="I82" s="62">
        <f>I48-'2Q16 Actual'!I48</f>
        <v>4.561602666666662</v>
      </c>
      <c r="J82" s="62">
        <f>J48-'2Q16 Actual'!J48</f>
        <v>-10.150166666666664</v>
      </c>
      <c r="K82" s="62">
        <f>K48-'2Q16 Actual'!K48</f>
        <v>-7.3903333333333379</v>
      </c>
      <c r="L82" s="62">
        <f>L48-'2Q16 Actual'!L48</f>
        <v>4.8719333333333239</v>
      </c>
      <c r="M82" s="62">
        <f>M48-'2Q16 Actual'!M48</f>
        <v>0.144166666666667</v>
      </c>
      <c r="N82" s="62">
        <f>N48-'2Q16 Actual'!N48</f>
        <v>1.8811666666666653</v>
      </c>
      <c r="O82" s="62">
        <f>O48-'2Q16 Actual'!O48</f>
        <v>-0.3539999999999992</v>
      </c>
      <c r="P82" s="62">
        <f>P48-'2Q16 Actual'!P48</f>
        <v>-6.1818333333333371</v>
      </c>
      <c r="Q82" s="62">
        <f>Q48-'2Q16 Actual'!Q48</f>
        <v>-4.2538333333333398</v>
      </c>
      <c r="R82" s="62">
        <f>R48-'2Q16 Actual'!R48</f>
        <v>4.1894083333333292</v>
      </c>
      <c r="S82" s="62">
        <f>S48-'2Q16 Actual'!S48</f>
        <v>1.084333333333376</v>
      </c>
    </row>
    <row r="166" spans="2:17" hidden="1">
      <c r="L166" s="2" t="s">
        <v>58</v>
      </c>
    </row>
    <row r="167" spans="2:17" hidden="1">
      <c r="L167" s="2" t="s">
        <v>54</v>
      </c>
      <c r="M167" s="2">
        <v>52.63</v>
      </c>
      <c r="N167" s="2">
        <v>176</v>
      </c>
      <c r="Q167" s="2">
        <f>+N167*M167</f>
        <v>9262.880000000001</v>
      </c>
    </row>
    <row r="168" spans="2:17" hidden="1">
      <c r="D168" s="2" t="s">
        <v>72</v>
      </c>
      <c r="E168" s="2" t="s">
        <v>73</v>
      </c>
      <c r="L168" s="2" t="s">
        <v>55</v>
      </c>
      <c r="M168" s="2">
        <v>14.77</v>
      </c>
      <c r="N168" s="2">
        <v>37</v>
      </c>
      <c r="Q168" s="2">
        <f>+N168*M168</f>
        <v>546.49</v>
      </c>
    </row>
    <row r="169" spans="2:17" hidden="1">
      <c r="B169" s="2" t="s">
        <v>61</v>
      </c>
      <c r="C169" s="125">
        <v>95.057000000000002</v>
      </c>
      <c r="D169" s="2">
        <f>73.05</f>
        <v>73.05</v>
      </c>
      <c r="F169" s="2">
        <f>+D169*C169</f>
        <v>6943.9138499999999</v>
      </c>
      <c r="L169" s="2" t="s">
        <v>59</v>
      </c>
      <c r="M169" s="2">
        <v>2.76</v>
      </c>
      <c r="N169" s="2">
        <v>361</v>
      </c>
      <c r="P169" s="2">
        <f>+N169/6</f>
        <v>60.166666666666664</v>
      </c>
      <c r="Q169" s="2">
        <f>+N169*M169</f>
        <v>996.3599999999999</v>
      </c>
    </row>
    <row r="170" spans="2:17" hidden="1">
      <c r="B170" s="2" t="s">
        <v>71</v>
      </c>
      <c r="C170" s="125">
        <f>458.144-C169</f>
        <v>363.08699999999999</v>
      </c>
      <c r="D170" s="2">
        <f>53.09</f>
        <v>53.09</v>
      </c>
      <c r="F170" s="2">
        <f>+D170*C170</f>
        <v>19276.288830000001</v>
      </c>
      <c r="G170" s="2">
        <f>+SUM(F169:F170)/(C169+C170)</f>
        <v>57.231356691345958</v>
      </c>
    </row>
    <row r="171" spans="2:17" hidden="1">
      <c r="L171" s="2" t="s">
        <v>60</v>
      </c>
    </row>
    <row r="172" spans="2:17" hidden="1">
      <c r="L172" s="2" t="s">
        <v>54</v>
      </c>
      <c r="M172" s="2">
        <v>56.7</v>
      </c>
      <c r="N172" s="2">
        <v>33</v>
      </c>
      <c r="Q172" s="2">
        <f>+N172*M172</f>
        <v>1871.1000000000001</v>
      </c>
    </row>
    <row r="173" spans="2:17" hidden="1">
      <c r="D173" s="2">
        <v>608</v>
      </c>
      <c r="E173" s="2">
        <v>58</v>
      </c>
      <c r="L173" s="2" t="s">
        <v>55</v>
      </c>
      <c r="M173" s="2">
        <v>3.1</v>
      </c>
      <c r="N173" s="2">
        <v>9</v>
      </c>
      <c r="Q173" s="2">
        <f>+N173*M173</f>
        <v>27.900000000000002</v>
      </c>
    </row>
    <row r="174" spans="2:17" hidden="1">
      <c r="D174" s="2">
        <v>138</v>
      </c>
      <c r="E174" s="2">
        <v>33.299999999999997</v>
      </c>
      <c r="L174" s="2" t="s">
        <v>59</v>
      </c>
      <c r="M174" s="2">
        <v>0.78</v>
      </c>
      <c r="N174" s="2">
        <v>396</v>
      </c>
      <c r="P174" s="2">
        <f>+N174/6</f>
        <v>66</v>
      </c>
      <c r="Q174" s="2">
        <f>+N174*M174</f>
        <v>308.88</v>
      </c>
    </row>
    <row r="175" spans="2:17" hidden="1">
      <c r="E175" s="2">
        <f>+SUMPRODUCT(D173:D174,E173:E174)/SUM(D173:D174)</f>
        <v>53.430831099195714</v>
      </c>
    </row>
    <row r="176" spans="2:17" hidden="1">
      <c r="L176" s="2" t="s">
        <v>61</v>
      </c>
    </row>
    <row r="177" spans="12:17" hidden="1">
      <c r="L177" s="2" t="s">
        <v>54</v>
      </c>
      <c r="M177" s="2">
        <v>52.46</v>
      </c>
      <c r="N177" s="2">
        <v>29</v>
      </c>
      <c r="Q177" s="2">
        <f>+N177*M177</f>
        <v>1521.34</v>
      </c>
    </row>
  </sheetData>
  <mergeCells count="2">
    <mergeCell ref="A53:S53"/>
    <mergeCell ref="A54:S54"/>
  </mergeCells>
  <pageMargins left="0.7" right="0.24" top="0.75" bottom="0.75" header="0.3" footer="0.3"/>
  <pageSetup orientation="portrait" r:id="rId1"/>
  <headerFooter>
    <oddFooter>&amp;C&amp;"Expert Sans Regular,Regular"&amp;10&amp;K000000 Restricted - External_x000D_&amp;1#&amp;"Calibri"&amp;10 Restricted - External</oddFooter>
    <evenFooter>&amp;C&amp;"Expert Sans Regular,Regular"&amp;10&amp;K000000 Restricted - External</evenFooter>
    <firstFooter>&amp;C&amp;"Expert Sans Regular,Regular"&amp;10&amp;K000000 Restricted - External</first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T177"/>
  <sheetViews>
    <sheetView workbookViewId="0">
      <pane xSplit="1" ySplit="7" topLeftCell="B8" activePane="bottomRight" state="frozen"/>
      <selection activeCell="B36" sqref="B36:V36"/>
      <selection pane="topRight" activeCell="B36" sqref="B36:V36"/>
      <selection pane="bottomLeft" activeCell="B36" sqref="B36:V36"/>
      <selection pane="bottomRight" activeCell="B36" sqref="B36:V36"/>
    </sheetView>
  </sheetViews>
  <sheetFormatPr defaultRowHeight="14.25"/>
  <cols>
    <col min="1" max="1" width="36.375" style="1" customWidth="1"/>
    <col min="2" max="19" width="9.25" style="2" customWidth="1"/>
    <col min="20" max="21" width="11.5" style="1" customWidth="1"/>
    <col min="22" max="22" width="10.75" style="1" bestFit="1" customWidth="1"/>
    <col min="23" max="16384" width="9" style="1"/>
  </cols>
  <sheetData>
    <row r="1" spans="1:19" s="9" customFormat="1">
      <c r="A1" s="89" t="s">
        <v>154</v>
      </c>
      <c r="B1" s="8"/>
      <c r="C1" s="8"/>
      <c r="D1" s="8"/>
      <c r="E1" s="8"/>
      <c r="F1" s="8"/>
      <c r="G1" s="8"/>
      <c r="H1" s="8"/>
      <c r="I1" s="8"/>
      <c r="J1" s="8"/>
      <c r="K1" s="8"/>
      <c r="L1" s="8"/>
      <c r="M1" s="19"/>
      <c r="N1" s="8"/>
      <c r="O1" s="8"/>
      <c r="P1" s="8"/>
      <c r="Q1" s="8"/>
      <c r="R1" s="8"/>
      <c r="S1" s="8"/>
    </row>
    <row r="2" spans="1:19" s="9" customFormat="1">
      <c r="A2" s="51" t="s">
        <v>1</v>
      </c>
      <c r="B2" s="10">
        <v>48.11</v>
      </c>
      <c r="C2" s="8"/>
      <c r="D2" s="8"/>
      <c r="E2" s="8"/>
      <c r="F2" s="8"/>
      <c r="G2" s="8"/>
      <c r="H2" s="8"/>
      <c r="I2" s="8"/>
      <c r="J2" s="8"/>
      <c r="K2" s="8"/>
      <c r="L2" s="8"/>
      <c r="M2" s="19"/>
      <c r="N2" s="8"/>
      <c r="O2" s="8"/>
      <c r="P2" s="8"/>
      <c r="Q2" s="8"/>
      <c r="R2" s="8"/>
      <c r="S2" s="8"/>
    </row>
    <row r="3" spans="1:19" s="9" customFormat="1">
      <c r="A3" s="51" t="s">
        <v>0</v>
      </c>
      <c r="B3" s="10">
        <v>23.745100000000001</v>
      </c>
      <c r="C3" s="8"/>
      <c r="D3" s="8"/>
      <c r="E3" s="8"/>
      <c r="F3" s="8"/>
      <c r="G3" s="8"/>
      <c r="H3" s="8"/>
      <c r="I3" s="8"/>
      <c r="J3" s="8"/>
      <c r="K3" s="8"/>
      <c r="L3" s="8"/>
      <c r="M3" s="19"/>
      <c r="N3" s="8"/>
      <c r="O3" s="8"/>
      <c r="P3" s="8"/>
      <c r="Q3" s="8"/>
      <c r="R3" s="8"/>
      <c r="S3" s="8"/>
    </row>
    <row r="4" spans="1:19" s="9" customFormat="1">
      <c r="A4" s="51" t="s">
        <v>2</v>
      </c>
      <c r="B4" s="10">
        <v>3.0468000000000002</v>
      </c>
      <c r="C4" s="8"/>
      <c r="D4" s="8"/>
      <c r="E4" s="8"/>
      <c r="F4" s="8"/>
      <c r="G4" s="8"/>
      <c r="H4" s="8"/>
      <c r="I4" s="8"/>
      <c r="J4" s="8"/>
      <c r="K4" s="8"/>
      <c r="L4" s="8"/>
      <c r="M4" s="19"/>
      <c r="N4" s="8"/>
      <c r="O4" s="8"/>
      <c r="P4" s="8"/>
      <c r="Q4" s="8"/>
      <c r="R4" s="8"/>
      <c r="S4" s="8"/>
    </row>
    <row r="5" spans="1:19" s="9" customFormat="1" ht="15" thickBot="1">
      <c r="A5" s="51"/>
      <c r="B5" s="8"/>
      <c r="C5" s="8"/>
      <c r="D5" s="8"/>
      <c r="E5" s="8"/>
      <c r="F5" s="8"/>
      <c r="G5" s="8"/>
      <c r="H5" s="8"/>
      <c r="I5" s="8"/>
      <c r="J5" s="8"/>
      <c r="K5" s="8"/>
      <c r="L5" s="8"/>
      <c r="M5" s="19"/>
      <c r="N5" s="8"/>
      <c r="O5" s="8"/>
      <c r="P5" s="8"/>
      <c r="Q5" s="8"/>
      <c r="R5" s="8"/>
      <c r="S5" s="8"/>
    </row>
    <row r="6" spans="1:19" ht="26.25" thickBot="1">
      <c r="A6" s="4" t="s">
        <v>15</v>
      </c>
      <c r="B6" s="49" t="s">
        <v>17</v>
      </c>
      <c r="C6" s="49" t="s">
        <v>18</v>
      </c>
      <c r="D6" s="49" t="s">
        <v>19</v>
      </c>
      <c r="E6" s="49" t="s">
        <v>21</v>
      </c>
      <c r="F6" s="49" t="s">
        <v>22</v>
      </c>
      <c r="G6" s="138" t="s">
        <v>174</v>
      </c>
      <c r="H6" s="49" t="s">
        <v>23</v>
      </c>
      <c r="I6" s="52" t="s">
        <v>139</v>
      </c>
      <c r="J6" s="49" t="s">
        <v>24</v>
      </c>
      <c r="K6" s="49" t="s">
        <v>25</v>
      </c>
      <c r="L6" s="49" t="s">
        <v>26</v>
      </c>
      <c r="M6" s="49" t="s">
        <v>27</v>
      </c>
      <c r="N6" s="49" t="s">
        <v>28</v>
      </c>
      <c r="O6" s="116" t="s">
        <v>162</v>
      </c>
      <c r="P6" s="49" t="s">
        <v>29</v>
      </c>
      <c r="Q6" s="49" t="s">
        <v>30</v>
      </c>
      <c r="R6" s="49" t="s">
        <v>31</v>
      </c>
      <c r="S6" s="138" t="s">
        <v>173</v>
      </c>
    </row>
    <row r="7" spans="1:19" ht="18" customHeight="1" thickBot="1">
      <c r="A7" s="25" t="s">
        <v>16</v>
      </c>
      <c r="B7" s="26" t="s">
        <v>33</v>
      </c>
      <c r="C7" s="26" t="s">
        <v>34</v>
      </c>
      <c r="D7" s="26" t="s">
        <v>35</v>
      </c>
      <c r="E7" s="26" t="s">
        <v>37</v>
      </c>
      <c r="F7" s="26" t="s">
        <v>38</v>
      </c>
      <c r="G7" s="26" t="s">
        <v>36</v>
      </c>
      <c r="H7" s="26" t="s">
        <v>39</v>
      </c>
      <c r="I7" s="69" t="s">
        <v>140</v>
      </c>
      <c r="J7" s="26" t="s">
        <v>40</v>
      </c>
      <c r="K7" s="26" t="s">
        <v>41</v>
      </c>
      <c r="L7" s="26" t="s">
        <v>42</v>
      </c>
      <c r="M7" s="26" t="s">
        <v>43</v>
      </c>
      <c r="N7" s="26" t="s">
        <v>44</v>
      </c>
      <c r="O7" s="69" t="s">
        <v>163</v>
      </c>
      <c r="P7" s="26" t="s">
        <v>45</v>
      </c>
      <c r="Q7" s="26" t="s">
        <v>46</v>
      </c>
      <c r="R7" s="26" t="s">
        <v>47</v>
      </c>
      <c r="S7" s="26" t="s">
        <v>48</v>
      </c>
    </row>
    <row r="8" spans="1:19" s="9" customFormat="1">
      <c r="A8" s="51"/>
      <c r="B8" s="8"/>
      <c r="C8" s="8"/>
      <c r="D8" s="8"/>
      <c r="E8" s="8"/>
      <c r="F8" s="8"/>
      <c r="G8" s="8"/>
      <c r="H8" s="8"/>
      <c r="I8" s="8"/>
      <c r="J8" s="8"/>
      <c r="K8" s="8"/>
      <c r="L8" s="8"/>
      <c r="M8" s="8"/>
      <c r="N8" s="8"/>
      <c r="O8" s="8"/>
      <c r="P8" s="8"/>
      <c r="Q8" s="8"/>
      <c r="R8" s="8"/>
      <c r="S8" s="8"/>
    </row>
    <row r="9" spans="1:19" s="9" customFormat="1">
      <c r="A9" s="51" t="s">
        <v>50</v>
      </c>
      <c r="B9" s="10">
        <v>47.19</v>
      </c>
      <c r="C9" s="10">
        <v>46.89</v>
      </c>
      <c r="D9" s="10">
        <f>(3310.5-74)/D56/(D44*91/1000)</f>
        <v>44.309565904773073</v>
      </c>
      <c r="E9" s="10">
        <f>41.83/D56</f>
        <v>31.116566242654166</v>
      </c>
      <c r="F9" s="10">
        <v>44.14</v>
      </c>
      <c r="G9" s="10">
        <f>((576*48.11)+(19.28*52))/(52+576)</f>
        <v>45.722802547770705</v>
      </c>
      <c r="H9" s="10">
        <v>41.91</v>
      </c>
      <c r="I9" s="10">
        <v>44.75</v>
      </c>
      <c r="J9" s="10">
        <v>37.630000000000003</v>
      </c>
      <c r="K9" s="10">
        <v>46.11</v>
      </c>
      <c r="L9" s="10">
        <v>47.46</v>
      </c>
      <c r="M9" s="10">
        <v>45.74</v>
      </c>
      <c r="N9" s="10">
        <f>((45.81*125)+(47.04*43))/(125+43)</f>
        <v>46.12482142857143</v>
      </c>
      <c r="O9" s="10">
        <v>43.42</v>
      </c>
      <c r="P9" s="10">
        <v>46.4</v>
      </c>
      <c r="Q9" s="10">
        <v>46.55</v>
      </c>
      <c r="R9" s="10">
        <v>45</v>
      </c>
      <c r="S9" s="10">
        <v>40.56</v>
      </c>
    </row>
    <row r="10" spans="1:19" s="9" customFormat="1">
      <c r="A10" s="51" t="s">
        <v>3</v>
      </c>
      <c r="B10" s="10">
        <f t="shared" ref="B10:S10" si="0">+B9-$B$2</f>
        <v>-0.92000000000000171</v>
      </c>
      <c r="C10" s="10">
        <f t="shared" si="0"/>
        <v>-1.2199999999999989</v>
      </c>
      <c r="D10" s="10">
        <f t="shared" si="0"/>
        <v>-3.800434095226926</v>
      </c>
      <c r="E10" s="10">
        <f t="shared" si="0"/>
        <v>-16.993433757345834</v>
      </c>
      <c r="F10" s="10">
        <f t="shared" si="0"/>
        <v>-3.9699999999999989</v>
      </c>
      <c r="G10" s="10">
        <f>+G9-$B$2</f>
        <v>-2.3871974522292945</v>
      </c>
      <c r="H10" s="10">
        <f t="shared" si="0"/>
        <v>-6.2000000000000028</v>
      </c>
      <c r="I10" s="10">
        <f t="shared" si="0"/>
        <v>-3.3599999999999994</v>
      </c>
      <c r="J10" s="10">
        <f t="shared" si="0"/>
        <v>-10.479999999999997</v>
      </c>
      <c r="K10" s="10">
        <f t="shared" si="0"/>
        <v>-2</v>
      </c>
      <c r="L10" s="10">
        <f t="shared" si="0"/>
        <v>-0.64999999999999858</v>
      </c>
      <c r="M10" s="10">
        <f t="shared" si="0"/>
        <v>-2.3699999999999974</v>
      </c>
      <c r="N10" s="10">
        <f t="shared" si="0"/>
        <v>-1.9851785714285697</v>
      </c>
      <c r="O10" s="10">
        <f t="shared" si="0"/>
        <v>-4.6899999999999977</v>
      </c>
      <c r="P10" s="10">
        <f t="shared" si="0"/>
        <v>-1.7100000000000009</v>
      </c>
      <c r="Q10" s="10">
        <f t="shared" si="0"/>
        <v>-1.5600000000000023</v>
      </c>
      <c r="R10" s="10">
        <f t="shared" si="0"/>
        <v>-3.1099999999999994</v>
      </c>
      <c r="S10" s="10">
        <f t="shared" si="0"/>
        <v>-7.5499999999999972</v>
      </c>
    </row>
    <row r="11" spans="1:19" s="9" customFormat="1">
      <c r="A11" s="51" t="s">
        <v>51</v>
      </c>
      <c r="B11" s="10">
        <v>25.14</v>
      </c>
      <c r="C11" s="10">
        <v>13.03</v>
      </c>
      <c r="D11" s="10">
        <f>237/D56/(D45*91/1000)</f>
        <v>48.390496094904236</v>
      </c>
      <c r="E11" s="10">
        <f>41.06/D56</f>
        <v>30.543777430633043</v>
      </c>
      <c r="F11" s="10">
        <v>18.239999999999998</v>
      </c>
      <c r="G11" s="10">
        <v>19.97</v>
      </c>
      <c r="H11" s="10"/>
      <c r="I11" s="10"/>
      <c r="J11" s="10">
        <v>13.26</v>
      </c>
      <c r="K11" s="10">
        <v>30.93</v>
      </c>
      <c r="L11" s="10">
        <v>18.649999999999999</v>
      </c>
      <c r="M11" s="10">
        <v>14.85</v>
      </c>
      <c r="N11" s="10">
        <f>((17.61*40)+(12*1.77))/(40+12)</f>
        <v>13.954615384615384</v>
      </c>
      <c r="O11" s="10">
        <v>24.54</v>
      </c>
      <c r="P11" s="10">
        <v>18.79</v>
      </c>
      <c r="Q11" s="10">
        <v>18.899999999999999</v>
      </c>
      <c r="R11" s="10">
        <v>16.91</v>
      </c>
      <c r="S11" s="10">
        <v>11.25</v>
      </c>
    </row>
    <row r="12" spans="1:19" s="9" customFormat="1">
      <c r="A12" s="51" t="s">
        <v>3</v>
      </c>
      <c r="B12" s="10">
        <f t="shared" ref="B12:S12" si="1">+B11-$B$3</f>
        <v>1.3948999999999998</v>
      </c>
      <c r="C12" s="10">
        <f t="shared" si="1"/>
        <v>-10.715100000000001</v>
      </c>
      <c r="D12" s="10">
        <f t="shared" si="1"/>
        <v>24.645396094904235</v>
      </c>
      <c r="E12" s="10">
        <f t="shared" si="1"/>
        <v>6.7986774306330418</v>
      </c>
      <c r="F12" s="10">
        <f t="shared" si="1"/>
        <v>-5.5051000000000023</v>
      </c>
      <c r="G12" s="10">
        <f>+G11-$B$3</f>
        <v>-3.7751000000000019</v>
      </c>
      <c r="H12" s="10">
        <f t="shared" si="1"/>
        <v>-23.745100000000001</v>
      </c>
      <c r="I12" s="10">
        <f t="shared" si="1"/>
        <v>-23.745100000000001</v>
      </c>
      <c r="J12" s="10">
        <f t="shared" si="1"/>
        <v>-10.485100000000001</v>
      </c>
      <c r="K12" s="10">
        <f t="shared" si="1"/>
        <v>7.184899999999999</v>
      </c>
      <c r="L12" s="10">
        <f t="shared" si="1"/>
        <v>-5.0951000000000022</v>
      </c>
      <c r="M12" s="10">
        <f t="shared" si="1"/>
        <v>-8.8951000000000011</v>
      </c>
      <c r="N12" s="10">
        <f t="shared" si="1"/>
        <v>-9.7904846153846172</v>
      </c>
      <c r="O12" s="10">
        <f t="shared" si="1"/>
        <v>0.79489999999999839</v>
      </c>
      <c r="P12" s="10">
        <f t="shared" si="1"/>
        <v>-4.9551000000000016</v>
      </c>
      <c r="Q12" s="10">
        <f t="shared" si="1"/>
        <v>-4.8451000000000022</v>
      </c>
      <c r="R12" s="10">
        <f t="shared" si="1"/>
        <v>-6.8351000000000006</v>
      </c>
      <c r="S12" s="10">
        <f t="shared" si="1"/>
        <v>-12.495100000000001</v>
      </c>
    </row>
    <row r="13" spans="1:19" s="9" customFormat="1">
      <c r="A13" s="51" t="s">
        <v>52</v>
      </c>
      <c r="B13" s="10">
        <v>2.84</v>
      </c>
      <c r="C13" s="10">
        <v>2.6</v>
      </c>
      <c r="D13" s="10">
        <f>447/D56/(D46*91/1000)</f>
        <v>2.2065287970608014</v>
      </c>
      <c r="E13" s="10">
        <f>2.8/D56</f>
        <v>2.0828684073495496</v>
      </c>
      <c r="F13" s="10">
        <v>2.82</v>
      </c>
      <c r="G13" s="10">
        <v>3.64</v>
      </c>
      <c r="H13" s="10">
        <v>2.63</v>
      </c>
      <c r="I13" s="10">
        <v>2.71</v>
      </c>
      <c r="J13" s="10">
        <v>2.5</v>
      </c>
      <c r="K13" s="10">
        <v>2.57</v>
      </c>
      <c r="L13" s="10">
        <v>2.25</v>
      </c>
      <c r="M13" s="10">
        <v>3.19</v>
      </c>
      <c r="N13" s="10">
        <f>((3.05*341)+(478*0.57))/(341+478)</f>
        <v>1.6025763125763126</v>
      </c>
      <c r="O13" s="10">
        <v>2.75</v>
      </c>
      <c r="P13" s="10">
        <v>3.13</v>
      </c>
      <c r="Q13" s="10">
        <v>1.81</v>
      </c>
      <c r="R13" s="10">
        <v>2.62</v>
      </c>
      <c r="S13" s="10">
        <v>2.35</v>
      </c>
    </row>
    <row r="14" spans="1:19" s="9" customFormat="1">
      <c r="A14" s="51" t="s">
        <v>3</v>
      </c>
      <c r="B14" s="10">
        <f t="shared" ref="B14:S14" si="2">+B13-$B$4</f>
        <v>-0.20680000000000032</v>
      </c>
      <c r="C14" s="10">
        <f t="shared" si="2"/>
        <v>-0.44680000000000009</v>
      </c>
      <c r="D14" s="10">
        <f t="shared" si="2"/>
        <v>-0.84027120293919877</v>
      </c>
      <c r="E14" s="10">
        <f t="shared" si="2"/>
        <v>-0.96393159265045059</v>
      </c>
      <c r="F14" s="10">
        <f t="shared" si="2"/>
        <v>-0.22680000000000033</v>
      </c>
      <c r="G14" s="10">
        <f>+G13-$B$4</f>
        <v>0.59319999999999995</v>
      </c>
      <c r="H14" s="10">
        <f t="shared" si="2"/>
        <v>-0.41680000000000028</v>
      </c>
      <c r="I14" s="10">
        <f t="shared" si="2"/>
        <v>-0.33680000000000021</v>
      </c>
      <c r="J14" s="10">
        <f t="shared" si="2"/>
        <v>-0.54680000000000017</v>
      </c>
      <c r="K14" s="10">
        <f t="shared" si="2"/>
        <v>-0.47680000000000033</v>
      </c>
      <c r="L14" s="10">
        <f t="shared" si="2"/>
        <v>-0.79680000000000017</v>
      </c>
      <c r="M14" s="10">
        <f t="shared" si="2"/>
        <v>0.14319999999999977</v>
      </c>
      <c r="N14" s="10">
        <f t="shared" si="2"/>
        <v>-1.4442236874236876</v>
      </c>
      <c r="O14" s="10">
        <f t="shared" si="2"/>
        <v>-0.29680000000000017</v>
      </c>
      <c r="P14" s="10">
        <f t="shared" si="2"/>
        <v>8.3199999999999719E-2</v>
      </c>
      <c r="Q14" s="10">
        <f t="shared" si="2"/>
        <v>-1.2368000000000001</v>
      </c>
      <c r="R14" s="10">
        <f t="shared" si="2"/>
        <v>-0.42680000000000007</v>
      </c>
      <c r="S14" s="10">
        <f t="shared" si="2"/>
        <v>-0.69680000000000009</v>
      </c>
    </row>
    <row r="15" spans="1:19" s="9" customFormat="1">
      <c r="A15" s="51" t="s">
        <v>49</v>
      </c>
      <c r="B15" s="10">
        <f>(1422+319+214)/B48</f>
        <v>34.028801188252082</v>
      </c>
      <c r="C15" s="10">
        <f>(1050+233+63-98)/C48</f>
        <v>31.741696653201789</v>
      </c>
      <c r="D15" s="10">
        <f>(2384+1537)/D56/D48</f>
        <v>35.101693265702387</v>
      </c>
      <c r="E15" s="10">
        <f>35.58/D56</f>
        <v>26.467306404820349</v>
      </c>
      <c r="F15" s="10">
        <f>+(232.453+132.474+80.886)/F48</f>
        <v>25.420702834757169</v>
      </c>
      <c r="G15" s="10">
        <f>G65</f>
        <v>34.946703012749524</v>
      </c>
      <c r="H15" s="10">
        <f>626.548/H48</f>
        <v>30.436570532659982</v>
      </c>
      <c r="I15" s="10">
        <v>33.729999999999997</v>
      </c>
      <c r="J15" s="10">
        <v>24.72</v>
      </c>
      <c r="K15" s="10">
        <v>25.29</v>
      </c>
      <c r="L15" s="10">
        <f>+(1445.454+146.907+224.008)/L48</f>
        <v>33.048345219546725</v>
      </c>
      <c r="M15" s="20">
        <f>M65</f>
        <v>34.601118548303447</v>
      </c>
      <c r="N15" s="10">
        <f>(695+220)/N48</f>
        <v>28.20461445987393</v>
      </c>
      <c r="O15" s="10">
        <f>402/O48</f>
        <v>29.444078224566027</v>
      </c>
      <c r="P15" s="10">
        <f>P65</f>
        <v>28.168294171581842</v>
      </c>
      <c r="Q15" s="10">
        <f>Q65</f>
        <v>34.707013755897762</v>
      </c>
      <c r="R15" s="10">
        <v>32.56</v>
      </c>
      <c r="S15" s="10">
        <f>S65</f>
        <v>14.396424977306138</v>
      </c>
    </row>
    <row r="16" spans="1:19" s="9" customFormat="1">
      <c r="A16" s="51"/>
      <c r="B16" s="10"/>
      <c r="C16" s="10"/>
      <c r="D16" s="10"/>
      <c r="E16" s="10"/>
      <c r="F16" s="10"/>
      <c r="G16" s="10"/>
      <c r="H16" s="10"/>
      <c r="I16" s="10"/>
      <c r="J16" s="10"/>
      <c r="K16" s="10"/>
      <c r="L16" s="10"/>
      <c r="M16" s="20"/>
      <c r="N16" s="10"/>
      <c r="O16" s="10"/>
      <c r="P16" s="10"/>
      <c r="Q16" s="10"/>
      <c r="R16" s="10"/>
      <c r="S16" s="10"/>
    </row>
    <row r="17" spans="1:20" s="9" customFormat="1">
      <c r="A17" s="51" t="s">
        <v>4</v>
      </c>
      <c r="B17" s="10"/>
      <c r="C17" s="10"/>
      <c r="D17" s="10"/>
      <c r="E17" s="10"/>
      <c r="F17" s="10"/>
      <c r="G17" s="10"/>
      <c r="H17" s="10"/>
      <c r="I17" s="10"/>
      <c r="J17" s="10"/>
      <c r="K17" s="10"/>
      <c r="L17" s="10"/>
      <c r="M17" s="20"/>
      <c r="N17" s="10"/>
      <c r="O17" s="10"/>
      <c r="P17" s="10"/>
      <c r="Q17" s="10"/>
      <c r="R17" s="10"/>
      <c r="S17" s="10"/>
    </row>
    <row r="18" spans="1:20" s="9" customFormat="1">
      <c r="A18" s="50" t="s">
        <v>75</v>
      </c>
      <c r="B18" s="10">
        <f>(233+229)/B48</f>
        <v>8.0415888230038171</v>
      </c>
      <c r="C18" s="10">
        <f>(372+48)/C48</f>
        <v>10.682301758289064</v>
      </c>
      <c r="D18" s="20">
        <f>(718+530+553+74)/D56/D48</f>
        <v>16.785430980156079</v>
      </c>
      <c r="E18" s="10">
        <f>(9.59+4.78)/D56</f>
        <v>10.689578219147512</v>
      </c>
      <c r="F18" s="10">
        <f>+(62.578+58.624)/F48</f>
        <v>6.9110591772295527</v>
      </c>
      <c r="G18" s="10">
        <f>(1327-14)/G48</f>
        <v>12.427710102128707</v>
      </c>
      <c r="H18" s="10">
        <v>3.99</v>
      </c>
      <c r="I18" s="10">
        <v>5.91</v>
      </c>
      <c r="J18" s="10">
        <f>(399)/J48</f>
        <v>8.175168523210786</v>
      </c>
      <c r="K18" s="10">
        <f>6.39+3.58</f>
        <v>9.9699999999999989</v>
      </c>
      <c r="L18" s="10">
        <f>+(255.186+186.356+34.746)/L48</f>
        <v>8.6659320038645618</v>
      </c>
      <c r="M18" s="20">
        <f>(317+135)/M48</f>
        <v>16.547583454857193</v>
      </c>
      <c r="N18" s="10">
        <f>(176+111)/N48</f>
        <v>8.8466932786708394</v>
      </c>
      <c r="O18" s="10">
        <f>+(58+71)/O48</f>
        <v>9.4484728631070087</v>
      </c>
      <c r="P18" s="10">
        <f>3.54+3.89</f>
        <v>7.43</v>
      </c>
      <c r="Q18" s="10">
        <v>11.86</v>
      </c>
      <c r="R18" s="10">
        <f>4.79+0.82+0.76-0.18</f>
        <v>6.19</v>
      </c>
      <c r="S18" s="10">
        <f>0.89*6</f>
        <v>5.34</v>
      </c>
    </row>
    <row r="19" spans="1:20" s="9" customFormat="1">
      <c r="A19" s="50" t="s">
        <v>74</v>
      </c>
      <c r="B19" s="10"/>
      <c r="C19" s="10"/>
      <c r="D19" s="10">
        <f>216/D56/D48</f>
        <v>1.9336816489139801</v>
      </c>
      <c r="E19" s="10">
        <f>2.34/D56</f>
        <v>1.7406828832849808</v>
      </c>
      <c r="F19" s="10"/>
      <c r="G19" s="10"/>
      <c r="H19" s="10"/>
      <c r="I19" s="10"/>
      <c r="J19" s="10"/>
      <c r="K19" s="10"/>
      <c r="L19" s="10"/>
      <c r="M19" s="20"/>
      <c r="N19" s="10"/>
      <c r="O19" s="10"/>
      <c r="P19" s="10"/>
      <c r="Q19" s="10"/>
      <c r="R19" s="10"/>
      <c r="S19" s="10"/>
    </row>
    <row r="20" spans="1:20" s="9" customFormat="1">
      <c r="A20" s="50" t="s">
        <v>10</v>
      </c>
      <c r="B20" s="10">
        <f>(135-12)/B48</f>
        <v>2.1409424788516658</v>
      </c>
      <c r="C20" s="10">
        <f>29/C48</f>
        <v>0.73758750235805437</v>
      </c>
      <c r="D20" s="10"/>
      <c r="E20" s="10">
        <f>0.13/D56</f>
        <v>9.6704604626943386E-2</v>
      </c>
      <c r="F20" s="10">
        <f>17.477/F48</f>
        <v>0.99655600766027708</v>
      </c>
      <c r="G20" s="10">
        <f>198/G48</f>
        <v>1.8740948973507114</v>
      </c>
      <c r="H20" s="10">
        <f>41.965/H48</f>
        <v>2.0385839271740971</v>
      </c>
      <c r="I20" s="10">
        <v>2.62</v>
      </c>
      <c r="J20" s="10">
        <f>59/J48</f>
        <v>1.2088595059384368</v>
      </c>
      <c r="K20" s="10">
        <f>0.85</f>
        <v>0.85</v>
      </c>
      <c r="L20" s="10">
        <f>130.114/L48</f>
        <v>2.3673892198645223</v>
      </c>
      <c r="M20" s="20">
        <f>30/M48</f>
        <v>1.0982909372692826</v>
      </c>
      <c r="N20" s="10">
        <f>(45)/N48</f>
        <v>1.3871121865511769</v>
      </c>
      <c r="O20" s="10">
        <f>13/O48</f>
        <v>0.95217168387900097</v>
      </c>
      <c r="P20" s="10">
        <v>1.07</v>
      </c>
      <c r="Q20" s="10">
        <v>1.27</v>
      </c>
      <c r="R20" s="10">
        <v>2.19</v>
      </c>
      <c r="S20" s="10">
        <f>0.1*6</f>
        <v>0.60000000000000009</v>
      </c>
    </row>
    <row r="21" spans="1:20" s="9" customFormat="1">
      <c r="A21" s="50" t="s">
        <v>11</v>
      </c>
      <c r="B21" s="10">
        <f>(291-11)/B48</f>
        <v>4.873690195759889</v>
      </c>
      <c r="C21" s="10">
        <f>106/C48</f>
        <v>2.6960094913777159</v>
      </c>
      <c r="D21" s="10">
        <f>(75)/D56/D48</f>
        <v>0.67141723920624308</v>
      </c>
      <c r="E21" s="10">
        <f>58/D56/E48</f>
        <v>1.0849547257133951</v>
      </c>
      <c r="F21" s="74">
        <f>+(6.293+4.932+19.762+18.779)/F48</f>
        <v>2.8377070594050093</v>
      </c>
      <c r="G21" s="10">
        <f>134/G48</f>
        <v>1.2683268497221987</v>
      </c>
      <c r="H21" s="10">
        <v>1.89</v>
      </c>
      <c r="I21" s="10">
        <v>3.7</v>
      </c>
      <c r="J21" s="10">
        <f>(207-31-18)/J48</f>
        <v>3.2372847786147974</v>
      </c>
      <c r="K21" s="10">
        <f>(46+28)/K48</f>
        <v>2.5741906083786428</v>
      </c>
      <c r="L21" s="10">
        <f>108.507/L48</f>
        <v>1.9742556687200437</v>
      </c>
      <c r="M21" s="20">
        <f>(100-3)/M48</f>
        <v>3.5511406971706805</v>
      </c>
      <c r="N21" s="10">
        <f>(93)/N48</f>
        <v>2.8666985188724321</v>
      </c>
      <c r="O21" s="10">
        <f>51/O48</f>
        <v>3.7354427598330036</v>
      </c>
      <c r="P21" s="10">
        <v>2.82</v>
      </c>
      <c r="Q21" s="10">
        <v>3.6</v>
      </c>
      <c r="R21" s="10">
        <f>81/R48</f>
        <v>3.43555927130063</v>
      </c>
      <c r="S21" s="10">
        <f>0.23*6</f>
        <v>1.3800000000000001</v>
      </c>
    </row>
    <row r="22" spans="1:20" s="9" customFormat="1">
      <c r="A22" s="50" t="s">
        <v>12</v>
      </c>
      <c r="B22" s="10">
        <f>(227-36)/B48</f>
        <v>3.3245529549647816</v>
      </c>
      <c r="C22" s="10">
        <f>115/C48</f>
        <v>2.9249159576267676</v>
      </c>
      <c r="D22" s="10">
        <f>(145+43-22)/D56/D48</f>
        <v>1.4860701561098182</v>
      </c>
      <c r="E22" s="10">
        <f>152/D56/E48</f>
        <v>2.8433296260075185</v>
      </c>
      <c r="F22" s="10">
        <f>20.095/F48</f>
        <v>1.1458369842612157</v>
      </c>
      <c r="G22" s="10">
        <f>315/G48</f>
        <v>2.9815146094215863</v>
      </c>
      <c r="H22" s="10">
        <f>72.744/H48</f>
        <v>3.5337721720088768</v>
      </c>
      <c r="I22" s="10">
        <f>39/I48</f>
        <v>2.3206081880880784</v>
      </c>
      <c r="J22" s="10">
        <f>(98)/J48</f>
        <v>2.0079361285079123</v>
      </c>
      <c r="K22" s="10">
        <f>79/K48</f>
        <v>2.7481224062420648</v>
      </c>
      <c r="L22" s="10">
        <f>70.413/L48</f>
        <v>1.2811455887784604</v>
      </c>
      <c r="M22" s="20">
        <f>76/M48</f>
        <v>2.7823370410821826</v>
      </c>
      <c r="N22" s="10">
        <f>86/N48</f>
        <v>2.6509255120755824</v>
      </c>
      <c r="O22" s="10">
        <f>37/O48</f>
        <v>2.7100271002710028</v>
      </c>
      <c r="P22" s="10">
        <f>(96+11)/P48</f>
        <v>2.9285782710440249</v>
      </c>
      <c r="Q22" s="10">
        <f>86/Q48</f>
        <v>1.5586392716684085</v>
      </c>
      <c r="R22" s="10">
        <f>35/R48</f>
        <v>1.4845009196978032</v>
      </c>
      <c r="S22" s="10">
        <f>(59)/S48</f>
        <v>1.5772792576391108</v>
      </c>
    </row>
    <row r="23" spans="1:20" s="9" customFormat="1">
      <c r="A23" s="50" t="s">
        <v>13</v>
      </c>
      <c r="B23" s="10">
        <f>(1037-74)/B48</f>
        <v>16.762013066131335</v>
      </c>
      <c r="C23" s="10">
        <f>536/C48</f>
        <v>13.632651767721281</v>
      </c>
      <c r="D23" s="10">
        <f>(237+971)/D56/D48</f>
        <v>10.814293666148556</v>
      </c>
      <c r="E23" s="10">
        <f>(443+45)/D56/E48</f>
        <v>9.1285845887609813</v>
      </c>
      <c r="F23" s="10">
        <f>108.844/F48</f>
        <v>6.2063936658336774</v>
      </c>
      <c r="G23" s="10">
        <f>1979/G48</f>
        <v>18.731483847762917</v>
      </c>
      <c r="H23" s="10">
        <v>19.14</v>
      </c>
      <c r="I23" s="10">
        <v>16.690000000000001</v>
      </c>
      <c r="J23" s="10">
        <f>218/J48</f>
        <v>4.466633428721682</v>
      </c>
      <c r="K23" s="10">
        <f>193/K48</f>
        <v>6.7137673975280823</v>
      </c>
      <c r="L23" s="10">
        <f>865.384/L48</f>
        <v>15.745429028722812</v>
      </c>
      <c r="M23" s="20">
        <f>708/M48</f>
        <v>25.919666119555071</v>
      </c>
      <c r="N23" s="10">
        <f>(592)/N48</f>
        <v>18.24823143196215</v>
      </c>
      <c r="O23" s="10">
        <f>110/O48</f>
        <v>8.0568373251300081</v>
      </c>
      <c r="P23" s="10">
        <v>13.32</v>
      </c>
      <c r="Q23" s="10">
        <v>14.67</v>
      </c>
      <c r="R23" s="10">
        <f>341/R48</f>
        <v>14.46328038905574</v>
      </c>
      <c r="S23" s="10">
        <f>107/S48</f>
        <v>2.8604895011421165</v>
      </c>
    </row>
    <row r="24" spans="1:20" s="9" customFormat="1">
      <c r="A24" s="50"/>
      <c r="B24" s="10"/>
      <c r="C24" s="10"/>
      <c r="D24" s="10"/>
      <c r="E24" s="10"/>
      <c r="F24" s="10"/>
      <c r="G24" s="10"/>
      <c r="H24" s="10"/>
      <c r="I24" s="10"/>
      <c r="J24" s="10"/>
      <c r="K24" s="10"/>
      <c r="L24" s="10"/>
      <c r="M24" s="20"/>
      <c r="N24" s="10"/>
      <c r="O24" s="10"/>
      <c r="P24" s="10"/>
      <c r="Q24" s="10"/>
      <c r="R24" s="10"/>
      <c r="S24" s="10"/>
    </row>
    <row r="25" spans="1:20" s="9" customFormat="1">
      <c r="A25" s="51" t="s">
        <v>9</v>
      </c>
      <c r="B25" s="8"/>
      <c r="C25" s="8"/>
      <c r="D25" s="8"/>
      <c r="E25" s="8"/>
      <c r="F25" s="8"/>
      <c r="G25" s="8"/>
      <c r="H25" s="8"/>
      <c r="I25" s="8"/>
      <c r="J25" s="8"/>
      <c r="K25" s="8"/>
      <c r="L25" s="8"/>
      <c r="M25" s="19"/>
      <c r="N25" s="8"/>
      <c r="O25" s="8"/>
      <c r="P25" s="8"/>
      <c r="Q25" s="8"/>
      <c r="R25" s="8"/>
      <c r="S25" s="8"/>
    </row>
    <row r="26" spans="1:20" s="9" customFormat="1">
      <c r="A26" s="117" t="s">
        <v>165</v>
      </c>
      <c r="B26" s="10">
        <f>+B18+B20</f>
        <v>10.182531301855484</v>
      </c>
      <c r="C26" s="10">
        <f>+C18+C20</f>
        <v>11.419889260647119</v>
      </c>
      <c r="D26" s="10">
        <f>+D18+D20+D19</f>
        <v>18.719112629070057</v>
      </c>
      <c r="E26" s="10">
        <f>+E18+E20+E19</f>
        <v>12.526965707059436</v>
      </c>
      <c r="F26" s="10">
        <f>+F18+F20</f>
        <v>7.9076151848898295</v>
      </c>
      <c r="G26" s="10">
        <f>+G18+G20</f>
        <v>14.301804999479419</v>
      </c>
      <c r="H26" s="10">
        <f t="shared" ref="H26:S26" si="3">+H18+H20</f>
        <v>6.0285839271740969</v>
      </c>
      <c r="I26" s="10">
        <f>+I18+I20</f>
        <v>8.5300000000000011</v>
      </c>
      <c r="J26" s="10">
        <f t="shared" si="3"/>
        <v>9.3840280291492224</v>
      </c>
      <c r="K26" s="10">
        <f t="shared" si="3"/>
        <v>10.819999999999999</v>
      </c>
      <c r="L26" s="10">
        <f t="shared" si="3"/>
        <v>11.033321223729084</v>
      </c>
      <c r="M26" s="20">
        <f t="shared" si="3"/>
        <v>17.645874392126476</v>
      </c>
      <c r="N26" s="10">
        <f t="shared" si="3"/>
        <v>10.233805465222016</v>
      </c>
      <c r="O26" s="10">
        <f>+O18+O20</f>
        <v>10.40064454698601</v>
      </c>
      <c r="P26" s="10">
        <f t="shared" si="3"/>
        <v>8.5</v>
      </c>
      <c r="Q26" s="10">
        <f t="shared" si="3"/>
        <v>13.129999999999999</v>
      </c>
      <c r="R26" s="10">
        <f t="shared" si="3"/>
        <v>8.3800000000000008</v>
      </c>
      <c r="S26" s="10">
        <f t="shared" si="3"/>
        <v>5.9399999999999995</v>
      </c>
    </row>
    <row r="27" spans="1:20" s="9" customFormat="1">
      <c r="A27" s="50" t="s">
        <v>6</v>
      </c>
      <c r="B27" s="10">
        <f t="shared" ref="B27:S29" si="4">+B26+B21</f>
        <v>15.056221497615372</v>
      </c>
      <c r="C27" s="10">
        <f t="shared" si="4"/>
        <v>14.115898752024835</v>
      </c>
      <c r="D27" s="10">
        <f>+D26+D21</f>
        <v>19.3905298682763</v>
      </c>
      <c r="E27" s="10">
        <f t="shared" ref="E27:F29" si="5">+E26+E21</f>
        <v>13.61192043277283</v>
      </c>
      <c r="F27" s="10">
        <f t="shared" si="5"/>
        <v>10.745322244294838</v>
      </c>
      <c r="G27" s="10">
        <f>+G26+G21</f>
        <v>15.570131849201617</v>
      </c>
      <c r="H27" s="10">
        <f t="shared" si="4"/>
        <v>7.9185839271740965</v>
      </c>
      <c r="I27" s="10">
        <f>+I26+I21</f>
        <v>12.23</v>
      </c>
      <c r="J27" s="10">
        <f t="shared" si="4"/>
        <v>12.621312807764021</v>
      </c>
      <c r="K27" s="10">
        <f t="shared" si="4"/>
        <v>13.394190608378642</v>
      </c>
      <c r="L27" s="10">
        <f t="shared" si="4"/>
        <v>13.007576892449128</v>
      </c>
      <c r="M27" s="20">
        <f t="shared" si="4"/>
        <v>21.197015089297157</v>
      </c>
      <c r="N27" s="10">
        <f t="shared" si="4"/>
        <v>13.100503984094448</v>
      </c>
      <c r="O27" s="10">
        <f>+O26+O21</f>
        <v>14.136087306819014</v>
      </c>
      <c r="P27" s="10">
        <f t="shared" si="4"/>
        <v>11.32</v>
      </c>
      <c r="Q27" s="10">
        <f t="shared" si="4"/>
        <v>16.73</v>
      </c>
      <c r="R27" s="10">
        <f t="shared" si="4"/>
        <v>11.81555927130063</v>
      </c>
      <c r="S27" s="10">
        <f t="shared" si="4"/>
        <v>7.3199999999999994</v>
      </c>
    </row>
    <row r="28" spans="1:20" s="9" customFormat="1">
      <c r="A28" s="50" t="s">
        <v>7</v>
      </c>
      <c r="B28" s="10">
        <f t="shared" si="4"/>
        <v>18.380774452580155</v>
      </c>
      <c r="C28" s="10">
        <f t="shared" si="4"/>
        <v>17.040814709651602</v>
      </c>
      <c r="D28" s="10">
        <f t="shared" si="4"/>
        <v>20.876600024386118</v>
      </c>
      <c r="E28" s="10">
        <f t="shared" si="5"/>
        <v>16.455250058780351</v>
      </c>
      <c r="F28" s="10">
        <f t="shared" si="5"/>
        <v>11.891159228556054</v>
      </c>
      <c r="G28" s="10">
        <f>+G27+G22</f>
        <v>18.551646458623203</v>
      </c>
      <c r="H28" s="10">
        <f t="shared" si="4"/>
        <v>11.452356099182973</v>
      </c>
      <c r="I28" s="10">
        <f>+I27+I22</f>
        <v>14.550608188088079</v>
      </c>
      <c r="J28" s="10">
        <f t="shared" si="4"/>
        <v>14.629248936271933</v>
      </c>
      <c r="K28" s="10">
        <f t="shared" si="4"/>
        <v>16.142313014620708</v>
      </c>
      <c r="L28" s="10">
        <f t="shared" si="4"/>
        <v>14.288722481227589</v>
      </c>
      <c r="M28" s="20">
        <f t="shared" si="4"/>
        <v>23.97935213037934</v>
      </c>
      <c r="N28" s="10">
        <f t="shared" si="4"/>
        <v>15.751429496170031</v>
      </c>
      <c r="O28" s="10">
        <f>+O27+O22</f>
        <v>16.846114407090017</v>
      </c>
      <c r="P28" s="10">
        <f t="shared" si="4"/>
        <v>14.248578271044025</v>
      </c>
      <c r="Q28" s="10">
        <f t="shared" si="4"/>
        <v>18.288639271668409</v>
      </c>
      <c r="R28" s="10">
        <f t="shared" si="4"/>
        <v>13.300060190998433</v>
      </c>
      <c r="S28" s="10">
        <f t="shared" si="4"/>
        <v>8.8972792576391093</v>
      </c>
      <c r="T28" s="65"/>
    </row>
    <row r="29" spans="1:20" s="9" customFormat="1">
      <c r="A29" s="50" t="s">
        <v>8</v>
      </c>
      <c r="B29" s="10">
        <f t="shared" si="4"/>
        <v>35.142787518711486</v>
      </c>
      <c r="C29" s="10">
        <f t="shared" si="4"/>
        <v>30.673466477372884</v>
      </c>
      <c r="D29" s="10">
        <f t="shared" si="4"/>
        <v>31.690893690534672</v>
      </c>
      <c r="E29" s="10">
        <f t="shared" si="5"/>
        <v>25.58383464754133</v>
      </c>
      <c r="F29" s="10">
        <f t="shared" si="5"/>
        <v>18.097552894389732</v>
      </c>
      <c r="G29" s="10">
        <f>+G28+G23</f>
        <v>37.28313030638612</v>
      </c>
      <c r="H29" s="10">
        <f t="shared" si="4"/>
        <v>30.592356099182972</v>
      </c>
      <c r="I29" s="10">
        <f>+I28+I23</f>
        <v>31.240608188088082</v>
      </c>
      <c r="J29" s="10">
        <f t="shared" si="4"/>
        <v>19.095882364993614</v>
      </c>
      <c r="K29" s="10">
        <f t="shared" si="4"/>
        <v>22.856080412148792</v>
      </c>
      <c r="L29" s="10">
        <f t="shared" si="4"/>
        <v>30.034151509950402</v>
      </c>
      <c r="M29" s="20">
        <f t="shared" si="4"/>
        <v>49.899018249934414</v>
      </c>
      <c r="N29" s="10">
        <f t="shared" si="4"/>
        <v>33.99966092813218</v>
      </c>
      <c r="O29" s="10">
        <f>+O28+O23</f>
        <v>24.902951732220025</v>
      </c>
      <c r="P29" s="10">
        <f t="shared" si="4"/>
        <v>27.568578271044025</v>
      </c>
      <c r="Q29" s="10">
        <f t="shared" si="4"/>
        <v>32.95863927166841</v>
      </c>
      <c r="R29" s="10">
        <f t="shared" si="4"/>
        <v>27.763340580054173</v>
      </c>
      <c r="S29" s="10">
        <f t="shared" si="4"/>
        <v>11.757768758781225</v>
      </c>
      <c r="T29" s="65"/>
    </row>
    <row r="30" spans="1:20" s="9" customFormat="1">
      <c r="A30" s="51"/>
      <c r="B30" s="10"/>
      <c r="C30" s="10"/>
      <c r="D30" s="10"/>
      <c r="E30" s="10"/>
      <c r="F30" s="10"/>
      <c r="G30" s="10"/>
      <c r="H30" s="10"/>
      <c r="I30" s="10"/>
      <c r="J30" s="10"/>
      <c r="K30" s="10"/>
      <c r="L30" s="10"/>
      <c r="M30" s="10"/>
      <c r="N30" s="10"/>
      <c r="O30" s="10"/>
      <c r="P30" s="10"/>
      <c r="Q30" s="10"/>
      <c r="R30" s="10"/>
      <c r="S30" s="10"/>
    </row>
    <row r="31" spans="1:20" s="9" customFormat="1">
      <c r="A31" s="50" t="s">
        <v>14</v>
      </c>
      <c r="B31" s="10"/>
      <c r="C31" s="10"/>
      <c r="D31" s="10"/>
      <c r="E31" s="10"/>
      <c r="F31" s="10"/>
      <c r="G31" s="10"/>
      <c r="H31" s="10"/>
      <c r="I31" s="10"/>
      <c r="J31" s="10"/>
      <c r="K31" s="10"/>
      <c r="L31" s="10"/>
      <c r="M31" s="20"/>
      <c r="N31" s="10"/>
      <c r="O31" s="10"/>
      <c r="P31" s="10"/>
      <c r="Q31" s="10"/>
      <c r="R31" s="10"/>
      <c r="S31" s="10"/>
    </row>
    <row r="32" spans="1:20" s="9" customFormat="1">
      <c r="A32" s="50" t="s">
        <v>67</v>
      </c>
      <c r="B32" s="10">
        <f t="shared" ref="B32:S35" si="6">+B$15-B26</f>
        <v>23.846269886396598</v>
      </c>
      <c r="C32" s="10">
        <f t="shared" si="6"/>
        <v>20.321807392554668</v>
      </c>
      <c r="D32" s="10">
        <f t="shared" si="6"/>
        <v>16.38258063663233</v>
      </c>
      <c r="E32" s="10">
        <f t="shared" si="6"/>
        <v>13.940340697760913</v>
      </c>
      <c r="F32" s="10">
        <f t="shared" si="6"/>
        <v>17.513087649867337</v>
      </c>
      <c r="G32" s="10">
        <f>+G$15-G26</f>
        <v>20.644898013270105</v>
      </c>
      <c r="H32" s="10">
        <f t="shared" si="6"/>
        <v>24.407986605485885</v>
      </c>
      <c r="I32" s="10">
        <f>+I$15-I26</f>
        <v>25.199999999999996</v>
      </c>
      <c r="J32" s="10">
        <f t="shared" si="6"/>
        <v>15.335971970850776</v>
      </c>
      <c r="K32" s="10">
        <f t="shared" si="6"/>
        <v>14.47</v>
      </c>
      <c r="L32" s="10">
        <f t="shared" si="6"/>
        <v>22.015023995817643</v>
      </c>
      <c r="M32" s="20">
        <f t="shared" si="6"/>
        <v>16.95524415617697</v>
      </c>
      <c r="N32" s="10">
        <f t="shared" si="6"/>
        <v>17.970808994651915</v>
      </c>
      <c r="O32" s="10">
        <f>+O$15-O26</f>
        <v>19.043433677580019</v>
      </c>
      <c r="P32" s="10">
        <f t="shared" si="6"/>
        <v>19.668294171581842</v>
      </c>
      <c r="Q32" s="10">
        <f t="shared" si="6"/>
        <v>21.577013755897763</v>
      </c>
      <c r="R32" s="10">
        <f t="shared" si="6"/>
        <v>24.18</v>
      </c>
      <c r="S32" s="10">
        <f t="shared" si="6"/>
        <v>8.4564249773061384</v>
      </c>
    </row>
    <row r="33" spans="1:19" s="9" customFormat="1">
      <c r="A33" s="50" t="s">
        <v>68</v>
      </c>
      <c r="B33" s="10">
        <f t="shared" si="6"/>
        <v>18.97257969063671</v>
      </c>
      <c r="C33" s="10">
        <f t="shared" si="6"/>
        <v>17.625797901176952</v>
      </c>
      <c r="D33" s="10">
        <f t="shared" si="6"/>
        <v>15.711163397426088</v>
      </c>
      <c r="E33" s="10">
        <f t="shared" si="6"/>
        <v>12.855385972047518</v>
      </c>
      <c r="F33" s="10">
        <f t="shared" si="6"/>
        <v>14.67538059046233</v>
      </c>
      <c r="G33" s="10">
        <f>+G$15-G27</f>
        <v>19.376571163547908</v>
      </c>
      <c r="H33" s="10">
        <f t="shared" si="6"/>
        <v>22.517986605485884</v>
      </c>
      <c r="I33" s="10">
        <f>+I$15-I27</f>
        <v>21.499999999999996</v>
      </c>
      <c r="J33" s="10">
        <f t="shared" si="6"/>
        <v>12.098687192235978</v>
      </c>
      <c r="K33" s="10">
        <f t="shared" si="6"/>
        <v>11.895809391621357</v>
      </c>
      <c r="L33" s="10">
        <f t="shared" si="6"/>
        <v>20.040768327097595</v>
      </c>
      <c r="M33" s="20">
        <f t="shared" si="6"/>
        <v>13.40410345900629</v>
      </c>
      <c r="N33" s="10">
        <f t="shared" si="6"/>
        <v>15.104110475779482</v>
      </c>
      <c r="O33" s="10">
        <f>+O$15-O27</f>
        <v>15.307990917747013</v>
      </c>
      <c r="P33" s="10">
        <f t="shared" si="6"/>
        <v>16.848294171581841</v>
      </c>
      <c r="Q33" s="10">
        <f t="shared" si="6"/>
        <v>17.977013755897762</v>
      </c>
      <c r="R33" s="10">
        <f t="shared" si="6"/>
        <v>20.744440728699374</v>
      </c>
      <c r="S33" s="10">
        <f t="shared" si="6"/>
        <v>7.0764249773061385</v>
      </c>
    </row>
    <row r="34" spans="1:19" s="9" customFormat="1">
      <c r="A34" s="50" t="s">
        <v>69</v>
      </c>
      <c r="B34" s="10">
        <f t="shared" si="6"/>
        <v>15.648026735671927</v>
      </c>
      <c r="C34" s="10">
        <f t="shared" si="6"/>
        <v>14.700881943550186</v>
      </c>
      <c r="D34" s="10">
        <f t="shared" si="6"/>
        <v>14.225093241316269</v>
      </c>
      <c r="E34" s="10">
        <f t="shared" si="6"/>
        <v>10.012056346039998</v>
      </c>
      <c r="F34" s="10">
        <f>+F$15-F28</f>
        <v>13.529543606201115</v>
      </c>
      <c r="G34" s="10">
        <f>+G$15-G28</f>
        <v>16.39505655412632</v>
      </c>
      <c r="H34" s="10">
        <f t="shared" si="6"/>
        <v>18.984214433477007</v>
      </c>
      <c r="I34" s="10">
        <f>+I$15-I28</f>
        <v>19.17939181191192</v>
      </c>
      <c r="J34" s="10">
        <f t="shared" si="6"/>
        <v>10.090751063728066</v>
      </c>
      <c r="K34" s="10">
        <f t="shared" si="6"/>
        <v>9.1476869853792913</v>
      </c>
      <c r="L34" s="10">
        <f t="shared" si="6"/>
        <v>18.759622738319138</v>
      </c>
      <c r="M34" s="20">
        <f t="shared" si="6"/>
        <v>10.621766417924107</v>
      </c>
      <c r="N34" s="10">
        <f t="shared" si="6"/>
        <v>12.453184963703899</v>
      </c>
      <c r="O34" s="10">
        <f>+O$15-O28</f>
        <v>12.59796381747601</v>
      </c>
      <c r="P34" s="10">
        <f t="shared" si="6"/>
        <v>13.919715900537817</v>
      </c>
      <c r="Q34" s="10">
        <f t="shared" si="6"/>
        <v>16.418374484229354</v>
      </c>
      <c r="R34" s="10">
        <f t="shared" si="6"/>
        <v>19.259939809001569</v>
      </c>
      <c r="S34" s="10">
        <f t="shared" si="6"/>
        <v>5.4991457196670286</v>
      </c>
    </row>
    <row r="35" spans="1:19" s="9" customFormat="1">
      <c r="A35" s="50" t="s">
        <v>70</v>
      </c>
      <c r="B35" s="10">
        <f t="shared" si="6"/>
        <v>-1.1139863304594044</v>
      </c>
      <c r="C35" s="10">
        <f t="shared" si="6"/>
        <v>1.068230175828905</v>
      </c>
      <c r="D35" s="10">
        <f t="shared" si="6"/>
        <v>3.4107995751677151</v>
      </c>
      <c r="E35" s="10">
        <f t="shared" si="6"/>
        <v>0.88347175727901828</v>
      </c>
      <c r="F35" s="10">
        <f t="shared" si="6"/>
        <v>7.3231499403674363</v>
      </c>
      <c r="G35" s="10">
        <f>+G$15-G29</f>
        <v>-2.3364272936365964</v>
      </c>
      <c r="H35" s="10">
        <f t="shared" si="6"/>
        <v>-0.15578556652299014</v>
      </c>
      <c r="I35" s="10">
        <f>+I$15-I29</f>
        <v>2.4893918119119149</v>
      </c>
      <c r="J35" s="10">
        <f t="shared" si="6"/>
        <v>5.6241176350063853</v>
      </c>
      <c r="K35" s="10">
        <f t="shared" si="6"/>
        <v>2.4339195878512072</v>
      </c>
      <c r="L35" s="10">
        <f t="shared" si="6"/>
        <v>3.0141937095963236</v>
      </c>
      <c r="M35" s="20">
        <f t="shared" si="6"/>
        <v>-15.297899701630968</v>
      </c>
      <c r="N35" s="10">
        <f t="shared" si="6"/>
        <v>-5.7950464682582492</v>
      </c>
      <c r="O35" s="10">
        <f>+O$15-O29</f>
        <v>4.5411264923460024</v>
      </c>
      <c r="P35" s="10">
        <f t="shared" si="6"/>
        <v>0.59971590053781654</v>
      </c>
      <c r="Q35" s="10">
        <f t="shared" si="6"/>
        <v>1.7483744842293518</v>
      </c>
      <c r="R35" s="10">
        <f t="shared" si="6"/>
        <v>4.7966594199458292</v>
      </c>
      <c r="S35" s="10">
        <f t="shared" si="6"/>
        <v>2.6386562185249129</v>
      </c>
    </row>
    <row r="36" spans="1:19" s="9" customFormat="1">
      <c r="A36" s="50" t="s">
        <v>112</v>
      </c>
      <c r="B36" s="10">
        <f>+B15-B18-B19-B20-B21</f>
        <v>18.97257969063671</v>
      </c>
      <c r="C36" s="10">
        <f t="shared" ref="C36:S36" si="7">+C15-C18-C19-C20-C21</f>
        <v>17.625797901176956</v>
      </c>
      <c r="D36" s="10">
        <f t="shared" si="7"/>
        <v>15.711163397426088</v>
      </c>
      <c r="E36" s="10">
        <f t="shared" si="7"/>
        <v>12.855385972047518</v>
      </c>
      <c r="F36" s="10">
        <f t="shared" si="7"/>
        <v>14.675380590462328</v>
      </c>
      <c r="G36" s="10">
        <f>+G15-G18-G19-G20-G21</f>
        <v>19.376571163547904</v>
      </c>
      <c r="H36" s="10">
        <f t="shared" si="7"/>
        <v>22.517986605485884</v>
      </c>
      <c r="I36" s="10">
        <f>+I15-I18-I19-I20-I21</f>
        <v>21.499999999999996</v>
      </c>
      <c r="J36" s="10">
        <f t="shared" si="7"/>
        <v>12.098687192235978</v>
      </c>
      <c r="K36" s="10">
        <f t="shared" si="7"/>
        <v>11.895809391621357</v>
      </c>
      <c r="L36" s="10">
        <f t="shared" si="7"/>
        <v>20.040768327097599</v>
      </c>
      <c r="M36" s="10">
        <f>+M15-M18-M19-M20-M21</f>
        <v>13.40410345900629</v>
      </c>
      <c r="N36" s="10">
        <f t="shared" si="7"/>
        <v>15.104110475779478</v>
      </c>
      <c r="O36" s="10">
        <f>+O15-O18-O19-O20-O21</f>
        <v>15.307990917747016</v>
      </c>
      <c r="P36" s="10">
        <f t="shared" si="7"/>
        <v>16.848294171581841</v>
      </c>
      <c r="Q36" s="10">
        <f t="shared" si="7"/>
        <v>17.977013755897762</v>
      </c>
      <c r="R36" s="10">
        <f t="shared" si="7"/>
        <v>20.74444072869937</v>
      </c>
      <c r="S36" s="10">
        <f t="shared" si="7"/>
        <v>7.0764249773061385</v>
      </c>
    </row>
    <row r="37" spans="1:19" s="9" customFormat="1">
      <c r="A37" s="50" t="s">
        <v>105</v>
      </c>
      <c r="B37" s="31">
        <f>+(B34+B22)/B22</f>
        <v>5.7068062827225114</v>
      </c>
      <c r="C37" s="31">
        <f t="shared" ref="C37:S37" si="8">+(C34+C22)/C22</f>
        <v>6.0260869565217376</v>
      </c>
      <c r="D37" s="31">
        <f t="shared" si="8"/>
        <v>10.572289156626505</v>
      </c>
      <c r="E37" s="31">
        <f t="shared" si="8"/>
        <v>4.5212436343859634</v>
      </c>
      <c r="F37" s="31">
        <f t="shared" si="8"/>
        <v>12.807564070664343</v>
      </c>
      <c r="G37" s="31">
        <f>+(G34+G22)/G22</f>
        <v>6.4989019682539677</v>
      </c>
      <c r="H37" s="31">
        <f t="shared" si="8"/>
        <v>6.3722236492356759</v>
      </c>
      <c r="I37" s="31">
        <f>+(I34+I22)/I22</f>
        <v>9.2648126083333331</v>
      </c>
      <c r="J37" s="31">
        <f t="shared" si="8"/>
        <v>6.0254342857142849</v>
      </c>
      <c r="K37" s="31">
        <f t="shared" si="8"/>
        <v>4.3287043417721502</v>
      </c>
      <c r="L37" s="31">
        <f t="shared" si="8"/>
        <v>15.642850041895676</v>
      </c>
      <c r="M37" s="31">
        <f>+(M34+M22)/M22</f>
        <v>4.8175699999999999</v>
      </c>
      <c r="N37" s="31">
        <f t="shared" si="8"/>
        <v>5.6976744186046515</v>
      </c>
      <c r="O37" s="31">
        <f>+(O34+O22)/O22</f>
        <v>5.6486486486486474</v>
      </c>
      <c r="P37" s="31">
        <f t="shared" si="8"/>
        <v>5.7530626168224286</v>
      </c>
      <c r="Q37" s="31">
        <f t="shared" si="8"/>
        <v>11.533787248062017</v>
      </c>
      <c r="R37" s="31">
        <f>+(R34+R22)/R22</f>
        <v>13.974016757714288</v>
      </c>
      <c r="S37" s="31">
        <f t="shared" si="8"/>
        <v>4.4864756466132771</v>
      </c>
    </row>
    <row r="38" spans="1:19" s="9" customFormat="1">
      <c r="A38" s="51"/>
      <c r="B38" s="8"/>
      <c r="C38" s="8"/>
      <c r="D38" s="8"/>
      <c r="E38" s="8"/>
      <c r="F38" s="8"/>
      <c r="G38" s="19"/>
      <c r="H38" s="19"/>
      <c r="I38" s="19"/>
      <c r="J38" s="19"/>
      <c r="K38" s="19"/>
      <c r="L38" s="19"/>
      <c r="M38" s="19"/>
      <c r="N38" s="19"/>
      <c r="O38" s="19"/>
      <c r="P38" s="19"/>
      <c r="Q38" s="19"/>
      <c r="R38" s="19"/>
      <c r="S38" s="19"/>
    </row>
    <row r="39" spans="1:19" s="9" customFormat="1">
      <c r="A39" s="50" t="s">
        <v>53</v>
      </c>
      <c r="B39" s="8"/>
      <c r="C39" s="8"/>
      <c r="D39" s="8"/>
      <c r="E39" s="8"/>
      <c r="F39" s="8"/>
      <c r="G39" s="8"/>
      <c r="H39" s="8"/>
      <c r="I39" s="8"/>
      <c r="J39" s="8"/>
      <c r="K39" s="8"/>
      <c r="L39" s="8"/>
      <c r="M39" s="19"/>
      <c r="N39" s="8"/>
      <c r="O39" s="8"/>
      <c r="P39" s="8"/>
      <c r="Q39" s="8"/>
      <c r="R39" s="8"/>
      <c r="S39" s="8"/>
    </row>
    <row r="40" spans="1:19" s="9" customFormat="1">
      <c r="A40" s="50" t="s">
        <v>54</v>
      </c>
      <c r="B40" s="12">
        <f t="shared" ref="B40:S41" si="9">+B44/B$47*100</f>
        <v>52.428722280887008</v>
      </c>
      <c r="C40" s="12">
        <f t="shared" si="9"/>
        <v>51.783205534429321</v>
      </c>
      <c r="D40" s="12">
        <f t="shared" si="9"/>
        <v>65.389699351787854</v>
      </c>
      <c r="E40" s="12">
        <f t="shared" si="9"/>
        <v>72.928820313167435</v>
      </c>
      <c r="F40" s="12">
        <f t="shared" si="9"/>
        <v>30.028746566670588</v>
      </c>
      <c r="G40" s="12">
        <f>+G44/G$47*100</f>
        <v>54.091300602928506</v>
      </c>
      <c r="H40" s="12">
        <f t="shared" si="9"/>
        <v>55.426121565457898</v>
      </c>
      <c r="I40" s="12">
        <f>+I44/I$47*100</f>
        <v>61.305827112910848</v>
      </c>
      <c r="J40" s="12">
        <f t="shared" si="9"/>
        <v>44.375388440024857</v>
      </c>
      <c r="K40" s="12">
        <f t="shared" si="9"/>
        <v>24.501424501424506</v>
      </c>
      <c r="L40" s="12">
        <f t="shared" si="9"/>
        <v>55.416965616203996</v>
      </c>
      <c r="M40" s="21">
        <f t="shared" si="9"/>
        <v>58.967240421987775</v>
      </c>
      <c r="N40" s="12">
        <f t="shared" si="9"/>
        <v>47.124824684431978</v>
      </c>
      <c r="O40" s="12">
        <f>+O44/O$47*100</f>
        <v>43.668058302204642</v>
      </c>
      <c r="P40" s="12">
        <f t="shared" si="9"/>
        <v>32.87671232876712</v>
      </c>
      <c r="Q40" s="12">
        <f t="shared" si="9"/>
        <v>62.341946124244089</v>
      </c>
      <c r="R40" s="12">
        <f t="shared" si="9"/>
        <v>56.692852603111945</v>
      </c>
      <c r="S40" s="12">
        <f t="shared" si="9"/>
        <v>1.4837118440503501</v>
      </c>
    </row>
    <row r="41" spans="1:19" s="9" customFormat="1">
      <c r="A41" s="50" t="s">
        <v>55</v>
      </c>
      <c r="B41" s="12">
        <f t="shared" si="9"/>
        <v>14.889123548046463</v>
      </c>
      <c r="C41" s="12">
        <f t="shared" si="9"/>
        <v>12.191621977553989</v>
      </c>
      <c r="D41" s="12">
        <f t="shared" si="9"/>
        <v>4.3844941612722002</v>
      </c>
      <c r="E41" s="12">
        <f t="shared" si="9"/>
        <v>3.4249636916167301</v>
      </c>
      <c r="F41" s="12">
        <f t="shared" si="9"/>
        <v>25.286081957118839</v>
      </c>
      <c r="G41" s="12">
        <f>+G45/G$47*100</f>
        <v>10.249784668389319</v>
      </c>
      <c r="H41" s="12">
        <f t="shared" si="9"/>
        <v>0</v>
      </c>
      <c r="I41" s="12">
        <f>+I45/I$47*100</f>
        <v>0</v>
      </c>
      <c r="J41" s="12">
        <f t="shared" si="9"/>
        <v>18.08576755748912</v>
      </c>
      <c r="K41" s="12">
        <f t="shared" si="9"/>
        <v>15.036403925292815</v>
      </c>
      <c r="L41" s="12">
        <f t="shared" si="9"/>
        <v>14.338539654506322</v>
      </c>
      <c r="M41" s="21">
        <f t="shared" si="9"/>
        <v>13.992226540810659</v>
      </c>
      <c r="N41" s="12">
        <f t="shared" si="9"/>
        <v>14.586255259467041</v>
      </c>
      <c r="O41" s="12">
        <f>+O45/O$47*100</f>
        <v>18.24507434263532</v>
      </c>
      <c r="P41" s="12">
        <f t="shared" si="9"/>
        <v>15.69115815691158</v>
      </c>
      <c r="Q41" s="12">
        <f t="shared" si="9"/>
        <v>15.173172072567343</v>
      </c>
      <c r="R41" s="12">
        <f t="shared" si="9"/>
        <v>20.55986269752027</v>
      </c>
      <c r="S41" s="12">
        <f t="shared" si="9"/>
        <v>8.8648440988665964</v>
      </c>
    </row>
    <row r="42" spans="1:19" s="9" customFormat="1">
      <c r="A42" s="50" t="s">
        <v>56</v>
      </c>
      <c r="B42" s="12">
        <f t="shared" ref="B42:S42" si="10">+(B46/6)/B$47*100</f>
        <v>32.682154171066522</v>
      </c>
      <c r="C42" s="12">
        <f t="shared" si="10"/>
        <v>36.025172488016679</v>
      </c>
      <c r="D42" s="12">
        <f t="shared" si="10"/>
        <v>30.225806486939931</v>
      </c>
      <c r="E42" s="12">
        <f t="shared" si="10"/>
        <v>23.646215995215833</v>
      </c>
      <c r="F42" s="12">
        <f t="shared" si="10"/>
        <v>44.68517147621057</v>
      </c>
      <c r="G42" s="12">
        <f>+(G46/6)/G$47*100</f>
        <v>35.65891472868217</v>
      </c>
      <c r="H42" s="12">
        <f t="shared" si="10"/>
        <v>44.573878434542102</v>
      </c>
      <c r="I42" s="12">
        <f>+(I46/6)/I$47*100</f>
        <v>38.694172887089145</v>
      </c>
      <c r="J42" s="12">
        <f t="shared" si="10"/>
        <v>37.538844002486016</v>
      </c>
      <c r="K42" s="12">
        <f t="shared" si="10"/>
        <v>60.462171573282689</v>
      </c>
      <c r="L42" s="12">
        <f t="shared" si="10"/>
        <v>30.244494729289702</v>
      </c>
      <c r="M42" s="21">
        <f t="shared" si="10"/>
        <v>27.040533037201552</v>
      </c>
      <c r="N42" s="12">
        <f t="shared" si="10"/>
        <v>38.288920056100984</v>
      </c>
      <c r="O42" s="12">
        <f>+(O46/6)/O$47*100</f>
        <v>38.086867355160038</v>
      </c>
      <c r="P42" s="12">
        <f t="shared" si="10"/>
        <v>51.432129514321289</v>
      </c>
      <c r="Q42" s="12">
        <f t="shared" si="10"/>
        <v>22.484881803188568</v>
      </c>
      <c r="R42" s="12">
        <f t="shared" si="10"/>
        <v>22.747284699367786</v>
      </c>
      <c r="S42" s="12">
        <f t="shared" si="10"/>
        <v>89.651444057083054</v>
      </c>
    </row>
    <row r="43" spans="1:19" s="9" customFormat="1">
      <c r="A43" s="50"/>
      <c r="B43" s="12"/>
      <c r="C43" s="12"/>
      <c r="D43" s="12"/>
      <c r="E43" s="12"/>
      <c r="F43" s="12"/>
      <c r="G43" s="12"/>
      <c r="H43" s="12"/>
      <c r="I43" s="12"/>
      <c r="J43" s="12"/>
      <c r="K43" s="12"/>
      <c r="L43" s="12"/>
      <c r="M43" s="21"/>
      <c r="N43" s="12"/>
      <c r="O43" s="12"/>
      <c r="P43" s="12"/>
      <c r="Q43" s="12"/>
      <c r="R43" s="12"/>
      <c r="S43" s="12"/>
    </row>
    <row r="44" spans="1:19" s="9" customFormat="1">
      <c r="A44" s="50" t="s">
        <v>62</v>
      </c>
      <c r="B44" s="12">
        <v>331</v>
      </c>
      <c r="C44" s="88">
        <v>223.73400000000004</v>
      </c>
      <c r="D44" s="12">
        <v>597.09099999999989</v>
      </c>
      <c r="E44" s="12">
        <v>318.69700000000006</v>
      </c>
      <c r="F44" s="12">
        <v>57.871000000000002</v>
      </c>
      <c r="G44" s="12">
        <f>576+52</f>
        <v>628</v>
      </c>
      <c r="H44" s="12">
        <v>125.381</v>
      </c>
      <c r="I44" s="12">
        <v>113.22</v>
      </c>
      <c r="J44" s="12">
        <v>238</v>
      </c>
      <c r="K44" s="12">
        <v>77.400000000000006</v>
      </c>
      <c r="L44" s="12">
        <v>334.7</v>
      </c>
      <c r="M44" s="21">
        <v>177</v>
      </c>
      <c r="N44" s="12">
        <f>125+43</f>
        <v>168</v>
      </c>
      <c r="O44" s="12">
        <f>5.962/0.091</f>
        <v>65.516483516483518</v>
      </c>
      <c r="P44" s="12">
        <v>132</v>
      </c>
      <c r="Q44" s="12">
        <f>195+32+151</f>
        <v>378</v>
      </c>
      <c r="R44" s="12">
        <v>146.88399999999999</v>
      </c>
      <c r="S44" s="12">
        <f>555/91</f>
        <v>6.0989010989010985</v>
      </c>
    </row>
    <row r="45" spans="1:19" s="9" customFormat="1">
      <c r="A45" s="50" t="s">
        <v>63</v>
      </c>
      <c r="B45" s="12">
        <v>94</v>
      </c>
      <c r="C45" s="12">
        <v>52.675000000000004</v>
      </c>
      <c r="D45" s="12">
        <v>40.036000000000001</v>
      </c>
      <c r="E45" s="12">
        <v>14.967000000000001</v>
      </c>
      <c r="F45" s="12">
        <v>48.731000000000002</v>
      </c>
      <c r="G45" s="12">
        <v>119</v>
      </c>
      <c r="H45" s="12"/>
      <c r="I45" s="12"/>
      <c r="J45" s="12">
        <v>97</v>
      </c>
      <c r="K45" s="12">
        <f>22.8+24.7</f>
        <v>47.5</v>
      </c>
      <c r="L45" s="12">
        <v>86.6</v>
      </c>
      <c r="M45" s="21">
        <v>42</v>
      </c>
      <c r="N45" s="12">
        <f>40+12</f>
        <v>52</v>
      </c>
      <c r="O45" s="12">
        <f>2.491/0.091</f>
        <v>27.373626373626376</v>
      </c>
      <c r="P45" s="12">
        <v>63</v>
      </c>
      <c r="Q45" s="12">
        <f>53+7+32</f>
        <v>92</v>
      </c>
      <c r="R45" s="12">
        <v>53.268000000000001</v>
      </c>
      <c r="S45" s="12">
        <f>3316/91</f>
        <v>36.439560439560438</v>
      </c>
    </row>
    <row r="46" spans="1:19" s="9" customFormat="1">
      <c r="A46" s="50" t="s">
        <v>64</v>
      </c>
      <c r="B46" s="12">
        <v>1238</v>
      </c>
      <c r="C46" s="12">
        <v>933.90000000000009</v>
      </c>
      <c r="D46" s="12">
        <v>1656</v>
      </c>
      <c r="E46" s="12">
        <v>620</v>
      </c>
      <c r="F46" s="12">
        <v>516.70000000000005</v>
      </c>
      <c r="G46" s="12">
        <v>2484</v>
      </c>
      <c r="H46" s="12">
        <v>604.99099999999999</v>
      </c>
      <c r="I46" s="12">
        <v>428.76389999999998</v>
      </c>
      <c r="J46" s="12">
        <v>1208</v>
      </c>
      <c r="K46" s="12">
        <v>1146</v>
      </c>
      <c r="L46" s="12">
        <v>1096</v>
      </c>
      <c r="M46" s="21">
        <v>487</v>
      </c>
      <c r="N46" s="12">
        <f>341+478</f>
        <v>819</v>
      </c>
      <c r="O46" s="12">
        <f>31.2/0.091</f>
        <v>342.85714285714283</v>
      </c>
      <c r="P46" s="12">
        <v>1239</v>
      </c>
      <c r="Q46" s="12">
        <f>286+532</f>
        <v>818</v>
      </c>
      <c r="R46" s="12">
        <v>353.61200000000002</v>
      </c>
      <c r="S46" s="12">
        <f>199/90*1000</f>
        <v>2211.1111111111113</v>
      </c>
    </row>
    <row r="47" spans="1:19" s="9" customFormat="1">
      <c r="A47" s="50" t="s">
        <v>65</v>
      </c>
      <c r="B47" s="12">
        <f t="shared" ref="B47:S47" si="11">+B44+B45+B46/6</f>
        <v>631.33333333333337</v>
      </c>
      <c r="C47" s="12">
        <f t="shared" si="11"/>
        <v>432.05900000000008</v>
      </c>
      <c r="D47" s="12">
        <f t="shared" si="11"/>
        <v>913.12699999999995</v>
      </c>
      <c r="E47" s="12">
        <f t="shared" si="11"/>
        <v>436.99733333333336</v>
      </c>
      <c r="F47" s="12">
        <f t="shared" si="11"/>
        <v>192.71866666666668</v>
      </c>
      <c r="G47" s="12">
        <f>+G44+G45+G46/6</f>
        <v>1161</v>
      </c>
      <c r="H47" s="12">
        <f t="shared" si="11"/>
        <v>226.21283333333332</v>
      </c>
      <c r="I47" s="12">
        <f>+I44+I45+I46/6</f>
        <v>184.68065000000001</v>
      </c>
      <c r="J47" s="12">
        <f t="shared" si="11"/>
        <v>536.33333333333337</v>
      </c>
      <c r="K47" s="12">
        <f t="shared" si="11"/>
        <v>315.89999999999998</v>
      </c>
      <c r="L47" s="12">
        <f t="shared" si="11"/>
        <v>603.96666666666658</v>
      </c>
      <c r="M47" s="21">
        <f t="shared" si="11"/>
        <v>300.16666666666669</v>
      </c>
      <c r="N47" s="12">
        <f t="shared" si="11"/>
        <v>356.5</v>
      </c>
      <c r="O47" s="12">
        <f t="shared" si="11"/>
        <v>150.03296703296704</v>
      </c>
      <c r="P47" s="12">
        <f t="shared" si="11"/>
        <v>401.5</v>
      </c>
      <c r="Q47" s="12">
        <f t="shared" si="11"/>
        <v>606.33333333333337</v>
      </c>
      <c r="R47" s="12">
        <f t="shared" si="11"/>
        <v>259.08733333333333</v>
      </c>
      <c r="S47" s="12">
        <f t="shared" si="11"/>
        <v>411.05698005698008</v>
      </c>
    </row>
    <row r="48" spans="1:19" s="9" customFormat="1">
      <c r="A48" s="50" t="s">
        <v>66</v>
      </c>
      <c r="B48" s="12">
        <f>+B47*0.091</f>
        <v>57.451333333333338</v>
      </c>
      <c r="C48" s="12">
        <f t="shared" ref="C48:S48" si="12">+C47*0.091</f>
        <v>39.317369000000006</v>
      </c>
      <c r="D48" s="12">
        <f t="shared" si="12"/>
        <v>83.094556999999995</v>
      </c>
      <c r="E48" s="12">
        <f t="shared" si="12"/>
        <v>39.766757333333338</v>
      </c>
      <c r="F48" s="12">
        <f t="shared" si="12"/>
        <v>17.537398666666668</v>
      </c>
      <c r="G48" s="12">
        <f t="shared" si="12"/>
        <v>105.651</v>
      </c>
      <c r="H48" s="12">
        <f t="shared" si="12"/>
        <v>20.585367833333333</v>
      </c>
      <c r="I48" s="12">
        <f t="shared" si="12"/>
        <v>16.80593915</v>
      </c>
      <c r="J48" s="12">
        <f t="shared" si="12"/>
        <v>48.806333333333335</v>
      </c>
      <c r="K48" s="12">
        <f t="shared" si="12"/>
        <v>28.746899999999997</v>
      </c>
      <c r="L48" s="12">
        <f t="shared" si="12"/>
        <v>54.960966666666657</v>
      </c>
      <c r="M48" s="12">
        <f t="shared" si="12"/>
        <v>27.315166666666666</v>
      </c>
      <c r="N48" s="12">
        <f t="shared" si="12"/>
        <v>32.441499999999998</v>
      </c>
      <c r="O48" s="12">
        <f t="shared" si="12"/>
        <v>13.653</v>
      </c>
      <c r="P48" s="12">
        <f t="shared" si="12"/>
        <v>36.536499999999997</v>
      </c>
      <c r="Q48" s="12">
        <f t="shared" si="12"/>
        <v>55.176333333333332</v>
      </c>
      <c r="R48" s="12">
        <f t="shared" si="12"/>
        <v>23.576947333333333</v>
      </c>
      <c r="S48" s="12">
        <f t="shared" si="12"/>
        <v>37.406185185185187</v>
      </c>
    </row>
    <row r="49" spans="1:19" s="9" customFormat="1">
      <c r="A49" s="50"/>
      <c r="B49" s="12"/>
      <c r="C49" s="12"/>
      <c r="D49" s="12"/>
      <c r="E49" s="12"/>
      <c r="F49" s="12"/>
      <c r="G49" s="12"/>
      <c r="H49" s="12" t="s">
        <v>131</v>
      </c>
      <c r="I49" s="12" t="s">
        <v>131</v>
      </c>
      <c r="J49" s="12"/>
      <c r="K49" s="12"/>
      <c r="L49" s="12"/>
      <c r="M49" s="12"/>
      <c r="N49" s="12"/>
      <c r="O49" s="12"/>
      <c r="P49" s="12"/>
      <c r="Q49" s="12"/>
      <c r="R49" s="12"/>
      <c r="S49" s="12"/>
    </row>
    <row r="50" spans="1:19" s="9" customFormat="1">
      <c r="A50" s="50" t="s">
        <v>106</v>
      </c>
      <c r="B50" s="12">
        <f>+B36*B48*4</f>
        <v>4360</v>
      </c>
      <c r="C50" s="12">
        <f t="shared" ref="C50:S50" si="13">+C36*C48*4</f>
        <v>2772</v>
      </c>
      <c r="D50" s="12">
        <f>+D36*D48*4</f>
        <v>5222.0486498549426</v>
      </c>
      <c r="E50" s="12">
        <f>+E36*E48*4</f>
        <v>2044.8680575070046</v>
      </c>
      <c r="F50" s="12">
        <f>+F36*F48*4</f>
        <v>1029.4719999999998</v>
      </c>
      <c r="G50" s="12">
        <f>+G36*G48*4</f>
        <v>8188.6164799999979</v>
      </c>
      <c r="H50" s="12">
        <f t="shared" si="13"/>
        <v>1854.1641485599998</v>
      </c>
      <c r="I50" s="12">
        <f>+I36*I48*4</f>
        <v>1445.3107668999999</v>
      </c>
      <c r="J50" s="12">
        <f t="shared" si="13"/>
        <v>2361.9702399999996</v>
      </c>
      <c r="K50" s="12">
        <f t="shared" si="13"/>
        <v>1367.8705719999998</v>
      </c>
      <c r="L50" s="12">
        <f t="shared" si="13"/>
        <v>4405.84</v>
      </c>
      <c r="M50" s="12">
        <f t="shared" si="13"/>
        <v>1464.5412799999999</v>
      </c>
      <c r="N50" s="12">
        <f t="shared" si="13"/>
        <v>1959.9999999999998</v>
      </c>
      <c r="O50" s="12">
        <f t="shared" si="13"/>
        <v>836.00000000000011</v>
      </c>
      <c r="P50" s="12">
        <f t="shared" si="13"/>
        <v>2462.3107999999997</v>
      </c>
      <c r="Q50" s="12">
        <f t="shared" si="13"/>
        <v>3967.6228133333339</v>
      </c>
      <c r="R50" s="12">
        <f t="shared" si="13"/>
        <v>1956.36234608</v>
      </c>
      <c r="S50" s="12">
        <f t="shared" si="13"/>
        <v>1058.8082526007331</v>
      </c>
    </row>
    <row r="51" spans="1:19" s="9" customFormat="1">
      <c r="A51" s="76" t="s">
        <v>143</v>
      </c>
      <c r="B51" s="12">
        <v>12199</v>
      </c>
      <c r="C51" s="12">
        <v>8479</v>
      </c>
      <c r="D51" s="12">
        <f>23276/(1.2964)</f>
        <v>17954.335081764886</v>
      </c>
      <c r="E51" s="12">
        <f>13413/(1.2964)</f>
        <v>10346.343721073743</v>
      </c>
      <c r="F51" s="12">
        <v>1486.097</v>
      </c>
      <c r="G51" s="12">
        <f>23468-645-500-750-550</f>
        <v>21023</v>
      </c>
      <c r="H51" s="12">
        <v>6553.74</v>
      </c>
      <c r="I51" s="12">
        <v>2741</v>
      </c>
      <c r="J51" s="12">
        <v>6861</v>
      </c>
      <c r="K51" s="12">
        <v>4236</v>
      </c>
      <c r="L51" s="12">
        <v>6986.8</v>
      </c>
      <c r="M51" s="21">
        <v>6035</v>
      </c>
      <c r="N51" s="12">
        <f>548+6715+1000-682-854-228</f>
        <v>6499</v>
      </c>
      <c r="O51" s="12">
        <v>2432</v>
      </c>
      <c r="P51" s="12">
        <f>7197-193.8</f>
        <v>7003.2</v>
      </c>
      <c r="Q51" s="12">
        <v>9824</v>
      </c>
      <c r="R51" s="12">
        <v>2730</v>
      </c>
      <c r="S51" s="12">
        <v>4381</v>
      </c>
    </row>
    <row r="52" spans="1:19" s="9" customFormat="1">
      <c r="A52" s="76" t="s">
        <v>142</v>
      </c>
      <c r="B52" s="31">
        <f>+B51/B50</f>
        <v>2.7979357798165139</v>
      </c>
      <c r="C52" s="31">
        <f t="shared" ref="C52:S52" si="14">+C51/C50</f>
        <v>3.0588023088023086</v>
      </c>
      <c r="D52" s="31">
        <f t="shared" si="14"/>
        <v>3.438178440230276</v>
      </c>
      <c r="E52" s="31">
        <f t="shared" si="14"/>
        <v>5.0596632301486775</v>
      </c>
      <c r="F52" s="31">
        <f t="shared" si="14"/>
        <v>1.4435526172639959</v>
      </c>
      <c r="G52" s="31">
        <f t="shared" si="14"/>
        <v>2.5673445631929273</v>
      </c>
      <c r="H52" s="31">
        <f t="shared" si="14"/>
        <v>3.5346061485925251</v>
      </c>
      <c r="I52" s="31">
        <f t="shared" si="14"/>
        <v>1.8964779497762145</v>
      </c>
      <c r="J52" s="31">
        <f t="shared" si="14"/>
        <v>2.904778343015872</v>
      </c>
      <c r="K52" s="31">
        <f t="shared" si="14"/>
        <v>3.0967842182659373</v>
      </c>
      <c r="L52" s="31">
        <f t="shared" si="14"/>
        <v>1.5858042961160641</v>
      </c>
      <c r="M52" s="31">
        <f t="shared" si="14"/>
        <v>4.1207442100915044</v>
      </c>
      <c r="N52" s="31">
        <f t="shared" si="14"/>
        <v>3.3158163265306126</v>
      </c>
      <c r="O52" s="31">
        <f t="shared" si="14"/>
        <v>2.9090909090909087</v>
      </c>
      <c r="P52" s="31">
        <f t="shared" si="14"/>
        <v>2.8441576099978931</v>
      </c>
      <c r="Q52" s="31">
        <f t="shared" si="14"/>
        <v>2.4760418170260809</v>
      </c>
      <c r="R52" s="31">
        <f t="shared" si="14"/>
        <v>1.395447016995677</v>
      </c>
      <c r="S52" s="31">
        <f t="shared" si="14"/>
        <v>4.1376708098364574</v>
      </c>
    </row>
    <row r="53" spans="1:19" s="9" customFormat="1" ht="24.75" customHeight="1">
      <c r="A53" s="277" t="s">
        <v>127</v>
      </c>
      <c r="B53" s="278"/>
      <c r="C53" s="278"/>
      <c r="D53" s="278"/>
      <c r="E53" s="278"/>
      <c r="F53" s="278"/>
      <c r="G53" s="278"/>
      <c r="H53" s="278"/>
      <c r="I53" s="278"/>
      <c r="J53" s="278"/>
      <c r="K53" s="278"/>
      <c r="L53" s="278"/>
      <c r="M53" s="278"/>
      <c r="N53" s="278"/>
      <c r="O53" s="278"/>
      <c r="P53" s="278"/>
      <c r="Q53" s="278"/>
      <c r="R53" s="278"/>
      <c r="S53" s="278"/>
    </row>
    <row r="54" spans="1:19" s="9" customFormat="1">
      <c r="A54" s="277" t="s">
        <v>199</v>
      </c>
      <c r="B54" s="278"/>
      <c r="C54" s="278"/>
      <c r="D54" s="278"/>
      <c r="E54" s="278"/>
      <c r="F54" s="278"/>
      <c r="G54" s="278"/>
      <c r="H54" s="278"/>
      <c r="I54" s="278"/>
      <c r="J54" s="278"/>
      <c r="K54" s="278"/>
      <c r="L54" s="278"/>
      <c r="M54" s="278"/>
      <c r="N54" s="278"/>
      <c r="O54" s="278"/>
      <c r="P54" s="278"/>
      <c r="Q54" s="278"/>
      <c r="R54" s="278"/>
      <c r="S54" s="278"/>
    </row>
    <row r="55" spans="1:19" s="9" customFormat="1">
      <c r="A55" s="51"/>
      <c r="B55" s="8"/>
      <c r="C55" s="8"/>
      <c r="D55" s="8"/>
      <c r="E55" s="8"/>
      <c r="F55" s="8"/>
      <c r="G55" s="8"/>
      <c r="H55" s="8"/>
      <c r="I55" s="8"/>
      <c r="J55" s="8"/>
      <c r="K55" s="8"/>
      <c r="L55" s="8"/>
      <c r="M55" s="19"/>
      <c r="N55" s="8"/>
      <c r="O55" s="8"/>
      <c r="P55" s="8"/>
      <c r="Q55" s="8"/>
      <c r="R55" s="8"/>
      <c r="S55" s="8"/>
    </row>
    <row r="56" spans="1:19">
      <c r="A56" s="22" t="s">
        <v>94</v>
      </c>
      <c r="B56" s="23"/>
      <c r="C56" s="23"/>
      <c r="D56" s="58">
        <v>1.3443000000000001</v>
      </c>
    </row>
    <row r="57" spans="1:19">
      <c r="A57" s="3"/>
      <c r="G57" s="2">
        <f>G44*92/1000</f>
        <v>57.776000000000003</v>
      </c>
      <c r="M57" s="2">
        <f>M44*92/1000</f>
        <v>16.283999999999999</v>
      </c>
      <c r="P57" s="2">
        <f t="shared" ref="P57:Q59" si="15">P44*92/1000</f>
        <v>12.144</v>
      </c>
      <c r="Q57" s="2">
        <f t="shared" si="15"/>
        <v>34.776000000000003</v>
      </c>
      <c r="S57" s="2">
        <f>S44*92/1000</f>
        <v>0.56109890109890104</v>
      </c>
    </row>
    <row r="58" spans="1:19">
      <c r="A58" s="3"/>
      <c r="G58" s="2">
        <f>G45*92/1000</f>
        <v>10.948</v>
      </c>
      <c r="M58" s="2">
        <f>M45*92/1000</f>
        <v>3.8639999999999999</v>
      </c>
      <c r="P58" s="2">
        <f t="shared" si="15"/>
        <v>5.7960000000000003</v>
      </c>
      <c r="Q58" s="2">
        <f t="shared" si="15"/>
        <v>8.4640000000000004</v>
      </c>
      <c r="S58" s="2">
        <f>S45*92/1000</f>
        <v>3.3524395604395605</v>
      </c>
    </row>
    <row r="59" spans="1:19">
      <c r="A59" s="3"/>
      <c r="G59" s="2">
        <f>G46*92/1000</f>
        <v>228.52799999999999</v>
      </c>
      <c r="M59" s="2">
        <f>M46*92/1000</f>
        <v>44.804000000000002</v>
      </c>
      <c r="P59" s="2">
        <f t="shared" si="15"/>
        <v>113.988</v>
      </c>
      <c r="Q59" s="2">
        <f t="shared" si="15"/>
        <v>75.256</v>
      </c>
      <c r="S59" s="2">
        <f>S46*92/1000</f>
        <v>203.42222222222225</v>
      </c>
    </row>
    <row r="60" spans="1:19">
      <c r="A60" s="3"/>
    </row>
    <row r="61" spans="1:19">
      <c r="A61" s="3"/>
      <c r="G61" s="2">
        <f>G57*G9</f>
        <v>2641.6806400000005</v>
      </c>
      <c r="M61" s="2">
        <f>M57*M9</f>
        <v>744.83015999999998</v>
      </c>
      <c r="P61" s="2">
        <f>P57*P9</f>
        <v>563.48159999999996</v>
      </c>
      <c r="Q61" s="2">
        <f>Q57*Q9</f>
        <v>1618.8228000000001</v>
      </c>
      <c r="S61" s="2">
        <f>S57*S9</f>
        <v>22.758171428571426</v>
      </c>
    </row>
    <row r="62" spans="1:19">
      <c r="A62" s="3"/>
      <c r="G62" s="2">
        <f>G58*G11</f>
        <v>218.63156000000001</v>
      </c>
      <c r="M62" s="2">
        <f>M58*M11</f>
        <v>57.380399999999995</v>
      </c>
      <c r="P62" s="2">
        <f>P58*P11</f>
        <v>108.90684</v>
      </c>
      <c r="Q62" s="2">
        <f>Q58*Q11</f>
        <v>159.96959999999999</v>
      </c>
      <c r="S62" s="2">
        <f>S58*S11</f>
        <v>37.714945054945055</v>
      </c>
    </row>
    <row r="63" spans="1:19">
      <c r="A63" s="3"/>
      <c r="G63" s="2">
        <f>G59*G13</f>
        <v>831.84191999999996</v>
      </c>
      <c r="M63" s="2">
        <f>M59*M13</f>
        <v>142.92475999999999</v>
      </c>
      <c r="P63" s="2">
        <f>P59*P13</f>
        <v>356.78244000000001</v>
      </c>
      <c r="Q63" s="2">
        <f>Q59*Q13</f>
        <v>136.21335999999999</v>
      </c>
      <c r="S63" s="2">
        <f>S59*S13</f>
        <v>478.04222222222228</v>
      </c>
    </row>
    <row r="64" spans="1:19">
      <c r="G64" s="2">
        <f>G63+G62+G61</f>
        <v>3692.1541200000001</v>
      </c>
      <c r="M64" s="2">
        <f>M63+M62+M61</f>
        <v>945.13531999999998</v>
      </c>
      <c r="P64" s="2">
        <f>P63+P62+P61</f>
        <v>1029.1708799999999</v>
      </c>
      <c r="Q64" s="2">
        <f>Q63+Q62+Q61</f>
        <v>1915.00576</v>
      </c>
      <c r="S64" s="2">
        <f>S63+S62+S61</f>
        <v>538.51533870573883</v>
      </c>
    </row>
    <row r="65" spans="1:19">
      <c r="G65" s="2">
        <f>G64/G48</f>
        <v>34.946703012749524</v>
      </c>
      <c r="M65" s="2">
        <f>M64/M48</f>
        <v>34.601118548303447</v>
      </c>
      <c r="P65" s="2">
        <f>P64/P48</f>
        <v>28.168294171581842</v>
      </c>
      <c r="Q65" s="2">
        <f>Q64/Q48</f>
        <v>34.707013755897762</v>
      </c>
      <c r="S65" s="2">
        <f>S64/S48</f>
        <v>14.396424977306138</v>
      </c>
    </row>
    <row r="70" spans="1:19">
      <c r="A70" s="1" t="s">
        <v>109</v>
      </c>
    </row>
    <row r="71" spans="1:19">
      <c r="B71" s="2" t="str">
        <f>B7</f>
        <v>APC</v>
      </c>
      <c r="C71" s="2" t="str">
        <f t="shared" ref="C71:S71" si="16">C7</f>
        <v>APA</v>
      </c>
      <c r="D71" s="2" t="str">
        <f t="shared" si="16"/>
        <v>CNQCN</v>
      </c>
      <c r="E71" s="2" t="str">
        <f t="shared" si="16"/>
        <v>CVECN</v>
      </c>
      <c r="F71" s="2" t="str">
        <f t="shared" si="16"/>
        <v>XEC</v>
      </c>
      <c r="G71" s="2" t="str">
        <f t="shared" si="16"/>
        <v>COP</v>
      </c>
      <c r="H71" s="2" t="str">
        <f t="shared" si="16"/>
        <v>CLR</v>
      </c>
      <c r="I71" s="2" t="str">
        <f t="shared" si="16"/>
        <v>CXO</v>
      </c>
      <c r="J71" s="2" t="str">
        <f t="shared" si="16"/>
        <v>DVN</v>
      </c>
      <c r="K71" s="2" t="str">
        <f t="shared" si="16"/>
        <v>ECACN</v>
      </c>
      <c r="L71" s="2" t="str">
        <f t="shared" si="16"/>
        <v>EOG</v>
      </c>
      <c r="M71" s="2" t="str">
        <f t="shared" si="16"/>
        <v>HES</v>
      </c>
      <c r="N71" s="2" t="str">
        <f t="shared" si="16"/>
        <v>MRO</v>
      </c>
      <c r="P71" s="2" t="str">
        <f t="shared" si="16"/>
        <v>NBL</v>
      </c>
      <c r="Q71" s="2" t="str">
        <f t="shared" si="16"/>
        <v>OXY</v>
      </c>
      <c r="R71" s="2" t="str">
        <f t="shared" si="16"/>
        <v>PXD</v>
      </c>
      <c r="S71" s="2" t="str">
        <f t="shared" si="16"/>
        <v>SWN</v>
      </c>
    </row>
    <row r="72" spans="1:19">
      <c r="A72" s="1" t="s">
        <v>110</v>
      </c>
      <c r="B72" s="2">
        <f t="shared" ref="B72:S72" si="17">RANK(B35,$B$35:$S$35)</f>
        <v>15</v>
      </c>
      <c r="C72" s="2">
        <f t="shared" si="17"/>
        <v>11</v>
      </c>
      <c r="D72" s="2">
        <f t="shared" si="17"/>
        <v>5</v>
      </c>
      <c r="E72" s="2">
        <f t="shared" si="17"/>
        <v>12</v>
      </c>
      <c r="F72" s="2">
        <f t="shared" si="17"/>
        <v>1</v>
      </c>
      <c r="G72" s="2">
        <f t="shared" si="17"/>
        <v>16</v>
      </c>
      <c r="H72" s="2">
        <f t="shared" si="17"/>
        <v>14</v>
      </c>
      <c r="I72" s="2">
        <f t="shared" si="17"/>
        <v>8</v>
      </c>
      <c r="J72" s="2">
        <f t="shared" si="17"/>
        <v>2</v>
      </c>
      <c r="K72" s="2">
        <f t="shared" si="17"/>
        <v>9</v>
      </c>
      <c r="L72" s="2">
        <f t="shared" si="17"/>
        <v>6</v>
      </c>
      <c r="M72" s="2">
        <f t="shared" si="17"/>
        <v>18</v>
      </c>
      <c r="N72" s="2">
        <f t="shared" si="17"/>
        <v>17</v>
      </c>
      <c r="P72" s="2">
        <f t="shared" si="17"/>
        <v>13</v>
      </c>
      <c r="Q72" s="2">
        <f t="shared" si="17"/>
        <v>10</v>
      </c>
      <c r="R72" s="2">
        <f t="shared" si="17"/>
        <v>3</v>
      </c>
      <c r="S72" s="2">
        <f t="shared" si="17"/>
        <v>7</v>
      </c>
    </row>
    <row r="73" spans="1:19">
      <c r="B73" s="2" t="str">
        <f>B71</f>
        <v>APC</v>
      </c>
      <c r="C73" s="2" t="str">
        <f t="shared" ref="C73:S73" si="18">C71</f>
        <v>APA</v>
      </c>
      <c r="D73" s="2" t="str">
        <f t="shared" si="18"/>
        <v>CNQCN</v>
      </c>
      <c r="E73" s="2" t="str">
        <f t="shared" si="18"/>
        <v>CVECN</v>
      </c>
      <c r="F73" s="2" t="str">
        <f t="shared" si="18"/>
        <v>XEC</v>
      </c>
      <c r="G73" s="2" t="str">
        <f t="shared" si="18"/>
        <v>COP</v>
      </c>
      <c r="H73" s="2" t="str">
        <f t="shared" si="18"/>
        <v>CLR</v>
      </c>
      <c r="I73" s="2" t="str">
        <f t="shared" si="18"/>
        <v>CXO</v>
      </c>
      <c r="J73" s="2" t="str">
        <f t="shared" si="18"/>
        <v>DVN</v>
      </c>
      <c r="K73" s="2" t="str">
        <f t="shared" si="18"/>
        <v>ECACN</v>
      </c>
      <c r="L73" s="2" t="str">
        <f t="shared" si="18"/>
        <v>EOG</v>
      </c>
      <c r="M73" s="2" t="str">
        <f t="shared" si="18"/>
        <v>HES</v>
      </c>
      <c r="N73" s="2" t="str">
        <f t="shared" si="18"/>
        <v>MRO</v>
      </c>
      <c r="P73" s="2" t="str">
        <f t="shared" si="18"/>
        <v>NBL</v>
      </c>
      <c r="Q73" s="2" t="str">
        <f t="shared" si="18"/>
        <v>OXY</v>
      </c>
      <c r="R73" s="2" t="str">
        <f t="shared" si="18"/>
        <v>PXD</v>
      </c>
      <c r="S73" s="2" t="str">
        <f t="shared" si="18"/>
        <v>SWN</v>
      </c>
    </row>
    <row r="74" spans="1:19">
      <c r="A74" s="1" t="s">
        <v>107</v>
      </c>
      <c r="B74" s="2">
        <f t="shared" ref="B74:S74" si="19">RANK(B37,$B$37:$S$37)</f>
        <v>12</v>
      </c>
      <c r="C74" s="2">
        <f t="shared" si="19"/>
        <v>9</v>
      </c>
      <c r="D74" s="2">
        <f t="shared" si="19"/>
        <v>5</v>
      </c>
      <c r="E74" s="2">
        <f t="shared" si="19"/>
        <v>16</v>
      </c>
      <c r="F74" s="2">
        <f t="shared" si="19"/>
        <v>3</v>
      </c>
      <c r="G74" s="2">
        <f t="shared" si="19"/>
        <v>7</v>
      </c>
      <c r="H74" s="2">
        <f t="shared" si="19"/>
        <v>8</v>
      </c>
      <c r="I74" s="2">
        <f t="shared" si="19"/>
        <v>6</v>
      </c>
      <c r="J74" s="2">
        <f t="shared" si="19"/>
        <v>10</v>
      </c>
      <c r="K74" s="2">
        <f t="shared" si="19"/>
        <v>18</v>
      </c>
      <c r="L74" s="2">
        <f t="shared" si="19"/>
        <v>1</v>
      </c>
      <c r="M74" s="2">
        <f t="shared" si="19"/>
        <v>15</v>
      </c>
      <c r="N74" s="2">
        <f t="shared" si="19"/>
        <v>13</v>
      </c>
      <c r="P74" s="2">
        <f t="shared" si="19"/>
        <v>11</v>
      </c>
      <c r="Q74" s="2">
        <f t="shared" si="19"/>
        <v>4</v>
      </c>
      <c r="R74" s="2">
        <f t="shared" si="19"/>
        <v>2</v>
      </c>
      <c r="S74" s="2">
        <f t="shared" si="19"/>
        <v>17</v>
      </c>
    </row>
    <row r="75" spans="1:19">
      <c r="B75" s="2" t="str">
        <f>B73</f>
        <v>APC</v>
      </c>
      <c r="C75" s="2" t="str">
        <f t="shared" ref="C75:S75" si="20">C73</f>
        <v>APA</v>
      </c>
      <c r="D75" s="2" t="str">
        <f t="shared" si="20"/>
        <v>CNQCN</v>
      </c>
      <c r="E75" s="2" t="str">
        <f t="shared" si="20"/>
        <v>CVECN</v>
      </c>
      <c r="F75" s="2" t="str">
        <f t="shared" si="20"/>
        <v>XEC</v>
      </c>
      <c r="G75" s="2" t="str">
        <f t="shared" si="20"/>
        <v>COP</v>
      </c>
      <c r="H75" s="2" t="str">
        <f t="shared" si="20"/>
        <v>CLR</v>
      </c>
      <c r="I75" s="2" t="str">
        <f t="shared" si="20"/>
        <v>CXO</v>
      </c>
      <c r="J75" s="2" t="str">
        <f t="shared" si="20"/>
        <v>DVN</v>
      </c>
      <c r="K75" s="2" t="str">
        <f t="shared" si="20"/>
        <v>ECACN</v>
      </c>
      <c r="L75" s="2" t="str">
        <f t="shared" si="20"/>
        <v>EOG</v>
      </c>
      <c r="M75" s="2" t="str">
        <f t="shared" si="20"/>
        <v>HES</v>
      </c>
      <c r="N75" s="2" t="str">
        <f t="shared" si="20"/>
        <v>MRO</v>
      </c>
      <c r="P75" s="2" t="str">
        <f t="shared" si="20"/>
        <v>NBL</v>
      </c>
      <c r="Q75" s="2" t="str">
        <f t="shared" si="20"/>
        <v>OXY</v>
      </c>
      <c r="R75" s="2" t="str">
        <f t="shared" si="20"/>
        <v>PXD</v>
      </c>
      <c r="S75" s="2" t="str">
        <f t="shared" si="20"/>
        <v>SWN</v>
      </c>
    </row>
    <row r="76" spans="1:19">
      <c r="A76" s="1" t="s">
        <v>111</v>
      </c>
      <c r="B76" s="2">
        <f t="shared" ref="B76:S76" si="21">RANK(B34,$B$34:$S$34)</f>
        <v>7</v>
      </c>
      <c r="C76" s="2">
        <f t="shared" si="21"/>
        <v>8</v>
      </c>
      <c r="D76" s="2">
        <f t="shared" si="21"/>
        <v>9</v>
      </c>
      <c r="E76" s="2">
        <f t="shared" si="21"/>
        <v>16</v>
      </c>
      <c r="F76" s="2">
        <f t="shared" si="21"/>
        <v>11</v>
      </c>
      <c r="G76" s="2">
        <f t="shared" si="21"/>
        <v>6</v>
      </c>
      <c r="H76" s="2">
        <f t="shared" si="21"/>
        <v>3</v>
      </c>
      <c r="I76" s="2">
        <f t="shared" si="21"/>
        <v>2</v>
      </c>
      <c r="J76" s="2">
        <f t="shared" si="21"/>
        <v>15</v>
      </c>
      <c r="K76" s="2">
        <f t="shared" si="21"/>
        <v>17</v>
      </c>
      <c r="L76" s="2">
        <f t="shared" si="21"/>
        <v>4</v>
      </c>
      <c r="M76" s="2">
        <f t="shared" si="21"/>
        <v>14</v>
      </c>
      <c r="N76" s="2">
        <f t="shared" si="21"/>
        <v>13</v>
      </c>
      <c r="P76" s="2">
        <f t="shared" si="21"/>
        <v>10</v>
      </c>
      <c r="Q76" s="2">
        <f t="shared" si="21"/>
        <v>5</v>
      </c>
      <c r="R76" s="2">
        <f t="shared" si="21"/>
        <v>1</v>
      </c>
      <c r="S76" s="2">
        <f t="shared" si="21"/>
        <v>18</v>
      </c>
    </row>
    <row r="80" spans="1:19">
      <c r="A80" s="1" t="s">
        <v>130</v>
      </c>
      <c r="B80" s="61">
        <f>B15-'2Q16 Actual'!B15</f>
        <v>10.70896313157192</v>
      </c>
      <c r="C80" s="61">
        <f>C15-'2Q16 Actual'!C15</f>
        <v>3.2972399498669098</v>
      </c>
      <c r="D80" s="61">
        <f>D15-'2Q16 Actual'!D15</f>
        <v>6.0861306578902266</v>
      </c>
      <c r="E80" s="61">
        <f>E15-'2Q16 Actual'!E15</f>
        <v>5.0780941424998218</v>
      </c>
      <c r="F80" s="61">
        <f>F15-'2Q16 Actual'!F15</f>
        <v>5.755808957937731</v>
      </c>
      <c r="G80" s="61">
        <f>G15-'2Q16 Actual'!G15</f>
        <v>6.8385341130337274</v>
      </c>
      <c r="H80" s="61">
        <f>H15-'2Q16 Actual'!H15</f>
        <v>4.0765705326599821</v>
      </c>
      <c r="I80" s="61">
        <f>I15-'2Q16 Actual'!I15</f>
        <v>3.7299999999999969</v>
      </c>
      <c r="J80" s="61">
        <f>J15-'2Q16 Actual'!J15</f>
        <v>6.2199999999999989</v>
      </c>
      <c r="K80" s="61">
        <f>K15-'2Q16 Actual'!K15</f>
        <v>8</v>
      </c>
      <c r="L80" s="61">
        <f>L15-'2Q16 Actual'!L15</f>
        <v>6.5766753286390838</v>
      </c>
      <c r="M80" s="61">
        <f>M15-'2Q16 Actual'!M15</f>
        <v>0.57791106851631469</v>
      </c>
      <c r="N80" s="61">
        <f>N15-'2Q16 Actual'!N15</f>
        <v>3.9292706754315425</v>
      </c>
      <c r="O80" s="61"/>
      <c r="P80" s="61">
        <f>P15-'2Q16 Actual'!P15</f>
        <v>6.3619084448524994</v>
      </c>
      <c r="Q80" s="61">
        <f>Q15-'2Q16 Actual'!Q15</f>
        <v>7.3537185956074538</v>
      </c>
      <c r="R80" s="61">
        <f>R15-'2Q16 Actual'!R15</f>
        <v>3.610000000000003</v>
      </c>
      <c r="S80" s="61">
        <f>S15-'2Q16 Actual'!S15</f>
        <v>6.6478584177406947</v>
      </c>
    </row>
    <row r="81" spans="1:19">
      <c r="A81" s="1" t="s">
        <v>132</v>
      </c>
      <c r="B81" s="61">
        <f>B28-'2Q16 Actual'!B28</f>
        <v>2.6515992067733301</v>
      </c>
      <c r="C81" s="61">
        <f>C28-'2Q16 Actual'!C28</f>
        <v>2.7775409659158594</v>
      </c>
      <c r="D81" s="61">
        <f>D28-'2Q16 Actual'!D28</f>
        <v>-0.79531625411475204</v>
      </c>
      <c r="E81" s="61">
        <f>E28-'2Q16 Actual'!E28</f>
        <v>-1.3495472914718256</v>
      </c>
      <c r="F81" s="61">
        <f>F28-'2Q16 Actual'!F28</f>
        <v>-0.8765823656192655</v>
      </c>
      <c r="G81" s="61">
        <f>G28-'2Q16 Actual'!G28</f>
        <v>-0.37461607299864497</v>
      </c>
      <c r="H81" s="61">
        <f>H28-'2Q16 Actual'!H28</f>
        <v>-0.14133646348919982</v>
      </c>
      <c r="I81" s="61">
        <f>I28-'2Q16 Actual'!I28</f>
        <v>-1.9553998646756465</v>
      </c>
      <c r="J81" s="61">
        <f>J28-'2Q16 Actual'!J28</f>
        <v>3.4069096716608627E-2</v>
      </c>
      <c r="K81" s="61">
        <f>K28-'2Q16 Actual'!K28</f>
        <v>-0.45837914389950285</v>
      </c>
      <c r="L81" s="61">
        <f>L28-'2Q16 Actual'!L28</f>
        <v>0.96316056582901233</v>
      </c>
      <c r="M81" s="61">
        <f>M28-'2Q16 Actual'!M28</f>
        <v>-2.0851534226717661</v>
      </c>
      <c r="N81" s="61">
        <f>N28-'2Q16 Actual'!N28</f>
        <v>-3.4456239793430274</v>
      </c>
      <c r="O81" s="61"/>
      <c r="P81" s="61">
        <f>P28-'2Q16 Actual'!P28</f>
        <v>1.9422590533620578</v>
      </c>
      <c r="Q81" s="61">
        <f>Q28-'2Q16 Actual'!Q28</f>
        <v>3.2573531337573005</v>
      </c>
      <c r="R81" s="61">
        <f>R28-'2Q16 Actual'!R28</f>
        <v>-2.6614259707000141</v>
      </c>
      <c r="S81" s="61">
        <f>S28-'2Q16 Actual'!S28</f>
        <v>-0.33385382598860502</v>
      </c>
    </row>
    <row r="82" spans="1:19">
      <c r="A82" s="1" t="s">
        <v>129</v>
      </c>
      <c r="B82" s="62">
        <f>B48-'2Q16 Actual'!B48</f>
        <v>-14.590333333333334</v>
      </c>
      <c r="C82" s="62">
        <f>C48-'2Q16 Actual'!C48</f>
        <v>-9.4091724999999897</v>
      </c>
      <c r="D82" s="62">
        <f>D48-'2Q16 Actual'!D48</f>
        <v>11.758746999999985</v>
      </c>
      <c r="E82" s="62">
        <f>E48-'2Q16 Actual'!E48</f>
        <v>15.689977333333335</v>
      </c>
      <c r="F82" s="62">
        <f>F48-'2Q16 Actual'!F48</f>
        <v>2.7618803333333339</v>
      </c>
      <c r="G82" s="62">
        <f>G48-'2Q16 Actual'!G48</f>
        <v>-6.4154999999999944</v>
      </c>
      <c r="H82" s="62">
        <f>H48-'2Q16 Actual'!H48</f>
        <v>0.62692933333332945</v>
      </c>
      <c r="I82" s="62">
        <f>I48-'2Q16 Actual'!I48</f>
        <v>3.5965611499999994</v>
      </c>
      <c r="J82" s="62">
        <f>J48-'2Q16 Actual'!J48</f>
        <v>-9.8431666666666615</v>
      </c>
      <c r="K82" s="62">
        <f>K48-'2Q16 Actual'!K48</f>
        <v>-4.7714333333333414</v>
      </c>
      <c r="L82" s="62">
        <f>L48-'2Q16 Actual'!L48</f>
        <v>4.8199666666666587</v>
      </c>
      <c r="M82" s="62">
        <f>M48-'2Q16 Actual'!M48</f>
        <v>-1.152666666666665</v>
      </c>
      <c r="N82" s="62">
        <f>N48-'2Q16 Actual'!N48</f>
        <v>-3.3973333333333358</v>
      </c>
      <c r="O82" s="62"/>
      <c r="P82" s="62">
        <f>P48-'2Q16 Actual'!P48</f>
        <v>-2.305333333333337</v>
      </c>
      <c r="Q82" s="62">
        <f>Q48-'2Q16 Actual'!Q48</f>
        <v>-4.231500000000004</v>
      </c>
      <c r="R82" s="62">
        <f>R48-'2Q16 Actual'!R48</f>
        <v>2.4009743333333304</v>
      </c>
      <c r="S82" s="62">
        <f>S48-'2Q16 Actual'!S48</f>
        <v>-0.14914814814813582</v>
      </c>
    </row>
    <row r="166" spans="2:17" hidden="1">
      <c r="L166" s="2" t="s">
        <v>58</v>
      </c>
    </row>
    <row r="167" spans="2:17" hidden="1">
      <c r="L167" s="2" t="s">
        <v>54</v>
      </c>
      <c r="M167" s="2">
        <v>52.63</v>
      </c>
      <c r="N167" s="2">
        <v>176</v>
      </c>
      <c r="Q167" s="2">
        <f>+N167*M167</f>
        <v>9262.880000000001</v>
      </c>
    </row>
    <row r="168" spans="2:17" hidden="1">
      <c r="D168" s="2" t="s">
        <v>72</v>
      </c>
      <c r="E168" s="2" t="s">
        <v>73</v>
      </c>
      <c r="L168" s="2" t="s">
        <v>55</v>
      </c>
      <c r="M168" s="2">
        <v>14.77</v>
      </c>
      <c r="N168" s="2">
        <v>37</v>
      </c>
      <c r="Q168" s="2">
        <f>+N168*M168</f>
        <v>546.49</v>
      </c>
    </row>
    <row r="169" spans="2:17" hidden="1">
      <c r="B169" s="2" t="s">
        <v>61</v>
      </c>
      <c r="C169" s="2">
        <v>95.057000000000002</v>
      </c>
      <c r="D169" s="2">
        <f>73.05</f>
        <v>73.05</v>
      </c>
      <c r="F169" s="2">
        <f>+D169*C169</f>
        <v>6943.9138499999999</v>
      </c>
      <c r="L169" s="2" t="s">
        <v>59</v>
      </c>
      <c r="M169" s="2">
        <v>2.76</v>
      </c>
      <c r="N169" s="2">
        <v>361</v>
      </c>
      <c r="P169" s="2">
        <f>+N169/6</f>
        <v>60.166666666666664</v>
      </c>
      <c r="Q169" s="2">
        <f>+N169*M169</f>
        <v>996.3599999999999</v>
      </c>
    </row>
    <row r="170" spans="2:17" hidden="1">
      <c r="B170" s="2" t="s">
        <v>71</v>
      </c>
      <c r="C170" s="2">
        <f>458.144-C169</f>
        <v>363.08699999999999</v>
      </c>
      <c r="D170" s="2">
        <f>53.09</f>
        <v>53.09</v>
      </c>
      <c r="F170" s="2">
        <f>+D170*C170</f>
        <v>19276.288830000001</v>
      </c>
      <c r="G170" s="2">
        <f>+SUM(F169:F170)/(C169+C170)</f>
        <v>57.231356691345958</v>
      </c>
    </row>
    <row r="171" spans="2:17" hidden="1">
      <c r="L171" s="2" t="s">
        <v>60</v>
      </c>
    </row>
    <row r="172" spans="2:17" hidden="1">
      <c r="L172" s="2" t="s">
        <v>54</v>
      </c>
      <c r="M172" s="2">
        <v>56.7</v>
      </c>
      <c r="N172" s="2">
        <v>33</v>
      </c>
      <c r="Q172" s="2">
        <f>+N172*M172</f>
        <v>1871.1000000000001</v>
      </c>
    </row>
    <row r="173" spans="2:17" hidden="1">
      <c r="D173" s="2">
        <v>608</v>
      </c>
      <c r="E173" s="2">
        <v>58</v>
      </c>
      <c r="L173" s="2" t="s">
        <v>55</v>
      </c>
      <c r="M173" s="2">
        <v>3.1</v>
      </c>
      <c r="N173" s="2">
        <v>9</v>
      </c>
      <c r="Q173" s="2">
        <f>+N173*M173</f>
        <v>27.900000000000002</v>
      </c>
    </row>
    <row r="174" spans="2:17" hidden="1">
      <c r="D174" s="2">
        <v>138</v>
      </c>
      <c r="E174" s="2">
        <v>33.299999999999997</v>
      </c>
      <c r="L174" s="2" t="s">
        <v>59</v>
      </c>
      <c r="M174" s="2">
        <v>0.78</v>
      </c>
      <c r="N174" s="2">
        <v>396</v>
      </c>
      <c r="P174" s="2">
        <f>+N174/6</f>
        <v>66</v>
      </c>
      <c r="Q174" s="2">
        <f>+N174*M174</f>
        <v>308.88</v>
      </c>
    </row>
    <row r="175" spans="2:17" hidden="1">
      <c r="E175" s="2">
        <f>+SUMPRODUCT(D173:D174,E173:E174)/SUM(D173:D174)</f>
        <v>53.430831099195714</v>
      </c>
    </row>
    <row r="176" spans="2:17" hidden="1">
      <c r="L176" s="2" t="s">
        <v>61</v>
      </c>
    </row>
    <row r="177" spans="12:17" hidden="1">
      <c r="L177" s="2" t="s">
        <v>54</v>
      </c>
      <c r="M177" s="2">
        <v>52.46</v>
      </c>
      <c r="N177" s="2">
        <v>29</v>
      </c>
      <c r="Q177" s="2">
        <f>+N177*M177</f>
        <v>1521.34</v>
      </c>
    </row>
  </sheetData>
  <mergeCells count="2">
    <mergeCell ref="A53:S53"/>
    <mergeCell ref="A54:S54"/>
  </mergeCells>
  <pageMargins left="0.7" right="0.24" top="0.75" bottom="0.75" header="0.3" footer="0.3"/>
  <pageSetup orientation="portrait" r:id="rId1"/>
  <headerFooter>
    <oddFooter>&amp;C&amp;"Expert Sans Regular,Regular"&amp;10&amp;K000000 Restricted - External_x000D_&amp;1#&amp;"Calibri"&amp;10 Restricted - External</oddFooter>
    <evenFooter>&amp;C&amp;"Expert Sans Regular,Regular"&amp;10&amp;K000000 Restricted - External</evenFooter>
    <firstFooter>&amp;C&amp;"Expert Sans Regular,Regular"&amp;10&amp;K000000 Restricted - External</firstFooter>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autoPageBreaks="0" fitToPage="1"/>
  </sheetPr>
  <dimension ref="A1:T177"/>
  <sheetViews>
    <sheetView zoomScale="90" zoomScaleNormal="90" workbookViewId="0">
      <pane xSplit="1" ySplit="7" topLeftCell="B8" activePane="bottomRight" state="frozen"/>
      <selection activeCell="B36" sqref="B36:V36"/>
      <selection pane="topRight" activeCell="B36" sqref="B36:V36"/>
      <selection pane="bottomLeft" activeCell="B36" sqref="B36:V36"/>
      <selection pane="bottomRight" activeCell="B36" sqref="B36:V36"/>
    </sheetView>
  </sheetViews>
  <sheetFormatPr defaultRowHeight="14.25"/>
  <cols>
    <col min="1" max="1" width="36.375" style="1" customWidth="1"/>
    <col min="2" max="19" width="9.25" style="2" customWidth="1"/>
    <col min="20" max="20" width="11.5" style="1" customWidth="1"/>
    <col min="21" max="21" width="9" style="1"/>
    <col min="22" max="22" width="10.75" style="1" bestFit="1" customWidth="1"/>
    <col min="23" max="16384" width="9" style="1"/>
  </cols>
  <sheetData>
    <row r="1" spans="1:19" s="9" customFormat="1">
      <c r="A1" s="87" t="s">
        <v>138</v>
      </c>
      <c r="B1" s="8"/>
      <c r="C1" s="8"/>
      <c r="D1" s="8"/>
      <c r="E1" s="8"/>
      <c r="F1" s="8"/>
      <c r="G1" s="8"/>
      <c r="H1" s="8"/>
      <c r="I1" s="8"/>
      <c r="J1" s="8"/>
      <c r="K1" s="8"/>
      <c r="L1" s="8"/>
      <c r="M1" s="19"/>
      <c r="N1" s="8"/>
      <c r="O1" s="8"/>
      <c r="P1" s="8"/>
      <c r="Q1" s="8"/>
      <c r="R1" s="8"/>
      <c r="S1" s="8"/>
    </row>
    <row r="2" spans="1:19" s="9" customFormat="1">
      <c r="A2" s="87" t="s">
        <v>1</v>
      </c>
      <c r="B2" s="10">
        <v>51.73</v>
      </c>
      <c r="C2" s="8"/>
      <c r="D2" s="8"/>
      <c r="E2" s="8"/>
      <c r="F2" s="8"/>
      <c r="G2" s="8"/>
      <c r="H2" s="8"/>
      <c r="I2" s="8"/>
      <c r="J2" s="8"/>
      <c r="K2" s="8"/>
      <c r="L2" s="8"/>
      <c r="M2" s="19"/>
      <c r="N2" s="8"/>
      <c r="O2" s="8"/>
      <c r="P2" s="8"/>
      <c r="Q2" s="8"/>
      <c r="R2" s="8"/>
      <c r="S2" s="8"/>
    </row>
    <row r="3" spans="1:19" s="9" customFormat="1">
      <c r="A3" s="87" t="s">
        <v>0</v>
      </c>
      <c r="B3" s="10">
        <v>26.81</v>
      </c>
      <c r="C3" s="8"/>
      <c r="D3" s="8"/>
      <c r="E3" s="8"/>
      <c r="F3" s="8"/>
      <c r="G3" s="8"/>
      <c r="H3" s="8"/>
      <c r="I3" s="8"/>
      <c r="J3" s="8"/>
      <c r="K3" s="8"/>
      <c r="L3" s="8"/>
      <c r="M3" s="19"/>
      <c r="N3" s="8"/>
      <c r="O3" s="8"/>
      <c r="P3" s="8"/>
      <c r="Q3" s="8"/>
      <c r="R3" s="8"/>
      <c r="S3" s="8"/>
    </row>
    <row r="4" spans="1:19" s="9" customFormat="1">
      <c r="A4" s="87" t="s">
        <v>2</v>
      </c>
      <c r="B4" s="10">
        <v>2.9935</v>
      </c>
      <c r="C4" s="8"/>
      <c r="D4" s="8"/>
      <c r="E4" s="8"/>
      <c r="F4" s="8"/>
      <c r="G4" s="8"/>
      <c r="H4" s="8"/>
      <c r="I4" s="8"/>
      <c r="J4" s="8"/>
      <c r="K4" s="8"/>
      <c r="L4" s="8"/>
      <c r="M4" s="19"/>
      <c r="N4" s="8"/>
      <c r="O4" s="8"/>
      <c r="P4" s="8"/>
      <c r="Q4" s="8"/>
      <c r="R4" s="8"/>
      <c r="S4" s="8"/>
    </row>
    <row r="5" spans="1:19" s="9" customFormat="1" ht="15" thickBot="1">
      <c r="A5" s="87"/>
      <c r="B5" s="8"/>
      <c r="C5" s="8"/>
      <c r="D5" s="8"/>
      <c r="E5" s="8"/>
      <c r="F5" s="8"/>
      <c r="G5" s="8"/>
      <c r="H5" s="8"/>
      <c r="I5" s="8"/>
      <c r="J5" s="8"/>
      <c r="K5" s="8"/>
      <c r="L5" s="8"/>
      <c r="M5" s="19"/>
      <c r="N5" s="8"/>
      <c r="O5" s="8"/>
      <c r="P5" s="8"/>
      <c r="Q5" s="8"/>
      <c r="R5" s="8"/>
      <c r="S5" s="8"/>
    </row>
    <row r="6" spans="1:19" ht="26.25" thickBot="1">
      <c r="A6" s="4" t="s">
        <v>15</v>
      </c>
      <c r="B6" s="85" t="s">
        <v>17</v>
      </c>
      <c r="C6" s="85" t="s">
        <v>18</v>
      </c>
      <c r="D6" s="85" t="s">
        <v>19</v>
      </c>
      <c r="E6" s="85" t="s">
        <v>21</v>
      </c>
      <c r="F6" s="85" t="s">
        <v>22</v>
      </c>
      <c r="G6" s="138" t="s">
        <v>172</v>
      </c>
      <c r="H6" s="85" t="s">
        <v>23</v>
      </c>
      <c r="I6" s="85" t="s">
        <v>139</v>
      </c>
      <c r="J6" s="85" t="s">
        <v>24</v>
      </c>
      <c r="K6" s="85" t="s">
        <v>25</v>
      </c>
      <c r="L6" s="85" t="s">
        <v>26</v>
      </c>
      <c r="M6" s="85" t="s">
        <v>27</v>
      </c>
      <c r="N6" s="85" t="s">
        <v>28</v>
      </c>
      <c r="O6" s="116" t="s">
        <v>162</v>
      </c>
      <c r="P6" s="85" t="s">
        <v>29</v>
      </c>
      <c r="Q6" s="85" t="s">
        <v>30</v>
      </c>
      <c r="R6" s="85" t="s">
        <v>31</v>
      </c>
      <c r="S6" s="138" t="s">
        <v>173</v>
      </c>
    </row>
    <row r="7" spans="1:19" ht="18" customHeight="1" thickBot="1">
      <c r="A7" s="25" t="s">
        <v>16</v>
      </c>
      <c r="B7" s="69" t="s">
        <v>33</v>
      </c>
      <c r="C7" s="69" t="s">
        <v>34</v>
      </c>
      <c r="D7" s="69" t="s">
        <v>35</v>
      </c>
      <c r="E7" s="69" t="s">
        <v>37</v>
      </c>
      <c r="F7" s="69" t="s">
        <v>38</v>
      </c>
      <c r="G7" s="69" t="s">
        <v>36</v>
      </c>
      <c r="H7" s="69" t="s">
        <v>39</v>
      </c>
      <c r="I7" s="69" t="s">
        <v>140</v>
      </c>
      <c r="J7" s="69" t="s">
        <v>40</v>
      </c>
      <c r="K7" s="69" t="s">
        <v>41</v>
      </c>
      <c r="L7" s="69" t="s">
        <v>42</v>
      </c>
      <c r="M7" s="69" t="s">
        <v>43</v>
      </c>
      <c r="N7" s="69" t="s">
        <v>44</v>
      </c>
      <c r="O7" s="69" t="s">
        <v>163</v>
      </c>
      <c r="P7" s="69" t="s">
        <v>45</v>
      </c>
      <c r="Q7" s="69" t="s">
        <v>46</v>
      </c>
      <c r="R7" s="69" t="s">
        <v>47</v>
      </c>
      <c r="S7" s="69" t="s">
        <v>48</v>
      </c>
    </row>
    <row r="8" spans="1:19" s="9" customFormat="1">
      <c r="A8" s="87"/>
      <c r="B8" s="8"/>
      <c r="C8" s="8"/>
      <c r="D8" s="8"/>
      <c r="E8" s="8"/>
      <c r="F8" s="8"/>
      <c r="G8" s="8"/>
      <c r="H8" s="8"/>
      <c r="I8" s="8"/>
      <c r="J8" s="8"/>
      <c r="K8" s="8"/>
      <c r="L8" s="8"/>
      <c r="M8" s="8"/>
      <c r="N8" s="8"/>
      <c r="O8" s="8"/>
      <c r="P8" s="8"/>
      <c r="Q8" s="8"/>
      <c r="R8" s="8"/>
      <c r="S8" s="8"/>
    </row>
    <row r="9" spans="1:19" s="9" customFormat="1">
      <c r="A9" s="87" t="s">
        <v>50</v>
      </c>
      <c r="B9" s="10">
        <v>50.34</v>
      </c>
      <c r="C9" s="10">
        <v>51.2</v>
      </c>
      <c r="D9" s="10">
        <f>(3059+67)/D56/(D44*90/1000)</f>
        <v>47.055275767967167</v>
      </c>
      <c r="E9" s="10">
        <f>41.38/D56</f>
        <v>31.249528009787195</v>
      </c>
      <c r="F9" s="10">
        <v>47.71</v>
      </c>
      <c r="G9" s="10">
        <f>((50.86*588)+(15.63*52))/(52+588)</f>
        <v>47.997562500000001</v>
      </c>
      <c r="H9" s="10">
        <v>44.69</v>
      </c>
      <c r="I9" s="10">
        <v>49.08</v>
      </c>
      <c r="J9" s="10">
        <v>37.33</v>
      </c>
      <c r="K9" s="10">
        <v>49.61</v>
      </c>
      <c r="L9" s="10">
        <v>50.34</v>
      </c>
      <c r="M9" s="10">
        <v>48.61</v>
      </c>
      <c r="N9" s="10">
        <f>((47.63*60)+(50.41*37)+(118*48.46))/(118+37+60)</f>
        <v>48.563953488372093</v>
      </c>
      <c r="O9" s="10">
        <v>46.79</v>
      </c>
      <c r="P9" s="10">
        <f>527/(P44*90/1000)</f>
        <v>49.206349206349202</v>
      </c>
      <c r="Q9" s="10">
        <v>49.04</v>
      </c>
      <c r="R9" s="10">
        <v>49.05</v>
      </c>
      <c r="S9" s="10">
        <v>43.74</v>
      </c>
    </row>
    <row r="10" spans="1:19" s="9" customFormat="1">
      <c r="A10" s="87" t="s">
        <v>3</v>
      </c>
      <c r="B10" s="10">
        <f t="shared" ref="B10:S10" si="0">+B9-$B$2</f>
        <v>-1.3899999999999935</v>
      </c>
      <c r="C10" s="10">
        <f t="shared" si="0"/>
        <v>-0.52999999999999403</v>
      </c>
      <c r="D10" s="10">
        <f t="shared" si="0"/>
        <v>-4.6747242320328297</v>
      </c>
      <c r="E10" s="10">
        <f t="shared" si="0"/>
        <v>-20.480471990212802</v>
      </c>
      <c r="F10" s="10">
        <f t="shared" si="0"/>
        <v>-4.019999999999996</v>
      </c>
      <c r="G10" s="10">
        <f>+G9-$B$2</f>
        <v>-3.7324374999999961</v>
      </c>
      <c r="H10" s="10">
        <f t="shared" si="0"/>
        <v>-7.0399999999999991</v>
      </c>
      <c r="I10" s="10">
        <f t="shared" si="0"/>
        <v>-2.6499999999999986</v>
      </c>
      <c r="J10" s="10">
        <f t="shared" si="0"/>
        <v>-14.399999999999999</v>
      </c>
      <c r="K10" s="10">
        <f t="shared" si="0"/>
        <v>-2.1199999999999974</v>
      </c>
      <c r="L10" s="10">
        <f t="shared" si="0"/>
        <v>-1.3899999999999935</v>
      </c>
      <c r="M10" s="10">
        <f t="shared" si="0"/>
        <v>-3.1199999999999974</v>
      </c>
      <c r="N10" s="10">
        <f t="shared" si="0"/>
        <v>-3.1660465116279042</v>
      </c>
      <c r="O10" s="10">
        <f t="shared" si="0"/>
        <v>-4.9399999999999977</v>
      </c>
      <c r="P10" s="10">
        <f t="shared" si="0"/>
        <v>-2.5236507936507948</v>
      </c>
      <c r="Q10" s="10">
        <f t="shared" si="0"/>
        <v>-2.6899999999999977</v>
      </c>
      <c r="R10" s="10">
        <f t="shared" si="0"/>
        <v>-2.6799999999999997</v>
      </c>
      <c r="S10" s="10">
        <f t="shared" si="0"/>
        <v>-7.9899999999999949</v>
      </c>
    </row>
    <row r="11" spans="1:19" s="9" customFormat="1">
      <c r="A11" s="87" t="s">
        <v>51</v>
      </c>
      <c r="B11" s="10">
        <v>27.17</v>
      </c>
      <c r="C11" s="10">
        <v>17.170000000000002</v>
      </c>
      <c r="D11" s="10">
        <f>251/D56/(D45*90/1000)</f>
        <v>51.770444331065434</v>
      </c>
      <c r="E11" s="10">
        <f>48.35/D56</f>
        <v>36.513162863054873</v>
      </c>
      <c r="F11" s="10">
        <v>20.399999999999999</v>
      </c>
      <c r="G11" s="10">
        <v>23.81</v>
      </c>
      <c r="H11" s="10"/>
      <c r="I11" s="10"/>
      <c r="J11" s="10">
        <v>15.46</v>
      </c>
      <c r="K11" s="10">
        <v>34.31</v>
      </c>
      <c r="L11" s="10">
        <v>21.63</v>
      </c>
      <c r="M11" s="10">
        <v>18.71</v>
      </c>
      <c r="N11" s="10">
        <f>((19.33*40)+(13*3.86))/(40+13)</f>
        <v>15.535471698113206</v>
      </c>
      <c r="O11" s="10">
        <v>27.03</v>
      </c>
      <c r="P11" s="10">
        <f>105/(P45*90/1000)</f>
        <v>21.212121212121211</v>
      </c>
      <c r="Q11" s="10">
        <v>21.59</v>
      </c>
      <c r="R11" s="10">
        <v>19.329999999999998</v>
      </c>
      <c r="S11" s="10">
        <v>13.28</v>
      </c>
    </row>
    <row r="12" spans="1:19" s="9" customFormat="1">
      <c r="A12" s="87" t="s">
        <v>3</v>
      </c>
      <c r="B12" s="10">
        <f t="shared" ref="B12:S12" si="1">+B11-$B$3</f>
        <v>0.36000000000000298</v>
      </c>
      <c r="C12" s="10">
        <f t="shared" si="1"/>
        <v>-9.639999999999997</v>
      </c>
      <c r="D12" s="10">
        <f t="shared" si="1"/>
        <v>24.960444331065435</v>
      </c>
      <c r="E12" s="10">
        <f t="shared" si="1"/>
        <v>9.7031628630548745</v>
      </c>
      <c r="F12" s="10">
        <f t="shared" si="1"/>
        <v>-6.41</v>
      </c>
      <c r="G12" s="10">
        <f>+G11-$B$3</f>
        <v>-3</v>
      </c>
      <c r="H12" s="10">
        <f t="shared" si="1"/>
        <v>-26.81</v>
      </c>
      <c r="I12" s="10">
        <f t="shared" si="1"/>
        <v>-26.81</v>
      </c>
      <c r="J12" s="10">
        <f t="shared" si="1"/>
        <v>-11.349999999999998</v>
      </c>
      <c r="K12" s="10">
        <f t="shared" si="1"/>
        <v>7.5000000000000036</v>
      </c>
      <c r="L12" s="10">
        <f t="shared" si="1"/>
        <v>-5.18</v>
      </c>
      <c r="M12" s="10">
        <f t="shared" si="1"/>
        <v>-8.0999999999999979</v>
      </c>
      <c r="N12" s="10">
        <f t="shared" si="1"/>
        <v>-11.274528301886793</v>
      </c>
      <c r="O12" s="10">
        <f t="shared" si="1"/>
        <v>0.22000000000000242</v>
      </c>
      <c r="P12" s="10">
        <f t="shared" si="1"/>
        <v>-5.5978787878787877</v>
      </c>
      <c r="Q12" s="10">
        <f t="shared" si="1"/>
        <v>-5.2199999999999989</v>
      </c>
      <c r="R12" s="10">
        <f t="shared" si="1"/>
        <v>-7.48</v>
      </c>
      <c r="S12" s="10">
        <f t="shared" si="1"/>
        <v>-13.53</v>
      </c>
    </row>
    <row r="13" spans="1:19" s="9" customFormat="1">
      <c r="A13" s="87" t="s">
        <v>52</v>
      </c>
      <c r="B13" s="10">
        <v>3</v>
      </c>
      <c r="C13" s="10">
        <v>2.74</v>
      </c>
      <c r="D13" s="10">
        <f>492/D56/(D46*90/1000)</f>
        <v>2.4676276517551812</v>
      </c>
      <c r="E13" s="10">
        <f>2.99/D56</f>
        <v>2.2580011780875715</v>
      </c>
      <c r="F13" s="10">
        <v>3.01</v>
      </c>
      <c r="G13" s="10">
        <v>3.78</v>
      </c>
      <c r="H13" s="10">
        <v>3</v>
      </c>
      <c r="I13" s="10">
        <v>3</v>
      </c>
      <c r="J13" s="10">
        <v>2.68</v>
      </c>
      <c r="K13" s="10">
        <v>2.72</v>
      </c>
      <c r="L13" s="10">
        <v>2.42</v>
      </c>
      <c r="M13" s="10">
        <v>3.2</v>
      </c>
      <c r="N13" s="10">
        <f>((3.02*304)+(461*0.55))/(461+304)</f>
        <v>1.5315424836601308</v>
      </c>
      <c r="O13" s="10">
        <v>2.93</v>
      </c>
      <c r="P13" s="10">
        <f>362/(P46*90/1000)</f>
        <v>3.2307005800981705</v>
      </c>
      <c r="Q13" s="10">
        <v>2.0699999999999998</v>
      </c>
      <c r="R13" s="10">
        <v>2.79</v>
      </c>
      <c r="S13" s="10">
        <v>2.73</v>
      </c>
    </row>
    <row r="14" spans="1:19" s="9" customFormat="1">
      <c r="A14" s="87" t="s">
        <v>3</v>
      </c>
      <c r="B14" s="10">
        <f t="shared" ref="B14:S14" si="2">+B13-$B$4</f>
        <v>6.4999999999999503E-3</v>
      </c>
      <c r="C14" s="10">
        <f t="shared" si="2"/>
        <v>-0.25349999999999984</v>
      </c>
      <c r="D14" s="10">
        <f t="shared" si="2"/>
        <v>-0.52587234824481888</v>
      </c>
      <c r="E14" s="10">
        <f t="shared" si="2"/>
        <v>-0.73549882191242855</v>
      </c>
      <c r="F14" s="10">
        <f t="shared" si="2"/>
        <v>1.6499999999999737E-2</v>
      </c>
      <c r="G14" s="10">
        <f>+G13-$B$4</f>
        <v>0.78649999999999975</v>
      </c>
      <c r="H14" s="10">
        <f t="shared" si="2"/>
        <v>6.4999999999999503E-3</v>
      </c>
      <c r="I14" s="10">
        <f t="shared" si="2"/>
        <v>6.4999999999999503E-3</v>
      </c>
      <c r="J14" s="10">
        <f t="shared" si="2"/>
        <v>-0.31349999999999989</v>
      </c>
      <c r="K14" s="10">
        <f t="shared" si="2"/>
        <v>-0.27349999999999985</v>
      </c>
      <c r="L14" s="10">
        <f t="shared" si="2"/>
        <v>-0.57350000000000012</v>
      </c>
      <c r="M14" s="10">
        <f t="shared" si="2"/>
        <v>0.20650000000000013</v>
      </c>
      <c r="N14" s="10">
        <f t="shared" si="2"/>
        <v>-1.4619575163398693</v>
      </c>
      <c r="O14" s="10">
        <f t="shared" si="2"/>
        <v>-6.349999999999989E-2</v>
      </c>
      <c r="P14" s="10">
        <f t="shared" si="2"/>
        <v>0.23720058009817047</v>
      </c>
      <c r="Q14" s="10">
        <f t="shared" si="2"/>
        <v>-0.92350000000000021</v>
      </c>
      <c r="R14" s="10">
        <f t="shared" si="2"/>
        <v>-0.20350000000000001</v>
      </c>
      <c r="S14" s="10">
        <f t="shared" si="2"/>
        <v>-0.26350000000000007</v>
      </c>
    </row>
    <row r="15" spans="1:19" s="9" customFormat="1">
      <c r="A15" s="87" t="s">
        <v>49</v>
      </c>
      <c r="B15" s="10">
        <f>(1663+502+289)/B48</f>
        <v>34.304885720276786</v>
      </c>
      <c r="C15" s="10">
        <f>(1172+255+85-137)/C48</f>
        <v>34.500049742799</v>
      </c>
      <c r="D15" s="10">
        <f>(2725+1145)/D56/D48</f>
        <v>37.029548339590342</v>
      </c>
      <c r="E15" s="10">
        <f>36.37/D56</f>
        <v>27.466054463894636</v>
      </c>
      <c r="F15" s="10">
        <f>+(224.066+131.945+80.426)/F48</f>
        <v>27.368569574173883</v>
      </c>
      <c r="G15" s="10">
        <f>4015/G48</f>
        <v>35.803459960763334</v>
      </c>
      <c r="H15" s="10">
        <f>633.85/H48</f>
        <v>32.947794496416215</v>
      </c>
      <c r="I15" s="10">
        <v>37.47</v>
      </c>
      <c r="J15" s="10">
        <v>25.82</v>
      </c>
      <c r="K15" s="10">
        <v>25.82</v>
      </c>
      <c r="L15" s="10">
        <f>+(1430.061+153.444+230.602)/L48</f>
        <v>35.311085158150853</v>
      </c>
      <c r="M15" s="20">
        <f>1038/M48</f>
        <v>37.124463519313302</v>
      </c>
      <c r="N15" s="10">
        <f>(954+258)/N48</f>
        <v>34.04972608512432</v>
      </c>
      <c r="O15" s="10">
        <f>417/O48</f>
        <v>31.71102661596958</v>
      </c>
      <c r="P15" s="10">
        <f>(527+362+105)/P48</f>
        <v>28.950050968399591</v>
      </c>
      <c r="Q15" s="10">
        <f>Q65:Q65</f>
        <v>37.938904305320555</v>
      </c>
      <c r="R15" s="10">
        <v>36.14</v>
      </c>
      <c r="S15" s="10">
        <f>(503+23+40)/S48</f>
        <v>16.633849590031449</v>
      </c>
    </row>
    <row r="16" spans="1:19" s="9" customFormat="1">
      <c r="A16" s="87"/>
      <c r="B16" s="10"/>
      <c r="C16" s="10"/>
      <c r="D16" s="10"/>
      <c r="E16" s="10"/>
      <c r="F16" s="10"/>
      <c r="G16" s="10"/>
      <c r="H16" s="10"/>
      <c r="I16" s="10"/>
      <c r="J16" s="10"/>
      <c r="K16" s="10"/>
      <c r="L16" s="10"/>
      <c r="M16" s="20"/>
      <c r="N16" s="10"/>
      <c r="O16" s="10"/>
      <c r="P16" s="10"/>
      <c r="Q16" s="10"/>
      <c r="R16" s="10"/>
      <c r="S16" s="10"/>
    </row>
    <row r="17" spans="1:20" s="9" customFormat="1">
      <c r="A17" s="87" t="s">
        <v>4</v>
      </c>
      <c r="B17" s="10"/>
      <c r="C17" s="10"/>
      <c r="D17" s="10"/>
      <c r="E17" s="10"/>
      <c r="F17" s="10"/>
      <c r="G17" s="10"/>
      <c r="H17" s="10"/>
      <c r="I17" s="10"/>
      <c r="J17" s="10"/>
      <c r="K17" s="10"/>
      <c r="L17" s="10"/>
      <c r="M17" s="20"/>
      <c r="N17" s="10"/>
      <c r="O17" s="10"/>
      <c r="P17" s="10"/>
      <c r="Q17" s="10"/>
      <c r="R17" s="10"/>
      <c r="S17" s="10"/>
    </row>
    <row r="18" spans="1:20" s="9" customFormat="1">
      <c r="A18" s="86" t="s">
        <v>75</v>
      </c>
      <c r="B18" s="10">
        <f>(258+249)/B48</f>
        <v>7.0874397148249111</v>
      </c>
      <c r="C18" s="10">
        <f>(336+57)/C48</f>
        <v>9.8607414901236403</v>
      </c>
      <c r="D18" s="20">
        <f>(727+643+372+20)/D56/D48</f>
        <v>16.859448107069298</v>
      </c>
      <c r="E18" s="10">
        <f>(4.2+9.8)/D56</f>
        <v>10.572580766965217</v>
      </c>
      <c r="F18" s="10">
        <f>+(62.421+55.023)/F48</f>
        <v>7.3648070284354397</v>
      </c>
      <c r="G18" s="10">
        <f>1298/G48</f>
        <v>11.57481719279472</v>
      </c>
      <c r="H18" s="10">
        <v>3.78</v>
      </c>
      <c r="I18" s="10">
        <v>5.35</v>
      </c>
      <c r="J18" s="10">
        <f>(386)/J48</f>
        <v>7.6089099152375326</v>
      </c>
      <c r="K18" s="10">
        <f>3.99+6.67</f>
        <v>10.66</v>
      </c>
      <c r="L18" s="10">
        <f>+(255.777+178.714+38.144)/L48</f>
        <v>9.1997080291970796</v>
      </c>
      <c r="M18" s="20">
        <f>(309+124)/M48</f>
        <v>15.486409155937052</v>
      </c>
      <c r="N18" s="10">
        <f>(151+7+151+89)/N48</f>
        <v>11.181345694620031</v>
      </c>
      <c r="O18" s="10">
        <f>+(56+72)/O48</f>
        <v>9.7338403041825092</v>
      </c>
      <c r="P18" s="10">
        <f>(139+119)/P48</f>
        <v>7.5141983398864127</v>
      </c>
      <c r="Q18" s="10">
        <v>12.33</v>
      </c>
      <c r="R18" s="10">
        <f>4.99+1.01+0.59-0.28</f>
        <v>6.31</v>
      </c>
      <c r="S18" s="10">
        <f>0.89*6</f>
        <v>5.34</v>
      </c>
    </row>
    <row r="19" spans="1:20" s="9" customFormat="1">
      <c r="A19" s="86" t="s">
        <v>74</v>
      </c>
      <c r="B19" s="10"/>
      <c r="C19" s="10"/>
      <c r="D19" s="10">
        <f>230/D56/D48</f>
        <v>2.2007225111384439</v>
      </c>
      <c r="E19" s="10">
        <f>3.06/D56</f>
        <v>2.3108640819223973</v>
      </c>
      <c r="F19" s="10"/>
      <c r="G19" s="10"/>
      <c r="H19" s="10"/>
      <c r="I19" s="10"/>
      <c r="J19" s="10"/>
      <c r="K19" s="10"/>
      <c r="L19" s="10"/>
      <c r="M19" s="20"/>
      <c r="N19" s="10"/>
      <c r="O19" s="10"/>
      <c r="P19" s="10"/>
      <c r="Q19" s="10"/>
      <c r="R19" s="10"/>
      <c r="S19" s="10"/>
    </row>
    <row r="20" spans="1:20" s="9" customFormat="1">
      <c r="A20" s="86" t="s">
        <v>10</v>
      </c>
      <c r="B20" s="10">
        <f>(155-12)/B48</f>
        <v>1.9990214580275392</v>
      </c>
      <c r="C20" s="10">
        <f>42/C48</f>
        <v>1.0538197012345876</v>
      </c>
      <c r="D20" s="10"/>
      <c r="E20" s="10">
        <f>0.2/D56</f>
        <v>0.15103686809950312</v>
      </c>
      <c r="F20" s="10">
        <f>21.313/F48</f>
        <v>1.3365189553918848</v>
      </c>
      <c r="G20" s="10">
        <f>231/G48</f>
        <v>2.0599250936329589</v>
      </c>
      <c r="H20" s="10">
        <f>41.234/H48</f>
        <v>2.1433609817231618</v>
      </c>
      <c r="I20" s="10">
        <v>2.93</v>
      </c>
      <c r="J20" s="10">
        <f>74/J48</f>
        <v>1.4587029371180762</v>
      </c>
      <c r="K20" s="10">
        <f>1.01</f>
        <v>1.01</v>
      </c>
      <c r="L20" s="10">
        <f>130.293/L48</f>
        <v>2.5361167883211682</v>
      </c>
      <c r="M20" s="20">
        <f>31/M48</f>
        <v>1.1087267525035764</v>
      </c>
      <c r="N20" s="10">
        <f>(39+5)/N48</f>
        <v>1.2361286697569884</v>
      </c>
      <c r="O20" s="10">
        <f>14/O48</f>
        <v>1.064638783269962</v>
      </c>
      <c r="P20" s="10">
        <f>45/P48</f>
        <v>1.310615989515072</v>
      </c>
      <c r="Q20" s="10">
        <v>1.1499999999999999</v>
      </c>
      <c r="R20" s="10">
        <v>2.11</v>
      </c>
      <c r="S20" s="10">
        <f>0.12*6</f>
        <v>0.72</v>
      </c>
    </row>
    <row r="21" spans="1:20" s="9" customFormat="1">
      <c r="A21" s="86" t="s">
        <v>11</v>
      </c>
      <c r="B21" s="10">
        <f>(269-12)/B48</f>
        <v>3.5926469560355074</v>
      </c>
      <c r="C21" s="10">
        <f>103/C48</f>
        <v>2.5843673625514887</v>
      </c>
      <c r="D21" s="10">
        <f>(114)/D56/D48</f>
        <v>1.0907928968251417</v>
      </c>
      <c r="E21" s="10">
        <f>43/D56/E48</f>
        <v>1.2213716885979664</v>
      </c>
      <c r="F21" s="74">
        <f>+(18.034+16.056+6.288+5.704)/F48</f>
        <v>2.8897605453182957</v>
      </c>
      <c r="G21" s="10">
        <f>157/G48</f>
        <v>1.4000356696985909</v>
      </c>
      <c r="H21" s="10">
        <v>2.4500000000000002</v>
      </c>
      <c r="I21" s="10">
        <v>3.36</v>
      </c>
      <c r="J21" s="10">
        <f>(145+59)/J48</f>
        <v>4.021289178001183</v>
      </c>
      <c r="K21" s="10">
        <f>(58+11)/K48</f>
        <v>2.4129248845992448</v>
      </c>
      <c r="L21" s="10">
        <f>97.238/L48</f>
        <v>1.8927104622871047</v>
      </c>
      <c r="M21" s="20">
        <f>(96-5)/M48</f>
        <v>3.2546494992846924</v>
      </c>
      <c r="N21" s="10">
        <f>(1+39)/N48</f>
        <v>1.1237533361427168</v>
      </c>
      <c r="O21" s="10">
        <f>47/O48</f>
        <v>3.5741444866920151</v>
      </c>
      <c r="P21" s="10">
        <f>99/P48</f>
        <v>2.8833551769331587</v>
      </c>
      <c r="Q21" s="10">
        <v>3.65</v>
      </c>
      <c r="R21" s="10">
        <f>84/R48</f>
        <v>3.7501238880213008</v>
      </c>
      <c r="S21" s="10">
        <f>0.21*6</f>
        <v>1.26</v>
      </c>
    </row>
    <row r="22" spans="1:20" s="9" customFormat="1">
      <c r="A22" s="86" t="s">
        <v>12</v>
      </c>
      <c r="B22" s="10">
        <f>(223-35.504)/B48</f>
        <v>2.6210386524079126</v>
      </c>
      <c r="C22" s="10">
        <f>116/C48</f>
        <v>2.9105496510288611</v>
      </c>
      <c r="D22" s="10">
        <f>156/D56/D48</f>
        <v>1.4926639640765098</v>
      </c>
      <c r="E22" s="10">
        <f>85/D56/E48</f>
        <v>2.4143393844378411</v>
      </c>
      <c r="F22" s="10">
        <f>21.052/F48</f>
        <v>1.320151881429642</v>
      </c>
      <c r="G22" s="10">
        <f>315/G48</f>
        <v>2.808988764044944</v>
      </c>
      <c r="H22" s="10">
        <f>71.172/H48</f>
        <v>3.6995510450405216</v>
      </c>
      <c r="I22" s="10">
        <f>40/I48</f>
        <v>2.450455616275804</v>
      </c>
      <c r="J22" s="10">
        <f>(82+17)/J48</f>
        <v>1.9515079834417506</v>
      </c>
      <c r="K22" s="10">
        <f>88/K48</f>
        <v>3.0773534760106309</v>
      </c>
      <c r="L22" s="10">
        <f>71.515/L48</f>
        <v>1.3920194647201947</v>
      </c>
      <c r="M22" s="20">
        <f>79/M48</f>
        <v>2.825464949928469</v>
      </c>
      <c r="N22" s="10">
        <f>78/N48</f>
        <v>2.1913190054782974</v>
      </c>
      <c r="O22" s="10">
        <f>38/O48</f>
        <v>2.8897338403041823</v>
      </c>
      <c r="P22" s="10">
        <f>(87+12)/P48</f>
        <v>2.8833551769331587</v>
      </c>
      <c r="Q22" s="10">
        <f>81/Q48</f>
        <v>1.5228426395939088</v>
      </c>
      <c r="R22" s="10">
        <f>46/R48</f>
        <v>2.0536392720116647</v>
      </c>
      <c r="S22" s="10">
        <f>(58)/S48</f>
        <v>1.7045287565756608</v>
      </c>
    </row>
    <row r="23" spans="1:20" s="9" customFormat="1">
      <c r="A23" s="86" t="s">
        <v>13</v>
      </c>
      <c r="B23" s="10">
        <f>(1115-69)/B48</f>
        <v>14.622212902774866</v>
      </c>
      <c r="C23" s="10">
        <f>538/C48</f>
        <v>13.498928553909717</v>
      </c>
      <c r="D23" s="10">
        <f>(1102+195)/D56/D48</f>
        <v>12.410161291072006</v>
      </c>
      <c r="E23" s="10">
        <f>363/D56/E48</f>
        <v>10.310649371187484</v>
      </c>
      <c r="F23" s="10">
        <f>97.436/F48</f>
        <v>6.1101234428547695</v>
      </c>
      <c r="G23" s="10">
        <f>1979/G48</f>
        <v>17.647583377920455</v>
      </c>
      <c r="H23" s="10">
        <v>19.84</v>
      </c>
      <c r="I23" s="10">
        <v>17.36</v>
      </c>
      <c r="J23" s="10">
        <f>253/J48</f>
        <v>4.9871870687955848</v>
      </c>
      <c r="K23" s="10">
        <f>187/K48</f>
        <v>6.5393761365225904</v>
      </c>
      <c r="L23" s="10">
        <f>816.036/L48</f>
        <v>15.883912408759123</v>
      </c>
      <c r="M23" s="20">
        <v>25.1</v>
      </c>
      <c r="N23" s="10">
        <f>(39+556)/N48</f>
        <v>16.715830875122911</v>
      </c>
      <c r="O23" s="10">
        <f>106/O48</f>
        <v>8.0608365019011412</v>
      </c>
      <c r="P23" s="10">
        <f>528/P48</f>
        <v>15.377894276976845</v>
      </c>
      <c r="Q23" s="10">
        <v>14.55</v>
      </c>
      <c r="R23" s="10">
        <f>337/R48</f>
        <v>15.045139884085458</v>
      </c>
      <c r="S23" s="10">
        <f>90/S48</f>
        <v>2.6449584153760255</v>
      </c>
    </row>
    <row r="24" spans="1:20" s="9" customFormat="1">
      <c r="A24" s="86"/>
      <c r="B24" s="10"/>
      <c r="C24" s="10"/>
      <c r="D24" s="10"/>
      <c r="E24" s="10"/>
      <c r="F24" s="10"/>
      <c r="G24" s="10"/>
      <c r="H24" s="10"/>
      <c r="I24" s="10"/>
      <c r="J24" s="10"/>
      <c r="K24" s="10"/>
      <c r="L24" s="10"/>
      <c r="M24" s="20"/>
      <c r="N24" s="10"/>
      <c r="O24" s="10"/>
      <c r="P24" s="10"/>
      <c r="Q24" s="10"/>
      <c r="R24" s="10"/>
      <c r="S24" s="10"/>
    </row>
    <row r="25" spans="1:20" s="9" customFormat="1">
      <c r="A25" s="87" t="s">
        <v>9</v>
      </c>
      <c r="B25" s="8"/>
      <c r="C25" s="8"/>
      <c r="D25" s="8"/>
      <c r="E25" s="8"/>
      <c r="F25" s="8"/>
      <c r="G25" s="8"/>
      <c r="H25" s="8"/>
      <c r="I25" s="8"/>
      <c r="J25" s="8"/>
      <c r="K25" s="8"/>
      <c r="L25" s="8"/>
      <c r="M25" s="19"/>
      <c r="N25" s="8"/>
      <c r="O25" s="8"/>
      <c r="P25" s="8"/>
      <c r="Q25" s="8"/>
      <c r="R25" s="8"/>
      <c r="S25" s="8"/>
    </row>
    <row r="26" spans="1:20" s="9" customFormat="1">
      <c r="A26" s="86" t="s">
        <v>5</v>
      </c>
      <c r="B26" s="10">
        <f>+B18+B20</f>
        <v>9.0864611728524505</v>
      </c>
      <c r="C26" s="10">
        <f>+C18+C20</f>
        <v>10.914561191358228</v>
      </c>
      <c r="D26" s="10">
        <f>+D18+D20+D19</f>
        <v>19.060170618207742</v>
      </c>
      <c r="E26" s="10">
        <f>+E18+E20+E19</f>
        <v>13.034481716987116</v>
      </c>
      <c r="F26" s="10">
        <f>+F18+F20</f>
        <v>8.7013259838273243</v>
      </c>
      <c r="G26" s="10">
        <f>+G18+G20</f>
        <v>13.634742286427679</v>
      </c>
      <c r="H26" s="10">
        <f t="shared" ref="H26:S26" si="3">+H18+H20</f>
        <v>5.9233609817231621</v>
      </c>
      <c r="I26" s="10">
        <f>+I18+I20</f>
        <v>8.2799999999999994</v>
      </c>
      <c r="J26" s="10">
        <f t="shared" si="3"/>
        <v>9.0676128523556088</v>
      </c>
      <c r="K26" s="10">
        <f t="shared" si="3"/>
        <v>11.67</v>
      </c>
      <c r="L26" s="10">
        <f t="shared" si="3"/>
        <v>11.735824817518248</v>
      </c>
      <c r="M26" s="20">
        <f t="shared" si="3"/>
        <v>16.595135908440628</v>
      </c>
      <c r="N26" s="10">
        <f t="shared" si="3"/>
        <v>12.41747436437702</v>
      </c>
      <c r="O26" s="10">
        <f>+O18+O20</f>
        <v>10.798479087452471</v>
      </c>
      <c r="P26" s="10">
        <f t="shared" si="3"/>
        <v>8.8248143294014838</v>
      </c>
      <c r="Q26" s="10">
        <f t="shared" si="3"/>
        <v>13.48</v>
      </c>
      <c r="R26" s="10">
        <f t="shared" si="3"/>
        <v>8.42</v>
      </c>
      <c r="S26" s="10">
        <f t="shared" si="3"/>
        <v>6.06</v>
      </c>
    </row>
    <row r="27" spans="1:20" s="9" customFormat="1">
      <c r="A27" s="86" t="s">
        <v>6</v>
      </c>
      <c r="B27" s="10">
        <f t="shared" ref="B27:S29" si="4">+B26+B21</f>
        <v>12.679108128887957</v>
      </c>
      <c r="C27" s="10">
        <f t="shared" si="4"/>
        <v>13.498928553909717</v>
      </c>
      <c r="D27" s="10">
        <f>+D26+D21</f>
        <v>20.150963515032885</v>
      </c>
      <c r="E27" s="10">
        <f t="shared" ref="E27:F29" si="5">+E26+E21</f>
        <v>14.255853405585082</v>
      </c>
      <c r="F27" s="10">
        <f t="shared" si="5"/>
        <v>11.59108652914562</v>
      </c>
      <c r="G27" s="10">
        <f>+G26+G21</f>
        <v>15.03477795612627</v>
      </c>
      <c r="H27" s="10">
        <f t="shared" si="4"/>
        <v>8.3733609817231631</v>
      </c>
      <c r="I27" s="10">
        <f>+I26+I21</f>
        <v>11.639999999999999</v>
      </c>
      <c r="J27" s="10">
        <f t="shared" si="4"/>
        <v>13.088902030356792</v>
      </c>
      <c r="K27" s="10">
        <f t="shared" si="4"/>
        <v>14.082924884599244</v>
      </c>
      <c r="L27" s="10">
        <f t="shared" si="4"/>
        <v>13.628535279805352</v>
      </c>
      <c r="M27" s="20">
        <f t="shared" si="4"/>
        <v>19.849785407725321</v>
      </c>
      <c r="N27" s="10">
        <f t="shared" si="4"/>
        <v>13.541227700519736</v>
      </c>
      <c r="O27" s="10">
        <f>+O26+O21</f>
        <v>14.372623574144486</v>
      </c>
      <c r="P27" s="10">
        <f t="shared" si="4"/>
        <v>11.708169506334642</v>
      </c>
      <c r="Q27" s="10">
        <f t="shared" si="4"/>
        <v>17.13</v>
      </c>
      <c r="R27" s="10">
        <f t="shared" si="4"/>
        <v>12.170123888021301</v>
      </c>
      <c r="S27" s="10">
        <f t="shared" si="4"/>
        <v>7.3199999999999994</v>
      </c>
    </row>
    <row r="28" spans="1:20" s="9" customFormat="1">
      <c r="A28" s="86" t="s">
        <v>7</v>
      </c>
      <c r="B28" s="10">
        <f t="shared" si="4"/>
        <v>15.30014678129587</v>
      </c>
      <c r="C28" s="10">
        <f t="shared" si="4"/>
        <v>16.40947820493858</v>
      </c>
      <c r="D28" s="10">
        <f t="shared" si="4"/>
        <v>21.643627479109394</v>
      </c>
      <c r="E28" s="10">
        <f t="shared" si="5"/>
        <v>16.670192790022924</v>
      </c>
      <c r="F28" s="10">
        <f t="shared" si="5"/>
        <v>12.911238410575262</v>
      </c>
      <c r="G28" s="10">
        <f>+G27+G22</f>
        <v>17.843766720171214</v>
      </c>
      <c r="H28" s="10">
        <f t="shared" si="4"/>
        <v>12.072912026763685</v>
      </c>
      <c r="I28" s="10">
        <f>+I27+I22</f>
        <v>14.090455616275802</v>
      </c>
      <c r="J28" s="10">
        <f t="shared" si="4"/>
        <v>15.040410013798542</v>
      </c>
      <c r="K28" s="10">
        <f t="shared" si="4"/>
        <v>17.160278360609876</v>
      </c>
      <c r="L28" s="10">
        <f t="shared" si="4"/>
        <v>15.020554744525546</v>
      </c>
      <c r="M28" s="20">
        <f t="shared" si="4"/>
        <v>22.675250357653791</v>
      </c>
      <c r="N28" s="10">
        <f t="shared" si="4"/>
        <v>15.732546705998033</v>
      </c>
      <c r="O28" s="10">
        <f>+O27+O22</f>
        <v>17.262357414448669</v>
      </c>
      <c r="P28" s="10">
        <f t="shared" si="4"/>
        <v>14.591524683267799</v>
      </c>
      <c r="Q28" s="10">
        <f t="shared" si="4"/>
        <v>18.652842639593906</v>
      </c>
      <c r="R28" s="10">
        <f t="shared" si="4"/>
        <v>14.223763160032966</v>
      </c>
      <c r="S28" s="10">
        <f t="shared" si="4"/>
        <v>9.0245287565756609</v>
      </c>
      <c r="T28" s="65"/>
    </row>
    <row r="29" spans="1:20" s="9" customFormat="1">
      <c r="A29" s="86" t="s">
        <v>8</v>
      </c>
      <c r="B29" s="10">
        <f t="shared" si="4"/>
        <v>29.922359684070734</v>
      </c>
      <c r="C29" s="10">
        <f t="shared" si="4"/>
        <v>29.908406758848297</v>
      </c>
      <c r="D29" s="10">
        <f t="shared" si="4"/>
        <v>34.053788770181399</v>
      </c>
      <c r="E29" s="10">
        <f t="shared" si="5"/>
        <v>26.980842161210408</v>
      </c>
      <c r="F29" s="10">
        <f t="shared" si="5"/>
        <v>19.021361853430029</v>
      </c>
      <c r="G29" s="10">
        <f>+G28+G23</f>
        <v>35.491350098091672</v>
      </c>
      <c r="H29" s="10">
        <f t="shared" si="4"/>
        <v>31.912912026763685</v>
      </c>
      <c r="I29" s="10">
        <f>+I28+I23</f>
        <v>31.450455616275804</v>
      </c>
      <c r="J29" s="10">
        <f t="shared" si="4"/>
        <v>20.027597082594127</v>
      </c>
      <c r="K29" s="10">
        <f t="shared" si="4"/>
        <v>23.699654497132467</v>
      </c>
      <c r="L29" s="10">
        <f t="shared" si="4"/>
        <v>30.904467153284671</v>
      </c>
      <c r="M29" s="20">
        <f t="shared" si="4"/>
        <v>47.775250357653789</v>
      </c>
      <c r="N29" s="10">
        <f t="shared" si="4"/>
        <v>32.448377581120944</v>
      </c>
      <c r="O29" s="10">
        <f>+O28+O23</f>
        <v>25.323193916349808</v>
      </c>
      <c r="P29" s="10">
        <f t="shared" si="4"/>
        <v>29.969418960244646</v>
      </c>
      <c r="Q29" s="10">
        <f t="shared" si="4"/>
        <v>33.202842639593911</v>
      </c>
      <c r="R29" s="10">
        <f t="shared" si="4"/>
        <v>29.268903044118424</v>
      </c>
      <c r="S29" s="10">
        <f t="shared" si="4"/>
        <v>11.669487171951687</v>
      </c>
      <c r="T29" s="65"/>
    </row>
    <row r="30" spans="1:20" s="9" customFormat="1">
      <c r="A30" s="87"/>
      <c r="B30" s="10"/>
      <c r="C30" s="10"/>
      <c r="D30" s="10"/>
      <c r="E30" s="10"/>
      <c r="F30" s="10"/>
      <c r="G30" s="10"/>
      <c r="H30" s="10"/>
      <c r="I30" s="10"/>
      <c r="J30" s="10"/>
      <c r="K30" s="10"/>
      <c r="L30" s="10"/>
      <c r="M30" s="10"/>
      <c r="N30" s="10"/>
      <c r="O30" s="10"/>
      <c r="P30" s="10"/>
      <c r="Q30" s="10"/>
      <c r="R30" s="10"/>
      <c r="S30" s="10"/>
    </row>
    <row r="31" spans="1:20" s="9" customFormat="1">
      <c r="A31" s="86" t="s">
        <v>14</v>
      </c>
      <c r="B31" s="10"/>
      <c r="C31" s="10"/>
      <c r="D31" s="10"/>
      <c r="E31" s="10"/>
      <c r="F31" s="10"/>
      <c r="G31" s="10"/>
      <c r="H31" s="10"/>
      <c r="I31" s="10"/>
      <c r="J31" s="10"/>
      <c r="K31" s="10"/>
      <c r="L31" s="10"/>
      <c r="M31" s="20"/>
      <c r="N31" s="10"/>
      <c r="O31" s="10"/>
      <c r="P31" s="10"/>
      <c r="Q31" s="10"/>
      <c r="R31" s="10"/>
      <c r="S31" s="10"/>
    </row>
    <row r="32" spans="1:20" s="9" customFormat="1">
      <c r="A32" s="86" t="s">
        <v>67</v>
      </c>
      <c r="B32" s="10">
        <f t="shared" ref="B32:S35" si="6">+B$15-B26</f>
        <v>25.218424547424334</v>
      </c>
      <c r="C32" s="10">
        <f t="shared" si="6"/>
        <v>23.585488551440772</v>
      </c>
      <c r="D32" s="10">
        <f t="shared" si="6"/>
        <v>17.9693777213826</v>
      </c>
      <c r="E32" s="10">
        <f t="shared" si="6"/>
        <v>14.43157274690752</v>
      </c>
      <c r="F32" s="10">
        <f t="shared" si="6"/>
        <v>18.667243590346558</v>
      </c>
      <c r="G32" s="10">
        <f>+G$15-G26</f>
        <v>22.168717674335653</v>
      </c>
      <c r="H32" s="10">
        <f t="shared" si="6"/>
        <v>27.024433514693051</v>
      </c>
      <c r="I32" s="10">
        <f>+I$15-I26</f>
        <v>29.189999999999998</v>
      </c>
      <c r="J32" s="10">
        <f t="shared" si="6"/>
        <v>16.752387147644392</v>
      </c>
      <c r="K32" s="10">
        <f t="shared" si="6"/>
        <v>14.15</v>
      </c>
      <c r="L32" s="10">
        <f t="shared" si="6"/>
        <v>23.575260340632603</v>
      </c>
      <c r="M32" s="20">
        <f t="shared" si="6"/>
        <v>20.529327610872674</v>
      </c>
      <c r="N32" s="10">
        <f t="shared" si="6"/>
        <v>21.632251720747298</v>
      </c>
      <c r="O32" s="10">
        <f>+O$15-O26</f>
        <v>20.912547528517109</v>
      </c>
      <c r="P32" s="10">
        <f t="shared" si="6"/>
        <v>20.125236638998107</v>
      </c>
      <c r="Q32" s="10">
        <f t="shared" si="6"/>
        <v>24.458904305320555</v>
      </c>
      <c r="R32" s="10">
        <f t="shared" si="6"/>
        <v>27.72</v>
      </c>
      <c r="S32" s="10">
        <f t="shared" si="6"/>
        <v>10.57384959003145</v>
      </c>
    </row>
    <row r="33" spans="1:19" s="9" customFormat="1">
      <c r="A33" s="86" t="s">
        <v>68</v>
      </c>
      <c r="B33" s="10">
        <f t="shared" si="6"/>
        <v>21.625777591388829</v>
      </c>
      <c r="C33" s="10">
        <f t="shared" si="6"/>
        <v>21.001121188889282</v>
      </c>
      <c r="D33" s="10">
        <f t="shared" si="6"/>
        <v>16.878584824557457</v>
      </c>
      <c r="E33" s="10">
        <f t="shared" si="6"/>
        <v>13.210201058309554</v>
      </c>
      <c r="F33" s="10">
        <f t="shared" si="6"/>
        <v>15.777483045028262</v>
      </c>
      <c r="G33" s="10">
        <f>+G$15-G27</f>
        <v>20.768682004637064</v>
      </c>
      <c r="H33" s="10">
        <f t="shared" si="6"/>
        <v>24.574433514693052</v>
      </c>
      <c r="I33" s="10">
        <f>+I$15-I27</f>
        <v>25.83</v>
      </c>
      <c r="J33" s="10">
        <f t="shared" si="6"/>
        <v>12.731097969643209</v>
      </c>
      <c r="K33" s="10">
        <f t="shared" si="6"/>
        <v>11.737075115400756</v>
      </c>
      <c r="L33" s="10">
        <f t="shared" si="6"/>
        <v>21.682549878345501</v>
      </c>
      <c r="M33" s="20">
        <f t="shared" si="6"/>
        <v>17.274678111587981</v>
      </c>
      <c r="N33" s="10">
        <f t="shared" si="6"/>
        <v>20.508498384604586</v>
      </c>
      <c r="O33" s="10">
        <f>+O$15-O27</f>
        <v>17.338403041825096</v>
      </c>
      <c r="P33" s="10">
        <f t="shared" si="6"/>
        <v>17.241881462064949</v>
      </c>
      <c r="Q33" s="10">
        <f t="shared" si="6"/>
        <v>20.808904305320556</v>
      </c>
      <c r="R33" s="10">
        <f t="shared" si="6"/>
        <v>23.969876111978699</v>
      </c>
      <c r="S33" s="10">
        <f t="shared" si="6"/>
        <v>9.3138495900314489</v>
      </c>
    </row>
    <row r="34" spans="1:19" s="9" customFormat="1">
      <c r="A34" s="86" t="s">
        <v>69</v>
      </c>
      <c r="B34" s="10">
        <f t="shared" si="6"/>
        <v>19.004738938980914</v>
      </c>
      <c r="C34" s="10">
        <f t="shared" si="6"/>
        <v>18.09057153786042</v>
      </c>
      <c r="D34" s="10">
        <f t="shared" si="6"/>
        <v>15.385920860480947</v>
      </c>
      <c r="E34" s="10">
        <f t="shared" si="6"/>
        <v>10.795861673871713</v>
      </c>
      <c r="F34" s="10">
        <f>+F$15-F28</f>
        <v>14.457331163598621</v>
      </c>
      <c r="G34" s="10">
        <f>+G$15-G28</f>
        <v>17.95969324059212</v>
      </c>
      <c r="H34" s="10">
        <f t="shared" si="6"/>
        <v>20.87488246965253</v>
      </c>
      <c r="I34" s="10">
        <f>+I$15-I28</f>
        <v>23.379544383724195</v>
      </c>
      <c r="J34" s="10">
        <f t="shared" si="6"/>
        <v>10.779589986201458</v>
      </c>
      <c r="K34" s="10">
        <f t="shared" si="6"/>
        <v>8.6597216393901242</v>
      </c>
      <c r="L34" s="10">
        <f t="shared" si="6"/>
        <v>20.290530413625305</v>
      </c>
      <c r="M34" s="20">
        <f t="shared" si="6"/>
        <v>14.449213161659511</v>
      </c>
      <c r="N34" s="10">
        <f t="shared" si="6"/>
        <v>18.317179379126287</v>
      </c>
      <c r="O34" s="10">
        <f>+O$15-O28</f>
        <v>14.448669201520911</v>
      </c>
      <c r="P34" s="10">
        <f t="shared" si="6"/>
        <v>14.358526285131791</v>
      </c>
      <c r="Q34" s="10">
        <f t="shared" si="6"/>
        <v>19.286061665726649</v>
      </c>
      <c r="R34" s="10">
        <f t="shared" si="6"/>
        <v>21.916236839967034</v>
      </c>
      <c r="S34" s="10">
        <f t="shared" si="6"/>
        <v>7.6093208334557882</v>
      </c>
    </row>
    <row r="35" spans="1:19" s="9" customFormat="1">
      <c r="A35" s="86" t="s">
        <v>70</v>
      </c>
      <c r="B35" s="10">
        <f t="shared" si="6"/>
        <v>4.3825260362060519</v>
      </c>
      <c r="C35" s="10">
        <f t="shared" si="6"/>
        <v>4.5916429839507025</v>
      </c>
      <c r="D35" s="10">
        <f t="shared" si="6"/>
        <v>2.9757595694089432</v>
      </c>
      <c r="E35" s="10">
        <f t="shared" si="6"/>
        <v>0.48521230268422855</v>
      </c>
      <c r="F35" s="10">
        <f t="shared" si="6"/>
        <v>8.3472077207438531</v>
      </c>
      <c r="G35" s="10">
        <f>+G$15-G29</f>
        <v>0.31210986267166163</v>
      </c>
      <c r="H35" s="10">
        <f t="shared" si="6"/>
        <v>1.0348824696525298</v>
      </c>
      <c r="I35" s="10">
        <f>+I$15-I29</f>
        <v>6.0195443837241953</v>
      </c>
      <c r="J35" s="10">
        <f t="shared" si="6"/>
        <v>5.7924029174058731</v>
      </c>
      <c r="K35" s="10">
        <f t="shared" si="6"/>
        <v>2.1203455028675329</v>
      </c>
      <c r="L35" s="10">
        <f t="shared" si="6"/>
        <v>4.406618004866182</v>
      </c>
      <c r="M35" s="20">
        <f t="shared" si="6"/>
        <v>-10.650786838340487</v>
      </c>
      <c r="N35" s="10">
        <f t="shared" si="6"/>
        <v>1.6013485040033757</v>
      </c>
      <c r="O35" s="10">
        <f>+O$15-O29</f>
        <v>6.3878326996197714</v>
      </c>
      <c r="P35" s="10">
        <f t="shared" si="6"/>
        <v>-1.0193679918450549</v>
      </c>
      <c r="Q35" s="10">
        <f t="shared" si="6"/>
        <v>4.7360616657266448</v>
      </c>
      <c r="R35" s="10">
        <f t="shared" si="6"/>
        <v>6.8710969558815762</v>
      </c>
      <c r="S35" s="10">
        <f t="shared" si="6"/>
        <v>4.9643624180797623</v>
      </c>
    </row>
    <row r="36" spans="1:19" s="9" customFormat="1">
      <c r="A36" s="86" t="s">
        <v>112</v>
      </c>
      <c r="B36" s="10">
        <f>+B15-B18-B19-B20-B21</f>
        <v>21.625777591388829</v>
      </c>
      <c r="C36" s="10">
        <f t="shared" ref="C36:S36" si="7">+C15-C18-C19-C20-C21</f>
        <v>21.001121188889282</v>
      </c>
      <c r="D36" s="10">
        <f t="shared" si="7"/>
        <v>16.878584824557457</v>
      </c>
      <c r="E36" s="10">
        <f t="shared" si="7"/>
        <v>13.210201058309554</v>
      </c>
      <c r="F36" s="10">
        <f t="shared" si="7"/>
        <v>15.777483045028262</v>
      </c>
      <c r="G36" s="10">
        <f>+G15-G18-G19-G20-G21</f>
        <v>20.768682004637064</v>
      </c>
      <c r="H36" s="10">
        <f t="shared" si="7"/>
        <v>24.574433514693052</v>
      </c>
      <c r="I36" s="10">
        <f>+I15-I18-I19-I20-I21</f>
        <v>25.83</v>
      </c>
      <c r="J36" s="10">
        <f t="shared" si="7"/>
        <v>12.731097969643209</v>
      </c>
      <c r="K36" s="10">
        <f t="shared" si="7"/>
        <v>11.737075115400756</v>
      </c>
      <c r="L36" s="10">
        <f t="shared" si="7"/>
        <v>21.682549878345498</v>
      </c>
      <c r="M36" s="10">
        <f>+M15-M18-M19-M20-M21</f>
        <v>17.274678111587981</v>
      </c>
      <c r="N36" s="10">
        <f t="shared" si="7"/>
        <v>20.508498384604582</v>
      </c>
      <c r="O36" s="10">
        <f>+O15-O18-O19-O20-O21</f>
        <v>17.338403041825096</v>
      </c>
      <c r="P36" s="10">
        <f t="shared" si="7"/>
        <v>17.241881462064949</v>
      </c>
      <c r="Q36" s="10">
        <f t="shared" si="7"/>
        <v>20.80890430532056</v>
      </c>
      <c r="R36" s="10">
        <f t="shared" si="7"/>
        <v>23.969876111978703</v>
      </c>
      <c r="S36" s="10">
        <f t="shared" si="7"/>
        <v>9.3138495900314489</v>
      </c>
    </row>
    <row r="37" spans="1:19" s="9" customFormat="1">
      <c r="A37" s="86" t="s">
        <v>105</v>
      </c>
      <c r="B37" s="31">
        <f>+(B34+B22)/B22</f>
        <v>8.2508426846439367</v>
      </c>
      <c r="C37" s="31">
        <f t="shared" ref="C37:S37" si="8">+(C34+C22)/C22</f>
        <v>7.2155172413793105</v>
      </c>
      <c r="D37" s="31">
        <f t="shared" si="8"/>
        <v>11.307692307692308</v>
      </c>
      <c r="E37" s="31">
        <f t="shared" si="8"/>
        <v>5.4715592776470565</v>
      </c>
      <c r="F37" s="31">
        <f t="shared" si="8"/>
        <v>11.951263537906133</v>
      </c>
      <c r="G37" s="31">
        <f>+(G34+G22)/G22</f>
        <v>7.393650793650794</v>
      </c>
      <c r="H37" s="31">
        <f t="shared" si="8"/>
        <v>6.6425447886809428</v>
      </c>
      <c r="I37" s="31">
        <f>+(I34+I22)/I22</f>
        <v>10.540896896249999</v>
      </c>
      <c r="J37" s="31">
        <f t="shared" si="8"/>
        <v>6.5237232323232313</v>
      </c>
      <c r="K37" s="31">
        <f t="shared" si="8"/>
        <v>3.8140159090909087</v>
      </c>
      <c r="L37" s="31">
        <f t="shared" si="8"/>
        <v>15.576326644759842</v>
      </c>
      <c r="M37" s="31">
        <f>+(M34+M22)/M22</f>
        <v>6.1139240506329111</v>
      </c>
      <c r="N37" s="31">
        <f t="shared" si="8"/>
        <v>9.358974358974363</v>
      </c>
      <c r="O37" s="31">
        <f>+(O34+O22)/O22</f>
        <v>5.9999999999999991</v>
      </c>
      <c r="P37" s="31">
        <f t="shared" si="8"/>
        <v>5.9797979797979801</v>
      </c>
      <c r="Q37" s="31">
        <f t="shared" si="8"/>
        <v>13.664513827160498</v>
      </c>
      <c r="R37" s="31">
        <f>+(R34+R22)/R22</f>
        <v>11.671901895652173</v>
      </c>
      <c r="S37" s="31">
        <f t="shared" si="8"/>
        <v>5.4641786206896557</v>
      </c>
    </row>
    <row r="38" spans="1:19" s="9" customFormat="1">
      <c r="A38" s="87"/>
      <c r="B38" s="8"/>
      <c r="C38" s="8"/>
      <c r="D38" s="8"/>
      <c r="E38" s="8"/>
      <c r="F38" s="8"/>
      <c r="G38" s="19"/>
      <c r="H38" s="19"/>
      <c r="I38" s="19"/>
      <c r="J38" s="19"/>
      <c r="K38" s="19"/>
      <c r="L38" s="19"/>
      <c r="M38" s="19"/>
      <c r="N38" s="19"/>
      <c r="O38" s="19"/>
      <c r="P38" s="19"/>
      <c r="Q38" s="19"/>
      <c r="R38" s="19"/>
      <c r="S38" s="19"/>
    </row>
    <row r="39" spans="1:19" s="9" customFormat="1">
      <c r="A39" s="86" t="s">
        <v>53</v>
      </c>
      <c r="B39" s="8"/>
      <c r="C39" s="8"/>
      <c r="D39" s="8"/>
      <c r="E39" s="8"/>
      <c r="F39" s="8"/>
      <c r="G39" s="8"/>
      <c r="H39" s="8"/>
      <c r="I39" s="8"/>
      <c r="J39" s="8"/>
      <c r="K39" s="8"/>
      <c r="L39" s="8"/>
      <c r="M39" s="19"/>
      <c r="N39" s="8"/>
      <c r="O39" s="8"/>
      <c r="P39" s="8"/>
      <c r="Q39" s="8"/>
      <c r="R39" s="8"/>
      <c r="S39" s="8"/>
    </row>
    <row r="40" spans="1:19" s="9" customFormat="1">
      <c r="A40" s="86" t="s">
        <v>54</v>
      </c>
      <c r="B40" s="12">
        <f t="shared" ref="B40:S41" si="9">+B44/B$47*100</f>
        <v>46.173201929125604</v>
      </c>
      <c r="C40" s="12">
        <f t="shared" si="9"/>
        <v>51.915449034456515</v>
      </c>
      <c r="D40" s="12">
        <f t="shared" si="9"/>
        <v>63.565007208726954</v>
      </c>
      <c r="E40" s="12">
        <f t="shared" si="9"/>
        <v>79.165848605685582</v>
      </c>
      <c r="F40" s="12">
        <f t="shared" si="9"/>
        <v>29.450009876682557</v>
      </c>
      <c r="G40" s="12">
        <f>+G44/G$47*100</f>
        <v>51.364365971107539</v>
      </c>
      <c r="H40" s="12">
        <f t="shared" si="9"/>
        <v>55.765071335340821</v>
      </c>
      <c r="I40" s="12">
        <f>+I44/I$47*100</f>
        <v>62.63364555200954</v>
      </c>
      <c r="J40" s="12">
        <f t="shared" si="9"/>
        <v>46.303962152572446</v>
      </c>
      <c r="K40" s="12">
        <f t="shared" si="9"/>
        <v>21.2127570289551</v>
      </c>
      <c r="L40" s="12">
        <f t="shared" si="9"/>
        <v>55.305109489051084</v>
      </c>
      <c r="M40" s="21">
        <f t="shared" si="9"/>
        <v>61.158798283261795</v>
      </c>
      <c r="N40" s="12">
        <f t="shared" si="9"/>
        <v>54.361567635903917</v>
      </c>
      <c r="O40" s="12">
        <f>+O44/O$47*100</f>
        <v>42.585551330798474</v>
      </c>
      <c r="P40" s="12">
        <f t="shared" si="9"/>
        <v>31.192660550458719</v>
      </c>
      <c r="Q40" s="12">
        <f t="shared" si="9"/>
        <v>64.128595600676817</v>
      </c>
      <c r="R40" s="12">
        <f t="shared" si="9"/>
        <v>58.509566833904337</v>
      </c>
      <c r="S40" s="12">
        <f t="shared" si="9"/>
        <v>1.5252593528668412</v>
      </c>
    </row>
    <row r="41" spans="1:19" s="9" customFormat="1">
      <c r="A41" s="86" t="s">
        <v>55</v>
      </c>
      <c r="B41" s="12">
        <f t="shared" si="9"/>
        <v>14.84587963933739</v>
      </c>
      <c r="C41" s="12">
        <f t="shared" si="9"/>
        <v>12.307786109226155</v>
      </c>
      <c r="D41" s="12">
        <f t="shared" si="9"/>
        <v>4.6390524087562941</v>
      </c>
      <c r="E41" s="12">
        <f t="shared" si="9"/>
        <v>0.35441786780585888</v>
      </c>
      <c r="F41" s="12">
        <f t="shared" si="9"/>
        <v>24.722183029037449</v>
      </c>
      <c r="G41" s="12">
        <f>+G45/G$47*100</f>
        <v>10.192616372391655</v>
      </c>
      <c r="H41" s="12">
        <f t="shared" si="9"/>
        <v>0</v>
      </c>
      <c r="I41" s="12">
        <f>+I45/I$47*100</f>
        <v>0</v>
      </c>
      <c r="J41" s="12">
        <f t="shared" si="9"/>
        <v>17.386162034299232</v>
      </c>
      <c r="K41" s="12">
        <f t="shared" si="9"/>
        <v>13.69072597566093</v>
      </c>
      <c r="L41" s="12">
        <f t="shared" si="9"/>
        <v>13.804379562043795</v>
      </c>
      <c r="M41" s="21">
        <f t="shared" si="9"/>
        <v>12.875536480686694</v>
      </c>
      <c r="N41" s="12">
        <f t="shared" si="9"/>
        <v>13.400758533501897</v>
      </c>
      <c r="O41" s="12">
        <f>+O45/O$47*100</f>
        <v>19.011406844106464</v>
      </c>
      <c r="P41" s="12">
        <f t="shared" si="9"/>
        <v>14.416775884665793</v>
      </c>
      <c r="Q41" s="12">
        <f t="shared" si="9"/>
        <v>13.197969543147209</v>
      </c>
      <c r="R41" s="12">
        <f t="shared" si="9"/>
        <v>18.815443010170874</v>
      </c>
      <c r="S41" s="12">
        <f t="shared" si="9"/>
        <v>8.8400387927234281</v>
      </c>
    </row>
    <row r="42" spans="1:19" s="9" customFormat="1">
      <c r="A42" s="86" t="s">
        <v>56</v>
      </c>
      <c r="B42" s="12">
        <f t="shared" ref="B42:S42" si="10">+(B46/6)/B$47*100</f>
        <v>38.980918431537006</v>
      </c>
      <c r="C42" s="12">
        <f t="shared" si="10"/>
        <v>35.776764856317335</v>
      </c>
      <c r="D42" s="12">
        <f t="shared" si="10"/>
        <v>31.795940382516751</v>
      </c>
      <c r="E42" s="12">
        <f t="shared" si="10"/>
        <v>20.479733526508561</v>
      </c>
      <c r="F42" s="12">
        <f t="shared" si="10"/>
        <v>45.82780709427999</v>
      </c>
      <c r="G42" s="12">
        <f>+(G46/6)/G$47*100</f>
        <v>38.443017656500807</v>
      </c>
      <c r="H42" s="12">
        <f t="shared" si="10"/>
        <v>44.234928664659186</v>
      </c>
      <c r="I42" s="12">
        <f>+(I46/6)/I$47*100</f>
        <v>37.36635444799046</v>
      </c>
      <c r="J42" s="12">
        <f t="shared" si="10"/>
        <v>36.309875813128329</v>
      </c>
      <c r="K42" s="12">
        <f t="shared" si="10"/>
        <v>65.096516995383965</v>
      </c>
      <c r="L42" s="12">
        <f t="shared" si="10"/>
        <v>30.89051094890511</v>
      </c>
      <c r="M42" s="21">
        <f t="shared" si="10"/>
        <v>25.9656652360515</v>
      </c>
      <c r="N42" s="12">
        <f t="shared" si="10"/>
        <v>32.237673830594183</v>
      </c>
      <c r="O42" s="12">
        <f>+(O46/6)/O$47*100</f>
        <v>38.403041825095059</v>
      </c>
      <c r="P42" s="12">
        <f t="shared" si="10"/>
        <v>54.390563564875492</v>
      </c>
      <c r="Q42" s="12">
        <f t="shared" si="10"/>
        <v>22.673434856175973</v>
      </c>
      <c r="R42" s="12">
        <f t="shared" si="10"/>
        <v>22.674990155924792</v>
      </c>
      <c r="S42" s="12">
        <f t="shared" si="10"/>
        <v>89.634701854409741</v>
      </c>
    </row>
    <row r="43" spans="1:19" s="9" customFormat="1">
      <c r="A43" s="86"/>
      <c r="B43" s="12"/>
      <c r="C43" s="12"/>
      <c r="D43" s="12"/>
      <c r="E43" s="12"/>
      <c r="F43" s="12"/>
      <c r="G43" s="12"/>
      <c r="H43" s="12"/>
      <c r="I43" s="12"/>
      <c r="J43" s="12"/>
      <c r="K43" s="12"/>
      <c r="L43" s="12"/>
      <c r="M43" s="21"/>
      <c r="N43" s="12"/>
      <c r="O43" s="12"/>
      <c r="P43" s="12"/>
      <c r="Q43" s="12"/>
      <c r="R43" s="12"/>
      <c r="S43" s="12"/>
    </row>
    <row r="44" spans="1:19" s="9" customFormat="1">
      <c r="A44" s="86" t="s">
        <v>62</v>
      </c>
      <c r="B44" s="12">
        <v>367</v>
      </c>
      <c r="C44" s="12">
        <v>229.899</v>
      </c>
      <c r="D44" s="12">
        <f>598.113-40.682</f>
        <v>557.43100000000004</v>
      </c>
      <c r="E44" s="12">
        <f>234.914-1.047</f>
        <v>233.86699999999999</v>
      </c>
      <c r="F44" s="12">
        <v>52.180999999999997</v>
      </c>
      <c r="G44" s="12">
        <f>588+52</f>
        <v>640</v>
      </c>
      <c r="H44" s="12">
        <v>119.20099999999999</v>
      </c>
      <c r="I44" s="12">
        <v>113.6</v>
      </c>
      <c r="J44" s="12">
        <v>261</v>
      </c>
      <c r="K44" s="12">
        <f>67.4</f>
        <v>67.400000000000006</v>
      </c>
      <c r="L44" s="12">
        <v>315.7</v>
      </c>
      <c r="M44" s="21">
        <v>190</v>
      </c>
      <c r="N44" s="12">
        <f>118+37+60</f>
        <v>215</v>
      </c>
      <c r="O44" s="12">
        <v>62.222222222222221</v>
      </c>
      <c r="P44" s="12">
        <v>119</v>
      </c>
      <c r="Q44" s="12">
        <v>379</v>
      </c>
      <c r="R44" s="12">
        <v>145.619</v>
      </c>
      <c r="S44" s="12">
        <f>519/90</f>
        <v>5.7666666666666666</v>
      </c>
    </row>
    <row r="45" spans="1:19" s="9" customFormat="1">
      <c r="A45" s="86" t="s">
        <v>63</v>
      </c>
      <c r="B45" s="12">
        <v>118</v>
      </c>
      <c r="C45" s="12">
        <v>54.503</v>
      </c>
      <c r="D45" s="12">
        <f>40.682</f>
        <v>40.682000000000002</v>
      </c>
      <c r="E45" s="12">
        <f>1.047</f>
        <v>1.0469999999999999</v>
      </c>
      <c r="F45" s="12">
        <v>43.804000000000002</v>
      </c>
      <c r="G45" s="12">
        <f>127</f>
        <v>127</v>
      </c>
      <c r="H45" s="12"/>
      <c r="I45" s="12"/>
      <c r="J45" s="12">
        <v>98</v>
      </c>
      <c r="K45" s="12">
        <f>23+20.5</f>
        <v>43.5</v>
      </c>
      <c r="L45" s="12">
        <v>78.8</v>
      </c>
      <c r="M45" s="21">
        <v>40</v>
      </c>
      <c r="N45" s="12">
        <f>40+13</f>
        <v>53</v>
      </c>
      <c r="O45" s="12">
        <f>2500/90</f>
        <v>27.777777777777779</v>
      </c>
      <c r="P45" s="12">
        <v>55</v>
      </c>
      <c r="Q45" s="12">
        <v>78</v>
      </c>
      <c r="R45" s="12">
        <v>46.828000000000003</v>
      </c>
      <c r="S45" s="12">
        <f>3008/90</f>
        <v>33.422222222222224</v>
      </c>
    </row>
    <row r="46" spans="1:19" s="9" customFormat="1">
      <c r="A46" s="86" t="s">
        <v>64</v>
      </c>
      <c r="B46" s="12">
        <v>1859</v>
      </c>
      <c r="C46" s="12">
        <v>950.58899999999994</v>
      </c>
      <c r="D46" s="12">
        <f>1673</f>
        <v>1673</v>
      </c>
      <c r="E46" s="12">
        <f>363</f>
        <v>363</v>
      </c>
      <c r="F46" s="12">
        <v>487.2</v>
      </c>
      <c r="G46" s="12">
        <f>2874</f>
        <v>2874</v>
      </c>
      <c r="H46" s="12">
        <v>567.32799999999997</v>
      </c>
      <c r="I46" s="12">
        <v>406.63299999999998</v>
      </c>
      <c r="J46" s="12">
        <v>1228</v>
      </c>
      <c r="K46" s="12">
        <f>1241</f>
        <v>1241</v>
      </c>
      <c r="L46" s="12">
        <v>1058</v>
      </c>
      <c r="M46" s="21">
        <v>484</v>
      </c>
      <c r="N46" s="12">
        <f>304+461</f>
        <v>765</v>
      </c>
      <c r="O46" s="12">
        <v>336.66666666666669</v>
      </c>
      <c r="P46" s="12">
        <v>1245</v>
      </c>
      <c r="Q46" s="12">
        <v>804</v>
      </c>
      <c r="R46" s="12">
        <v>338.60199999999998</v>
      </c>
      <c r="S46" s="12">
        <f>183/90*1000</f>
        <v>2033.3333333333333</v>
      </c>
    </row>
    <row r="47" spans="1:19" s="9" customFormat="1">
      <c r="A47" s="86" t="s">
        <v>65</v>
      </c>
      <c r="B47" s="12">
        <f t="shared" ref="B47:S47" si="11">+B44+B45+B46/6</f>
        <v>794.83333333333326</v>
      </c>
      <c r="C47" s="12">
        <f t="shared" si="11"/>
        <v>442.83349999999996</v>
      </c>
      <c r="D47" s="12">
        <f t="shared" si="11"/>
        <v>876.94633333333331</v>
      </c>
      <c r="E47" s="12">
        <f t="shared" si="11"/>
        <v>295.41399999999999</v>
      </c>
      <c r="F47" s="12">
        <f t="shared" si="11"/>
        <v>177.185</v>
      </c>
      <c r="G47" s="12">
        <f>+G44+G45+G46/6</f>
        <v>1246</v>
      </c>
      <c r="H47" s="12">
        <f t="shared" si="11"/>
        <v>213.75566666666666</v>
      </c>
      <c r="I47" s="12">
        <f>+I44+I45+I46/6</f>
        <v>181.37216666666666</v>
      </c>
      <c r="J47" s="12">
        <f t="shared" si="11"/>
        <v>563.66666666666663</v>
      </c>
      <c r="K47" s="12">
        <f t="shared" si="11"/>
        <v>317.73333333333335</v>
      </c>
      <c r="L47" s="12">
        <f t="shared" si="11"/>
        <v>570.83333333333337</v>
      </c>
      <c r="M47" s="21">
        <f t="shared" si="11"/>
        <v>310.66666666666669</v>
      </c>
      <c r="N47" s="12">
        <f t="shared" si="11"/>
        <v>395.5</v>
      </c>
      <c r="O47" s="12">
        <f t="shared" si="11"/>
        <v>146.11111111111111</v>
      </c>
      <c r="P47" s="12">
        <f t="shared" si="11"/>
        <v>381.5</v>
      </c>
      <c r="Q47" s="12">
        <f t="shared" si="11"/>
        <v>591</v>
      </c>
      <c r="R47" s="12">
        <f t="shared" si="11"/>
        <v>248.88066666666666</v>
      </c>
      <c r="S47" s="12">
        <f t="shared" si="11"/>
        <v>378.07777777777773</v>
      </c>
    </row>
    <row r="48" spans="1:19" s="9" customFormat="1">
      <c r="A48" s="86" t="s">
        <v>66</v>
      </c>
      <c r="B48" s="12">
        <f>+B47*0.09</f>
        <v>71.534999999999997</v>
      </c>
      <c r="C48" s="12">
        <f t="shared" ref="C48:S48" si="12">+C47*0.09</f>
        <v>39.855014999999995</v>
      </c>
      <c r="D48" s="12">
        <f t="shared" si="12"/>
        <v>78.925169999999994</v>
      </c>
      <c r="E48" s="12">
        <f t="shared" si="12"/>
        <v>26.587259999999997</v>
      </c>
      <c r="F48" s="12">
        <f t="shared" si="12"/>
        <v>15.94665</v>
      </c>
      <c r="G48" s="12">
        <f>+G47*0.09</f>
        <v>112.14</v>
      </c>
      <c r="H48" s="12">
        <f t="shared" si="12"/>
        <v>19.238009999999999</v>
      </c>
      <c r="I48" s="12">
        <f>+I47*0.09</f>
        <v>16.323494999999998</v>
      </c>
      <c r="J48" s="12">
        <f t="shared" si="12"/>
        <v>50.73</v>
      </c>
      <c r="K48" s="12">
        <f t="shared" si="12"/>
        <v>28.596</v>
      </c>
      <c r="L48" s="12">
        <f t="shared" si="12"/>
        <v>51.375</v>
      </c>
      <c r="M48" s="12">
        <f t="shared" si="12"/>
        <v>27.96</v>
      </c>
      <c r="N48" s="12">
        <f t="shared" si="12"/>
        <v>35.594999999999999</v>
      </c>
      <c r="O48" s="12">
        <f t="shared" si="12"/>
        <v>13.15</v>
      </c>
      <c r="P48" s="12">
        <f t="shared" si="12"/>
        <v>34.335000000000001</v>
      </c>
      <c r="Q48" s="12">
        <f t="shared" si="12"/>
        <v>53.19</v>
      </c>
      <c r="R48" s="12">
        <f t="shared" si="12"/>
        <v>22.399259999999998</v>
      </c>
      <c r="S48" s="12">
        <f t="shared" si="12"/>
        <v>34.026999999999994</v>
      </c>
    </row>
    <row r="49" spans="1:19" s="9" customFormat="1">
      <c r="A49" s="86"/>
      <c r="B49" s="12"/>
      <c r="C49" s="12"/>
      <c r="D49" s="12"/>
      <c r="E49" s="12"/>
      <c r="F49" s="12"/>
      <c r="G49" s="12"/>
      <c r="H49" s="12" t="s">
        <v>131</v>
      </c>
      <c r="I49" s="12" t="s">
        <v>131</v>
      </c>
      <c r="J49" s="12"/>
      <c r="K49" s="12"/>
      <c r="L49" s="12"/>
      <c r="M49" s="12"/>
      <c r="N49" s="12"/>
      <c r="O49" s="12"/>
      <c r="P49" s="12"/>
      <c r="Q49" s="12"/>
      <c r="R49" s="12"/>
      <c r="S49" s="12"/>
    </row>
    <row r="50" spans="1:19" s="9" customFormat="1">
      <c r="A50" s="86" t="s">
        <v>106</v>
      </c>
      <c r="B50" s="12">
        <f>+B36*B48*4</f>
        <v>6187.9999999999991</v>
      </c>
      <c r="C50" s="12">
        <f t="shared" ref="C50:S50" si="13">+C36*C48*4</f>
        <v>3348.0000000000005</v>
      </c>
      <c r="D50" s="12">
        <f>+D36*D48*4</f>
        <v>5328.5807065504696</v>
      </c>
      <c r="E50" s="12">
        <f>+E36*E48*4</f>
        <v>1404.892200758205</v>
      </c>
      <c r="F50" s="12">
        <f>+F36*F48*4</f>
        <v>1006.3919999999997</v>
      </c>
      <c r="G50" s="12">
        <f>+G36*G48*4</f>
        <v>9316.0000000000018</v>
      </c>
      <c r="H50" s="12">
        <f t="shared" si="13"/>
        <v>1891.0527908000001</v>
      </c>
      <c r="I50" s="12">
        <f>+I36*I48*4</f>
        <v>1686.5435033999997</v>
      </c>
      <c r="J50" s="12">
        <f t="shared" si="13"/>
        <v>2583.3943999999997</v>
      </c>
      <c r="K50" s="12">
        <f t="shared" si="13"/>
        <v>1342.5336000000002</v>
      </c>
      <c r="L50" s="12">
        <f t="shared" si="13"/>
        <v>4455.7640000000001</v>
      </c>
      <c r="M50" s="12">
        <f t="shared" si="13"/>
        <v>1931.9999999999998</v>
      </c>
      <c r="N50" s="12">
        <f t="shared" si="13"/>
        <v>2920.0000000000005</v>
      </c>
      <c r="O50" s="12">
        <f t="shared" si="13"/>
        <v>912.00000000000011</v>
      </c>
      <c r="P50" s="12">
        <f t="shared" si="13"/>
        <v>2368</v>
      </c>
      <c r="Q50" s="12">
        <f t="shared" si="13"/>
        <v>4427.3024800000021</v>
      </c>
      <c r="R50" s="12">
        <f t="shared" si="13"/>
        <v>2147.6299488</v>
      </c>
      <c r="S50" s="12">
        <f t="shared" si="13"/>
        <v>1267.6894400000001</v>
      </c>
    </row>
    <row r="51" spans="1:19" s="9" customFormat="1">
      <c r="A51" s="87" t="s">
        <v>143</v>
      </c>
      <c r="B51" s="12">
        <v>12206</v>
      </c>
      <c r="C51" s="12">
        <v>8327</v>
      </c>
      <c r="D51" s="12">
        <f>16304/(1.3318)</f>
        <v>12242.07839014867</v>
      </c>
      <c r="E51" s="12">
        <f>6277/(1.3318)</f>
        <v>4713.1701456675173</v>
      </c>
      <c r="F51" s="12">
        <v>1488.5</v>
      </c>
      <c r="G51" s="12">
        <v>26435</v>
      </c>
      <c r="H51" s="12">
        <v>6510.4</v>
      </c>
      <c r="I51" s="12">
        <v>2741</v>
      </c>
      <c r="J51" s="12">
        <v>6860</v>
      </c>
      <c r="K51" s="12">
        <v>4243</v>
      </c>
      <c r="L51" s="12">
        <v>6986.6</v>
      </c>
      <c r="M51" s="21">
        <v>6054</v>
      </c>
      <c r="N51" s="12">
        <v>7264</v>
      </c>
      <c r="O51" s="12">
        <v>2432</v>
      </c>
      <c r="P51" s="12">
        <v>7061</v>
      </c>
      <c r="Q51" s="12">
        <v>9822</v>
      </c>
      <c r="R51" s="12">
        <v>2729</v>
      </c>
      <c r="S51" s="12">
        <v>4630</v>
      </c>
    </row>
    <row r="52" spans="1:19" s="9" customFormat="1">
      <c r="A52" s="87" t="s">
        <v>142</v>
      </c>
      <c r="B52" s="31">
        <f>+B51/B50</f>
        <v>1.9725274725274728</v>
      </c>
      <c r="C52" s="31">
        <f t="shared" ref="C52:S52" si="14">+C51/C50</f>
        <v>2.4871565113500593</v>
      </c>
      <c r="D52" s="31">
        <f t="shared" si="14"/>
        <v>2.2974369845049694</v>
      </c>
      <c r="E52" s="31">
        <f t="shared" si="14"/>
        <v>3.3548268992623567</v>
      </c>
      <c r="F52" s="31">
        <f t="shared" si="14"/>
        <v>1.4790459383619905</v>
      </c>
      <c r="G52" s="31">
        <f t="shared" si="14"/>
        <v>2.8375912408759119</v>
      </c>
      <c r="H52" s="31">
        <f t="shared" si="14"/>
        <v>3.4427383686342297</v>
      </c>
      <c r="I52" s="31">
        <f t="shared" si="14"/>
        <v>1.6252174903726235</v>
      </c>
      <c r="J52" s="31">
        <f t="shared" si="14"/>
        <v>2.6554211002392822</v>
      </c>
      <c r="K52" s="31">
        <f t="shared" si="14"/>
        <v>3.1604423159316082</v>
      </c>
      <c r="L52" s="31">
        <f t="shared" si="14"/>
        <v>1.5679914824932379</v>
      </c>
      <c r="M52" s="31">
        <f t="shared" si="14"/>
        <v>3.133540372670808</v>
      </c>
      <c r="N52" s="31">
        <f t="shared" si="14"/>
        <v>2.4876712328767119</v>
      </c>
      <c r="O52" s="31">
        <f t="shared" si="14"/>
        <v>2.6666666666666665</v>
      </c>
      <c r="P52" s="31">
        <f t="shared" si="14"/>
        <v>2.9818412162162162</v>
      </c>
      <c r="Q52" s="31">
        <f t="shared" si="14"/>
        <v>2.2185066514813769</v>
      </c>
      <c r="R52" s="31">
        <f t="shared" si="14"/>
        <v>1.2707030843581055</v>
      </c>
      <c r="S52" s="31">
        <f t="shared" si="14"/>
        <v>3.6523140872736146</v>
      </c>
    </row>
    <row r="53" spans="1:19" s="9" customFormat="1" ht="24.75" customHeight="1">
      <c r="A53" s="277" t="s">
        <v>127</v>
      </c>
      <c r="B53" s="278"/>
      <c r="C53" s="278"/>
      <c r="D53" s="278"/>
      <c r="E53" s="278"/>
      <c r="F53" s="278"/>
      <c r="G53" s="278"/>
      <c r="H53" s="278"/>
      <c r="I53" s="278"/>
      <c r="J53" s="278"/>
      <c r="K53" s="278"/>
      <c r="L53" s="278"/>
      <c r="M53" s="278"/>
      <c r="N53" s="278"/>
      <c r="O53" s="278"/>
      <c r="P53" s="278"/>
      <c r="Q53" s="278"/>
      <c r="R53" s="278"/>
      <c r="S53" s="278"/>
    </row>
    <row r="54" spans="1:19" s="9" customFormat="1">
      <c r="A54" s="277" t="s">
        <v>76</v>
      </c>
      <c r="B54" s="278"/>
      <c r="C54" s="278"/>
      <c r="D54" s="278"/>
      <c r="E54" s="278"/>
      <c r="F54" s="278"/>
      <c r="G54" s="278"/>
      <c r="H54" s="278"/>
      <c r="I54" s="278"/>
      <c r="J54" s="278"/>
      <c r="K54" s="278"/>
      <c r="L54" s="278"/>
      <c r="M54" s="278"/>
      <c r="N54" s="278"/>
      <c r="O54" s="278"/>
      <c r="P54" s="278"/>
      <c r="Q54" s="278"/>
      <c r="R54" s="278"/>
      <c r="S54" s="278"/>
    </row>
    <row r="55" spans="1:19" s="9" customFormat="1">
      <c r="A55" s="87"/>
      <c r="B55" s="8"/>
      <c r="C55" s="8"/>
      <c r="D55" s="8"/>
      <c r="E55" s="8"/>
      <c r="F55" s="8"/>
      <c r="G55" s="8"/>
      <c r="H55" s="8"/>
      <c r="I55" s="8"/>
      <c r="J55" s="8"/>
      <c r="K55" s="8"/>
      <c r="L55" s="8"/>
      <c r="M55" s="19"/>
      <c r="N55" s="8"/>
      <c r="O55" s="8"/>
      <c r="P55" s="8"/>
      <c r="Q55" s="8"/>
      <c r="R55" s="8"/>
      <c r="S55" s="8"/>
    </row>
    <row r="56" spans="1:19">
      <c r="A56" s="22" t="s">
        <v>94</v>
      </c>
      <c r="B56" s="23"/>
      <c r="C56" s="23"/>
      <c r="D56" s="58">
        <v>1.3241799999999999</v>
      </c>
    </row>
    <row r="57" spans="1:19">
      <c r="A57" s="3"/>
      <c r="G57" s="2">
        <f>G44*92/1000</f>
        <v>58.88</v>
      </c>
      <c r="P57" s="2">
        <f t="shared" ref="P57:Q59" si="15">P44*92/1000</f>
        <v>10.948</v>
      </c>
      <c r="Q57" s="2">
        <f t="shared" si="15"/>
        <v>34.868000000000002</v>
      </c>
      <c r="S57" s="2">
        <f>S44*92/1000</f>
        <v>0.5305333333333333</v>
      </c>
    </row>
    <row r="58" spans="1:19">
      <c r="A58" s="3"/>
      <c r="G58" s="2">
        <f>G45*92/1000</f>
        <v>11.683999999999999</v>
      </c>
      <c r="P58" s="2">
        <f t="shared" si="15"/>
        <v>5.0599999999999996</v>
      </c>
      <c r="Q58" s="2">
        <f t="shared" si="15"/>
        <v>7.1760000000000002</v>
      </c>
      <c r="S58" s="2">
        <f>S45*92/1000</f>
        <v>3.0748444444444445</v>
      </c>
    </row>
    <row r="59" spans="1:19">
      <c r="A59" s="3"/>
      <c r="G59" s="2">
        <f>G46*92/1000</f>
        <v>264.40800000000002</v>
      </c>
      <c r="P59" s="2">
        <f t="shared" si="15"/>
        <v>114.54</v>
      </c>
      <c r="Q59" s="2">
        <f t="shared" si="15"/>
        <v>73.968000000000004</v>
      </c>
      <c r="S59" s="2">
        <f>S46*92/1000</f>
        <v>187.06666666666666</v>
      </c>
    </row>
    <row r="60" spans="1:19">
      <c r="A60" s="3"/>
    </row>
    <row r="61" spans="1:19">
      <c r="A61" s="3"/>
      <c r="G61" s="2">
        <f>G57*G9</f>
        <v>2826.0964800000002</v>
      </c>
      <c r="P61" s="2">
        <f>P57*P9</f>
        <v>538.71111111111111</v>
      </c>
      <c r="Q61" s="2">
        <f>Q57*Q9</f>
        <v>1709.9267200000002</v>
      </c>
      <c r="S61" s="2">
        <f>S57*S9</f>
        <v>23.205528000000001</v>
      </c>
    </row>
    <row r="62" spans="1:19">
      <c r="A62" s="3"/>
      <c r="G62" s="2">
        <f>G58*G11</f>
        <v>278.19603999999998</v>
      </c>
      <c r="P62" s="2">
        <f>P58*P11</f>
        <v>107.33333333333331</v>
      </c>
      <c r="Q62" s="2">
        <f>Q58*Q11</f>
        <v>154.92984000000001</v>
      </c>
      <c r="S62" s="2">
        <f>S58*S11</f>
        <v>40.833934222222219</v>
      </c>
    </row>
    <row r="63" spans="1:19">
      <c r="A63" s="3"/>
      <c r="G63" s="2">
        <f>G59*G13</f>
        <v>999.46223999999995</v>
      </c>
      <c r="P63" s="2">
        <f>P59*P13</f>
        <v>370.04444444444448</v>
      </c>
      <c r="Q63" s="2">
        <f>Q59*Q13</f>
        <v>153.11375999999998</v>
      </c>
      <c r="S63" s="2">
        <f>S59*S13</f>
        <v>510.69200000000001</v>
      </c>
    </row>
    <row r="64" spans="1:19">
      <c r="G64" s="2">
        <f>G63+G62+G61</f>
        <v>4103.7547599999998</v>
      </c>
      <c r="P64" s="2">
        <f>P63+P62+P61</f>
        <v>1016.088888888889</v>
      </c>
      <c r="Q64" s="2">
        <f>Q63+Q62+Q61</f>
        <v>2017.9703200000001</v>
      </c>
      <c r="S64" s="2">
        <f>S63+S62+S61</f>
        <v>574.73146222222215</v>
      </c>
    </row>
    <row r="65" spans="1:19">
      <c r="G65" s="2">
        <f>G64/G48</f>
        <v>36.594923845193506</v>
      </c>
      <c r="P65" s="2">
        <f>P64/P48</f>
        <v>29.593385434364031</v>
      </c>
      <c r="Q65" s="2">
        <f>Q64/Q48</f>
        <v>37.938904305320555</v>
      </c>
      <c r="S65" s="2">
        <f>S64/S48</f>
        <v>16.890453528733719</v>
      </c>
    </row>
    <row r="70" spans="1:19">
      <c r="A70" s="1" t="s">
        <v>109</v>
      </c>
    </row>
    <row r="71" spans="1:19">
      <c r="B71" s="2" t="str">
        <f>B7</f>
        <v>APC</v>
      </c>
      <c r="C71" s="2" t="str">
        <f t="shared" ref="C71:S71" si="16">C7</f>
        <v>APA</v>
      </c>
      <c r="D71" s="2" t="str">
        <f t="shared" si="16"/>
        <v>CNQCN</v>
      </c>
      <c r="E71" s="2" t="str">
        <f t="shared" si="16"/>
        <v>CVECN</v>
      </c>
      <c r="F71" s="2" t="str">
        <f t="shared" si="16"/>
        <v>XEC</v>
      </c>
      <c r="G71" s="2" t="str">
        <f t="shared" si="16"/>
        <v>COP</v>
      </c>
      <c r="H71" s="2" t="str">
        <f t="shared" si="16"/>
        <v>CLR</v>
      </c>
      <c r="I71" s="2" t="str">
        <f t="shared" si="16"/>
        <v>CXO</v>
      </c>
      <c r="J71" s="2" t="str">
        <f t="shared" si="16"/>
        <v>DVN</v>
      </c>
      <c r="K71" s="2" t="str">
        <f t="shared" si="16"/>
        <v>ECACN</v>
      </c>
      <c r="L71" s="2" t="str">
        <f t="shared" si="16"/>
        <v>EOG</v>
      </c>
      <c r="M71" s="2" t="str">
        <f t="shared" si="16"/>
        <v>HES</v>
      </c>
      <c r="N71" s="2" t="str">
        <f t="shared" si="16"/>
        <v>MRO</v>
      </c>
      <c r="P71" s="2" t="str">
        <f t="shared" si="16"/>
        <v>NBL</v>
      </c>
      <c r="Q71" s="2" t="str">
        <f t="shared" si="16"/>
        <v>OXY</v>
      </c>
      <c r="R71" s="2" t="str">
        <f t="shared" si="16"/>
        <v>PXD</v>
      </c>
      <c r="S71" s="2" t="str">
        <f t="shared" si="16"/>
        <v>SWN</v>
      </c>
    </row>
    <row r="72" spans="1:19">
      <c r="A72" s="1" t="s">
        <v>110</v>
      </c>
      <c r="B72" s="2">
        <f t="shared" ref="B72:S72" si="17">RANK(B35,$B$35:$S$35)</f>
        <v>10</v>
      </c>
      <c r="C72" s="2">
        <f t="shared" si="17"/>
        <v>8</v>
      </c>
      <c r="D72" s="2">
        <f t="shared" si="17"/>
        <v>11</v>
      </c>
      <c r="E72" s="2">
        <f t="shared" si="17"/>
        <v>15</v>
      </c>
      <c r="F72" s="2">
        <f t="shared" si="17"/>
        <v>1</v>
      </c>
      <c r="G72" s="2">
        <f t="shared" si="17"/>
        <v>16</v>
      </c>
      <c r="H72" s="2">
        <f t="shared" si="17"/>
        <v>14</v>
      </c>
      <c r="I72" s="2">
        <f t="shared" si="17"/>
        <v>4</v>
      </c>
      <c r="J72" s="2">
        <f t="shared" si="17"/>
        <v>5</v>
      </c>
      <c r="K72" s="2">
        <f t="shared" si="17"/>
        <v>12</v>
      </c>
      <c r="L72" s="2">
        <f t="shared" si="17"/>
        <v>9</v>
      </c>
      <c r="M72" s="2">
        <f t="shared" si="17"/>
        <v>18</v>
      </c>
      <c r="N72" s="2">
        <f t="shared" si="17"/>
        <v>13</v>
      </c>
      <c r="P72" s="2">
        <f t="shared" si="17"/>
        <v>17</v>
      </c>
      <c r="Q72" s="2">
        <f t="shared" si="17"/>
        <v>7</v>
      </c>
      <c r="R72" s="2">
        <f t="shared" si="17"/>
        <v>2</v>
      </c>
      <c r="S72" s="2">
        <f t="shared" si="17"/>
        <v>6</v>
      </c>
    </row>
    <row r="73" spans="1:19">
      <c r="B73" s="2" t="str">
        <f>B71</f>
        <v>APC</v>
      </c>
      <c r="C73" s="2" t="str">
        <f t="shared" ref="C73:S73" si="18">C71</f>
        <v>APA</v>
      </c>
      <c r="D73" s="2" t="str">
        <f t="shared" si="18"/>
        <v>CNQCN</v>
      </c>
      <c r="E73" s="2" t="str">
        <f t="shared" si="18"/>
        <v>CVECN</v>
      </c>
      <c r="F73" s="2" t="str">
        <f t="shared" si="18"/>
        <v>XEC</v>
      </c>
      <c r="G73" s="2" t="str">
        <f t="shared" si="18"/>
        <v>COP</v>
      </c>
      <c r="H73" s="2" t="str">
        <f t="shared" si="18"/>
        <v>CLR</v>
      </c>
      <c r="I73" s="2" t="str">
        <f t="shared" si="18"/>
        <v>CXO</v>
      </c>
      <c r="J73" s="2" t="str">
        <f t="shared" si="18"/>
        <v>DVN</v>
      </c>
      <c r="K73" s="2" t="str">
        <f t="shared" si="18"/>
        <v>ECACN</v>
      </c>
      <c r="L73" s="2" t="str">
        <f t="shared" si="18"/>
        <v>EOG</v>
      </c>
      <c r="M73" s="2" t="str">
        <f t="shared" si="18"/>
        <v>HES</v>
      </c>
      <c r="N73" s="2" t="str">
        <f t="shared" si="18"/>
        <v>MRO</v>
      </c>
      <c r="P73" s="2" t="str">
        <f t="shared" si="18"/>
        <v>NBL</v>
      </c>
      <c r="Q73" s="2" t="str">
        <f t="shared" si="18"/>
        <v>OXY</v>
      </c>
      <c r="R73" s="2" t="str">
        <f t="shared" si="18"/>
        <v>PXD</v>
      </c>
      <c r="S73" s="2" t="str">
        <f t="shared" si="18"/>
        <v>SWN</v>
      </c>
    </row>
    <row r="74" spans="1:19">
      <c r="A74" s="1" t="s">
        <v>107</v>
      </c>
      <c r="B74" s="2">
        <f t="shared" ref="B74:S74" si="19">RANK(B37,$B$37:$S$37)</f>
        <v>8</v>
      </c>
      <c r="C74" s="2">
        <f t="shared" si="19"/>
        <v>10</v>
      </c>
      <c r="D74" s="2">
        <f t="shared" si="19"/>
        <v>5</v>
      </c>
      <c r="E74" s="2">
        <f t="shared" si="19"/>
        <v>16</v>
      </c>
      <c r="F74" s="2">
        <f t="shared" si="19"/>
        <v>3</v>
      </c>
      <c r="G74" s="2">
        <f t="shared" si="19"/>
        <v>9</v>
      </c>
      <c r="H74" s="2">
        <f t="shared" si="19"/>
        <v>11</v>
      </c>
      <c r="I74" s="2">
        <f t="shared" si="19"/>
        <v>6</v>
      </c>
      <c r="J74" s="2">
        <f t="shared" si="19"/>
        <v>12</v>
      </c>
      <c r="K74" s="2">
        <f t="shared" si="19"/>
        <v>18</v>
      </c>
      <c r="L74" s="2">
        <f t="shared" si="19"/>
        <v>1</v>
      </c>
      <c r="M74" s="2">
        <f t="shared" si="19"/>
        <v>13</v>
      </c>
      <c r="N74" s="2">
        <f t="shared" si="19"/>
        <v>7</v>
      </c>
      <c r="P74" s="2">
        <f t="shared" si="19"/>
        <v>15</v>
      </c>
      <c r="Q74" s="2">
        <f t="shared" si="19"/>
        <v>2</v>
      </c>
      <c r="R74" s="2">
        <f t="shared" si="19"/>
        <v>4</v>
      </c>
      <c r="S74" s="2">
        <f t="shared" si="19"/>
        <v>17</v>
      </c>
    </row>
    <row r="75" spans="1:19">
      <c r="B75" s="2" t="str">
        <f>B73</f>
        <v>APC</v>
      </c>
      <c r="C75" s="2" t="str">
        <f t="shared" ref="C75:S75" si="20">C73</f>
        <v>APA</v>
      </c>
      <c r="D75" s="2" t="str">
        <f t="shared" si="20"/>
        <v>CNQCN</v>
      </c>
      <c r="E75" s="2" t="str">
        <f t="shared" si="20"/>
        <v>CVECN</v>
      </c>
      <c r="F75" s="2" t="str">
        <f t="shared" si="20"/>
        <v>XEC</v>
      </c>
      <c r="G75" s="2" t="str">
        <f t="shared" si="20"/>
        <v>COP</v>
      </c>
      <c r="H75" s="2" t="str">
        <f t="shared" si="20"/>
        <v>CLR</v>
      </c>
      <c r="I75" s="2" t="str">
        <f t="shared" si="20"/>
        <v>CXO</v>
      </c>
      <c r="J75" s="2" t="str">
        <f t="shared" si="20"/>
        <v>DVN</v>
      </c>
      <c r="K75" s="2" t="str">
        <f t="shared" si="20"/>
        <v>ECACN</v>
      </c>
      <c r="L75" s="2" t="str">
        <f t="shared" si="20"/>
        <v>EOG</v>
      </c>
      <c r="M75" s="2" t="str">
        <f t="shared" si="20"/>
        <v>HES</v>
      </c>
      <c r="N75" s="2" t="str">
        <f t="shared" si="20"/>
        <v>MRO</v>
      </c>
      <c r="P75" s="2" t="str">
        <f t="shared" si="20"/>
        <v>NBL</v>
      </c>
      <c r="Q75" s="2" t="str">
        <f t="shared" si="20"/>
        <v>OXY</v>
      </c>
      <c r="R75" s="2" t="str">
        <f t="shared" si="20"/>
        <v>PXD</v>
      </c>
      <c r="S75" s="2" t="str">
        <f t="shared" si="20"/>
        <v>SWN</v>
      </c>
    </row>
    <row r="76" spans="1:19">
      <c r="A76" s="1" t="s">
        <v>111</v>
      </c>
      <c r="B76" s="2">
        <f t="shared" ref="B76:S76" si="21">RANK(B34,$B$34:$S$34)</f>
        <v>6</v>
      </c>
      <c r="C76" s="2">
        <f t="shared" si="21"/>
        <v>8</v>
      </c>
      <c r="D76" s="2">
        <f t="shared" si="21"/>
        <v>10</v>
      </c>
      <c r="E76" s="2">
        <f t="shared" si="21"/>
        <v>15</v>
      </c>
      <c r="F76" s="2">
        <f t="shared" si="21"/>
        <v>11</v>
      </c>
      <c r="G76" s="2">
        <f t="shared" si="21"/>
        <v>9</v>
      </c>
      <c r="H76" s="2">
        <f t="shared" si="21"/>
        <v>3</v>
      </c>
      <c r="I76" s="2">
        <f t="shared" si="21"/>
        <v>1</v>
      </c>
      <c r="J76" s="2">
        <f t="shared" si="21"/>
        <v>16</v>
      </c>
      <c r="K76" s="2">
        <f t="shared" si="21"/>
        <v>17</v>
      </c>
      <c r="L76" s="2">
        <f t="shared" si="21"/>
        <v>4</v>
      </c>
      <c r="M76" s="2">
        <f t="shared" si="21"/>
        <v>12</v>
      </c>
      <c r="N76" s="2">
        <f t="shared" si="21"/>
        <v>7</v>
      </c>
      <c r="P76" s="2">
        <f t="shared" si="21"/>
        <v>14</v>
      </c>
      <c r="Q76" s="2">
        <f t="shared" si="21"/>
        <v>5</v>
      </c>
      <c r="R76" s="2">
        <f t="shared" si="21"/>
        <v>2</v>
      </c>
      <c r="S76" s="2">
        <f t="shared" si="21"/>
        <v>18</v>
      </c>
    </row>
    <row r="80" spans="1:19">
      <c r="A80" s="1" t="s">
        <v>130</v>
      </c>
      <c r="B80" s="61">
        <f>B15-'2Q16 Actual'!B15</f>
        <v>10.985047663596625</v>
      </c>
      <c r="C80" s="61">
        <f>C15-'2Q16 Actual'!C15</f>
        <v>6.0555930394641209</v>
      </c>
      <c r="D80" s="61">
        <f>D15-'2Q16 Actual'!D15</f>
        <v>8.0139857317781811</v>
      </c>
      <c r="E80" s="61">
        <f>E15-'2Q16 Actual'!E15</f>
        <v>6.0768422015741095</v>
      </c>
      <c r="F80" s="61">
        <f>F15-'2Q16 Actual'!F15</f>
        <v>7.7036756973544449</v>
      </c>
      <c r="G80" s="61">
        <f>G15-'2Q16 Actual'!G15</f>
        <v>7.6952910610475378</v>
      </c>
      <c r="H80" s="61">
        <f>H15-'2Q16 Actual'!H15</f>
        <v>6.5877944964162154</v>
      </c>
      <c r="I80" s="61">
        <f>I15-'2Q16 Actual'!I15</f>
        <v>7.4699999999999989</v>
      </c>
      <c r="J80" s="61">
        <f>J15-'2Q16 Actual'!J15</f>
        <v>7.32</v>
      </c>
      <c r="K80" s="61">
        <f>K15-'2Q16 Actual'!K15</f>
        <v>8.5300000000000011</v>
      </c>
      <c r="L80" s="61">
        <f>L15-'2Q16 Actual'!L15</f>
        <v>8.8394152672432114</v>
      </c>
      <c r="M80" s="61">
        <f>M15-'2Q16 Actual'!M15</f>
        <v>3.1012560395261701</v>
      </c>
      <c r="N80" s="61">
        <f>N15-'2Q16 Actual'!N15</f>
        <v>9.7743823006819319</v>
      </c>
      <c r="O80" s="61"/>
      <c r="P80" s="61">
        <f>P15-'2Q16 Actual'!P15</f>
        <v>7.1436652416702486</v>
      </c>
      <c r="Q80" s="61">
        <f>Q15-'2Q16 Actual'!Q15</f>
        <v>10.585609145030247</v>
      </c>
      <c r="R80" s="61">
        <f>R15-'2Q16 Actual'!R15</f>
        <v>7.1900000000000013</v>
      </c>
      <c r="S80" s="61">
        <f>S15-'2Q16 Actual'!S15</f>
        <v>8.885283030466006</v>
      </c>
    </row>
    <row r="81" spans="1:19">
      <c r="A81" s="1" t="s">
        <v>132</v>
      </c>
      <c r="B81" s="61">
        <f>B28-'2Q16 Actual'!B28</f>
        <v>-0.42902846451095478</v>
      </c>
      <c r="C81" s="61">
        <f>C28-'2Q16 Actual'!C28</f>
        <v>2.1462044612028368</v>
      </c>
      <c r="D81" s="61">
        <f>D28-'2Q16 Actual'!D28</f>
        <v>-2.828879939147555E-2</v>
      </c>
      <c r="E81" s="61">
        <f>E28-'2Q16 Actual'!E28</f>
        <v>-1.1346045602292527</v>
      </c>
      <c r="F81" s="61">
        <f>F28-'2Q16 Actual'!F28</f>
        <v>0.14349681639994216</v>
      </c>
      <c r="G81" s="61">
        <f>G28-'2Q16 Actual'!G28</f>
        <v>-1.0824958114506344</v>
      </c>
      <c r="H81" s="61">
        <f>H28-'2Q16 Actual'!H28</f>
        <v>0.47921946409151239</v>
      </c>
      <c r="I81" s="61">
        <f>I28-'2Q16 Actual'!I28</f>
        <v>-2.4155524364879231</v>
      </c>
      <c r="J81" s="61">
        <f>J28-'2Q16 Actual'!J28</f>
        <v>0.44523017424321765</v>
      </c>
      <c r="K81" s="61">
        <f>K28-'2Q16 Actual'!K28</f>
        <v>0.55958620208966536</v>
      </c>
      <c r="L81" s="61">
        <f>L28-'2Q16 Actual'!L28</f>
        <v>1.6949928291269689</v>
      </c>
      <c r="M81" s="61">
        <f>M28-'2Q16 Actual'!M28</f>
        <v>-3.3892551953973147</v>
      </c>
      <c r="N81" s="61">
        <f>N28-'2Q16 Actual'!N28</f>
        <v>-3.464506769515026</v>
      </c>
      <c r="O81" s="61"/>
      <c r="P81" s="61">
        <f>P28-'2Q16 Actual'!P28</f>
        <v>2.2852054655858325</v>
      </c>
      <c r="Q81" s="61">
        <f>Q28-'2Q16 Actual'!Q28</f>
        <v>3.6215565016827984</v>
      </c>
      <c r="R81" s="61">
        <f>R28-'2Q16 Actual'!R28</f>
        <v>-1.737723001665481</v>
      </c>
      <c r="S81" s="61">
        <f>S28-'2Q16 Actual'!S28</f>
        <v>-0.20660432705205345</v>
      </c>
    </row>
    <row r="82" spans="1:19">
      <c r="A82" s="1" t="s">
        <v>129</v>
      </c>
      <c r="B82" s="62">
        <f>B48-'2Q16 Actual'!B48</f>
        <v>-0.50666666666667481</v>
      </c>
      <c r="C82" s="62">
        <f>C48-'2Q16 Actual'!C48</f>
        <v>-8.8715265000000016</v>
      </c>
      <c r="D82" s="62">
        <f>D48-'2Q16 Actual'!D48</f>
        <v>7.589359999999985</v>
      </c>
      <c r="E82" s="62">
        <f>E48-'2Q16 Actual'!E48</f>
        <v>2.510479999999994</v>
      </c>
      <c r="F82" s="62">
        <f>F48-'2Q16 Actual'!F48</f>
        <v>1.1711316666666658</v>
      </c>
      <c r="G82" s="62">
        <f>G48-'2Q16 Actual'!G48</f>
        <v>7.3500000000009891E-2</v>
      </c>
      <c r="H82" s="62">
        <f>H48-'2Q16 Actual'!H48</f>
        <v>-0.72042850000000414</v>
      </c>
      <c r="I82" s="62">
        <f>I48-'2Q16 Actual'!I48</f>
        <v>3.1141169999999967</v>
      </c>
      <c r="J82" s="62">
        <f>J48-'2Q16 Actual'!J48</f>
        <v>-7.9194999999999993</v>
      </c>
      <c r="K82" s="62">
        <f>K48-'2Q16 Actual'!K48</f>
        <v>-4.9223333333333379</v>
      </c>
      <c r="L82" s="62">
        <f>L48-'2Q16 Actual'!L48</f>
        <v>1.2340000000000018</v>
      </c>
      <c r="M82" s="62">
        <f>M48-'2Q16 Actual'!M48</f>
        <v>-0.50783333333333047</v>
      </c>
      <c r="N82" s="62">
        <f>N48-'2Q16 Actual'!N48</f>
        <v>-0.24383333333333468</v>
      </c>
      <c r="O82" s="62"/>
      <c r="P82" s="62">
        <f>P48-'2Q16 Actual'!P48</f>
        <v>-4.5068333333333328</v>
      </c>
      <c r="Q82" s="62">
        <f>Q48-'2Q16 Actual'!Q48</f>
        <v>-6.2178333333333384</v>
      </c>
      <c r="R82" s="62">
        <f>R48-'2Q16 Actual'!R48</f>
        <v>1.2232869999999956</v>
      </c>
      <c r="S82" s="62">
        <f>S48-'2Q16 Actual'!S48</f>
        <v>-3.5283333333333289</v>
      </c>
    </row>
    <row r="84" spans="1:19">
      <c r="A84" s="140" t="s">
        <v>76</v>
      </c>
    </row>
    <row r="166" spans="2:17" hidden="1">
      <c r="L166" s="2" t="s">
        <v>58</v>
      </c>
    </row>
    <row r="167" spans="2:17" hidden="1">
      <c r="L167" s="2" t="s">
        <v>54</v>
      </c>
      <c r="M167" s="2">
        <v>52.63</v>
      </c>
      <c r="N167" s="2">
        <v>176</v>
      </c>
      <c r="Q167" s="2">
        <f>+N167*M167</f>
        <v>9262.880000000001</v>
      </c>
    </row>
    <row r="168" spans="2:17" hidden="1">
      <c r="D168" s="2" t="s">
        <v>72</v>
      </c>
      <c r="E168" s="2" t="s">
        <v>73</v>
      </c>
      <c r="L168" s="2" t="s">
        <v>55</v>
      </c>
      <c r="M168" s="2">
        <v>14.77</v>
      </c>
      <c r="N168" s="2">
        <v>37</v>
      </c>
      <c r="Q168" s="2">
        <f>+N168*M168</f>
        <v>546.49</v>
      </c>
    </row>
    <row r="169" spans="2:17" hidden="1">
      <c r="B169" s="2" t="s">
        <v>61</v>
      </c>
      <c r="C169" s="2">
        <v>95.057000000000002</v>
      </c>
      <c r="D169" s="2">
        <f>73.05</f>
        <v>73.05</v>
      </c>
      <c r="F169" s="2">
        <f>+D169*C169</f>
        <v>6943.9138499999999</v>
      </c>
      <c r="L169" s="2" t="s">
        <v>59</v>
      </c>
      <c r="M169" s="2">
        <v>2.76</v>
      </c>
      <c r="N169" s="2">
        <v>361</v>
      </c>
      <c r="P169" s="2">
        <f>+N169/6</f>
        <v>60.166666666666664</v>
      </c>
      <c r="Q169" s="2">
        <f>+N169*M169</f>
        <v>996.3599999999999</v>
      </c>
    </row>
    <row r="170" spans="2:17" hidden="1">
      <c r="B170" s="2" t="s">
        <v>71</v>
      </c>
      <c r="C170" s="2">
        <f>458.144-C169</f>
        <v>363.08699999999999</v>
      </c>
      <c r="D170" s="2">
        <f>53.09</f>
        <v>53.09</v>
      </c>
      <c r="F170" s="2">
        <f>+D170*C170</f>
        <v>19276.288830000001</v>
      </c>
      <c r="G170" s="2">
        <f>+SUM(F169:F170)/(C169+C170)</f>
        <v>57.231356691345958</v>
      </c>
    </row>
    <row r="171" spans="2:17" hidden="1">
      <c r="L171" s="2" t="s">
        <v>60</v>
      </c>
    </row>
    <row r="172" spans="2:17" hidden="1">
      <c r="L172" s="2" t="s">
        <v>54</v>
      </c>
      <c r="M172" s="2">
        <v>56.7</v>
      </c>
      <c r="N172" s="2">
        <v>33</v>
      </c>
      <c r="Q172" s="2">
        <f>+N172*M172</f>
        <v>1871.1000000000001</v>
      </c>
    </row>
    <row r="173" spans="2:17" hidden="1">
      <c r="D173" s="2">
        <v>608</v>
      </c>
      <c r="E173" s="2">
        <v>58</v>
      </c>
      <c r="L173" s="2" t="s">
        <v>55</v>
      </c>
      <c r="M173" s="2">
        <v>3.1</v>
      </c>
      <c r="N173" s="2">
        <v>9</v>
      </c>
      <c r="Q173" s="2">
        <f>+N173*M173</f>
        <v>27.900000000000002</v>
      </c>
    </row>
    <row r="174" spans="2:17" hidden="1">
      <c r="D174" s="2">
        <v>138</v>
      </c>
      <c r="E174" s="2">
        <v>33.299999999999997</v>
      </c>
      <c r="L174" s="2" t="s">
        <v>59</v>
      </c>
      <c r="M174" s="2">
        <v>0.78</v>
      </c>
      <c r="N174" s="2">
        <v>396</v>
      </c>
      <c r="P174" s="2">
        <f>+N174/6</f>
        <v>66</v>
      </c>
      <c r="Q174" s="2">
        <f>+N174*M174</f>
        <v>308.88</v>
      </c>
    </row>
    <row r="175" spans="2:17" hidden="1">
      <c r="E175" s="2">
        <f>+SUMPRODUCT(D173:D174,E173:E174)/SUM(D173:D174)</f>
        <v>53.430831099195714</v>
      </c>
    </row>
    <row r="176" spans="2:17" hidden="1">
      <c r="L176" s="2" t="s">
        <v>61</v>
      </c>
    </row>
    <row r="177" spans="12:17" hidden="1">
      <c r="L177" s="2" t="s">
        <v>54</v>
      </c>
      <c r="M177" s="2">
        <v>52.46</v>
      </c>
      <c r="N177" s="2">
        <v>29</v>
      </c>
      <c r="Q177" s="2">
        <f>+N177*M177</f>
        <v>1521.34</v>
      </c>
    </row>
  </sheetData>
  <mergeCells count="2">
    <mergeCell ref="A53:S53"/>
    <mergeCell ref="A54:S54"/>
  </mergeCells>
  <printOptions horizontalCentered="1"/>
  <pageMargins left="0.4" right="0.4" top="0.5" bottom="0.5" header="0.3" footer="0.3"/>
  <pageSetup orientation="landscape" r:id="rId1"/>
  <headerFooter>
    <oddFooter>&amp;C&amp;"Expert Sans Regular,Regular"&amp;10&amp;K000000 Restricted - External_x000D_&amp;1#&amp;"Calibri"&amp;10 Restricted - External</oddFooter>
    <evenFooter>&amp;C&amp;"Expert Sans Regular,Regular"&amp;10&amp;K000000 Restricted - External</evenFooter>
    <firstFooter>&amp;C&amp;"Expert Sans Regular,Regular"&amp;10&amp;K000000 Restricted - External</first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autoPageBreaks="0" fitToPage="1"/>
  </sheetPr>
  <dimension ref="A1:T176"/>
  <sheetViews>
    <sheetView workbookViewId="0">
      <pane xSplit="1" ySplit="7" topLeftCell="B8" activePane="bottomRight" state="frozen"/>
      <selection activeCell="B36" sqref="B36:V36"/>
      <selection pane="topRight" activeCell="B36" sqref="B36:V36"/>
      <selection pane="bottomLeft" activeCell="B36" sqref="B36:V36"/>
      <selection pane="bottomRight" activeCell="B36" sqref="B36:V36"/>
    </sheetView>
  </sheetViews>
  <sheetFormatPr defaultRowHeight="14.25"/>
  <cols>
    <col min="1" max="1" width="36.375" style="1" customWidth="1"/>
    <col min="2" max="19" width="9.25" style="2" customWidth="1"/>
    <col min="20" max="20" width="11.5" style="1" customWidth="1"/>
    <col min="21" max="21" width="9" style="1"/>
    <col min="22" max="22" width="10.75" style="1" bestFit="1" customWidth="1"/>
    <col min="23" max="16384" width="9" style="1"/>
  </cols>
  <sheetData>
    <row r="1" spans="1:19" s="9" customFormat="1">
      <c r="A1" s="71" t="s">
        <v>135</v>
      </c>
      <c r="B1" s="8"/>
      <c r="C1" s="8"/>
      <c r="D1" s="8"/>
      <c r="E1" s="8"/>
      <c r="F1" s="8"/>
      <c r="G1" s="8"/>
      <c r="H1" s="8"/>
      <c r="I1" s="8"/>
      <c r="J1" s="8"/>
      <c r="K1" s="8"/>
      <c r="L1" s="8"/>
      <c r="M1" s="19"/>
      <c r="N1" s="8"/>
      <c r="O1" s="8"/>
      <c r="P1" s="8"/>
      <c r="Q1" s="8"/>
      <c r="R1" s="8"/>
      <c r="S1" s="8"/>
    </row>
    <row r="2" spans="1:19" s="9" customFormat="1">
      <c r="A2" s="71" t="s">
        <v>1</v>
      </c>
      <c r="B2" s="10">
        <v>49.14</v>
      </c>
      <c r="C2" s="8"/>
      <c r="D2" s="8"/>
      <c r="E2" s="8"/>
      <c r="F2" s="8"/>
      <c r="G2" s="8"/>
      <c r="H2" s="8"/>
      <c r="I2" s="8"/>
      <c r="J2" s="8"/>
      <c r="K2" s="8"/>
      <c r="L2" s="8"/>
      <c r="M2" s="19"/>
      <c r="N2" s="8"/>
      <c r="O2" s="8"/>
      <c r="P2" s="8"/>
      <c r="Q2" s="8"/>
      <c r="R2" s="8"/>
      <c r="S2" s="8"/>
    </row>
    <row r="3" spans="1:19" s="9" customFormat="1">
      <c r="A3" s="71" t="s">
        <v>0</v>
      </c>
      <c r="B3" s="10">
        <v>24.225999999999999</v>
      </c>
      <c r="C3" s="8"/>
      <c r="D3" s="8"/>
      <c r="E3" s="8"/>
      <c r="F3" s="8"/>
      <c r="G3" s="8"/>
      <c r="H3" s="8"/>
      <c r="I3" s="8"/>
      <c r="J3" s="8"/>
      <c r="K3" s="8"/>
      <c r="L3" s="8"/>
      <c r="M3" s="19"/>
      <c r="N3" s="8"/>
      <c r="O3" s="8"/>
      <c r="P3" s="8"/>
      <c r="Q3" s="8"/>
      <c r="R3" s="8"/>
      <c r="S3" s="8"/>
    </row>
    <row r="4" spans="1:19" s="9" customFormat="1">
      <c r="A4" s="71" t="s">
        <v>2</v>
      </c>
      <c r="B4" s="10">
        <v>3.016</v>
      </c>
      <c r="C4" s="8"/>
      <c r="D4" s="8"/>
      <c r="E4" s="8"/>
      <c r="F4" s="8"/>
      <c r="G4" s="8"/>
      <c r="H4" s="8"/>
      <c r="I4" s="8"/>
      <c r="J4" s="8"/>
      <c r="K4" s="8"/>
      <c r="L4" s="8"/>
      <c r="M4" s="19"/>
      <c r="N4" s="8"/>
      <c r="O4" s="8"/>
      <c r="P4" s="8"/>
      <c r="Q4" s="8"/>
      <c r="R4" s="8"/>
      <c r="S4" s="8"/>
    </row>
    <row r="5" spans="1:19" s="9" customFormat="1" ht="15" thickBot="1">
      <c r="A5" s="71"/>
      <c r="B5" s="8"/>
      <c r="C5" s="8"/>
      <c r="D5" s="8"/>
      <c r="E5" s="8"/>
      <c r="F5" s="8"/>
      <c r="G5" s="8"/>
      <c r="H5" s="8"/>
      <c r="I5" s="8"/>
      <c r="J5" s="8"/>
      <c r="K5" s="8"/>
      <c r="L5" s="8"/>
      <c r="M5" s="19"/>
      <c r="N5" s="8"/>
      <c r="O5" s="8"/>
      <c r="P5" s="8"/>
      <c r="Q5" s="8"/>
      <c r="R5" s="8"/>
      <c r="S5" s="8"/>
    </row>
    <row r="6" spans="1:19" ht="26.25" thickBot="1">
      <c r="A6" s="4" t="s">
        <v>15</v>
      </c>
      <c r="B6" s="52" t="s">
        <v>17</v>
      </c>
      <c r="C6" s="52" t="s">
        <v>18</v>
      </c>
      <c r="D6" s="52" t="s">
        <v>19</v>
      </c>
      <c r="E6" s="52" t="s">
        <v>21</v>
      </c>
      <c r="F6" s="52" t="s">
        <v>22</v>
      </c>
      <c r="G6" s="138" t="s">
        <v>174</v>
      </c>
      <c r="H6" s="52" t="s">
        <v>23</v>
      </c>
      <c r="I6" s="52" t="s">
        <v>139</v>
      </c>
      <c r="J6" s="52" t="s">
        <v>24</v>
      </c>
      <c r="K6" s="52" t="s">
        <v>25</v>
      </c>
      <c r="L6" s="52" t="s">
        <v>26</v>
      </c>
      <c r="M6" s="52" t="s">
        <v>27</v>
      </c>
      <c r="N6" s="52" t="s">
        <v>28</v>
      </c>
      <c r="O6" s="116" t="s">
        <v>162</v>
      </c>
      <c r="P6" s="52" t="s">
        <v>29</v>
      </c>
      <c r="Q6" s="52" t="s">
        <v>30</v>
      </c>
      <c r="R6" s="52" t="s">
        <v>31</v>
      </c>
      <c r="S6" s="138" t="s">
        <v>173</v>
      </c>
    </row>
    <row r="7" spans="1:19" ht="18" customHeight="1" thickBot="1">
      <c r="A7" s="25" t="s">
        <v>16</v>
      </c>
      <c r="B7" s="69" t="s">
        <v>33</v>
      </c>
      <c r="C7" s="69" t="s">
        <v>34</v>
      </c>
      <c r="D7" s="69" t="s">
        <v>35</v>
      </c>
      <c r="E7" s="69" t="s">
        <v>37</v>
      </c>
      <c r="F7" s="69" t="s">
        <v>38</v>
      </c>
      <c r="G7" s="69" t="s">
        <v>36</v>
      </c>
      <c r="H7" s="69" t="s">
        <v>39</v>
      </c>
      <c r="I7" s="69" t="s">
        <v>140</v>
      </c>
      <c r="J7" s="69" t="s">
        <v>40</v>
      </c>
      <c r="K7" s="69" t="s">
        <v>41</v>
      </c>
      <c r="L7" s="69" t="s">
        <v>42</v>
      </c>
      <c r="M7" s="69" t="s">
        <v>43</v>
      </c>
      <c r="N7" s="69" t="s">
        <v>44</v>
      </c>
      <c r="O7" s="69" t="s">
        <v>163</v>
      </c>
      <c r="P7" s="69" t="s">
        <v>45</v>
      </c>
      <c r="Q7" s="69" t="s">
        <v>46</v>
      </c>
      <c r="R7" s="69" t="s">
        <v>47</v>
      </c>
      <c r="S7" s="69" t="s">
        <v>48</v>
      </c>
    </row>
    <row r="8" spans="1:19" s="9" customFormat="1">
      <c r="A8" s="71"/>
      <c r="B8" s="8"/>
      <c r="C8" s="8"/>
      <c r="D8" s="8"/>
      <c r="E8" s="8"/>
      <c r="F8" s="8"/>
      <c r="G8" s="8"/>
      <c r="H8" s="8"/>
      <c r="I8" s="8"/>
      <c r="J8" s="8"/>
      <c r="K8" s="8"/>
      <c r="L8" s="8"/>
      <c r="M8" s="8"/>
      <c r="N8" s="8"/>
      <c r="O8" s="8"/>
      <c r="P8" s="8"/>
      <c r="Q8" s="8"/>
      <c r="R8" s="8"/>
      <c r="S8" s="8"/>
    </row>
    <row r="9" spans="1:19" s="9" customFormat="1">
      <c r="A9" s="71" t="s">
        <v>50</v>
      </c>
      <c r="B9" s="10">
        <v>47.01</v>
      </c>
      <c r="C9" s="10">
        <v>47.39</v>
      </c>
      <c r="D9" s="10">
        <f>3135/((D44+D45)*0.092)/D55</f>
        <v>43.632029270734812</v>
      </c>
      <c r="E9" s="10">
        <f>39.37/D55</f>
        <v>29.499475498276635</v>
      </c>
      <c r="F9" s="10">
        <v>44.67</v>
      </c>
      <c r="G9" s="10">
        <f>((46.96*582)+(15.72*50))/(50+582)</f>
        <v>44.488481012658227</v>
      </c>
      <c r="H9" s="10">
        <v>42.23</v>
      </c>
      <c r="I9" s="10">
        <v>45.66</v>
      </c>
      <c r="J9" s="10">
        <v>34.9</v>
      </c>
      <c r="K9" s="10">
        <v>45.91</v>
      </c>
      <c r="L9" s="10">
        <v>47.76</v>
      </c>
      <c r="M9" s="10">
        <v>45.97</v>
      </c>
      <c r="N9" s="10">
        <f>((46.14*52)+(62*43.35)+(45.89*121))/(121+62+52)</f>
        <v>45.27519148936171</v>
      </c>
      <c r="O9" s="10">
        <v>44.52</v>
      </c>
      <c r="P9" s="10">
        <v>47.41</v>
      </c>
      <c r="Q9" s="10">
        <v>45.08</v>
      </c>
      <c r="R9" s="10">
        <v>46.13</v>
      </c>
      <c r="S9" s="10">
        <v>41.18</v>
      </c>
    </row>
    <row r="10" spans="1:19" s="9" customFormat="1">
      <c r="A10" s="71" t="s">
        <v>3</v>
      </c>
      <c r="B10" s="10">
        <f t="shared" ref="B10:S10" si="0">+B9-$B$2</f>
        <v>-2.1300000000000026</v>
      </c>
      <c r="C10" s="10">
        <f t="shared" si="0"/>
        <v>-1.75</v>
      </c>
      <c r="D10" s="10">
        <f t="shared" si="0"/>
        <v>-5.5079707292651889</v>
      </c>
      <c r="E10" s="10">
        <f t="shared" si="0"/>
        <v>-19.640524501723366</v>
      </c>
      <c r="F10" s="10">
        <f t="shared" si="0"/>
        <v>-4.4699999999999989</v>
      </c>
      <c r="G10" s="10">
        <f t="shared" si="0"/>
        <v>-4.6515189873417739</v>
      </c>
      <c r="H10" s="10">
        <f t="shared" si="0"/>
        <v>-6.9100000000000037</v>
      </c>
      <c r="I10" s="10">
        <f t="shared" si="0"/>
        <v>-3.480000000000004</v>
      </c>
      <c r="J10" s="10">
        <f t="shared" si="0"/>
        <v>-14.240000000000002</v>
      </c>
      <c r="K10" s="10">
        <f t="shared" si="0"/>
        <v>-3.230000000000004</v>
      </c>
      <c r="L10" s="10">
        <f t="shared" si="0"/>
        <v>-1.3800000000000026</v>
      </c>
      <c r="M10" s="10">
        <f t="shared" si="0"/>
        <v>-3.1700000000000017</v>
      </c>
      <c r="N10" s="10">
        <f t="shared" si="0"/>
        <v>-3.8648085106382908</v>
      </c>
      <c r="O10" s="10">
        <f t="shared" si="0"/>
        <v>-4.6199999999999974</v>
      </c>
      <c r="P10" s="10">
        <f t="shared" si="0"/>
        <v>-1.730000000000004</v>
      </c>
      <c r="Q10" s="10">
        <f t="shared" si="0"/>
        <v>-4.0600000000000023</v>
      </c>
      <c r="R10" s="10">
        <f t="shared" si="0"/>
        <v>-3.009999999999998</v>
      </c>
      <c r="S10" s="10">
        <f t="shared" si="0"/>
        <v>-7.9600000000000009</v>
      </c>
    </row>
    <row r="11" spans="1:19" s="9" customFormat="1">
      <c r="A11" s="71" t="s">
        <v>51</v>
      </c>
      <c r="B11" s="10">
        <v>24.62</v>
      </c>
      <c r="C11" s="10">
        <v>12.62</v>
      </c>
      <c r="D11" s="10"/>
      <c r="E11" s="10">
        <f>40.79/D55</f>
        <v>30.563464708526897</v>
      </c>
      <c r="F11" s="10">
        <v>18.149999999999999</v>
      </c>
      <c r="G11" s="10">
        <v>20.23</v>
      </c>
      <c r="H11" s="10"/>
      <c r="I11" s="10"/>
      <c r="J11" s="10">
        <v>13.81</v>
      </c>
      <c r="K11" s="10">
        <v>30.87</v>
      </c>
      <c r="L11" s="10">
        <v>18.510000000000002</v>
      </c>
      <c r="M11" s="10">
        <v>14.68</v>
      </c>
      <c r="N11" s="10">
        <f>((39*17.31)+(12*1.72))/(39+12)</f>
        <v>13.641764705882352</v>
      </c>
      <c r="O11" s="10">
        <v>23.65</v>
      </c>
      <c r="P11" s="10">
        <v>20.04</v>
      </c>
      <c r="Q11" s="10">
        <v>18.36</v>
      </c>
      <c r="R11" s="10">
        <v>16.760000000000002</v>
      </c>
      <c r="S11" s="10">
        <v>12.08</v>
      </c>
    </row>
    <row r="12" spans="1:19" s="9" customFormat="1">
      <c r="A12" s="71" t="s">
        <v>3</v>
      </c>
      <c r="B12" s="10">
        <f t="shared" ref="B12:S12" si="1">+B11-$B$3</f>
        <v>0.3940000000000019</v>
      </c>
      <c r="C12" s="10">
        <f t="shared" si="1"/>
        <v>-11.606</v>
      </c>
      <c r="D12" s="10">
        <f t="shared" si="1"/>
        <v>-24.225999999999999</v>
      </c>
      <c r="E12" s="10">
        <f t="shared" si="1"/>
        <v>6.3374647085268982</v>
      </c>
      <c r="F12" s="10">
        <f t="shared" si="1"/>
        <v>-6.0760000000000005</v>
      </c>
      <c r="G12" s="10">
        <f t="shared" si="1"/>
        <v>-3.9959999999999987</v>
      </c>
      <c r="H12" s="10">
        <f t="shared" si="1"/>
        <v>-24.225999999999999</v>
      </c>
      <c r="I12" s="10">
        <f t="shared" si="1"/>
        <v>-24.225999999999999</v>
      </c>
      <c r="J12" s="10">
        <f t="shared" si="1"/>
        <v>-10.415999999999999</v>
      </c>
      <c r="K12" s="10">
        <f t="shared" si="1"/>
        <v>6.6440000000000019</v>
      </c>
      <c r="L12" s="10">
        <f t="shared" si="1"/>
        <v>-5.7159999999999975</v>
      </c>
      <c r="M12" s="10">
        <f t="shared" si="1"/>
        <v>-9.5459999999999994</v>
      </c>
      <c r="N12" s="10">
        <f t="shared" si="1"/>
        <v>-10.584235294117647</v>
      </c>
      <c r="O12" s="10">
        <f t="shared" si="1"/>
        <v>-0.57600000000000051</v>
      </c>
      <c r="P12" s="10">
        <f t="shared" si="1"/>
        <v>-4.1859999999999999</v>
      </c>
      <c r="Q12" s="10">
        <f t="shared" si="1"/>
        <v>-5.8659999999999997</v>
      </c>
      <c r="R12" s="10">
        <f t="shared" si="1"/>
        <v>-7.4659999999999975</v>
      </c>
      <c r="S12" s="10">
        <f t="shared" si="1"/>
        <v>-12.145999999999999</v>
      </c>
    </row>
    <row r="13" spans="1:19" s="9" customFormat="1">
      <c r="A13" s="71" t="s">
        <v>52</v>
      </c>
      <c r="B13" s="10">
        <v>2.56</v>
      </c>
      <c r="C13" s="10">
        <v>2.85</v>
      </c>
      <c r="D13" s="10">
        <f>475/((D46*0.092))/D55</f>
        <v>2.3503082816741183</v>
      </c>
      <c r="E13" s="10">
        <f>2.99/D55</f>
        <v>2.2403716469354116</v>
      </c>
      <c r="F13" s="10">
        <v>2.86</v>
      </c>
      <c r="G13" s="10">
        <v>3.53</v>
      </c>
      <c r="H13" s="10">
        <v>2.7</v>
      </c>
      <c r="I13" s="10">
        <v>2.93</v>
      </c>
      <c r="J13" s="10">
        <v>2.34</v>
      </c>
      <c r="K13" s="10">
        <v>2.58</v>
      </c>
      <c r="L13" s="10">
        <v>2.04</v>
      </c>
      <c r="M13" s="10">
        <v>3.24</v>
      </c>
      <c r="N13" s="10">
        <f>((0.53*482)+(2.87*315))/(315+482)</f>
        <v>1.4548431618569635</v>
      </c>
      <c r="O13" s="10">
        <v>2.68</v>
      </c>
      <c r="P13" s="10">
        <v>2.63</v>
      </c>
      <c r="Q13" s="10">
        <v>1.88</v>
      </c>
      <c r="R13" s="10">
        <v>2.59</v>
      </c>
      <c r="S13" s="10">
        <v>2</v>
      </c>
    </row>
    <row r="14" spans="1:19" s="9" customFormat="1">
      <c r="A14" s="71" t="s">
        <v>3</v>
      </c>
      <c r="B14" s="10">
        <f t="shared" ref="B14:S14" si="2">+B13-$B$4</f>
        <v>-0.45599999999999996</v>
      </c>
      <c r="C14" s="10">
        <f t="shared" si="2"/>
        <v>-0.16599999999999993</v>
      </c>
      <c r="D14" s="10">
        <f t="shared" si="2"/>
        <v>-0.6656917183258817</v>
      </c>
      <c r="E14" s="10">
        <f t="shared" si="2"/>
        <v>-0.77562835306458844</v>
      </c>
      <c r="F14" s="10">
        <f t="shared" si="2"/>
        <v>-0.15600000000000014</v>
      </c>
      <c r="G14" s="10">
        <f t="shared" si="2"/>
        <v>0.51399999999999979</v>
      </c>
      <c r="H14" s="10">
        <f t="shared" si="2"/>
        <v>-0.31599999999999984</v>
      </c>
      <c r="I14" s="10">
        <f t="shared" si="2"/>
        <v>-8.5999999999999854E-2</v>
      </c>
      <c r="J14" s="10">
        <f t="shared" si="2"/>
        <v>-0.67600000000000016</v>
      </c>
      <c r="K14" s="10">
        <f t="shared" si="2"/>
        <v>-0.43599999999999994</v>
      </c>
      <c r="L14" s="10">
        <f t="shared" si="2"/>
        <v>-0.97599999999999998</v>
      </c>
      <c r="M14" s="10">
        <f t="shared" si="2"/>
        <v>0.2240000000000002</v>
      </c>
      <c r="N14" s="10">
        <f t="shared" si="2"/>
        <v>-1.5611568381430365</v>
      </c>
      <c r="O14" s="10">
        <f t="shared" si="2"/>
        <v>-0.33599999999999985</v>
      </c>
      <c r="P14" s="10">
        <f t="shared" si="2"/>
        <v>-0.38600000000000012</v>
      </c>
      <c r="Q14" s="10">
        <f t="shared" si="2"/>
        <v>-1.1360000000000001</v>
      </c>
      <c r="R14" s="10">
        <f t="shared" si="2"/>
        <v>-0.42600000000000016</v>
      </c>
      <c r="S14" s="10">
        <f t="shared" si="2"/>
        <v>-1.016</v>
      </c>
    </row>
    <row r="15" spans="1:19" s="9" customFormat="1">
      <c r="A15" s="71" t="s">
        <v>49</v>
      </c>
      <c r="B15" s="10">
        <f>(1454+443+281)/B48</f>
        <v>30.606222422079203</v>
      </c>
      <c r="C15" s="10">
        <f>(1115+272+68-94)/C48</f>
        <v>31.740757352661319</v>
      </c>
      <c r="D15" s="10">
        <f>(2572+1079)/D48/D55</f>
        <v>34.59535094468329</v>
      </c>
      <c r="E15" s="10">
        <f>34.53/D55</f>
        <v>25.872920725310955</v>
      </c>
      <c r="F15" s="10">
        <f>(187.277+120.285+63.743)/F48</f>
        <v>25.23225183364579</v>
      </c>
      <c r="G15" s="10">
        <f>G64</f>
        <v>32.854348521183049</v>
      </c>
      <c r="H15" s="10">
        <v>30.64</v>
      </c>
      <c r="I15" s="10">
        <v>34.700000000000003</v>
      </c>
      <c r="J15" s="10">
        <v>23.47</v>
      </c>
      <c r="K15" s="10">
        <v>23.81</v>
      </c>
      <c r="L15" s="10">
        <f>(1366.223+137.849+215.373)/L48</f>
        <v>32.033856307862749</v>
      </c>
      <c r="M15" s="20">
        <f>1005/M48</f>
        <v>35.087515128945171</v>
      </c>
      <c r="N15" s="10">
        <f>(1170)/N48</f>
        <v>30.36384712538279</v>
      </c>
      <c r="O15" s="10">
        <f>415/O48</f>
        <v>29.963898916967509</v>
      </c>
      <c r="P15" s="10">
        <f>(564+323+92)/P48</f>
        <v>26.470906337875839</v>
      </c>
      <c r="Q15" s="10">
        <f>Q64</f>
        <v>33.27493252547508</v>
      </c>
      <c r="R15" s="10">
        <v>33.840000000000003</v>
      </c>
      <c r="S15" s="10">
        <f>S64</f>
        <v>12.406864168271367</v>
      </c>
    </row>
    <row r="16" spans="1:19" s="9" customFormat="1">
      <c r="A16" s="71"/>
      <c r="B16" s="10"/>
      <c r="C16" s="10"/>
      <c r="D16" s="10"/>
      <c r="E16" s="10"/>
      <c r="F16" s="10"/>
      <c r="G16" s="10"/>
      <c r="H16" s="10"/>
      <c r="I16" s="10"/>
      <c r="J16" s="10"/>
      <c r="K16" s="10"/>
      <c r="L16" s="10"/>
      <c r="M16" s="20"/>
      <c r="N16" s="10"/>
      <c r="O16" s="10"/>
      <c r="P16" s="10"/>
      <c r="Q16" s="10"/>
      <c r="R16" s="10"/>
      <c r="S16" s="10"/>
    </row>
    <row r="17" spans="1:20" s="9" customFormat="1">
      <c r="A17" s="71" t="s">
        <v>4</v>
      </c>
      <c r="B17" s="10"/>
      <c r="C17" s="10"/>
      <c r="D17" s="10"/>
      <c r="E17" s="10"/>
      <c r="F17" s="10"/>
      <c r="G17" s="10"/>
      <c r="H17" s="10"/>
      <c r="I17" s="10"/>
      <c r="J17" s="10"/>
      <c r="K17" s="10"/>
      <c r="L17" s="10"/>
      <c r="M17" s="20"/>
      <c r="N17" s="10"/>
      <c r="O17" s="10"/>
      <c r="P17" s="10"/>
      <c r="Q17" s="10"/>
      <c r="R17" s="10"/>
      <c r="S17" s="10"/>
    </row>
    <row r="18" spans="1:20" s="9" customFormat="1">
      <c r="A18" s="70" t="s">
        <v>75</v>
      </c>
      <c r="B18" s="10">
        <f>(203+258)/B48</f>
        <v>6.4781765549028982</v>
      </c>
      <c r="C18" s="10">
        <f>(375+45)/C48</f>
        <v>9.7950904394693268</v>
      </c>
      <c r="D18" s="20">
        <f>(713+557+376+20)/D55/D48</f>
        <v>15.78632009691656</v>
      </c>
      <c r="E18" s="10">
        <f>(4.2+10.05)/D55</f>
        <v>10.677356511314251</v>
      </c>
      <c r="F18" s="10">
        <f>(51.111+51.14)/F48</f>
        <v>6.948527443051173</v>
      </c>
      <c r="G18" s="10">
        <f>1342/G48</f>
        <v>11.660237027769089</v>
      </c>
      <c r="H18" s="10">
        <v>3.6</v>
      </c>
      <c r="I18" s="10">
        <v>5.31</v>
      </c>
      <c r="J18" s="10">
        <f>367/J48</f>
        <v>7.4216380182002029</v>
      </c>
      <c r="K18" s="10">
        <f>4.5+6.16</f>
        <v>10.66</v>
      </c>
      <c r="L18" s="10">
        <f>(241.846+193.319+32.516)/L48</f>
        <v>8.7130591277520111</v>
      </c>
      <c r="M18" s="20">
        <f>(562-27)/M48</f>
        <v>18.678428451727029</v>
      </c>
      <c r="N18" s="10">
        <f>(340+118)/N48</f>
        <v>11.886018789252407</v>
      </c>
      <c r="O18" s="10">
        <f>+(61+72)/O48</f>
        <v>9.602888086642599</v>
      </c>
      <c r="P18" s="10">
        <f>(130+129)/P48</f>
        <v>7.0030283365779793</v>
      </c>
      <c r="Q18" s="10">
        <v>11.8</v>
      </c>
      <c r="R18" s="10">
        <v>6.42</v>
      </c>
      <c r="S18" s="10">
        <f>0.87*6</f>
        <v>5.22</v>
      </c>
    </row>
    <row r="19" spans="1:20" s="9" customFormat="1">
      <c r="A19" s="70" t="s">
        <v>74</v>
      </c>
      <c r="B19" s="10"/>
      <c r="C19" s="10"/>
      <c r="D19" s="10">
        <f>214/D48/D55</f>
        <v>2.0277746102882017</v>
      </c>
      <c r="E19" s="10">
        <f>2.06/D55</f>
        <v>1.5435336430391129</v>
      </c>
      <c r="F19" s="10"/>
      <c r="G19" s="10"/>
      <c r="H19" s="10"/>
      <c r="I19" s="10"/>
      <c r="J19" s="10"/>
      <c r="K19" s="10"/>
      <c r="L19" s="10"/>
      <c r="M19" s="20"/>
      <c r="N19" s="10"/>
      <c r="O19" s="10"/>
      <c r="P19" s="10"/>
      <c r="Q19" s="10"/>
      <c r="R19" s="10"/>
      <c r="S19" s="10"/>
    </row>
    <row r="20" spans="1:20" s="9" customFormat="1">
      <c r="A20" s="70" t="s">
        <v>10</v>
      </c>
      <c r="B20" s="10">
        <f>106/B48</f>
        <v>1.4895590343160678</v>
      </c>
      <c r="C20" s="10">
        <f>41/C48</f>
        <v>0.95618740004343439</v>
      </c>
      <c r="D20" s="10"/>
      <c r="E20" s="10">
        <f>0.13/D55</f>
        <v>9.7407462910235276E-2</v>
      </c>
      <c r="F20" s="10">
        <f>18.067/F48</f>
        <v>1.2277537169671255</v>
      </c>
      <c r="G20" s="10">
        <f>201/G48</f>
        <v>1.7464289438014806</v>
      </c>
      <c r="H20" s="10">
        <f>0.064*H15</f>
        <v>1.96096</v>
      </c>
      <c r="I20" s="10">
        <v>2.8</v>
      </c>
      <c r="J20" s="10">
        <f>48/J48</f>
        <v>0.97067745197168864</v>
      </c>
      <c r="K20" s="10">
        <v>0.91</v>
      </c>
      <c r="L20" s="10">
        <f>103.642/L48</f>
        <v>1.9308863822102544</v>
      </c>
      <c r="M20" s="20">
        <f>(27/M48)</f>
        <v>0.94264966018061647</v>
      </c>
      <c r="N20" s="10">
        <f>42/N48</f>
        <v>1.089984255782972</v>
      </c>
      <c r="O20" s="10">
        <f>8/O48</f>
        <v>0.57761732851985559</v>
      </c>
      <c r="P20" s="10">
        <f>(5/P48)</f>
        <v>0.13519359723123511</v>
      </c>
      <c r="Q20" s="10">
        <v>1.0900000000000001</v>
      </c>
      <c r="R20" s="10">
        <v>1.78</v>
      </c>
      <c r="S20" s="10">
        <f>0.11*6</f>
        <v>0.66</v>
      </c>
    </row>
    <row r="21" spans="1:20" s="9" customFormat="1">
      <c r="A21" s="70" t="s">
        <v>11</v>
      </c>
      <c r="B21" s="10">
        <f>236/B48</f>
        <v>3.3163767179112451</v>
      </c>
      <c r="C21" s="10">
        <f>112/C48</f>
        <v>2.6120241171918206</v>
      </c>
      <c r="D21" s="10">
        <f>128/D55/D48</f>
        <v>1.2128745332564943</v>
      </c>
      <c r="E21" s="10">
        <f>101/E48/D55</f>
        <v>2.9095744748277759</v>
      </c>
      <c r="F21" s="10">
        <f>(72.531+73.901-50.769-55.439+45.139-33.888)/F48</f>
        <v>3.4980142016318592</v>
      </c>
      <c r="G21" s="10">
        <f>167/G48</f>
        <v>1.4510131025614292</v>
      </c>
      <c r="H21" s="10">
        <v>2.21</v>
      </c>
      <c r="I21" s="10">
        <v>4.3</v>
      </c>
      <c r="J21" s="10">
        <f>(194)/J48</f>
        <v>3.9231547017189081</v>
      </c>
      <c r="K21" s="10">
        <f>(78+15)/K48</f>
        <v>3.1435769624258048</v>
      </c>
      <c r="L21" s="10">
        <f>102.182/L48</f>
        <v>1.903686076175761</v>
      </c>
      <c r="M21" s="20">
        <f>(98)/M48</f>
        <v>3.4214691369518673</v>
      </c>
      <c r="N21" s="10">
        <f>96/N48</f>
        <v>2.491392584646793</v>
      </c>
      <c r="O21" s="10">
        <f>46/O48</f>
        <v>3.3212996389891698</v>
      </c>
      <c r="P21" s="10">
        <f>106/P48</f>
        <v>2.8661042613021848</v>
      </c>
      <c r="Q21" s="10">
        <v>3.71</v>
      </c>
      <c r="R21" s="10">
        <f>89/R48</f>
        <v>4.0002424716260698</v>
      </c>
      <c r="S21" s="10">
        <f>0.27*6</f>
        <v>1.62</v>
      </c>
    </row>
    <row r="22" spans="1:20" s="9" customFormat="1">
      <c r="A22" s="70" t="s">
        <v>12</v>
      </c>
      <c r="B22" s="10">
        <f>193/B48</f>
        <v>2.7121216379528401</v>
      </c>
      <c r="C22" s="10">
        <f>106/C48</f>
        <v>2.4720942537708304</v>
      </c>
      <c r="D22" s="10">
        <f>153/D55/D48</f>
        <v>1.4497640905331535</v>
      </c>
      <c r="E22" s="10">
        <f>86/E48/D55</f>
        <v>2.4774594538137498</v>
      </c>
      <c r="F22" s="10">
        <f>19.825/F48</f>
        <v>1.3472196512355821</v>
      </c>
      <c r="G22" s="10">
        <f>317/G48</f>
        <v>2.7543182845028324</v>
      </c>
      <c r="H22" s="10">
        <f>75.613/H48</f>
        <v>3.9163054691678325</v>
      </c>
      <c r="I22" s="10">
        <f>41.884/I48</f>
        <v>2.7702967360581332</v>
      </c>
      <c r="J22" s="10">
        <f>99/J48</f>
        <v>2.0020222446916081</v>
      </c>
      <c r="K22" s="10">
        <f>88/K48</f>
        <v>2.9745674483168907</v>
      </c>
      <c r="L22" s="10">
        <f>71.325/L48</f>
        <v>1.3288094711714016</v>
      </c>
      <c r="M22" s="20">
        <f>84/M48</f>
        <v>2.9326878316730287</v>
      </c>
      <c r="N22" s="10">
        <f>77/N48</f>
        <v>1.9983044689354486</v>
      </c>
      <c r="O22" s="10">
        <f>38/O48</f>
        <v>2.743682310469314</v>
      </c>
      <c r="P22" s="10">
        <f>(86+14)/P48</f>
        <v>2.7038719446247024</v>
      </c>
      <c r="Q22" s="10">
        <f>76/Q48</f>
        <v>1.3650569372433037</v>
      </c>
      <c r="R22" s="10">
        <f>46/R48</f>
        <v>2.0675410527505531</v>
      </c>
      <c r="S22" s="10">
        <f>(226-168)/S48</f>
        <v>1.7182639608946821</v>
      </c>
    </row>
    <row r="23" spans="1:20" s="9" customFormat="1">
      <c r="A23" s="70" t="s">
        <v>13</v>
      </c>
      <c r="B23" s="10">
        <f>1026/B48</f>
        <v>14.417807256681938</v>
      </c>
      <c r="C23" s="10">
        <f>585/C48</f>
        <v>13.643161683546563</v>
      </c>
      <c r="D23" s="10">
        <f>1247/D55/D48</f>
        <v>11.816051116959754</v>
      </c>
      <c r="E23" s="10">
        <f>(170-310+462)/E48/D55</f>
        <v>9.2760691177677597</v>
      </c>
      <c r="F23" s="10">
        <f>106.363/F48</f>
        <v>7.2279608456176652</v>
      </c>
      <c r="G23" s="10">
        <f>2061/G48</f>
        <v>17.907413199874885</v>
      </c>
      <c r="H23" s="10">
        <v>20.11</v>
      </c>
      <c r="I23" s="10">
        <v>18.32</v>
      </c>
      <c r="J23" s="10">
        <f>241/J48</f>
        <v>4.8736097067745199</v>
      </c>
      <c r="K23" s="10">
        <f>184/K48</f>
        <v>6.2195501192080442</v>
      </c>
      <c r="L23" s="10">
        <f>862.524/L48</f>
        <v>16.069121069928382</v>
      </c>
      <c r="M23" s="20">
        <f>736/M48</f>
        <v>25.695931477516062</v>
      </c>
      <c r="N23" s="10">
        <f>631/N48</f>
        <v>16.375715842834648</v>
      </c>
      <c r="O23" s="10">
        <f>115/O48</f>
        <v>8.3032490974729249</v>
      </c>
      <c r="P23" s="10">
        <f>595/P48</f>
        <v>16.08803807051698</v>
      </c>
      <c r="Q23" s="10">
        <f>1050/Q48</f>
        <v>18.859339264545643</v>
      </c>
      <c r="R23" s="10">
        <f>357/R48</f>
        <v>16.045916431129292</v>
      </c>
      <c r="S23" s="10">
        <f>71/S48</f>
        <v>2.1033920900607317</v>
      </c>
    </row>
    <row r="24" spans="1:20" s="9" customFormat="1">
      <c r="A24" s="70"/>
      <c r="B24" s="10"/>
      <c r="C24" s="10"/>
      <c r="D24" s="10"/>
      <c r="E24" s="10"/>
      <c r="F24" s="10"/>
      <c r="G24" s="10"/>
      <c r="H24" s="10"/>
      <c r="I24" s="10"/>
      <c r="J24" s="10"/>
      <c r="K24" s="10"/>
      <c r="L24" s="10"/>
      <c r="M24" s="20"/>
      <c r="N24" s="10"/>
      <c r="O24" s="10"/>
      <c r="P24" s="10"/>
      <c r="Q24" s="10"/>
      <c r="R24" s="10"/>
      <c r="S24" s="10"/>
    </row>
    <row r="25" spans="1:20" s="9" customFormat="1">
      <c r="A25" s="71" t="s">
        <v>9</v>
      </c>
      <c r="B25" s="8"/>
      <c r="C25" s="8"/>
      <c r="D25" s="8"/>
      <c r="E25" s="8"/>
      <c r="F25" s="8"/>
      <c r="G25" s="8"/>
      <c r="H25" s="8"/>
      <c r="I25" s="8"/>
      <c r="J25" s="8"/>
      <c r="K25" s="8"/>
      <c r="L25" s="8"/>
      <c r="M25" s="19"/>
      <c r="N25" s="8"/>
      <c r="O25" s="8"/>
      <c r="P25" s="8"/>
      <c r="Q25" s="8"/>
      <c r="R25" s="8"/>
      <c r="S25" s="8"/>
    </row>
    <row r="26" spans="1:20" s="9" customFormat="1">
      <c r="A26" s="70" t="s">
        <v>5</v>
      </c>
      <c r="B26" s="10">
        <f>+B18+B20</f>
        <v>7.9677355892189663</v>
      </c>
      <c r="C26" s="10">
        <f>+C18+C20</f>
        <v>10.751277839512762</v>
      </c>
      <c r="D26" s="10">
        <f>+D18+D20+D19</f>
        <v>17.814094707204763</v>
      </c>
      <c r="E26" s="10">
        <f>+E18+E20+E19</f>
        <v>12.3182976172636</v>
      </c>
      <c r="F26" s="10">
        <f t="shared" ref="F26:S26" si="3">+F18+F20</f>
        <v>8.1762811600182985</v>
      </c>
      <c r="G26" s="10">
        <f t="shared" si="3"/>
        <v>13.40666597157057</v>
      </c>
      <c r="H26" s="10">
        <f t="shared" si="3"/>
        <v>5.5609599999999997</v>
      </c>
      <c r="I26" s="10">
        <f t="shared" si="3"/>
        <v>8.11</v>
      </c>
      <c r="J26" s="10">
        <f t="shared" si="3"/>
        <v>8.3923154701718907</v>
      </c>
      <c r="K26" s="10">
        <f t="shared" si="3"/>
        <v>11.57</v>
      </c>
      <c r="L26" s="10">
        <f t="shared" si="3"/>
        <v>10.643945509962265</v>
      </c>
      <c r="M26" s="20">
        <f t="shared" si="3"/>
        <v>19.621078111907647</v>
      </c>
      <c r="N26" s="10">
        <f t="shared" si="3"/>
        <v>12.97600304503538</v>
      </c>
      <c r="O26" s="10">
        <f>+O18+O20</f>
        <v>10.180505415162454</v>
      </c>
      <c r="P26" s="10">
        <f t="shared" si="3"/>
        <v>7.1382219338092145</v>
      </c>
      <c r="Q26" s="10">
        <f t="shared" si="3"/>
        <v>12.89</v>
      </c>
      <c r="R26" s="10">
        <f t="shared" si="3"/>
        <v>8.1999999999999993</v>
      </c>
      <c r="S26" s="10">
        <f t="shared" si="3"/>
        <v>5.88</v>
      </c>
    </row>
    <row r="27" spans="1:20" s="9" customFormat="1">
      <c r="A27" s="70" t="s">
        <v>6</v>
      </c>
      <c r="B27" s="10">
        <f t="shared" ref="B27:S29" si="4">+B26+B21</f>
        <v>11.284112307130211</v>
      </c>
      <c r="C27" s="10">
        <f t="shared" si="4"/>
        <v>13.363301956704582</v>
      </c>
      <c r="D27" s="10">
        <f t="shared" si="4"/>
        <v>19.026969240461256</v>
      </c>
      <c r="E27" s="10">
        <f t="shared" si="4"/>
        <v>15.227872092091376</v>
      </c>
      <c r="F27" s="10">
        <f t="shared" si="4"/>
        <v>11.674295361650158</v>
      </c>
      <c r="G27" s="10">
        <f t="shared" si="4"/>
        <v>14.857679074131999</v>
      </c>
      <c r="H27" s="10">
        <f t="shared" si="4"/>
        <v>7.7709599999999996</v>
      </c>
      <c r="I27" s="10">
        <f t="shared" si="4"/>
        <v>12.41</v>
      </c>
      <c r="J27" s="10">
        <f t="shared" si="4"/>
        <v>12.315470171890798</v>
      </c>
      <c r="K27" s="10">
        <f t="shared" si="4"/>
        <v>14.713576962425805</v>
      </c>
      <c r="L27" s="10">
        <f t="shared" si="4"/>
        <v>12.547631586138026</v>
      </c>
      <c r="M27" s="20">
        <f t="shared" si="4"/>
        <v>23.042547248859513</v>
      </c>
      <c r="N27" s="10">
        <f t="shared" si="4"/>
        <v>15.467395629682173</v>
      </c>
      <c r="O27" s="10">
        <f>+O26+O21</f>
        <v>13.501805054151625</v>
      </c>
      <c r="P27" s="10">
        <f t="shared" si="4"/>
        <v>10.0043261951114</v>
      </c>
      <c r="Q27" s="10">
        <f t="shared" si="4"/>
        <v>16.600000000000001</v>
      </c>
      <c r="R27" s="10">
        <f t="shared" si="4"/>
        <v>12.200242471626069</v>
      </c>
      <c r="S27" s="10">
        <f t="shared" si="4"/>
        <v>7.5</v>
      </c>
    </row>
    <row r="28" spans="1:20" s="9" customFormat="1">
      <c r="A28" s="70" t="s">
        <v>7</v>
      </c>
      <c r="B28" s="10">
        <f t="shared" si="4"/>
        <v>13.996233945083052</v>
      </c>
      <c r="C28" s="10">
        <f t="shared" si="4"/>
        <v>15.835396210475412</v>
      </c>
      <c r="D28" s="10">
        <f t="shared" si="4"/>
        <v>20.47673333099441</v>
      </c>
      <c r="E28" s="10">
        <f t="shared" si="4"/>
        <v>17.705331545905125</v>
      </c>
      <c r="F28" s="10">
        <f t="shared" si="4"/>
        <v>13.02151501288574</v>
      </c>
      <c r="G28" s="10">
        <f t="shared" si="4"/>
        <v>17.611997358634831</v>
      </c>
      <c r="H28" s="10">
        <f t="shared" si="4"/>
        <v>11.687265469167832</v>
      </c>
      <c r="I28" s="10">
        <f t="shared" si="4"/>
        <v>15.180296736058134</v>
      </c>
      <c r="J28" s="10">
        <f t="shared" si="4"/>
        <v>14.317492416582406</v>
      </c>
      <c r="K28" s="10">
        <f t="shared" si="4"/>
        <v>17.688144410742694</v>
      </c>
      <c r="L28" s="10">
        <f t="shared" si="4"/>
        <v>13.876441057309428</v>
      </c>
      <c r="M28" s="20">
        <f t="shared" si="4"/>
        <v>25.975235080532542</v>
      </c>
      <c r="N28" s="10">
        <f t="shared" si="4"/>
        <v>17.465700098617621</v>
      </c>
      <c r="O28" s="10">
        <f>+O27+O22</f>
        <v>16.245487364620939</v>
      </c>
      <c r="P28" s="10">
        <f t="shared" si="4"/>
        <v>12.708198139736101</v>
      </c>
      <c r="Q28" s="10">
        <f t="shared" si="4"/>
        <v>17.965056937243304</v>
      </c>
      <c r="R28" s="10">
        <f t="shared" si="4"/>
        <v>14.267783524376622</v>
      </c>
      <c r="S28" s="10">
        <f t="shared" si="4"/>
        <v>9.2182639608946815</v>
      </c>
      <c r="T28" s="65"/>
    </row>
    <row r="29" spans="1:20" s="9" customFormat="1">
      <c r="A29" s="70" t="s">
        <v>8</v>
      </c>
      <c r="B29" s="10">
        <f t="shared" si="4"/>
        <v>28.414041201764988</v>
      </c>
      <c r="C29" s="10">
        <f t="shared" si="4"/>
        <v>29.478557894021975</v>
      </c>
      <c r="D29" s="10">
        <f t="shared" si="4"/>
        <v>32.292784447954162</v>
      </c>
      <c r="E29" s="10">
        <f t="shared" si="4"/>
        <v>26.981400663672886</v>
      </c>
      <c r="F29" s="10">
        <f t="shared" si="4"/>
        <v>20.249475858503406</v>
      </c>
      <c r="G29" s="10">
        <f t="shared" si="4"/>
        <v>35.519410558509719</v>
      </c>
      <c r="H29" s="10">
        <f t="shared" si="4"/>
        <v>31.797265469167833</v>
      </c>
      <c r="I29" s="10">
        <f t="shared" si="4"/>
        <v>33.500296736058132</v>
      </c>
      <c r="J29" s="10">
        <f t="shared" si="4"/>
        <v>19.191102123356927</v>
      </c>
      <c r="K29" s="10">
        <f t="shared" si="4"/>
        <v>23.907694529950739</v>
      </c>
      <c r="L29" s="10">
        <f t="shared" si="4"/>
        <v>29.94556212723781</v>
      </c>
      <c r="M29" s="20">
        <f t="shared" si="4"/>
        <v>51.671166558048604</v>
      </c>
      <c r="N29" s="10">
        <f t="shared" si="4"/>
        <v>33.841415941452269</v>
      </c>
      <c r="O29" s="10">
        <f>+O28+O23</f>
        <v>24.548736462093864</v>
      </c>
      <c r="P29" s="10">
        <f t="shared" si="4"/>
        <v>28.796236210253081</v>
      </c>
      <c r="Q29" s="10">
        <f t="shared" si="4"/>
        <v>36.824396201788943</v>
      </c>
      <c r="R29" s="10">
        <f t="shared" si="4"/>
        <v>30.313699955505914</v>
      </c>
      <c r="S29" s="10">
        <f t="shared" si="4"/>
        <v>11.321656050955413</v>
      </c>
      <c r="T29" s="65"/>
    </row>
    <row r="30" spans="1:20" s="9" customFormat="1">
      <c r="A30" s="71"/>
      <c r="B30" s="10"/>
      <c r="C30" s="10"/>
      <c r="D30" s="10"/>
      <c r="E30" s="10"/>
      <c r="F30" s="10"/>
      <c r="G30" s="10"/>
      <c r="H30" s="10"/>
      <c r="I30" s="10"/>
      <c r="J30" s="10"/>
      <c r="K30" s="10"/>
      <c r="L30" s="10"/>
      <c r="M30" s="10"/>
      <c r="N30" s="10"/>
      <c r="O30" s="10"/>
      <c r="P30" s="10"/>
      <c r="Q30" s="10"/>
      <c r="R30" s="10"/>
      <c r="S30" s="10"/>
    </row>
    <row r="31" spans="1:20" s="9" customFormat="1">
      <c r="A31" s="70" t="s">
        <v>14</v>
      </c>
      <c r="B31" s="10"/>
      <c r="C31" s="10"/>
      <c r="D31" s="10"/>
      <c r="E31" s="10"/>
      <c r="F31" s="10"/>
      <c r="G31" s="10"/>
      <c r="H31" s="10"/>
      <c r="I31" s="10"/>
      <c r="J31" s="10"/>
      <c r="K31" s="10"/>
      <c r="L31" s="10"/>
      <c r="M31" s="20"/>
      <c r="N31" s="10"/>
      <c r="O31" s="10"/>
      <c r="P31" s="10"/>
      <c r="Q31" s="10"/>
      <c r="R31" s="10"/>
      <c r="S31" s="10"/>
    </row>
    <row r="32" spans="1:20" s="9" customFormat="1">
      <c r="A32" s="70" t="s">
        <v>67</v>
      </c>
      <c r="B32" s="10">
        <f t="shared" ref="B32:S35" si="5">+B$15-B26</f>
        <v>22.638486832860238</v>
      </c>
      <c r="C32" s="10">
        <f t="shared" si="5"/>
        <v>20.989479513148559</v>
      </c>
      <c r="D32" s="10">
        <f t="shared" si="5"/>
        <v>16.781256237478527</v>
      </c>
      <c r="E32" s="10">
        <f t="shared" si="5"/>
        <v>13.554623108047355</v>
      </c>
      <c r="F32" s="10">
        <f t="shared" si="5"/>
        <v>17.055970673627492</v>
      </c>
      <c r="G32" s="10">
        <f t="shared" si="5"/>
        <v>19.44768254961248</v>
      </c>
      <c r="H32" s="10">
        <f t="shared" si="5"/>
        <v>25.079039999999999</v>
      </c>
      <c r="I32" s="10">
        <f t="shared" si="5"/>
        <v>26.590000000000003</v>
      </c>
      <c r="J32" s="10">
        <f t="shared" si="5"/>
        <v>15.077684529828108</v>
      </c>
      <c r="K32" s="10">
        <f t="shared" si="5"/>
        <v>12.239999999999998</v>
      </c>
      <c r="L32" s="10">
        <f t="shared" si="5"/>
        <v>21.389910797900484</v>
      </c>
      <c r="M32" s="20">
        <f t="shared" si="5"/>
        <v>15.466437017037524</v>
      </c>
      <c r="N32" s="10">
        <f t="shared" si="5"/>
        <v>17.38784408034741</v>
      </c>
      <c r="O32" s="10">
        <f>+O$15-O26</f>
        <v>19.783393501805055</v>
      </c>
      <c r="P32" s="10">
        <f t="shared" si="5"/>
        <v>19.332684404066626</v>
      </c>
      <c r="Q32" s="10">
        <f t="shared" si="5"/>
        <v>20.38493252547508</v>
      </c>
      <c r="R32" s="10">
        <f t="shared" si="5"/>
        <v>25.640000000000004</v>
      </c>
      <c r="S32" s="10">
        <f t="shared" si="5"/>
        <v>6.5268641682713673</v>
      </c>
    </row>
    <row r="33" spans="1:19" s="9" customFormat="1">
      <c r="A33" s="70" t="s">
        <v>68</v>
      </c>
      <c r="B33" s="10">
        <f t="shared" si="5"/>
        <v>19.322110114948991</v>
      </c>
      <c r="C33" s="10">
        <f t="shared" si="5"/>
        <v>18.377455395956737</v>
      </c>
      <c r="D33" s="10">
        <f t="shared" si="5"/>
        <v>15.568381704222034</v>
      </c>
      <c r="E33" s="10">
        <f t="shared" si="5"/>
        <v>10.645048633219579</v>
      </c>
      <c r="F33" s="10">
        <f t="shared" si="5"/>
        <v>13.557956471995633</v>
      </c>
      <c r="G33" s="10">
        <f t="shared" si="5"/>
        <v>17.996669447051048</v>
      </c>
      <c r="H33" s="10">
        <f t="shared" si="5"/>
        <v>22.869040000000002</v>
      </c>
      <c r="I33" s="10">
        <f t="shared" si="5"/>
        <v>22.290000000000003</v>
      </c>
      <c r="J33" s="10">
        <f t="shared" si="5"/>
        <v>11.154529828109201</v>
      </c>
      <c r="K33" s="10">
        <f t="shared" si="5"/>
        <v>9.0964230375741941</v>
      </c>
      <c r="L33" s="10">
        <f t="shared" si="5"/>
        <v>19.486224721724724</v>
      </c>
      <c r="M33" s="20">
        <f t="shared" si="5"/>
        <v>12.044967880085657</v>
      </c>
      <c r="N33" s="10">
        <f t="shared" si="5"/>
        <v>14.896451495700617</v>
      </c>
      <c r="O33" s="10">
        <f>+O$15-O27</f>
        <v>16.462093862815884</v>
      </c>
      <c r="P33" s="10">
        <f t="shared" si="5"/>
        <v>16.466580142764439</v>
      </c>
      <c r="Q33" s="10">
        <f t="shared" si="5"/>
        <v>16.674932525475079</v>
      </c>
      <c r="R33" s="10">
        <f t="shared" si="5"/>
        <v>21.639757528373934</v>
      </c>
      <c r="S33" s="10">
        <f t="shared" si="5"/>
        <v>4.9068641682713672</v>
      </c>
    </row>
    <row r="34" spans="1:19" s="9" customFormat="1">
      <c r="A34" s="70" t="s">
        <v>69</v>
      </c>
      <c r="B34" s="10">
        <f t="shared" si="5"/>
        <v>16.609988476996151</v>
      </c>
      <c r="C34" s="10">
        <f t="shared" si="5"/>
        <v>15.905361142185907</v>
      </c>
      <c r="D34" s="10">
        <f t="shared" si="5"/>
        <v>14.11861761368888</v>
      </c>
      <c r="E34" s="10">
        <f t="shared" si="5"/>
        <v>8.1675891794058302</v>
      </c>
      <c r="F34" s="10">
        <f t="shared" si="5"/>
        <v>12.210736820760051</v>
      </c>
      <c r="G34" s="10">
        <f t="shared" si="5"/>
        <v>15.242351162548218</v>
      </c>
      <c r="H34" s="10">
        <f t="shared" si="5"/>
        <v>18.952734530832167</v>
      </c>
      <c r="I34" s="10">
        <f t="shared" si="5"/>
        <v>19.519703263941871</v>
      </c>
      <c r="J34" s="10">
        <f t="shared" si="5"/>
        <v>9.1525075834175933</v>
      </c>
      <c r="K34" s="10">
        <f t="shared" si="5"/>
        <v>6.1218555892573043</v>
      </c>
      <c r="L34" s="10">
        <f t="shared" si="5"/>
        <v>18.157415250553321</v>
      </c>
      <c r="M34" s="20">
        <f t="shared" si="5"/>
        <v>9.1122800484126287</v>
      </c>
      <c r="N34" s="10">
        <f t="shared" si="5"/>
        <v>12.898147026765169</v>
      </c>
      <c r="O34" s="10">
        <f>+O$15-O28</f>
        <v>13.71841155234657</v>
      </c>
      <c r="P34" s="10">
        <f t="shared" si="5"/>
        <v>13.762708198139737</v>
      </c>
      <c r="Q34" s="10">
        <f t="shared" si="5"/>
        <v>15.309875588231776</v>
      </c>
      <c r="R34" s="10">
        <f t="shared" si="5"/>
        <v>19.572216475623382</v>
      </c>
      <c r="S34" s="10">
        <f t="shared" si="5"/>
        <v>3.1886002073766857</v>
      </c>
    </row>
    <row r="35" spans="1:19" s="9" customFormat="1">
      <c r="A35" s="70" t="s">
        <v>70</v>
      </c>
      <c r="B35" s="10">
        <f t="shared" si="5"/>
        <v>2.1921812203142146</v>
      </c>
      <c r="C35" s="10">
        <f t="shared" si="5"/>
        <v>2.2621994586393441</v>
      </c>
      <c r="D35" s="10">
        <f t="shared" si="5"/>
        <v>2.3025664967291277</v>
      </c>
      <c r="E35" s="10">
        <f t="shared" si="5"/>
        <v>-1.1084799383619313</v>
      </c>
      <c r="F35" s="10">
        <f t="shared" si="5"/>
        <v>4.9827759751423848</v>
      </c>
      <c r="G35" s="10">
        <f t="shared" si="5"/>
        <v>-2.6650620373266705</v>
      </c>
      <c r="H35" s="10">
        <f t="shared" si="5"/>
        <v>-1.1572654691678324</v>
      </c>
      <c r="I35" s="10">
        <f t="shared" si="5"/>
        <v>1.1997032639418705</v>
      </c>
      <c r="J35" s="10">
        <f t="shared" si="5"/>
        <v>4.2788978766430716</v>
      </c>
      <c r="K35" s="10">
        <f t="shared" si="5"/>
        <v>-9.7694529950739906E-2</v>
      </c>
      <c r="L35" s="10">
        <f t="shared" si="5"/>
        <v>2.0882941806249384</v>
      </c>
      <c r="M35" s="20">
        <f t="shared" si="5"/>
        <v>-16.583651429103433</v>
      </c>
      <c r="N35" s="10">
        <f t="shared" si="5"/>
        <v>-3.4775688160694784</v>
      </c>
      <c r="O35" s="10">
        <f>+O$15-O29</f>
        <v>5.415162454873645</v>
      </c>
      <c r="P35" s="10">
        <f t="shared" si="5"/>
        <v>-2.3253298723772424</v>
      </c>
      <c r="Q35" s="10">
        <f t="shared" si="5"/>
        <v>-3.5494636763138629</v>
      </c>
      <c r="R35" s="10">
        <f t="shared" si="5"/>
        <v>3.5263000444940893</v>
      </c>
      <c r="S35" s="10">
        <f t="shared" si="5"/>
        <v>1.085208117315954</v>
      </c>
    </row>
    <row r="36" spans="1:19" s="9" customFormat="1">
      <c r="A36" s="70" t="s">
        <v>112</v>
      </c>
      <c r="B36" s="10">
        <f>+B15-B18-B19-B20-B21</f>
        <v>19.322110114948991</v>
      </c>
      <c r="C36" s="10">
        <f t="shared" ref="C36:S36" si="6">+C15-C18-C19-C20-C21</f>
        <v>18.377455395956737</v>
      </c>
      <c r="D36" s="10">
        <f t="shared" si="6"/>
        <v>15.568381704222032</v>
      </c>
      <c r="E36" s="10">
        <f t="shared" si="6"/>
        <v>10.645048633219579</v>
      </c>
      <c r="F36" s="10">
        <f t="shared" si="6"/>
        <v>13.557956471995633</v>
      </c>
      <c r="G36" s="10">
        <f t="shared" si="6"/>
        <v>17.996669447051051</v>
      </c>
      <c r="H36" s="10">
        <f t="shared" si="6"/>
        <v>22.869039999999998</v>
      </c>
      <c r="I36" s="10">
        <f t="shared" si="6"/>
        <v>22.290000000000003</v>
      </c>
      <c r="J36" s="10">
        <f t="shared" si="6"/>
        <v>11.154529828109201</v>
      </c>
      <c r="K36" s="10">
        <f t="shared" si="6"/>
        <v>9.0964230375741941</v>
      </c>
      <c r="L36" s="10">
        <f t="shared" si="6"/>
        <v>19.486224721724724</v>
      </c>
      <c r="M36" s="10">
        <f>+M15-M18-M19-M20-M21</f>
        <v>12.044967880085657</v>
      </c>
      <c r="N36" s="10">
        <f t="shared" si="6"/>
        <v>14.896451495700617</v>
      </c>
      <c r="O36" s="10">
        <f>+O15-O18-O19-O20-O21</f>
        <v>16.46209386281588</v>
      </c>
      <c r="P36" s="10">
        <f t="shared" si="6"/>
        <v>16.466580142764439</v>
      </c>
      <c r="Q36" s="10">
        <f t="shared" si="6"/>
        <v>16.674932525475079</v>
      </c>
      <c r="R36" s="10">
        <f t="shared" si="6"/>
        <v>21.639757528373931</v>
      </c>
      <c r="S36" s="10">
        <f t="shared" si="6"/>
        <v>4.9068641682713672</v>
      </c>
    </row>
    <row r="37" spans="1:19" s="9" customFormat="1">
      <c r="A37" s="70" t="s">
        <v>105</v>
      </c>
      <c r="B37" s="31">
        <f>+(B34+B22)/B22</f>
        <v>7.1243523316062181</v>
      </c>
      <c r="C37" s="31">
        <f t="shared" ref="C37:S37" si="7">+(C34+C22)/C22</f>
        <v>7.4339622641509431</v>
      </c>
      <c r="D37" s="31">
        <f t="shared" si="7"/>
        <v>10.738562091503269</v>
      </c>
      <c r="E37" s="31">
        <f t="shared" si="7"/>
        <v>4.2967599800000009</v>
      </c>
      <c r="F37" s="31">
        <f t="shared" si="7"/>
        <v>10.063656998738965</v>
      </c>
      <c r="G37" s="31">
        <f t="shared" si="7"/>
        <v>6.5339832176656136</v>
      </c>
      <c r="H37" s="31">
        <f t="shared" si="7"/>
        <v>5.8394423468860293</v>
      </c>
      <c r="I37" s="31">
        <f t="shared" si="7"/>
        <v>8.0460694733072309</v>
      </c>
      <c r="J37" s="31">
        <f t="shared" si="7"/>
        <v>5.571631313131312</v>
      </c>
      <c r="K37" s="31">
        <f t="shared" si="7"/>
        <v>3.0580658181818179</v>
      </c>
      <c r="L37" s="31">
        <f t="shared" si="7"/>
        <v>14.664423413950228</v>
      </c>
      <c r="M37" s="31">
        <f>+(M34+M22)/M22</f>
        <v>4.1071428571428585</v>
      </c>
      <c r="N37" s="31">
        <f t="shared" si="7"/>
        <v>7.454545454545455</v>
      </c>
      <c r="O37" s="31">
        <f>+(O34+O22)/O22</f>
        <v>6</v>
      </c>
      <c r="P37" s="31">
        <f t="shared" si="7"/>
        <v>6.0900000000000007</v>
      </c>
      <c r="Q37" s="31">
        <f t="shared" si="7"/>
        <v>12.215558245614035</v>
      </c>
      <c r="R37" s="31">
        <f>+(R34+R22)/R22</f>
        <v>10.466422177971017</v>
      </c>
      <c r="S37" s="31">
        <f t="shared" si="7"/>
        <v>2.8557103448275871</v>
      </c>
    </row>
    <row r="38" spans="1:19" s="9" customFormat="1">
      <c r="A38" s="71"/>
      <c r="B38" s="8"/>
      <c r="C38" s="8"/>
      <c r="D38" s="8"/>
      <c r="E38" s="8"/>
      <c r="F38" s="8"/>
      <c r="G38" s="8"/>
      <c r="H38" s="8"/>
      <c r="I38" s="8"/>
      <c r="J38" s="8"/>
      <c r="K38" s="8"/>
      <c r="L38" s="8"/>
      <c r="M38" s="19"/>
      <c r="N38" s="8"/>
      <c r="O38" s="8"/>
      <c r="P38" s="8"/>
      <c r="Q38" s="8"/>
      <c r="R38" s="8"/>
      <c r="S38" s="8"/>
    </row>
    <row r="39" spans="1:19" s="9" customFormat="1">
      <c r="A39" s="70" t="s">
        <v>53</v>
      </c>
      <c r="B39" s="8"/>
      <c r="C39" s="8"/>
      <c r="D39" s="8"/>
      <c r="E39" s="8"/>
      <c r="F39" s="8"/>
      <c r="G39" s="8"/>
      <c r="H39" s="8"/>
      <c r="I39" s="8"/>
      <c r="J39" s="8"/>
      <c r="K39" s="8"/>
      <c r="L39" s="8"/>
      <c r="M39" s="19"/>
      <c r="N39" s="8"/>
      <c r="O39" s="8"/>
      <c r="P39" s="8"/>
      <c r="Q39" s="8"/>
      <c r="R39" s="8"/>
      <c r="S39" s="8"/>
    </row>
    <row r="40" spans="1:19" s="9" customFormat="1">
      <c r="A40" s="70" t="s">
        <v>54</v>
      </c>
      <c r="B40" s="12">
        <f t="shared" ref="B40:S41" si="8">+B44/B$47*100</f>
        <v>43.438914027149323</v>
      </c>
      <c r="C40" s="12">
        <f t="shared" si="8"/>
        <v>53.711872843680808</v>
      </c>
      <c r="D40" s="12">
        <f t="shared" si="8"/>
        <v>68.082899143124749</v>
      </c>
      <c r="E40" s="12">
        <f t="shared" si="8"/>
        <v>77.241016656192926</v>
      </c>
      <c r="F40" s="12">
        <f t="shared" si="8"/>
        <v>28.488099480465891</v>
      </c>
      <c r="G40" s="12">
        <f t="shared" si="8"/>
        <v>50.519584332533974</v>
      </c>
      <c r="H40" s="12">
        <f t="shared" si="8"/>
        <v>55.506219588029239</v>
      </c>
      <c r="I40" s="12">
        <f t="shared" si="8"/>
        <v>60.982800534269622</v>
      </c>
      <c r="J40" s="12">
        <f t="shared" si="8"/>
        <v>45.395348837209305</v>
      </c>
      <c r="K40" s="12">
        <f t="shared" si="8"/>
        <v>20.648906395770709</v>
      </c>
      <c r="L40" s="12">
        <f t="shared" si="8"/>
        <v>53.425127121064953</v>
      </c>
      <c r="M40" s="21">
        <f t="shared" si="8"/>
        <v>59.743040685224848</v>
      </c>
      <c r="N40" s="12">
        <f t="shared" si="8"/>
        <v>56.108237166732991</v>
      </c>
      <c r="O40" s="12">
        <f>+O44/O$47*100</f>
        <v>44.04332129963899</v>
      </c>
      <c r="P40" s="12">
        <f t="shared" si="8"/>
        <v>32.089552238805972</v>
      </c>
      <c r="Q40" s="12">
        <f t="shared" si="8"/>
        <v>62.131644175158364</v>
      </c>
      <c r="R40" s="12">
        <f t="shared" si="8"/>
        <v>59.063031745714497</v>
      </c>
      <c r="S40" s="12">
        <f t="shared" si="8"/>
        <v>1.3716486446452376</v>
      </c>
    </row>
    <row r="41" spans="1:19" s="9" customFormat="1">
      <c r="A41" s="70" t="s">
        <v>55</v>
      </c>
      <c r="B41" s="12">
        <f t="shared" si="8"/>
        <v>16.031027795733678</v>
      </c>
      <c r="C41" s="12">
        <f t="shared" si="8"/>
        <v>10.2848916047306</v>
      </c>
      <c r="D41" s="12">
        <f t="shared" si="8"/>
        <v>0</v>
      </c>
      <c r="E41" s="12">
        <f t="shared" si="8"/>
        <v>0.41631639574463569</v>
      </c>
      <c r="F41" s="12">
        <f t="shared" si="8"/>
        <v>23.872310895211655</v>
      </c>
      <c r="G41" s="12">
        <f t="shared" si="8"/>
        <v>10.631494804156674</v>
      </c>
      <c r="H41" s="12">
        <f t="shared" si="8"/>
        <v>0</v>
      </c>
      <c r="I41" s="12">
        <f t="shared" si="8"/>
        <v>0</v>
      </c>
      <c r="J41" s="12">
        <f t="shared" si="8"/>
        <v>16.744186046511629</v>
      </c>
      <c r="K41" s="12">
        <f t="shared" si="8"/>
        <v>13.216544003317093</v>
      </c>
      <c r="L41" s="12">
        <f t="shared" si="8"/>
        <v>13.866194366679998</v>
      </c>
      <c r="M41" s="21">
        <f t="shared" si="8"/>
        <v>12.847965738758029</v>
      </c>
      <c r="N41" s="12">
        <f t="shared" si="8"/>
        <v>12.176681257461201</v>
      </c>
      <c r="O41" s="12">
        <f>+O45/O$47*100</f>
        <v>18.050541516245488</v>
      </c>
      <c r="P41" s="12">
        <f t="shared" si="8"/>
        <v>12.437810945273633</v>
      </c>
      <c r="Q41" s="12">
        <f t="shared" si="8"/>
        <v>14.045717433213992</v>
      </c>
      <c r="R41" s="12">
        <f t="shared" si="8"/>
        <v>18.299805857895144</v>
      </c>
      <c r="S41" s="12">
        <f t="shared" si="8"/>
        <v>8.2713672048585387</v>
      </c>
    </row>
    <row r="42" spans="1:19" s="9" customFormat="1">
      <c r="A42" s="70" t="s">
        <v>56</v>
      </c>
      <c r="B42" s="12">
        <f t="shared" ref="B42:S42" si="9">+(B46/6)/B$47*100</f>
        <v>40.530058177116999</v>
      </c>
      <c r="C42" s="12">
        <f t="shared" si="9"/>
        <v>36.003235551588595</v>
      </c>
      <c r="D42" s="12">
        <f t="shared" si="9"/>
        <v>31.917100856875269</v>
      </c>
      <c r="E42" s="12">
        <f t="shared" si="9"/>
        <v>22.342666948062437</v>
      </c>
      <c r="F42" s="12">
        <f t="shared" si="9"/>
        <v>47.63958962432244</v>
      </c>
      <c r="G42" s="12">
        <f t="shared" si="9"/>
        <v>38.848920863309353</v>
      </c>
      <c r="H42" s="12">
        <f t="shared" si="9"/>
        <v>44.493780411970768</v>
      </c>
      <c r="I42" s="12">
        <f t="shared" si="9"/>
        <v>39.017199465730378</v>
      </c>
      <c r="J42" s="12">
        <f t="shared" si="9"/>
        <v>37.860465116279066</v>
      </c>
      <c r="K42" s="12">
        <f t="shared" si="9"/>
        <v>66.134549600912194</v>
      </c>
      <c r="L42" s="12">
        <f t="shared" si="9"/>
        <v>32.708678512255041</v>
      </c>
      <c r="M42" s="21">
        <f t="shared" si="9"/>
        <v>27.408993576017131</v>
      </c>
      <c r="N42" s="12">
        <f t="shared" si="9"/>
        <v>31.715081575805808</v>
      </c>
      <c r="O42" s="12">
        <f>+(O46/6)/O$47*100</f>
        <v>37.906137184115522</v>
      </c>
      <c r="P42" s="12">
        <f t="shared" si="9"/>
        <v>55.472636815920396</v>
      </c>
      <c r="Q42" s="12">
        <f t="shared" si="9"/>
        <v>23.822638391627653</v>
      </c>
      <c r="R42" s="12">
        <f t="shared" si="9"/>
        <v>22.637162396390348</v>
      </c>
      <c r="S42" s="12">
        <f t="shared" si="9"/>
        <v>90.356984150496217</v>
      </c>
    </row>
    <row r="43" spans="1:19" s="9" customFormat="1">
      <c r="A43" s="70"/>
      <c r="B43" s="12"/>
      <c r="C43" s="12"/>
      <c r="D43" s="12"/>
      <c r="E43" s="12"/>
      <c r="F43" s="12"/>
      <c r="G43" s="12"/>
      <c r="H43" s="12"/>
      <c r="I43" s="12"/>
      <c r="J43" s="12"/>
      <c r="K43" s="12"/>
      <c r="L43" s="12"/>
      <c r="M43" s="21"/>
      <c r="N43" s="12"/>
      <c r="O43" s="12"/>
      <c r="P43" s="12"/>
      <c r="Q43" s="12"/>
      <c r="R43" s="12"/>
      <c r="S43" s="12"/>
    </row>
    <row r="44" spans="1:19" s="9" customFormat="1">
      <c r="A44" s="70" t="s">
        <v>62</v>
      </c>
      <c r="B44" s="12">
        <v>336</v>
      </c>
      <c r="C44" s="12">
        <f>259.811-(18.95/2)</f>
        <v>250.33599999999998</v>
      </c>
      <c r="D44" s="12">
        <f>545.895+39.29</f>
        <v>585.18499999999995</v>
      </c>
      <c r="E44" s="12">
        <f>164.396+28.913+25.065</f>
        <v>218.374</v>
      </c>
      <c r="F44" s="12">
        <v>45.567</v>
      </c>
      <c r="G44" s="12">
        <f>582+50</f>
        <v>632</v>
      </c>
      <c r="H44" s="12">
        <v>116.486</v>
      </c>
      <c r="I44" s="12">
        <v>100.217</v>
      </c>
      <c r="J44" s="12">
        <v>244</v>
      </c>
      <c r="K44" s="12">
        <v>66.400000000000006</v>
      </c>
      <c r="L44" s="12">
        <v>311.7</v>
      </c>
      <c r="M44" s="21">
        <v>186</v>
      </c>
      <c r="N44" s="12">
        <f>52+121+62</f>
        <v>235</v>
      </c>
      <c r="O44" s="12">
        <v>66.304347826086953</v>
      </c>
      <c r="P44" s="12">
        <v>129</v>
      </c>
      <c r="Q44" s="12">
        <f>184+33+159</f>
        <v>376</v>
      </c>
      <c r="R44" s="12">
        <v>142.834</v>
      </c>
      <c r="S44" s="12">
        <f>463/92</f>
        <v>5.0326086956521738</v>
      </c>
    </row>
    <row r="45" spans="1:19" s="9" customFormat="1">
      <c r="A45" s="70" t="s">
        <v>63</v>
      </c>
      <c r="B45" s="12">
        <v>124</v>
      </c>
      <c r="C45" s="12">
        <f>57.41-(18.95/2)</f>
        <v>47.934999999999995</v>
      </c>
      <c r="D45" s="12"/>
      <c r="E45" s="12">
        <v>1.177</v>
      </c>
      <c r="F45" s="12">
        <v>38.183999999999997</v>
      </c>
      <c r="G45" s="12">
        <f>133</f>
        <v>133</v>
      </c>
      <c r="H45" s="12">
        <v>0</v>
      </c>
      <c r="I45" s="12"/>
      <c r="J45" s="12">
        <v>90</v>
      </c>
      <c r="K45" s="12">
        <v>42.5</v>
      </c>
      <c r="L45" s="12">
        <v>80.900000000000006</v>
      </c>
      <c r="M45" s="21">
        <v>40</v>
      </c>
      <c r="N45" s="12">
        <f>39+12</f>
        <v>51</v>
      </c>
      <c r="O45" s="12">
        <v>27.173913043478262</v>
      </c>
      <c r="P45" s="12">
        <v>50</v>
      </c>
      <c r="Q45" s="12">
        <f>53+32</f>
        <v>85</v>
      </c>
      <c r="R45" s="12">
        <v>44.255000000000003</v>
      </c>
      <c r="S45" s="12">
        <f>2792/92</f>
        <v>30.347826086956523</v>
      </c>
    </row>
    <row r="46" spans="1:19" s="9" customFormat="1">
      <c r="A46" s="70" t="s">
        <v>64</v>
      </c>
      <c r="B46" s="12">
        <v>1881</v>
      </c>
      <c r="C46" s="12">
        <f>1038.927-(32.121)</f>
        <v>1006.8059999999999</v>
      </c>
      <c r="D46" s="12">
        <v>1646</v>
      </c>
      <c r="E46" s="12">
        <v>379</v>
      </c>
      <c r="F46" s="12">
        <v>457.2</v>
      </c>
      <c r="G46" s="12">
        <v>2916</v>
      </c>
      <c r="H46" s="12">
        <v>560.25099999999998</v>
      </c>
      <c r="I46" s="12">
        <v>384.71699999999998</v>
      </c>
      <c r="J46" s="12">
        <v>1221</v>
      </c>
      <c r="K46" s="12">
        <v>1276</v>
      </c>
      <c r="L46" s="12">
        <v>1145</v>
      </c>
      <c r="M46" s="21">
        <v>512</v>
      </c>
      <c r="N46" s="12">
        <f>482+315</f>
        <v>797</v>
      </c>
      <c r="O46" s="12">
        <v>342.39130434782606</v>
      </c>
      <c r="P46" s="12">
        <v>1338</v>
      </c>
      <c r="Q46" s="12">
        <f>352+513</f>
        <v>865</v>
      </c>
      <c r="R46" s="12">
        <v>328.46499999999997</v>
      </c>
      <c r="S46" s="12">
        <f>183/92*1000</f>
        <v>1989.1304347826087</v>
      </c>
    </row>
    <row r="47" spans="1:19" s="9" customFormat="1">
      <c r="A47" s="70" t="s">
        <v>65</v>
      </c>
      <c r="B47" s="12">
        <f t="shared" ref="B47:S47" si="10">+B44+B45+B46/6</f>
        <v>773.5</v>
      </c>
      <c r="C47" s="12">
        <f t="shared" si="10"/>
        <v>466.07199999999995</v>
      </c>
      <c r="D47" s="12">
        <f t="shared" si="10"/>
        <v>859.5183333333332</v>
      </c>
      <c r="E47" s="12">
        <f t="shared" si="10"/>
        <v>282.71766666666667</v>
      </c>
      <c r="F47" s="12">
        <f t="shared" si="10"/>
        <v>159.95100000000002</v>
      </c>
      <c r="G47" s="12">
        <f t="shared" si="10"/>
        <v>1251</v>
      </c>
      <c r="H47" s="12">
        <f t="shared" si="10"/>
        <v>209.86116666666666</v>
      </c>
      <c r="I47" s="12">
        <f t="shared" si="10"/>
        <v>164.3365</v>
      </c>
      <c r="J47" s="12">
        <f t="shared" si="10"/>
        <v>537.5</v>
      </c>
      <c r="K47" s="12">
        <f t="shared" si="10"/>
        <v>321.56666666666666</v>
      </c>
      <c r="L47" s="12">
        <f t="shared" si="10"/>
        <v>583.43333333333339</v>
      </c>
      <c r="M47" s="21">
        <f t="shared" si="10"/>
        <v>311.33333333333331</v>
      </c>
      <c r="N47" s="12">
        <f t="shared" si="10"/>
        <v>418.83333333333337</v>
      </c>
      <c r="O47" s="12">
        <f t="shared" si="10"/>
        <v>150.54347826086956</v>
      </c>
      <c r="P47" s="12">
        <f t="shared" si="10"/>
        <v>402</v>
      </c>
      <c r="Q47" s="12">
        <f t="shared" si="10"/>
        <v>605.16666666666663</v>
      </c>
      <c r="R47" s="12">
        <f t="shared" si="10"/>
        <v>241.83316666666667</v>
      </c>
      <c r="S47" s="12">
        <f t="shared" si="10"/>
        <v>366.9021739130435</v>
      </c>
    </row>
    <row r="48" spans="1:19" s="9" customFormat="1">
      <c r="A48" s="70" t="s">
        <v>66</v>
      </c>
      <c r="B48" s="12">
        <f t="shared" ref="B48:S48" si="11">+B47*0.092</f>
        <v>71.161999999999992</v>
      </c>
      <c r="C48" s="12">
        <f t="shared" si="11"/>
        <v>42.878623999999995</v>
      </c>
      <c r="D48" s="12">
        <f t="shared" si="11"/>
        <v>79.075686666666655</v>
      </c>
      <c r="E48" s="12">
        <f t="shared" si="11"/>
        <v>26.010025333333335</v>
      </c>
      <c r="F48" s="12">
        <f t="shared" si="11"/>
        <v>14.715492000000001</v>
      </c>
      <c r="G48" s="12">
        <f t="shared" si="11"/>
        <v>115.092</v>
      </c>
      <c r="H48" s="12">
        <f t="shared" si="11"/>
        <v>19.307227333333334</v>
      </c>
      <c r="I48" s="12">
        <f t="shared" si="11"/>
        <v>15.118957999999999</v>
      </c>
      <c r="J48" s="12">
        <f t="shared" si="11"/>
        <v>49.449999999999996</v>
      </c>
      <c r="K48" s="12">
        <f t="shared" si="11"/>
        <v>29.584133333333334</v>
      </c>
      <c r="L48" s="12">
        <f t="shared" si="11"/>
        <v>53.675866666666671</v>
      </c>
      <c r="M48" s="12">
        <f t="shared" si="11"/>
        <v>28.642666666666663</v>
      </c>
      <c r="N48" s="12">
        <f t="shared" si="11"/>
        <v>38.532666666666671</v>
      </c>
      <c r="O48" s="12">
        <f t="shared" si="11"/>
        <v>13.85</v>
      </c>
      <c r="P48" s="12">
        <f t="shared" si="11"/>
        <v>36.984000000000002</v>
      </c>
      <c r="Q48" s="12">
        <f t="shared" si="11"/>
        <v>55.675333333333327</v>
      </c>
      <c r="R48" s="12">
        <f t="shared" si="11"/>
        <v>22.248651333333335</v>
      </c>
      <c r="S48" s="12">
        <f t="shared" si="11"/>
        <v>33.755000000000003</v>
      </c>
    </row>
    <row r="49" spans="1:19" s="9" customFormat="1">
      <c r="A49" s="70"/>
      <c r="B49" s="12"/>
      <c r="C49" s="12"/>
      <c r="D49" s="12"/>
      <c r="E49" s="12"/>
      <c r="F49" s="12"/>
      <c r="G49" s="12"/>
      <c r="H49" s="12" t="s">
        <v>131</v>
      </c>
      <c r="I49" s="12" t="s">
        <v>131</v>
      </c>
      <c r="J49" s="12"/>
      <c r="K49" s="12"/>
      <c r="L49" s="12"/>
      <c r="M49" s="12"/>
      <c r="N49" s="12"/>
      <c r="O49" s="12"/>
      <c r="P49" s="12"/>
      <c r="Q49" s="12"/>
      <c r="R49" s="12"/>
      <c r="S49" s="12"/>
    </row>
    <row r="50" spans="1:19" s="9" customFormat="1">
      <c r="A50" s="70" t="s">
        <v>106</v>
      </c>
      <c r="B50" s="12">
        <f>+B36*B48*4</f>
        <v>5500</v>
      </c>
      <c r="C50" s="12">
        <f t="shared" ref="C50:S50" si="12">+C36*C48*4</f>
        <v>3152</v>
      </c>
      <c r="D50" s="12">
        <f>+D36*D48*4</f>
        <v>4924.3218942005087</v>
      </c>
      <c r="E50" s="12">
        <f t="shared" si="12"/>
        <v>1107.5119384984266</v>
      </c>
      <c r="F50" s="12">
        <f>+F36*F48*4</f>
        <v>798.04799999999989</v>
      </c>
      <c r="G50" s="12">
        <f t="shared" si="12"/>
        <v>8285.0907199999983</v>
      </c>
      <c r="H50" s="12">
        <f t="shared" si="12"/>
        <v>1766.1510167003732</v>
      </c>
      <c r="I50" s="12">
        <f t="shared" si="12"/>
        <v>1348.0062952800001</v>
      </c>
      <c r="J50" s="12">
        <f t="shared" si="12"/>
        <v>2206.3659999999995</v>
      </c>
      <c r="K50" s="12">
        <f t="shared" si="12"/>
        <v>1076.4391679999999</v>
      </c>
      <c r="L50" s="12">
        <f t="shared" si="12"/>
        <v>4183.76</v>
      </c>
      <c r="M50" s="12">
        <f t="shared" si="12"/>
        <v>1380.0000000000002</v>
      </c>
      <c r="N50" s="12">
        <f t="shared" si="12"/>
        <v>2296</v>
      </c>
      <c r="O50" s="12">
        <f t="shared" si="12"/>
        <v>911.99999999999977</v>
      </c>
      <c r="P50" s="12">
        <f t="shared" si="12"/>
        <v>2436</v>
      </c>
      <c r="Q50" s="12">
        <f t="shared" si="12"/>
        <v>3713.5297066666667</v>
      </c>
      <c r="R50" s="12">
        <f t="shared" si="12"/>
        <v>1925.821680746667</v>
      </c>
      <c r="S50" s="12">
        <f t="shared" si="12"/>
        <v>662.52480000000003</v>
      </c>
    </row>
    <row r="51" spans="1:19" s="9" customFormat="1">
      <c r="A51" s="71"/>
      <c r="B51" s="8"/>
      <c r="C51" s="8"/>
      <c r="D51" s="8"/>
      <c r="E51" s="8"/>
      <c r="F51" s="8"/>
      <c r="G51" s="8"/>
      <c r="H51" s="8"/>
      <c r="I51" s="8"/>
      <c r="J51" s="8"/>
      <c r="K51" s="8"/>
      <c r="L51" s="8"/>
      <c r="M51" s="19"/>
      <c r="N51" s="8"/>
      <c r="O51" s="8"/>
      <c r="P51" s="8"/>
      <c r="Q51" s="8"/>
      <c r="R51" s="8"/>
      <c r="S51" s="8"/>
    </row>
    <row r="52" spans="1:19" s="9" customFormat="1" ht="24.75" customHeight="1">
      <c r="A52" s="277" t="s">
        <v>127</v>
      </c>
      <c r="B52" s="278"/>
      <c r="C52" s="278"/>
      <c r="D52" s="278"/>
      <c r="E52" s="278"/>
      <c r="F52" s="278"/>
      <c r="G52" s="278"/>
      <c r="H52" s="278"/>
      <c r="I52" s="278"/>
      <c r="J52" s="278"/>
      <c r="K52" s="278"/>
      <c r="L52" s="278"/>
      <c r="M52" s="278"/>
      <c r="N52" s="278"/>
      <c r="O52" s="278"/>
      <c r="P52" s="278"/>
      <c r="Q52" s="278"/>
      <c r="R52" s="278"/>
      <c r="S52" s="278"/>
    </row>
    <row r="53" spans="1:19" s="9" customFormat="1">
      <c r="A53" s="277" t="s">
        <v>76</v>
      </c>
      <c r="B53" s="278"/>
      <c r="C53" s="278"/>
      <c r="D53" s="278"/>
      <c r="E53" s="278"/>
      <c r="F53" s="278"/>
      <c r="G53" s="278"/>
      <c r="H53" s="278"/>
      <c r="I53" s="278"/>
      <c r="J53" s="278"/>
      <c r="K53" s="278"/>
      <c r="L53" s="278"/>
      <c r="M53" s="278"/>
      <c r="N53" s="278"/>
      <c r="O53" s="278"/>
      <c r="P53" s="278"/>
      <c r="Q53" s="278"/>
      <c r="R53" s="278"/>
      <c r="S53" s="278"/>
    </row>
    <row r="54" spans="1:19" s="9" customFormat="1">
      <c r="A54" s="71"/>
      <c r="B54" s="8"/>
      <c r="C54" s="8"/>
      <c r="D54" s="8"/>
      <c r="E54" s="8"/>
      <c r="F54" s="8"/>
      <c r="G54" s="8"/>
      <c r="H54" s="8"/>
      <c r="I54" s="8"/>
      <c r="J54" s="8"/>
      <c r="K54" s="8"/>
      <c r="L54" s="8"/>
      <c r="M54" s="19"/>
      <c r="N54" s="8"/>
      <c r="O54" s="8"/>
      <c r="P54" s="8"/>
      <c r="Q54" s="8"/>
      <c r="R54" s="8"/>
      <c r="S54" s="8"/>
    </row>
    <row r="55" spans="1:19">
      <c r="A55" s="22" t="s">
        <v>94</v>
      </c>
      <c r="B55" s="23"/>
      <c r="C55" s="23"/>
      <c r="D55" s="58">
        <v>1.3346</v>
      </c>
    </row>
    <row r="56" spans="1:19">
      <c r="A56" s="3"/>
      <c r="G56" s="2">
        <f>G44*92/1000</f>
        <v>58.143999999999998</v>
      </c>
      <c r="P56" s="2">
        <f t="shared" ref="P56:Q58" si="13">P44*92/1000</f>
        <v>11.868</v>
      </c>
      <c r="Q56" s="2">
        <f t="shared" si="13"/>
        <v>34.591999999999999</v>
      </c>
      <c r="S56" s="2">
        <f>S44*92/1000</f>
        <v>0.46300000000000002</v>
      </c>
    </row>
    <row r="57" spans="1:19">
      <c r="A57" s="3"/>
      <c r="G57" s="2">
        <f>G45*92/1000</f>
        <v>12.236000000000001</v>
      </c>
      <c r="P57" s="2">
        <f t="shared" si="13"/>
        <v>4.5999999999999996</v>
      </c>
      <c r="Q57" s="2">
        <f t="shared" si="13"/>
        <v>7.82</v>
      </c>
      <c r="S57" s="2">
        <f>S45*92/1000</f>
        <v>2.7919999999999998</v>
      </c>
    </row>
    <row r="58" spans="1:19">
      <c r="A58" s="3"/>
      <c r="G58" s="2">
        <f>G46*92/1000</f>
        <v>268.27199999999999</v>
      </c>
      <c r="P58" s="2">
        <f t="shared" si="13"/>
        <v>123.096</v>
      </c>
      <c r="Q58" s="2">
        <f t="shared" si="13"/>
        <v>79.58</v>
      </c>
      <c r="S58" s="2">
        <f>S46*92/1000</f>
        <v>183</v>
      </c>
    </row>
    <row r="59" spans="1:19">
      <c r="A59" s="3"/>
    </row>
    <row r="60" spans="1:19">
      <c r="A60" s="3"/>
      <c r="G60" s="2">
        <f>G56*G9</f>
        <v>2586.7382399999997</v>
      </c>
      <c r="P60" s="2">
        <f>P56*P9</f>
        <v>562.66188</v>
      </c>
      <c r="Q60" s="2">
        <f>Q56*Q9</f>
        <v>1559.4073599999999</v>
      </c>
      <c r="S60" s="2">
        <f>S56*S9</f>
        <v>19.06634</v>
      </c>
    </row>
    <row r="61" spans="1:19">
      <c r="A61" s="3"/>
      <c r="G61" s="2">
        <f>G57*G11</f>
        <v>247.53428000000002</v>
      </c>
      <c r="P61" s="2">
        <f>P57*P11</f>
        <v>92.183999999999983</v>
      </c>
      <c r="Q61" s="2">
        <f>Q57*Q11</f>
        <v>143.5752</v>
      </c>
      <c r="S61" s="2">
        <f>S57*S11</f>
        <v>33.727359999999997</v>
      </c>
    </row>
    <row r="62" spans="1:19">
      <c r="A62" s="3"/>
      <c r="G62" s="2">
        <f>G58*G13</f>
        <v>947.00015999999994</v>
      </c>
      <c r="P62" s="2">
        <f>P58*P13</f>
        <v>323.74248</v>
      </c>
      <c r="Q62" s="2">
        <f>Q58*Q13</f>
        <v>149.6104</v>
      </c>
      <c r="S62" s="2">
        <f>S58*S13</f>
        <v>366</v>
      </c>
    </row>
    <row r="63" spans="1:19">
      <c r="G63" s="2">
        <f>G62+G61+G60</f>
        <v>3781.2726799999996</v>
      </c>
      <c r="P63" s="2">
        <f>P62+P61+P60</f>
        <v>978.58835999999997</v>
      </c>
      <c r="Q63" s="2">
        <f>Q62+Q61+Q60</f>
        <v>1852.5929599999999</v>
      </c>
      <c r="S63" s="2">
        <f>S62+S61+S60</f>
        <v>418.7937</v>
      </c>
    </row>
    <row r="64" spans="1:19">
      <c r="G64" s="2">
        <f>G63/G48</f>
        <v>32.854348521183049</v>
      </c>
      <c r="P64" s="2">
        <f>P63/P48</f>
        <v>26.459776119402981</v>
      </c>
      <c r="Q64" s="2">
        <f>Q63/Q48</f>
        <v>33.27493252547508</v>
      </c>
      <c r="S64" s="2">
        <f>S63/S48</f>
        <v>12.406864168271367</v>
      </c>
    </row>
    <row r="69" spans="1:19">
      <c r="A69" s="1" t="s">
        <v>109</v>
      </c>
    </row>
    <row r="70" spans="1:19">
      <c r="B70" s="2" t="str">
        <f>B7</f>
        <v>APC</v>
      </c>
      <c r="C70" s="2" t="str">
        <f t="shared" ref="C70:S70" si="14">C7</f>
        <v>APA</v>
      </c>
      <c r="D70" s="2" t="str">
        <f t="shared" si="14"/>
        <v>CNQCN</v>
      </c>
      <c r="E70" s="2" t="str">
        <f t="shared" si="14"/>
        <v>CVECN</v>
      </c>
      <c r="F70" s="2" t="str">
        <f t="shared" si="14"/>
        <v>XEC</v>
      </c>
      <c r="G70" s="2" t="str">
        <f t="shared" si="14"/>
        <v>COP</v>
      </c>
      <c r="H70" s="2" t="str">
        <f t="shared" si="14"/>
        <v>CLR</v>
      </c>
      <c r="J70" s="2" t="str">
        <f t="shared" si="14"/>
        <v>DVN</v>
      </c>
      <c r="K70" s="2" t="str">
        <f t="shared" si="14"/>
        <v>ECACN</v>
      </c>
      <c r="L70" s="2" t="str">
        <f t="shared" si="14"/>
        <v>EOG</v>
      </c>
      <c r="M70" s="2" t="str">
        <f t="shared" si="14"/>
        <v>HES</v>
      </c>
      <c r="N70" s="2" t="str">
        <f t="shared" si="14"/>
        <v>MRO</v>
      </c>
      <c r="P70" s="2" t="str">
        <f t="shared" si="14"/>
        <v>NBL</v>
      </c>
      <c r="Q70" s="2" t="str">
        <f t="shared" si="14"/>
        <v>OXY</v>
      </c>
      <c r="R70" s="2" t="str">
        <f t="shared" si="14"/>
        <v>PXD</v>
      </c>
      <c r="S70" s="2" t="str">
        <f t="shared" si="14"/>
        <v>SWN</v>
      </c>
    </row>
    <row r="71" spans="1:19">
      <c r="A71" s="1" t="s">
        <v>110</v>
      </c>
      <c r="B71" s="2">
        <f t="shared" ref="B71:S71" si="15">RANK(B35,$B$35:$S$35)</f>
        <v>7</v>
      </c>
      <c r="C71" s="2">
        <f t="shared" si="15"/>
        <v>6</v>
      </c>
      <c r="D71" s="2">
        <f t="shared" si="15"/>
        <v>5</v>
      </c>
      <c r="E71" s="2">
        <f t="shared" si="15"/>
        <v>12</v>
      </c>
      <c r="F71" s="2">
        <f t="shared" si="15"/>
        <v>2</v>
      </c>
      <c r="G71" s="2">
        <f t="shared" si="15"/>
        <v>15</v>
      </c>
      <c r="H71" s="2">
        <f t="shared" si="15"/>
        <v>13</v>
      </c>
      <c r="J71" s="2">
        <f t="shared" si="15"/>
        <v>3</v>
      </c>
      <c r="K71" s="2">
        <f t="shared" si="15"/>
        <v>11</v>
      </c>
      <c r="L71" s="2">
        <f t="shared" si="15"/>
        <v>8</v>
      </c>
      <c r="M71" s="2">
        <f t="shared" si="15"/>
        <v>18</v>
      </c>
      <c r="N71" s="2">
        <f t="shared" si="15"/>
        <v>16</v>
      </c>
      <c r="P71" s="2">
        <f t="shared" si="15"/>
        <v>14</v>
      </c>
      <c r="Q71" s="2">
        <f t="shared" si="15"/>
        <v>17</v>
      </c>
      <c r="R71" s="2">
        <f t="shared" si="15"/>
        <v>4</v>
      </c>
      <c r="S71" s="2">
        <f t="shared" si="15"/>
        <v>10</v>
      </c>
    </row>
    <row r="72" spans="1:19">
      <c r="B72" s="2" t="str">
        <f>B70</f>
        <v>APC</v>
      </c>
      <c r="C72" s="2" t="str">
        <f t="shared" ref="C72:S72" si="16">C70</f>
        <v>APA</v>
      </c>
      <c r="D72" s="2" t="str">
        <f t="shared" si="16"/>
        <v>CNQCN</v>
      </c>
      <c r="E72" s="2" t="str">
        <f t="shared" si="16"/>
        <v>CVECN</v>
      </c>
      <c r="F72" s="2" t="str">
        <f t="shared" si="16"/>
        <v>XEC</v>
      </c>
      <c r="G72" s="2" t="str">
        <f t="shared" si="16"/>
        <v>COP</v>
      </c>
      <c r="H72" s="2" t="str">
        <f t="shared" si="16"/>
        <v>CLR</v>
      </c>
      <c r="J72" s="2" t="str">
        <f t="shared" si="16"/>
        <v>DVN</v>
      </c>
      <c r="K72" s="2" t="str">
        <f t="shared" si="16"/>
        <v>ECACN</v>
      </c>
      <c r="L72" s="2" t="str">
        <f t="shared" si="16"/>
        <v>EOG</v>
      </c>
      <c r="M72" s="2" t="str">
        <f t="shared" si="16"/>
        <v>HES</v>
      </c>
      <c r="N72" s="2" t="str">
        <f t="shared" si="16"/>
        <v>MRO</v>
      </c>
      <c r="P72" s="2" t="str">
        <f t="shared" si="16"/>
        <v>NBL</v>
      </c>
      <c r="Q72" s="2" t="str">
        <f t="shared" si="16"/>
        <v>OXY</v>
      </c>
      <c r="R72" s="2" t="str">
        <f t="shared" si="16"/>
        <v>PXD</v>
      </c>
      <c r="S72" s="2" t="str">
        <f t="shared" si="16"/>
        <v>SWN</v>
      </c>
    </row>
    <row r="73" spans="1:19">
      <c r="A73" s="1" t="s">
        <v>107</v>
      </c>
      <c r="B73" s="2">
        <f t="shared" ref="B73:S73" si="17">RANK(B37,$B$37:$S$37)</f>
        <v>9</v>
      </c>
      <c r="C73" s="2">
        <f t="shared" si="17"/>
        <v>8</v>
      </c>
      <c r="D73" s="2">
        <f t="shared" si="17"/>
        <v>3</v>
      </c>
      <c r="E73" s="2">
        <f t="shared" si="17"/>
        <v>15</v>
      </c>
      <c r="F73" s="2">
        <f t="shared" si="17"/>
        <v>5</v>
      </c>
      <c r="G73" s="2">
        <f t="shared" si="17"/>
        <v>10</v>
      </c>
      <c r="H73" s="2">
        <f t="shared" si="17"/>
        <v>13</v>
      </c>
      <c r="J73" s="2">
        <f t="shared" si="17"/>
        <v>14</v>
      </c>
      <c r="K73" s="2">
        <f t="shared" si="17"/>
        <v>17</v>
      </c>
      <c r="L73" s="2">
        <f t="shared" si="17"/>
        <v>1</v>
      </c>
      <c r="M73" s="2">
        <f t="shared" si="17"/>
        <v>16</v>
      </c>
      <c r="N73" s="2">
        <f t="shared" si="17"/>
        <v>7</v>
      </c>
      <c r="P73" s="2">
        <f t="shared" si="17"/>
        <v>11</v>
      </c>
      <c r="Q73" s="2">
        <f t="shared" si="17"/>
        <v>2</v>
      </c>
      <c r="R73" s="2">
        <f t="shared" si="17"/>
        <v>4</v>
      </c>
      <c r="S73" s="2">
        <f t="shared" si="17"/>
        <v>18</v>
      </c>
    </row>
    <row r="74" spans="1:19">
      <c r="B74" s="2" t="str">
        <f>B72</f>
        <v>APC</v>
      </c>
      <c r="C74" s="2" t="str">
        <f t="shared" ref="C74:S74" si="18">C72</f>
        <v>APA</v>
      </c>
      <c r="D74" s="2" t="str">
        <f t="shared" si="18"/>
        <v>CNQCN</v>
      </c>
      <c r="E74" s="2" t="str">
        <f t="shared" si="18"/>
        <v>CVECN</v>
      </c>
      <c r="F74" s="2" t="str">
        <f t="shared" si="18"/>
        <v>XEC</v>
      </c>
      <c r="G74" s="2" t="str">
        <f t="shared" si="18"/>
        <v>COP</v>
      </c>
      <c r="H74" s="2" t="str">
        <f t="shared" si="18"/>
        <v>CLR</v>
      </c>
      <c r="J74" s="2" t="str">
        <f t="shared" si="18"/>
        <v>DVN</v>
      </c>
      <c r="K74" s="2" t="str">
        <f t="shared" si="18"/>
        <v>ECACN</v>
      </c>
      <c r="L74" s="2" t="str">
        <f t="shared" si="18"/>
        <v>EOG</v>
      </c>
      <c r="M74" s="2" t="str">
        <f t="shared" si="18"/>
        <v>HES</v>
      </c>
      <c r="N74" s="2" t="str">
        <f t="shared" si="18"/>
        <v>MRO</v>
      </c>
      <c r="P74" s="2" t="str">
        <f t="shared" si="18"/>
        <v>NBL</v>
      </c>
      <c r="Q74" s="2" t="str">
        <f t="shared" si="18"/>
        <v>OXY</v>
      </c>
      <c r="R74" s="2" t="str">
        <f t="shared" si="18"/>
        <v>PXD</v>
      </c>
      <c r="S74" s="2" t="str">
        <f t="shared" si="18"/>
        <v>SWN</v>
      </c>
    </row>
    <row r="75" spans="1:19">
      <c r="A75" s="1" t="s">
        <v>111</v>
      </c>
      <c r="B75" s="2">
        <f t="shared" ref="B75:S75" si="19">RANK(B34,$B$34:$S$34)</f>
        <v>5</v>
      </c>
      <c r="C75" s="2">
        <f t="shared" si="19"/>
        <v>6</v>
      </c>
      <c r="D75" s="2">
        <f t="shared" si="19"/>
        <v>9</v>
      </c>
      <c r="E75" s="2">
        <f t="shared" si="19"/>
        <v>16</v>
      </c>
      <c r="F75" s="2">
        <f t="shared" si="19"/>
        <v>13</v>
      </c>
      <c r="G75" s="2">
        <f t="shared" si="19"/>
        <v>8</v>
      </c>
      <c r="H75" s="2">
        <f t="shared" si="19"/>
        <v>3</v>
      </c>
      <c r="J75" s="2">
        <f t="shared" si="19"/>
        <v>14</v>
      </c>
      <c r="K75" s="2">
        <f t="shared" si="19"/>
        <v>17</v>
      </c>
      <c r="L75" s="2">
        <f t="shared" si="19"/>
        <v>4</v>
      </c>
      <c r="M75" s="2">
        <f t="shared" si="19"/>
        <v>15</v>
      </c>
      <c r="N75" s="2">
        <f t="shared" si="19"/>
        <v>12</v>
      </c>
      <c r="P75" s="2">
        <f t="shared" si="19"/>
        <v>10</v>
      </c>
      <c r="Q75" s="2">
        <f t="shared" si="19"/>
        <v>7</v>
      </c>
      <c r="R75" s="2">
        <f t="shared" si="19"/>
        <v>1</v>
      </c>
      <c r="S75" s="2">
        <f t="shared" si="19"/>
        <v>18</v>
      </c>
    </row>
    <row r="79" spans="1:19">
      <c r="A79" s="1" t="s">
        <v>130</v>
      </c>
      <c r="B79" s="61">
        <f>B15-'2Q16 Actual'!B15</f>
        <v>7.2863843653990408</v>
      </c>
      <c r="C79" s="61">
        <f>C15-'2Q16 Actual'!C15</f>
        <v>3.2963006493264402</v>
      </c>
      <c r="D79" s="61">
        <f>D15-'2Q16 Actual'!D15</f>
        <v>5.579788336871129</v>
      </c>
      <c r="E79" s="61">
        <f>E15-'2Q16 Actual'!E15</f>
        <v>4.4837084629904282</v>
      </c>
      <c r="F79" s="61">
        <f>F15-'2Q16 Actual'!F15</f>
        <v>5.5673579568263527</v>
      </c>
      <c r="G79" s="61">
        <f>G15-'2Q16 Actual'!G15</f>
        <v>4.7461796214672525</v>
      </c>
      <c r="H79" s="61">
        <f>H15-'2Q16 Actual'!H15</f>
        <v>4.2800000000000011</v>
      </c>
      <c r="I79" s="61"/>
      <c r="J79" s="61">
        <f>J15-'2Q16 Actual'!J15</f>
        <v>4.9699999999999989</v>
      </c>
      <c r="K79" s="61">
        <f>K15-'2Q16 Actual'!K15</f>
        <v>6.52</v>
      </c>
      <c r="L79" s="61">
        <f>L15-'2Q16 Actual'!L15</f>
        <v>5.5621864169551074</v>
      </c>
      <c r="M79" s="61">
        <f>M15-'2Q16 Actual'!M15</f>
        <v>1.0643076491580388</v>
      </c>
      <c r="N79" s="61">
        <f>N15-'2Q16 Actual'!N15</f>
        <v>6.0885033409404024</v>
      </c>
      <c r="O79" s="61"/>
      <c r="P79" s="61">
        <f>P15-'2Q16 Actual'!P15</f>
        <v>4.6645206111464965</v>
      </c>
      <c r="Q79" s="61">
        <f>Q15-'2Q16 Actual'!Q15</f>
        <v>5.9216373651847718</v>
      </c>
      <c r="R79" s="61">
        <f>R15-'2Q16 Actual'!R15</f>
        <v>4.8900000000000041</v>
      </c>
      <c r="S79" s="61">
        <f>S15-'2Q16 Actual'!S15</f>
        <v>4.658297608705924</v>
      </c>
    </row>
    <row r="80" spans="1:19">
      <c r="A80" s="1" t="s">
        <v>132</v>
      </c>
      <c r="B80" s="61">
        <f>B28-'2Q16 Actual'!B28</f>
        <v>-1.7329413007237733</v>
      </c>
      <c r="C80" s="61">
        <f>C28-'2Q16 Actual'!C28</f>
        <v>1.5721224667396694</v>
      </c>
      <c r="D80" s="61">
        <f>D28-'2Q16 Actual'!D28</f>
        <v>-1.1951829475064599</v>
      </c>
      <c r="E80" s="61">
        <f>E28-'2Q16 Actual'!E28</f>
        <v>-9.9465804347051545E-2</v>
      </c>
      <c r="F80" s="61">
        <f>F28-'2Q16 Actual'!F28</f>
        <v>0.25377341871041992</v>
      </c>
      <c r="G80" s="61">
        <f>G28-'2Q16 Actual'!G28</f>
        <v>-1.3142651729870174</v>
      </c>
      <c r="H80" s="61">
        <f>H28-'2Q16 Actual'!H28</f>
        <v>9.357290649565897E-2</v>
      </c>
      <c r="I80" s="61"/>
      <c r="J80" s="61">
        <f>J28-'2Q16 Actual'!J28</f>
        <v>-0.27768742297291915</v>
      </c>
      <c r="K80" s="61">
        <f>K28-'2Q16 Actual'!K28</f>
        <v>1.0874522522224837</v>
      </c>
      <c r="L80" s="61">
        <f>L28-'2Q16 Actual'!L28</f>
        <v>0.55087914191085119</v>
      </c>
      <c r="M80" s="61">
        <f>M28-'2Q16 Actual'!M28</f>
        <v>-8.9270472518563793E-2</v>
      </c>
      <c r="N80" s="61">
        <f>N28-'2Q16 Actual'!N28</f>
        <v>-1.7313533768954379</v>
      </c>
      <c r="O80" s="61"/>
      <c r="P80" s="61">
        <f>P28-'2Q16 Actual'!P28</f>
        <v>0.40187892205413434</v>
      </c>
      <c r="Q80" s="61">
        <f>Q28-'2Q16 Actual'!Q28</f>
        <v>2.933770799332196</v>
      </c>
      <c r="R80" s="61">
        <f>R28-'2Q16 Actual'!R28</f>
        <v>-1.6937026373218256</v>
      </c>
      <c r="S80" s="61">
        <f>S28-'2Q16 Actual'!S28</f>
        <v>-1.2869122733032867E-2</v>
      </c>
    </row>
    <row r="81" spans="1:19">
      <c r="A81" s="1" t="s">
        <v>129</v>
      </c>
      <c r="B81" s="62">
        <f>B48-'2Q16 Actual'!B48</f>
        <v>-0.87966666666667948</v>
      </c>
      <c r="C81" s="62">
        <f>C48-'2Q16 Actual'!C48</f>
        <v>-5.8479175000000012</v>
      </c>
      <c r="D81" s="62">
        <f>D48-'2Q16 Actual'!D48</f>
        <v>7.7398766666666461</v>
      </c>
      <c r="E81" s="62">
        <f>E48-'2Q16 Actual'!E48</f>
        <v>1.9332453333333319</v>
      </c>
      <c r="F81" s="62">
        <f>F48-'2Q16 Actual'!F48</f>
        <v>-6.0026333333333071E-2</v>
      </c>
      <c r="G81" s="62">
        <f>G48-'2Q16 Actual'!G48</f>
        <v>3.0255000000000081</v>
      </c>
      <c r="H81" s="62">
        <f>H48-'2Q16 Actual'!H48</f>
        <v>-0.65121116666666978</v>
      </c>
      <c r="I81" s="62"/>
      <c r="J81" s="62">
        <f>J48-'2Q16 Actual'!J48</f>
        <v>-9.1995000000000005</v>
      </c>
      <c r="K81" s="62">
        <f>K48-'2Q16 Actual'!K48</f>
        <v>-3.9342000000000041</v>
      </c>
      <c r="L81" s="62">
        <f>L48-'2Q16 Actual'!L48</f>
        <v>3.534866666666673</v>
      </c>
      <c r="M81" s="62">
        <f>M48-'2Q16 Actual'!M48</f>
        <v>0.17483333333333206</v>
      </c>
      <c r="N81" s="62">
        <f>N48-'2Q16 Actual'!N48</f>
        <v>2.6938333333333375</v>
      </c>
      <c r="O81" s="62"/>
      <c r="P81" s="62">
        <f>P48-'2Q16 Actual'!P48</f>
        <v>-1.8578333333333319</v>
      </c>
      <c r="Q81" s="62">
        <f>Q48-'2Q16 Actual'!Q48</f>
        <v>-3.7325000000000088</v>
      </c>
      <c r="R81" s="62">
        <f>R48-'2Q16 Actual'!R48</f>
        <v>1.0726783333333323</v>
      </c>
      <c r="S81" s="62">
        <f>S48-'2Q16 Actual'!S48</f>
        <v>-3.8003333333333202</v>
      </c>
    </row>
    <row r="83" spans="1:19">
      <c r="A83" s="140" t="s">
        <v>76</v>
      </c>
    </row>
    <row r="165" spans="2:17" hidden="1">
      <c r="L165" s="2" t="s">
        <v>58</v>
      </c>
    </row>
    <row r="166" spans="2:17" hidden="1">
      <c r="L166" s="2" t="s">
        <v>54</v>
      </c>
      <c r="M166" s="2">
        <v>52.63</v>
      </c>
      <c r="N166" s="2">
        <v>176</v>
      </c>
      <c r="Q166" s="2">
        <f>+N166*M166</f>
        <v>9262.880000000001</v>
      </c>
    </row>
    <row r="167" spans="2:17" hidden="1">
      <c r="D167" s="2" t="s">
        <v>72</v>
      </c>
      <c r="E167" s="2" t="s">
        <v>73</v>
      </c>
      <c r="L167" s="2" t="s">
        <v>55</v>
      </c>
      <c r="M167" s="2">
        <v>14.77</v>
      </c>
      <c r="N167" s="2">
        <v>37</v>
      </c>
      <c r="Q167" s="2">
        <f>+N167*M167</f>
        <v>546.49</v>
      </c>
    </row>
    <row r="168" spans="2:17" hidden="1">
      <c r="B168" s="2" t="s">
        <v>61</v>
      </c>
      <c r="C168" s="2">
        <v>95.057000000000002</v>
      </c>
      <c r="D168" s="2">
        <f>73.05</f>
        <v>73.05</v>
      </c>
      <c r="F168" s="2">
        <f>+D168*C168</f>
        <v>6943.9138499999999</v>
      </c>
      <c r="L168" s="2" t="s">
        <v>59</v>
      </c>
      <c r="M168" s="2">
        <v>2.76</v>
      </c>
      <c r="N168" s="2">
        <v>361</v>
      </c>
      <c r="P168" s="2">
        <f>+N168/6</f>
        <v>60.166666666666664</v>
      </c>
      <c r="Q168" s="2">
        <f>+N168*M168</f>
        <v>996.3599999999999</v>
      </c>
    </row>
    <row r="169" spans="2:17" hidden="1">
      <c r="B169" s="2" t="s">
        <v>71</v>
      </c>
      <c r="C169" s="2">
        <f>458.144-C168</f>
        <v>363.08699999999999</v>
      </c>
      <c r="D169" s="2">
        <f>53.09</f>
        <v>53.09</v>
      </c>
      <c r="F169" s="2">
        <f>+D169*C169</f>
        <v>19276.288830000001</v>
      </c>
      <c r="G169" s="2">
        <f>+SUM(F168:F169)/(C168+C169)</f>
        <v>57.231356691345958</v>
      </c>
    </row>
    <row r="170" spans="2:17" hidden="1">
      <c r="L170" s="2" t="s">
        <v>60</v>
      </c>
    </row>
    <row r="171" spans="2:17" hidden="1">
      <c r="L171" s="2" t="s">
        <v>54</v>
      </c>
      <c r="M171" s="2">
        <v>56.7</v>
      </c>
      <c r="N171" s="2">
        <v>33</v>
      </c>
      <c r="Q171" s="2">
        <f>+N171*M171</f>
        <v>1871.1000000000001</v>
      </c>
    </row>
    <row r="172" spans="2:17" hidden="1">
      <c r="D172" s="2">
        <v>608</v>
      </c>
      <c r="E172" s="2">
        <v>58</v>
      </c>
      <c r="L172" s="2" t="s">
        <v>55</v>
      </c>
      <c r="M172" s="2">
        <v>3.1</v>
      </c>
      <c r="N172" s="2">
        <v>9</v>
      </c>
      <c r="Q172" s="2">
        <f>+N172*M172</f>
        <v>27.900000000000002</v>
      </c>
    </row>
    <row r="173" spans="2:17" hidden="1">
      <c r="D173" s="2">
        <v>138</v>
      </c>
      <c r="E173" s="2">
        <v>33.299999999999997</v>
      </c>
      <c r="L173" s="2" t="s">
        <v>59</v>
      </c>
      <c r="M173" s="2">
        <v>0.78</v>
      </c>
      <c r="N173" s="2">
        <v>396</v>
      </c>
      <c r="P173" s="2">
        <f>+N173/6</f>
        <v>66</v>
      </c>
      <c r="Q173" s="2">
        <f>+N173*M173</f>
        <v>308.88</v>
      </c>
    </row>
    <row r="174" spans="2:17" hidden="1">
      <c r="E174" s="2">
        <f>+SUMPRODUCT(D172:D173,E172:E173)/SUM(D172:D173)</f>
        <v>53.430831099195714</v>
      </c>
    </row>
    <row r="175" spans="2:17" hidden="1">
      <c r="L175" s="2" t="s">
        <v>61</v>
      </c>
    </row>
    <row r="176" spans="2:17" hidden="1">
      <c r="L176" s="2" t="s">
        <v>54</v>
      </c>
      <c r="M176" s="2">
        <v>52.46</v>
      </c>
      <c r="N176" s="2">
        <v>29</v>
      </c>
      <c r="Q176" s="2">
        <f>+N176*M176</f>
        <v>1521.34</v>
      </c>
    </row>
  </sheetData>
  <mergeCells count="2">
    <mergeCell ref="A52:S52"/>
    <mergeCell ref="A53:S53"/>
  </mergeCells>
  <printOptions horizontalCentered="1"/>
  <pageMargins left="0.4" right="0.4" top="0.5" bottom="0.5" header="0.3" footer="0.3"/>
  <pageSetup orientation="landscape" r:id="rId1"/>
  <headerFooter>
    <oddFooter>&amp;C&amp;"Expert Sans Regular,Regular"&amp;10&amp;K000000 Restricted - External_x000D_&amp;1#&amp;"Calibri"&amp;10 Restricted - External</oddFooter>
    <evenFooter>&amp;C&amp;"Expert Sans Regular,Regular"&amp;10&amp;K000000 Restricted - External</evenFooter>
    <firstFooter>&amp;C&amp;"Expert Sans Regular,Regular"&amp;10&amp;K000000 Restricted - External</firstFooter>
  </headerFooter>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autoPageBreaks="0" fitToPage="1"/>
  </sheetPr>
  <dimension ref="A1:T176"/>
  <sheetViews>
    <sheetView workbookViewId="0">
      <pane xSplit="1" ySplit="7" topLeftCell="B8" activePane="bottomRight" state="frozen"/>
      <selection activeCell="B36" sqref="B36:V36"/>
      <selection pane="topRight" activeCell="B36" sqref="B36:V36"/>
      <selection pane="bottomLeft" activeCell="B36" sqref="B36:V36"/>
      <selection pane="bottomRight" activeCell="B36" sqref="B36:V36"/>
    </sheetView>
  </sheetViews>
  <sheetFormatPr defaultRowHeight="14.25"/>
  <cols>
    <col min="1" max="1" width="36.375" style="1" customWidth="1"/>
    <col min="2" max="19" width="9.25" style="2" customWidth="1"/>
    <col min="20" max="20" width="11.5" style="1" customWidth="1"/>
    <col min="21" max="16384" width="9" style="1"/>
  </cols>
  <sheetData>
    <row r="1" spans="1:19" s="9" customFormat="1">
      <c r="A1" s="67" t="s">
        <v>134</v>
      </c>
      <c r="B1" s="8"/>
      <c r="C1" s="8"/>
      <c r="D1" s="8"/>
      <c r="E1" s="8"/>
      <c r="F1" s="8"/>
      <c r="G1" s="8"/>
      <c r="H1" s="8"/>
      <c r="I1" s="8"/>
      <c r="J1" s="8"/>
      <c r="K1" s="8"/>
      <c r="L1" s="8"/>
      <c r="M1" s="19"/>
      <c r="N1" s="8"/>
      <c r="O1" s="8"/>
      <c r="P1" s="8"/>
      <c r="Q1" s="8"/>
      <c r="R1" s="8"/>
      <c r="S1" s="8"/>
    </row>
    <row r="2" spans="1:19" s="9" customFormat="1">
      <c r="A2" s="67" t="s">
        <v>1</v>
      </c>
      <c r="B2" s="10">
        <v>44.88</v>
      </c>
      <c r="C2" s="8"/>
      <c r="D2" s="8"/>
      <c r="E2" s="8"/>
      <c r="F2" s="8"/>
      <c r="G2" s="8"/>
      <c r="H2" s="8"/>
      <c r="I2" s="8"/>
      <c r="J2" s="8"/>
      <c r="K2" s="8"/>
      <c r="L2" s="8"/>
      <c r="M2" s="19"/>
      <c r="N2" s="8"/>
      <c r="O2" s="8"/>
      <c r="P2" s="8"/>
      <c r="Q2" s="8"/>
      <c r="R2" s="8"/>
      <c r="S2" s="8"/>
    </row>
    <row r="3" spans="1:19" s="9" customFormat="1">
      <c r="A3" s="67" t="s">
        <v>0</v>
      </c>
      <c r="B3" s="10">
        <v>19.68</v>
      </c>
      <c r="C3" s="8"/>
      <c r="D3" s="8"/>
      <c r="E3" s="8"/>
      <c r="F3" s="8"/>
      <c r="G3" s="8"/>
      <c r="H3" s="8"/>
      <c r="I3" s="8"/>
      <c r="J3" s="8"/>
      <c r="K3" s="8"/>
      <c r="L3" s="8"/>
      <c r="M3" s="19"/>
      <c r="N3" s="8"/>
      <c r="O3" s="8"/>
      <c r="P3" s="8"/>
      <c r="Q3" s="8"/>
      <c r="R3" s="8"/>
      <c r="S3" s="8"/>
    </row>
    <row r="4" spans="1:19" s="9" customFormat="1">
      <c r="A4" s="67" t="s">
        <v>2</v>
      </c>
      <c r="B4" s="10">
        <v>2.8479999999999999</v>
      </c>
      <c r="C4" s="8"/>
      <c r="D4" s="8"/>
      <c r="E4" s="8"/>
      <c r="F4" s="8"/>
      <c r="G4" s="8"/>
      <c r="H4" s="8"/>
      <c r="I4" s="8"/>
      <c r="J4" s="8"/>
      <c r="K4" s="8"/>
      <c r="L4" s="8"/>
      <c r="M4" s="19"/>
      <c r="N4" s="8"/>
      <c r="O4" s="8"/>
      <c r="P4" s="8"/>
      <c r="Q4" s="8"/>
      <c r="R4" s="8"/>
      <c r="S4" s="8"/>
    </row>
    <row r="5" spans="1:19" s="9" customFormat="1" ht="15" thickBot="1">
      <c r="A5" s="67"/>
      <c r="B5" s="8"/>
      <c r="C5" s="8"/>
      <c r="D5" s="8"/>
      <c r="E5" s="8"/>
      <c r="F5" s="8"/>
      <c r="G5" s="8"/>
      <c r="H5" s="8"/>
      <c r="I5" s="8"/>
      <c r="J5" s="8"/>
      <c r="K5" s="8"/>
      <c r="L5" s="8"/>
      <c r="M5" s="19"/>
      <c r="N5" s="8"/>
      <c r="O5" s="8"/>
      <c r="P5" s="8"/>
      <c r="Q5" s="8"/>
      <c r="R5" s="8"/>
      <c r="S5" s="8"/>
    </row>
    <row r="6" spans="1:19" ht="26.25" thickBot="1">
      <c r="A6" s="4" t="s">
        <v>15</v>
      </c>
      <c r="B6" s="52" t="s">
        <v>17</v>
      </c>
      <c r="C6" s="52" t="s">
        <v>18</v>
      </c>
      <c r="D6" s="52" t="s">
        <v>19</v>
      </c>
      <c r="E6" s="52" t="s">
        <v>21</v>
      </c>
      <c r="F6" s="52" t="s">
        <v>22</v>
      </c>
      <c r="G6" s="138" t="s">
        <v>174</v>
      </c>
      <c r="H6" s="52" t="s">
        <v>23</v>
      </c>
      <c r="I6" s="52" t="s">
        <v>139</v>
      </c>
      <c r="J6" s="52" t="s">
        <v>24</v>
      </c>
      <c r="K6" s="52" t="s">
        <v>25</v>
      </c>
      <c r="L6" s="52" t="s">
        <v>26</v>
      </c>
      <c r="M6" s="52" t="s">
        <v>27</v>
      </c>
      <c r="N6" s="52" t="s">
        <v>28</v>
      </c>
      <c r="O6" s="116" t="s">
        <v>162</v>
      </c>
      <c r="P6" s="52" t="s">
        <v>29</v>
      </c>
      <c r="Q6" s="52" t="s">
        <v>30</v>
      </c>
      <c r="R6" s="52" t="s">
        <v>31</v>
      </c>
      <c r="S6" s="138" t="s">
        <v>173</v>
      </c>
    </row>
    <row r="7" spans="1:19" ht="18" customHeight="1" thickBot="1">
      <c r="A7" s="25" t="s">
        <v>16</v>
      </c>
      <c r="B7" s="59" t="s">
        <v>33</v>
      </c>
      <c r="C7" s="59" t="s">
        <v>34</v>
      </c>
      <c r="D7" s="59" t="s">
        <v>35</v>
      </c>
      <c r="E7" s="59" t="s">
        <v>37</v>
      </c>
      <c r="F7" s="59" t="s">
        <v>38</v>
      </c>
      <c r="G7" s="59" t="s">
        <v>36</v>
      </c>
      <c r="H7" s="59" t="s">
        <v>39</v>
      </c>
      <c r="I7" s="69" t="s">
        <v>140</v>
      </c>
      <c r="J7" s="59" t="s">
        <v>40</v>
      </c>
      <c r="K7" s="59" t="s">
        <v>41</v>
      </c>
      <c r="L7" s="59" t="s">
        <v>42</v>
      </c>
      <c r="M7" s="59" t="s">
        <v>43</v>
      </c>
      <c r="N7" s="59" t="s">
        <v>44</v>
      </c>
      <c r="O7" s="69" t="s">
        <v>163</v>
      </c>
      <c r="P7" s="59" t="s">
        <v>45</v>
      </c>
      <c r="Q7" s="59" t="s">
        <v>46</v>
      </c>
      <c r="R7" s="59" t="s">
        <v>47</v>
      </c>
      <c r="S7" s="59" t="s">
        <v>48</v>
      </c>
    </row>
    <row r="8" spans="1:19" s="9" customFormat="1">
      <c r="A8" s="67"/>
      <c r="B8" s="8"/>
      <c r="C8" s="8"/>
      <c r="D8" s="8"/>
      <c r="E8" s="8"/>
      <c r="F8" s="8"/>
      <c r="G8" s="8"/>
      <c r="H8" s="8"/>
      <c r="I8" s="8"/>
      <c r="J8" s="8"/>
      <c r="K8" s="8"/>
      <c r="L8" s="8"/>
      <c r="M8" s="8"/>
      <c r="N8" s="8"/>
      <c r="O8" s="8"/>
      <c r="P8" s="8"/>
      <c r="Q8" s="8"/>
      <c r="R8" s="8"/>
      <c r="S8" s="8"/>
    </row>
    <row r="9" spans="1:19" s="9" customFormat="1">
      <c r="A9" s="67" t="s">
        <v>50</v>
      </c>
      <c r="B9" s="10">
        <v>42.49</v>
      </c>
      <c r="C9" s="10">
        <v>44.35</v>
      </c>
      <c r="D9" s="10">
        <f>2162/((D44+D45)*0.092)/D55</f>
        <v>39.064201515881173</v>
      </c>
      <c r="E9" s="10">
        <f>34.66/D55</f>
        <v>26.559957999999995</v>
      </c>
      <c r="F9" s="10">
        <v>40.54</v>
      </c>
      <c r="G9" s="10">
        <f>+((571*43.18)+(41*15.73))/(571+41)</f>
        <v>41.341029411764701</v>
      </c>
      <c r="H9" s="10">
        <v>37.659999999999997</v>
      </c>
      <c r="I9" s="10">
        <v>41.52</v>
      </c>
      <c r="J9" s="10">
        <v>32.270000000000003</v>
      </c>
      <c r="K9" s="10">
        <v>35.31</v>
      </c>
      <c r="L9" s="10">
        <v>43.63</v>
      </c>
      <c r="M9" s="10">
        <v>41.5</v>
      </c>
      <c r="N9" s="10">
        <f>((154*41.37)+(39.59*58))/N44</f>
        <v>40.883018867924534</v>
      </c>
      <c r="O9" s="10">
        <v>39.17</v>
      </c>
      <c r="P9" s="10">
        <v>41.67</v>
      </c>
      <c r="Q9" s="10">
        <v>41.49</v>
      </c>
      <c r="R9" s="10">
        <v>41.44</v>
      </c>
      <c r="S9" s="10">
        <v>35.409999999999997</v>
      </c>
    </row>
    <row r="10" spans="1:19" s="9" customFormat="1">
      <c r="A10" s="67" t="s">
        <v>3</v>
      </c>
      <c r="B10" s="10">
        <f t="shared" ref="B10:S10" si="0">+B9-$B$2</f>
        <v>-2.3900000000000006</v>
      </c>
      <c r="C10" s="10">
        <f t="shared" si="0"/>
        <v>-0.53000000000000114</v>
      </c>
      <c r="D10" s="10">
        <f t="shared" si="0"/>
        <v>-5.8157984841188295</v>
      </c>
      <c r="E10" s="10">
        <f t="shared" si="0"/>
        <v>-18.320042000000008</v>
      </c>
      <c r="F10" s="10">
        <f t="shared" si="0"/>
        <v>-4.3400000000000034</v>
      </c>
      <c r="G10" s="10">
        <f t="shared" si="0"/>
        <v>-3.5389705882353013</v>
      </c>
      <c r="H10" s="10">
        <f t="shared" si="0"/>
        <v>-7.220000000000006</v>
      </c>
      <c r="I10" s="10">
        <f t="shared" si="0"/>
        <v>-3.3599999999999994</v>
      </c>
      <c r="J10" s="10">
        <f t="shared" si="0"/>
        <v>-12.61</v>
      </c>
      <c r="K10" s="10">
        <f t="shared" si="0"/>
        <v>-9.57</v>
      </c>
      <c r="L10" s="10">
        <f t="shared" si="0"/>
        <v>-1.25</v>
      </c>
      <c r="M10" s="10">
        <f t="shared" si="0"/>
        <v>-3.3800000000000026</v>
      </c>
      <c r="N10" s="10">
        <f t="shared" si="0"/>
        <v>-3.9969811320754687</v>
      </c>
      <c r="O10" s="10">
        <f t="shared" si="0"/>
        <v>-5.7100000000000009</v>
      </c>
      <c r="P10" s="10">
        <f t="shared" si="0"/>
        <v>-3.2100000000000009</v>
      </c>
      <c r="Q10" s="10">
        <f t="shared" si="0"/>
        <v>-3.3900000000000006</v>
      </c>
      <c r="R10" s="10">
        <f t="shared" si="0"/>
        <v>-3.4400000000000048</v>
      </c>
      <c r="S10" s="10">
        <f t="shared" si="0"/>
        <v>-9.470000000000006</v>
      </c>
    </row>
    <row r="11" spans="1:19" s="9" customFormat="1">
      <c r="A11" s="67" t="s">
        <v>51</v>
      </c>
      <c r="B11" s="10">
        <v>19.13</v>
      </c>
      <c r="C11" s="10">
        <v>9.9700000000000006</v>
      </c>
      <c r="D11" s="10"/>
      <c r="E11" s="10">
        <f>29.71/D55</f>
        <v>22.766772999999997</v>
      </c>
      <c r="F11" s="10">
        <v>14.14</v>
      </c>
      <c r="G11" s="10">
        <v>15.63</v>
      </c>
      <c r="H11" s="10"/>
      <c r="I11" s="10"/>
      <c r="J11" s="10">
        <v>9.8000000000000007</v>
      </c>
      <c r="K11" s="10"/>
      <c r="L11" s="10">
        <v>14.92</v>
      </c>
      <c r="M11" s="10">
        <v>9.23</v>
      </c>
      <c r="N11" s="10">
        <v>9.9</v>
      </c>
      <c r="O11" s="10">
        <v>18.53</v>
      </c>
      <c r="P11" s="10">
        <v>14.7</v>
      </c>
      <c r="Q11" s="10">
        <v>14.99</v>
      </c>
      <c r="R11" s="10">
        <v>12.46</v>
      </c>
      <c r="S11" s="10">
        <v>7.04</v>
      </c>
    </row>
    <row r="12" spans="1:19" s="9" customFormat="1">
      <c r="A12" s="67" t="s">
        <v>3</v>
      </c>
      <c r="B12" s="10">
        <f t="shared" ref="B12:S12" si="1">+B11-$B$3</f>
        <v>-0.55000000000000071</v>
      </c>
      <c r="C12" s="10">
        <f t="shared" si="1"/>
        <v>-9.7099999999999991</v>
      </c>
      <c r="D12" s="10">
        <f t="shared" si="1"/>
        <v>-19.68</v>
      </c>
      <c r="E12" s="10">
        <f t="shared" si="1"/>
        <v>3.0867729999999973</v>
      </c>
      <c r="F12" s="10">
        <f t="shared" si="1"/>
        <v>-5.5399999999999991</v>
      </c>
      <c r="G12" s="10">
        <f t="shared" si="1"/>
        <v>-4.0499999999999989</v>
      </c>
      <c r="H12" s="10">
        <f t="shared" si="1"/>
        <v>-19.68</v>
      </c>
      <c r="I12" s="10">
        <f t="shared" si="1"/>
        <v>-19.68</v>
      </c>
      <c r="J12" s="10">
        <f t="shared" si="1"/>
        <v>-9.879999999999999</v>
      </c>
      <c r="K12" s="10">
        <f t="shared" si="1"/>
        <v>-19.68</v>
      </c>
      <c r="L12" s="10">
        <f t="shared" si="1"/>
        <v>-4.76</v>
      </c>
      <c r="M12" s="10">
        <f t="shared" si="1"/>
        <v>-10.45</v>
      </c>
      <c r="N12" s="10">
        <f t="shared" si="1"/>
        <v>-9.7799999999999994</v>
      </c>
      <c r="O12" s="10">
        <f t="shared" si="1"/>
        <v>-1.1499999999999986</v>
      </c>
      <c r="P12" s="10">
        <f t="shared" si="1"/>
        <v>-4.9800000000000004</v>
      </c>
      <c r="Q12" s="10">
        <f t="shared" si="1"/>
        <v>-4.6899999999999995</v>
      </c>
      <c r="R12" s="10">
        <f t="shared" si="1"/>
        <v>-7.2199999999999989</v>
      </c>
      <c r="S12" s="10">
        <f t="shared" si="1"/>
        <v>-12.64</v>
      </c>
    </row>
    <row r="13" spans="1:19" s="9" customFormat="1">
      <c r="A13" s="67" t="s">
        <v>52</v>
      </c>
      <c r="B13" s="10">
        <v>2.36</v>
      </c>
      <c r="C13" s="10">
        <v>2.59</v>
      </c>
      <c r="D13" s="10">
        <f>369/((D46*0.092))/D55</f>
        <v>1.8684068983745208</v>
      </c>
      <c r="E13" s="10">
        <f>2.49/D55</f>
        <v>1.9080870000000001</v>
      </c>
      <c r="F13" s="10">
        <v>2.81</v>
      </c>
      <c r="G13" s="10">
        <v>3.11</v>
      </c>
      <c r="H13" s="10">
        <v>2.02</v>
      </c>
      <c r="I13" s="10">
        <v>2.42</v>
      </c>
      <c r="J13" s="10">
        <v>2.2400000000000002</v>
      </c>
      <c r="K13" s="10">
        <v>2.15</v>
      </c>
      <c r="L13" s="10">
        <v>1.95</v>
      </c>
      <c r="M13" s="10">
        <v>3.2</v>
      </c>
      <c r="N13" s="10">
        <v>1.33</v>
      </c>
      <c r="O13" s="10">
        <v>2.5499999999999998</v>
      </c>
      <c r="P13" s="10">
        <v>2.61</v>
      </c>
      <c r="Q13" s="10">
        <v>1.84</v>
      </c>
      <c r="R13" s="10">
        <v>2.4300000000000002</v>
      </c>
      <c r="S13" s="10">
        <v>1.78</v>
      </c>
    </row>
    <row r="14" spans="1:19" s="9" customFormat="1">
      <c r="A14" s="67" t="s">
        <v>3</v>
      </c>
      <c r="B14" s="10">
        <f t="shared" ref="B14:S14" si="2">+B13-$B$4</f>
        <v>-0.48799999999999999</v>
      </c>
      <c r="C14" s="10">
        <f t="shared" si="2"/>
        <v>-0.25800000000000001</v>
      </c>
      <c r="D14" s="10">
        <f t="shared" si="2"/>
        <v>-0.97959310162547908</v>
      </c>
      <c r="E14" s="10">
        <f t="shared" si="2"/>
        <v>-0.93991299999999978</v>
      </c>
      <c r="F14" s="10">
        <f t="shared" si="2"/>
        <v>-3.7999999999999812E-2</v>
      </c>
      <c r="G14" s="10">
        <f t="shared" si="2"/>
        <v>0.26200000000000001</v>
      </c>
      <c r="H14" s="10">
        <f t="shared" si="2"/>
        <v>-0.82799999999999985</v>
      </c>
      <c r="I14" s="10">
        <f t="shared" si="2"/>
        <v>-0.42799999999999994</v>
      </c>
      <c r="J14" s="10">
        <f t="shared" si="2"/>
        <v>-0.60799999999999965</v>
      </c>
      <c r="K14" s="10">
        <f t="shared" si="2"/>
        <v>-0.69799999999999995</v>
      </c>
      <c r="L14" s="10">
        <f t="shared" si="2"/>
        <v>-0.89799999999999991</v>
      </c>
      <c r="M14" s="10">
        <f t="shared" si="2"/>
        <v>0.35200000000000031</v>
      </c>
      <c r="N14" s="10">
        <f t="shared" si="2"/>
        <v>-1.5179999999999998</v>
      </c>
      <c r="O14" s="10">
        <f t="shared" si="2"/>
        <v>-0.29800000000000004</v>
      </c>
      <c r="P14" s="10">
        <f t="shared" si="2"/>
        <v>-0.23799999999999999</v>
      </c>
      <c r="Q14" s="10">
        <f t="shared" si="2"/>
        <v>-1.0079999999999998</v>
      </c>
      <c r="R14" s="10">
        <f t="shared" si="2"/>
        <v>-0.41799999999999971</v>
      </c>
      <c r="S14" s="10">
        <f t="shared" si="2"/>
        <v>-1.0679999999999998</v>
      </c>
    </row>
    <row r="15" spans="1:19" s="9" customFormat="1">
      <c r="A15" s="67" t="s">
        <v>49</v>
      </c>
      <c r="B15" s="10">
        <f>+(1239+435+227)/B48</f>
        <v>26.49674307962497</v>
      </c>
      <c r="C15" s="10">
        <f>(1315)/C48</f>
        <v>29.358578247628806</v>
      </c>
      <c r="D15" s="10">
        <f>(2084+380)/D48/D55</f>
        <v>27.917348292479282</v>
      </c>
      <c r="E15" s="10">
        <f>29.98/D55</f>
        <v>22.973673999999999</v>
      </c>
      <c r="F15" s="10">
        <f>+(166.079+109.278+50.464)/F48</f>
        <v>22.447724561987553</v>
      </c>
      <c r="G15" s="10">
        <f>G64</f>
        <v>29.658438904781359</v>
      </c>
      <c r="H15" s="10">
        <v>26.42</v>
      </c>
      <c r="I15" s="10">
        <v>30.61</v>
      </c>
      <c r="J15" s="10">
        <v>20.98</v>
      </c>
      <c r="K15" s="10">
        <v>20.64</v>
      </c>
      <c r="L15" s="10">
        <f>+(1137.717+112.439+205.293)/L48</f>
        <v>28.49612337331785</v>
      </c>
      <c r="M15" s="20">
        <f>948/M48</f>
        <v>32.851268308460007</v>
      </c>
      <c r="N15" s="10">
        <f>995/N48</f>
        <v>27.038043478260871</v>
      </c>
      <c r="O15" s="10">
        <f>392/O48</f>
        <v>25.733041575492344</v>
      </c>
      <c r="P15" s="10">
        <f>+(461+347+74)/P48</f>
        <v>22.999495853832379</v>
      </c>
      <c r="Q15" s="10">
        <f>1660/Q48</f>
        <v>29.823931009701763</v>
      </c>
      <c r="R15" s="10">
        <v>29.24</v>
      </c>
      <c r="S15" s="10">
        <f>+(340+19+22)/S48</f>
        <v>10.853463992707384</v>
      </c>
    </row>
    <row r="16" spans="1:19" s="9" customFormat="1">
      <c r="A16" s="67"/>
      <c r="B16" s="10"/>
      <c r="C16" s="10"/>
      <c r="D16" s="10"/>
      <c r="E16" s="10"/>
      <c r="F16" s="10"/>
      <c r="G16" s="10"/>
      <c r="H16" s="10"/>
      <c r="I16" s="10"/>
      <c r="J16" s="10"/>
      <c r="K16" s="10"/>
      <c r="L16" s="10"/>
      <c r="M16" s="20"/>
      <c r="N16" s="10"/>
      <c r="O16" s="10"/>
      <c r="P16" s="10"/>
      <c r="Q16" s="10"/>
      <c r="R16" s="10"/>
      <c r="S16" s="10"/>
    </row>
    <row r="17" spans="1:20" s="9" customFormat="1">
      <c r="A17" s="67" t="s">
        <v>4</v>
      </c>
      <c r="B17" s="10"/>
      <c r="C17" s="10"/>
      <c r="D17" s="10"/>
      <c r="E17" s="10"/>
      <c r="F17" s="10"/>
      <c r="G17" s="10"/>
      <c r="H17" s="10"/>
      <c r="I17" s="10"/>
      <c r="J17" s="10"/>
      <c r="K17" s="10"/>
      <c r="L17" s="10"/>
      <c r="M17" s="20"/>
      <c r="N17" s="10"/>
      <c r="O17" s="10"/>
      <c r="P17" s="10"/>
      <c r="Q17" s="10"/>
      <c r="R17" s="10"/>
      <c r="S17" s="10"/>
    </row>
    <row r="18" spans="1:20" s="9" customFormat="1">
      <c r="A18" s="66" t="s">
        <v>75</v>
      </c>
      <c r="B18" s="10">
        <f>+(198+256)/B48</f>
        <v>6.3279965061282146</v>
      </c>
      <c r="C18" s="10">
        <f>+(382+51)/C48</f>
        <v>9.6671212024511579</v>
      </c>
      <c r="D18" s="20">
        <f>+(362+22+663+438)/D48/D55</f>
        <v>16.825187586985283</v>
      </c>
      <c r="E18" s="10">
        <f>+(4.51+8.92)/D55</f>
        <v>10.291408999999998</v>
      </c>
      <c r="F18" s="10">
        <f>+(44.249+8.727+48.706)/F48</f>
        <v>7.0054708840498874</v>
      </c>
      <c r="G18" s="10">
        <f>+(1526-145)/G48</f>
        <v>12.268794086814378</v>
      </c>
      <c r="H18" s="10">
        <f>67.022/H48</f>
        <v>3.5051113199618937</v>
      </c>
      <c r="I18" s="10">
        <v>4.9800000000000004</v>
      </c>
      <c r="J18" s="10">
        <f>355/J48</f>
        <v>6.7030034490571744</v>
      </c>
      <c r="K18" s="10">
        <f>4.19+5.77</f>
        <v>9.9600000000000009</v>
      </c>
      <c r="L18" s="10">
        <f>+(226.348+200.862+32.635-8.9-0.4)/L48</f>
        <v>8.8211856995549081</v>
      </c>
      <c r="M18" s="20">
        <f>+(378+113)/M48</f>
        <v>17.014739176639097</v>
      </c>
      <c r="N18" s="10">
        <f>+(295+189-113)/N48</f>
        <v>10.081521739130435</v>
      </c>
      <c r="O18" s="10">
        <f>+(60+71)/O48</f>
        <v>8.5995623632385119</v>
      </c>
      <c r="P18" s="10">
        <f>+(131+113)/P48</f>
        <v>6.3626723223753974</v>
      </c>
      <c r="Q18" s="10">
        <v>10.81</v>
      </c>
      <c r="R18" s="10">
        <f>(141+27)/R48</f>
        <v>7.6444493789567405</v>
      </c>
      <c r="S18" s="10">
        <f>0.86*6</f>
        <v>5.16</v>
      </c>
    </row>
    <row r="19" spans="1:20" s="9" customFormat="1">
      <c r="A19" s="66" t="s">
        <v>74</v>
      </c>
      <c r="B19" s="10"/>
      <c r="C19" s="10"/>
      <c r="D19" s="10">
        <f>142/D48/D55</f>
        <v>1.6088731564659329</v>
      </c>
      <c r="E19" s="10">
        <f>+(1.55)/D55</f>
        <v>1.187765</v>
      </c>
      <c r="F19" s="10"/>
      <c r="G19" s="10"/>
      <c r="H19" s="10"/>
      <c r="I19" s="10"/>
      <c r="J19" s="10"/>
      <c r="K19" s="10"/>
      <c r="L19" s="10"/>
      <c r="M19" s="20"/>
      <c r="N19" s="10"/>
      <c r="O19" s="10"/>
      <c r="P19" s="10"/>
      <c r="Q19" s="10"/>
      <c r="R19" s="10"/>
      <c r="S19" s="10"/>
    </row>
    <row r="20" spans="1:20" s="9" customFormat="1">
      <c r="A20" s="66" t="s">
        <v>10</v>
      </c>
      <c r="B20" s="10">
        <f>(148-10.67)/B48</f>
        <v>1.914149251512308</v>
      </c>
      <c r="C20" s="10">
        <f>9/C48</f>
        <v>0.20093323515487396</v>
      </c>
      <c r="D20" s="10"/>
      <c r="E20" s="10">
        <f>+(0.15/D55)</f>
        <v>0.11494499999999999</v>
      </c>
      <c r="F20" s="10">
        <f>15.974/F48</f>
        <v>1.1005427893020683</v>
      </c>
      <c r="G20" s="10">
        <f>161/G48</f>
        <v>1.4303228442991418</v>
      </c>
      <c r="H20" s="10">
        <f>34.583/H48</f>
        <v>1.8086190322318367</v>
      </c>
      <c r="I20" s="10">
        <v>2.38</v>
      </c>
      <c r="J20" s="10">
        <f>57/J48</f>
        <v>1.0762568918204478</v>
      </c>
      <c r="K20" s="10">
        <v>0.64</v>
      </c>
      <c r="L20" s="10">
        <f>91.909/L48</f>
        <v>1.7994792006578522</v>
      </c>
      <c r="M20" s="20">
        <f>27/M48</f>
        <v>0.93563738853208889</v>
      </c>
      <c r="N20" s="10">
        <f>39/N48</f>
        <v>1.0597826086956523</v>
      </c>
      <c r="O20" s="10">
        <f>13/O48</f>
        <v>0.85339168490153172</v>
      </c>
      <c r="P20" s="10">
        <f>30/P48</f>
        <v>0.78229577734123745</v>
      </c>
      <c r="Q20" s="10">
        <v>0.97</v>
      </c>
      <c r="R20" s="10">
        <f>32/R48</f>
        <v>1.4560855959917602</v>
      </c>
      <c r="S20" s="10">
        <f>0.23*6</f>
        <v>1.3800000000000001</v>
      </c>
    </row>
    <row r="21" spans="1:20" s="9" customFormat="1">
      <c r="A21" s="66" t="s">
        <v>11</v>
      </c>
      <c r="B21" s="10">
        <f>(362-112-11.382)/B48</f>
        <v>3.3259336350204896</v>
      </c>
      <c r="C21" s="10">
        <f>(102)/C48</f>
        <v>2.2772433317552383</v>
      </c>
      <c r="D21" s="10">
        <f>+(156)/D48/D55</f>
        <v>1.7674944535822925</v>
      </c>
      <c r="E21" s="10">
        <f>71/E48/D55</f>
        <v>2.163029113009892</v>
      </c>
      <c r="F21" s="10">
        <f>+(20.118+16.634+10.66)/F48</f>
        <v>3.2664914690365374</v>
      </c>
      <c r="G21" s="10">
        <f>(203-23-43)/G48</f>
        <v>1.2171070165775306</v>
      </c>
      <c r="H21" s="10">
        <f>(44.389-13.2)/H48</f>
        <v>1.6311198853852691</v>
      </c>
      <c r="I21" s="10">
        <v>3.8</v>
      </c>
      <c r="J21" s="10">
        <f>(118+54)/J48</f>
        <v>3.2476523753178421</v>
      </c>
      <c r="K21" s="10">
        <f>(91-33+15)/K48</f>
        <v>2.3475688191407253</v>
      </c>
      <c r="L21" s="10">
        <f>(94.397-24.2)/L48</f>
        <v>1.3743816323600435</v>
      </c>
      <c r="M21" s="20">
        <f>(106-4)/M48</f>
        <v>3.5346301344545581</v>
      </c>
      <c r="N21" s="10">
        <f>(105-14)/N48</f>
        <v>2.472826086956522</v>
      </c>
      <c r="O21" s="10">
        <f>65/O48</f>
        <v>4.2669584245076591</v>
      </c>
      <c r="P21" s="10">
        <f>95/P48</f>
        <v>2.4772699615805851</v>
      </c>
      <c r="Q21" s="10">
        <v>2.95</v>
      </c>
      <c r="R21" s="10">
        <f>82/R48</f>
        <v>3.7312193397288853</v>
      </c>
      <c r="S21" s="10">
        <f>0.23*6</f>
        <v>1.3800000000000001</v>
      </c>
    </row>
    <row r="22" spans="1:20" s="9" customFormat="1">
      <c r="A22" s="66" t="s">
        <v>12</v>
      </c>
      <c r="B22" s="10">
        <f>(251-31.612+31)/B48</f>
        <v>3.4899876413577786</v>
      </c>
      <c r="C22" s="10">
        <f>(116+13+3)/C48</f>
        <v>2.9470207822714847</v>
      </c>
      <c r="D22" s="10">
        <f>157/D48/D55</f>
        <v>1.7788245462334609</v>
      </c>
      <c r="E22" s="10">
        <f>84/E48/D55</f>
        <v>2.559076697082125</v>
      </c>
      <c r="F22" s="10">
        <f>20.931/F48</f>
        <v>1.4420596671392005</v>
      </c>
      <c r="G22" s="10">
        <f>335/G48</f>
        <v>2.9761375952808229</v>
      </c>
      <c r="H22" s="10">
        <f>82.074/H48</f>
        <v>4.29229964003689</v>
      </c>
      <c r="I22" s="10">
        <f>52.994/I48</f>
        <v>3.7676018470827897</v>
      </c>
      <c r="J22" s="10">
        <f>(117+18)/J48</f>
        <v>2.5490294806273761</v>
      </c>
      <c r="K22" s="10">
        <f>(99)/K48</f>
        <v>3.1836892204785183</v>
      </c>
      <c r="L22" s="10">
        <f>(70.858+(25-17))/L48</f>
        <v>1.5439546813204028</v>
      </c>
      <c r="M22" s="20">
        <f>95/M48</f>
        <v>3.2920574781684611</v>
      </c>
      <c r="N22" s="10">
        <f>87/N48</f>
        <v>2.3641304347826089</v>
      </c>
      <c r="O22" s="10">
        <f>37/O48</f>
        <v>2.4288840262582059</v>
      </c>
      <c r="P22" s="10">
        <f>103/P48</f>
        <v>2.6858821688715819</v>
      </c>
      <c r="Q22" s="10">
        <f>68/Q48</f>
        <v>1.221703197987783</v>
      </c>
      <c r="R22" s="10">
        <f>50/R48</f>
        <v>2.2751337437371251</v>
      </c>
      <c r="S22" s="10">
        <f>(59)/S48</f>
        <v>1.6807201458523247</v>
      </c>
    </row>
    <row r="23" spans="1:20" s="9" customFormat="1">
      <c r="A23" s="66" t="s">
        <v>13</v>
      </c>
      <c r="B23" s="10">
        <f>(984-67.246)/B48</f>
        <v>12.778009050614681</v>
      </c>
      <c r="C23" s="10">
        <f>629/C48</f>
        <v>14.043000545823968</v>
      </c>
      <c r="D23" s="10">
        <f>+(1031+182)/D48/D55</f>
        <v>13.743402385867439</v>
      </c>
      <c r="E23" s="10">
        <f>+(181+412-16-210-65)/E48/D55</f>
        <v>9.2004900299857368</v>
      </c>
      <c r="F23" s="10">
        <f>125.627/F48</f>
        <v>8.6551827339208032</v>
      </c>
      <c r="G23" s="10">
        <f>2425/G48</f>
        <v>21.543682592704467</v>
      </c>
      <c r="H23" s="10">
        <f>414.7/H48</f>
        <v>21.687948201906796</v>
      </c>
      <c r="I23" s="10">
        <v>21.27</v>
      </c>
      <c r="J23" s="10">
        <f>268/J48</f>
        <v>5.0602955615417544</v>
      </c>
      <c r="K23" s="10">
        <f>+(54+112)/K48</f>
        <v>5.3383071777720605</v>
      </c>
      <c r="L23" s="10">
        <f>899.511/L48</f>
        <v>17.611456280265752</v>
      </c>
      <c r="M23" s="20">
        <f>(784+2)/M48</f>
        <v>27.237443977267478</v>
      </c>
      <c r="N23" s="10">
        <f>594/N48</f>
        <v>16.14130434782609</v>
      </c>
      <c r="O23" s="10">
        <f>120/O48</f>
        <v>7.8774617067833699</v>
      </c>
      <c r="P23" s="10">
        <f>621/P48</f>
        <v>16.193522590963614</v>
      </c>
      <c r="Q23" s="10">
        <v>15.58</v>
      </c>
      <c r="R23" s="10">
        <f>386/R48</f>
        <v>17.564032501650608</v>
      </c>
      <c r="S23" s="10">
        <f>83/S48</f>
        <v>2.3644029170464904</v>
      </c>
    </row>
    <row r="24" spans="1:20" s="9" customFormat="1">
      <c r="A24" s="66"/>
      <c r="B24" s="10"/>
      <c r="C24" s="10"/>
      <c r="D24" s="10"/>
      <c r="E24" s="10"/>
      <c r="F24" s="10"/>
      <c r="G24" s="10"/>
      <c r="H24" s="10"/>
      <c r="I24" s="10"/>
      <c r="J24" s="10"/>
      <c r="K24" s="10"/>
      <c r="L24" s="10"/>
      <c r="M24" s="20"/>
      <c r="N24" s="10"/>
      <c r="O24" s="10"/>
      <c r="P24" s="10"/>
      <c r="Q24" s="10"/>
      <c r="R24" s="10"/>
      <c r="S24" s="10"/>
    </row>
    <row r="25" spans="1:20" s="9" customFormat="1">
      <c r="A25" s="67" t="s">
        <v>9</v>
      </c>
      <c r="B25" s="8"/>
      <c r="C25" s="8"/>
      <c r="D25" s="8"/>
      <c r="E25" s="8"/>
      <c r="F25" s="8"/>
      <c r="G25" s="8"/>
      <c r="H25" s="8"/>
      <c r="I25" s="8"/>
      <c r="J25" s="8"/>
      <c r="K25" s="8"/>
      <c r="L25" s="8"/>
      <c r="M25" s="19"/>
      <c r="N25" s="8"/>
      <c r="O25" s="8"/>
      <c r="P25" s="8"/>
      <c r="Q25" s="8"/>
      <c r="R25" s="8"/>
      <c r="S25" s="8"/>
    </row>
    <row r="26" spans="1:20" s="9" customFormat="1">
      <c r="A26" s="66" t="s">
        <v>5</v>
      </c>
      <c r="B26" s="10">
        <f>+B18+B20</f>
        <v>8.2421457576405217</v>
      </c>
      <c r="C26" s="10">
        <f>+C18+C20</f>
        <v>9.8680544376060322</v>
      </c>
      <c r="D26" s="10">
        <f>+D18+D20+D19</f>
        <v>18.434060743451216</v>
      </c>
      <c r="E26" s="10">
        <f>+E18+E20+E19</f>
        <v>11.594118999999999</v>
      </c>
      <c r="F26" s="10">
        <f t="shared" ref="F26:S26" si="3">+F18+F20</f>
        <v>8.1060136733519563</v>
      </c>
      <c r="G26" s="10">
        <f t="shared" si="3"/>
        <v>13.699116931113519</v>
      </c>
      <c r="H26" s="10">
        <f t="shared" si="3"/>
        <v>5.3137303521937307</v>
      </c>
      <c r="I26" s="10">
        <f t="shared" si="3"/>
        <v>7.36</v>
      </c>
      <c r="J26" s="10">
        <f t="shared" si="3"/>
        <v>7.779260340877622</v>
      </c>
      <c r="K26" s="10">
        <f t="shared" si="3"/>
        <v>10.600000000000001</v>
      </c>
      <c r="L26" s="10">
        <f t="shared" si="3"/>
        <v>10.620664900212761</v>
      </c>
      <c r="M26" s="20">
        <f t="shared" si="3"/>
        <v>17.950376565171187</v>
      </c>
      <c r="N26" s="10">
        <f t="shared" si="3"/>
        <v>11.141304347826088</v>
      </c>
      <c r="O26" s="10">
        <f t="shared" si="3"/>
        <v>9.4529540481400431</v>
      </c>
      <c r="P26" s="10">
        <f t="shared" si="3"/>
        <v>7.1449680997166345</v>
      </c>
      <c r="Q26" s="10">
        <f t="shared" si="3"/>
        <v>11.780000000000001</v>
      </c>
      <c r="R26" s="10">
        <f t="shared" si="3"/>
        <v>9.1005349749485003</v>
      </c>
      <c r="S26" s="10">
        <f t="shared" si="3"/>
        <v>6.54</v>
      </c>
    </row>
    <row r="27" spans="1:20" s="9" customFormat="1">
      <c r="A27" s="66" t="s">
        <v>6</v>
      </c>
      <c r="B27" s="10">
        <f t="shared" ref="B27:S29" si="4">+B26+B21</f>
        <v>11.568079392661012</v>
      </c>
      <c r="C27" s="10">
        <f t="shared" si="4"/>
        <v>12.145297769361271</v>
      </c>
      <c r="D27" s="10">
        <f t="shared" si="4"/>
        <v>20.201555197033507</v>
      </c>
      <c r="E27" s="10">
        <f t="shared" si="4"/>
        <v>13.75714811300989</v>
      </c>
      <c r="F27" s="10">
        <f t="shared" si="4"/>
        <v>11.372505142388494</v>
      </c>
      <c r="G27" s="10">
        <f t="shared" si="4"/>
        <v>14.91622394769105</v>
      </c>
      <c r="H27" s="10">
        <f t="shared" si="4"/>
        <v>6.9448502375789998</v>
      </c>
      <c r="I27" s="10">
        <f t="shared" si="4"/>
        <v>11.16</v>
      </c>
      <c r="J27" s="10">
        <f t="shared" si="4"/>
        <v>11.026912716195465</v>
      </c>
      <c r="K27" s="10">
        <f t="shared" si="4"/>
        <v>12.947568819140727</v>
      </c>
      <c r="L27" s="10">
        <f t="shared" si="4"/>
        <v>11.995046532572804</v>
      </c>
      <c r="M27" s="20">
        <f t="shared" si="4"/>
        <v>21.485006699625746</v>
      </c>
      <c r="N27" s="10">
        <f t="shared" si="4"/>
        <v>13.614130434782609</v>
      </c>
      <c r="O27" s="10">
        <f t="shared" si="4"/>
        <v>13.719912472647703</v>
      </c>
      <c r="P27" s="10">
        <f t="shared" si="4"/>
        <v>9.6222380612972191</v>
      </c>
      <c r="Q27" s="10">
        <f t="shared" si="4"/>
        <v>14.73</v>
      </c>
      <c r="R27" s="10">
        <f t="shared" si="4"/>
        <v>12.831754314677386</v>
      </c>
      <c r="S27" s="10">
        <f t="shared" si="4"/>
        <v>7.92</v>
      </c>
    </row>
    <row r="28" spans="1:20" s="9" customFormat="1">
      <c r="A28" s="66" t="s">
        <v>7</v>
      </c>
      <c r="B28" s="10">
        <f t="shared" si="4"/>
        <v>15.058067034018791</v>
      </c>
      <c r="C28" s="10">
        <f t="shared" si="4"/>
        <v>15.092318551632756</v>
      </c>
      <c r="D28" s="10">
        <f t="shared" si="4"/>
        <v>21.980379743266969</v>
      </c>
      <c r="E28" s="10">
        <f t="shared" si="4"/>
        <v>16.316224810092017</v>
      </c>
      <c r="F28" s="10">
        <f t="shared" si="4"/>
        <v>12.814564809527695</v>
      </c>
      <c r="G28" s="10">
        <f t="shared" si="4"/>
        <v>17.892361542971873</v>
      </c>
      <c r="H28" s="10">
        <f t="shared" si="4"/>
        <v>11.23714987761589</v>
      </c>
      <c r="I28" s="10">
        <f t="shared" si="4"/>
        <v>14.927601847082791</v>
      </c>
      <c r="J28" s="10">
        <f t="shared" si="4"/>
        <v>13.57594219682284</v>
      </c>
      <c r="K28" s="10">
        <f t="shared" si="4"/>
        <v>16.131258039619247</v>
      </c>
      <c r="L28" s="10">
        <f t="shared" si="4"/>
        <v>13.539001213893206</v>
      </c>
      <c r="M28" s="20">
        <f t="shared" si="4"/>
        <v>24.777064177794209</v>
      </c>
      <c r="N28" s="10">
        <f t="shared" si="4"/>
        <v>15.978260869565219</v>
      </c>
      <c r="O28" s="10">
        <f t="shared" si="4"/>
        <v>16.148796498905909</v>
      </c>
      <c r="P28" s="10">
        <f t="shared" si="4"/>
        <v>12.3081202301688</v>
      </c>
      <c r="Q28" s="10">
        <f t="shared" si="4"/>
        <v>15.951703197987783</v>
      </c>
      <c r="R28" s="10">
        <f t="shared" si="4"/>
        <v>15.106888058414512</v>
      </c>
      <c r="S28" s="10">
        <f t="shared" si="4"/>
        <v>9.6007201458523248</v>
      </c>
    </row>
    <row r="29" spans="1:20" s="9" customFormat="1">
      <c r="A29" s="66" t="s">
        <v>8</v>
      </c>
      <c r="B29" s="10">
        <f t="shared" si="4"/>
        <v>27.836076084633472</v>
      </c>
      <c r="C29" s="10">
        <f t="shared" si="4"/>
        <v>29.135319097456723</v>
      </c>
      <c r="D29" s="10">
        <f t="shared" si="4"/>
        <v>35.723782129134406</v>
      </c>
      <c r="E29" s="10">
        <f t="shared" si="4"/>
        <v>25.516714840077753</v>
      </c>
      <c r="F29" s="10">
        <f t="shared" si="4"/>
        <v>21.469747543448499</v>
      </c>
      <c r="G29" s="10">
        <f t="shared" si="4"/>
        <v>39.43604413567634</v>
      </c>
      <c r="H29" s="10">
        <f t="shared" si="4"/>
        <v>32.925098079522684</v>
      </c>
      <c r="I29" s="10">
        <f t="shared" si="4"/>
        <v>36.197601847082794</v>
      </c>
      <c r="J29" s="10">
        <f t="shared" si="4"/>
        <v>18.636237758364594</v>
      </c>
      <c r="K29" s="10">
        <f t="shared" si="4"/>
        <v>21.469565217391306</v>
      </c>
      <c r="L29" s="10">
        <f t="shared" si="4"/>
        <v>31.150457494158957</v>
      </c>
      <c r="M29" s="20">
        <f t="shared" si="4"/>
        <v>52.014508155061691</v>
      </c>
      <c r="N29" s="10">
        <f t="shared" si="4"/>
        <v>32.119565217391312</v>
      </c>
      <c r="O29" s="10">
        <f t="shared" si="4"/>
        <v>24.026258205689281</v>
      </c>
      <c r="P29" s="10">
        <f t="shared" si="4"/>
        <v>28.501642821132414</v>
      </c>
      <c r="Q29" s="10">
        <f t="shared" si="4"/>
        <v>31.531703197987781</v>
      </c>
      <c r="R29" s="10">
        <f t="shared" si="4"/>
        <v>32.67092056006512</v>
      </c>
      <c r="S29" s="10">
        <f t="shared" si="4"/>
        <v>11.965123062898815</v>
      </c>
      <c r="T29" s="65"/>
    </row>
    <row r="30" spans="1:20" s="9" customFormat="1">
      <c r="A30" s="67"/>
      <c r="B30" s="10"/>
      <c r="C30" s="10"/>
      <c r="D30" s="10"/>
      <c r="E30" s="10"/>
      <c r="F30" s="10"/>
      <c r="G30" s="10"/>
      <c r="H30" s="10"/>
      <c r="I30" s="10"/>
      <c r="J30" s="10"/>
      <c r="K30" s="10"/>
      <c r="L30" s="10"/>
      <c r="M30" s="20"/>
      <c r="N30" s="10"/>
      <c r="O30" s="10"/>
      <c r="P30" s="10"/>
      <c r="Q30" s="10"/>
      <c r="R30" s="10"/>
      <c r="S30" s="10"/>
    </row>
    <row r="31" spans="1:20" s="9" customFormat="1">
      <c r="A31" s="66" t="s">
        <v>14</v>
      </c>
      <c r="B31" s="10"/>
      <c r="C31" s="10"/>
      <c r="D31" s="10"/>
      <c r="E31" s="10"/>
      <c r="F31" s="10"/>
      <c r="G31" s="10"/>
      <c r="H31" s="10"/>
      <c r="I31" s="10"/>
      <c r="J31" s="10"/>
      <c r="K31" s="10"/>
      <c r="L31" s="10"/>
      <c r="M31" s="20"/>
      <c r="N31" s="10"/>
      <c r="O31" s="10"/>
      <c r="P31" s="10"/>
      <c r="Q31" s="10"/>
      <c r="R31" s="10"/>
      <c r="S31" s="10"/>
    </row>
    <row r="32" spans="1:20" s="9" customFormat="1">
      <c r="A32" s="66" t="s">
        <v>67</v>
      </c>
      <c r="B32" s="10">
        <f t="shared" ref="B32:S35" si="5">+B$15-B26</f>
        <v>18.254597321984448</v>
      </c>
      <c r="C32" s="10">
        <f t="shared" si="5"/>
        <v>19.490523810022772</v>
      </c>
      <c r="D32" s="10">
        <f t="shared" si="5"/>
        <v>9.4832875490280664</v>
      </c>
      <c r="E32" s="10">
        <f t="shared" si="5"/>
        <v>11.379555</v>
      </c>
      <c r="F32" s="10">
        <f t="shared" si="5"/>
        <v>14.341710888635596</v>
      </c>
      <c r="G32" s="10">
        <f t="shared" si="5"/>
        <v>15.959321973667841</v>
      </c>
      <c r="H32" s="10">
        <f t="shared" si="5"/>
        <v>21.106269647806272</v>
      </c>
      <c r="I32" s="10">
        <f t="shared" si="5"/>
        <v>23.25</v>
      </c>
      <c r="J32" s="10">
        <f t="shared" si="5"/>
        <v>13.200739659122378</v>
      </c>
      <c r="K32" s="10">
        <f t="shared" si="5"/>
        <v>10.039999999999999</v>
      </c>
      <c r="L32" s="10">
        <f t="shared" si="5"/>
        <v>17.875458473105091</v>
      </c>
      <c r="M32" s="20">
        <f t="shared" si="5"/>
        <v>14.90089174328882</v>
      </c>
      <c r="N32" s="10">
        <f t="shared" si="5"/>
        <v>15.896739130434783</v>
      </c>
      <c r="O32" s="10">
        <f t="shared" si="5"/>
        <v>16.2800875273523</v>
      </c>
      <c r="P32" s="10">
        <f t="shared" si="5"/>
        <v>15.854527754115743</v>
      </c>
      <c r="Q32" s="10">
        <f t="shared" si="5"/>
        <v>18.043931009701762</v>
      </c>
      <c r="R32" s="10">
        <f t="shared" si="5"/>
        <v>20.1394650250515</v>
      </c>
      <c r="S32" s="10">
        <f t="shared" si="5"/>
        <v>4.3134639927073843</v>
      </c>
    </row>
    <row r="33" spans="1:19" s="9" customFormat="1">
      <c r="A33" s="66" t="s">
        <v>68</v>
      </c>
      <c r="B33" s="10">
        <f t="shared" si="5"/>
        <v>14.928663686963958</v>
      </c>
      <c r="C33" s="10">
        <f t="shared" si="5"/>
        <v>17.213280478267535</v>
      </c>
      <c r="D33" s="10">
        <f t="shared" si="5"/>
        <v>7.7157930954457754</v>
      </c>
      <c r="E33" s="10">
        <f t="shared" si="5"/>
        <v>9.2165258869901088</v>
      </c>
      <c r="F33" s="10">
        <f t="shared" si="5"/>
        <v>11.075219419599058</v>
      </c>
      <c r="G33" s="10">
        <f t="shared" si="5"/>
        <v>14.74221495709031</v>
      </c>
      <c r="H33" s="10">
        <f t="shared" si="5"/>
        <v>19.475149762421001</v>
      </c>
      <c r="I33" s="10">
        <f t="shared" si="5"/>
        <v>19.45</v>
      </c>
      <c r="J33" s="10">
        <f t="shared" si="5"/>
        <v>9.9530872838045354</v>
      </c>
      <c r="K33" s="10">
        <f t="shared" si="5"/>
        <v>7.6924311808592734</v>
      </c>
      <c r="L33" s="10">
        <f t="shared" si="5"/>
        <v>16.501076840745046</v>
      </c>
      <c r="M33" s="20">
        <f t="shared" si="5"/>
        <v>11.366261608834261</v>
      </c>
      <c r="N33" s="10">
        <f t="shared" si="5"/>
        <v>13.423913043478262</v>
      </c>
      <c r="O33" s="10">
        <f t="shared" si="5"/>
        <v>12.013129102844641</v>
      </c>
      <c r="P33" s="10">
        <f t="shared" si="5"/>
        <v>13.377257792535159</v>
      </c>
      <c r="Q33" s="10">
        <f t="shared" si="5"/>
        <v>15.093931009701762</v>
      </c>
      <c r="R33" s="10">
        <f t="shared" si="5"/>
        <v>16.408245685322612</v>
      </c>
      <c r="S33" s="10">
        <f t="shared" si="5"/>
        <v>2.9334639927073844</v>
      </c>
    </row>
    <row r="34" spans="1:19" s="9" customFormat="1">
      <c r="A34" s="66" t="s">
        <v>69</v>
      </c>
      <c r="B34" s="10">
        <f t="shared" si="5"/>
        <v>11.438676045606179</v>
      </c>
      <c r="C34" s="10">
        <f t="shared" si="5"/>
        <v>14.26625969599605</v>
      </c>
      <c r="D34" s="10">
        <f t="shared" si="5"/>
        <v>5.9369685492123132</v>
      </c>
      <c r="E34" s="10">
        <f t="shared" si="5"/>
        <v>6.6574491899079824</v>
      </c>
      <c r="F34" s="10">
        <f t="shared" si="5"/>
        <v>9.6331597524598571</v>
      </c>
      <c r="G34" s="10">
        <f t="shared" si="5"/>
        <v>11.766077361809486</v>
      </c>
      <c r="H34" s="10">
        <f t="shared" si="5"/>
        <v>15.182850122384112</v>
      </c>
      <c r="I34" s="10">
        <f t="shared" si="5"/>
        <v>15.682398152917209</v>
      </c>
      <c r="J34" s="10">
        <f t="shared" si="5"/>
        <v>7.4040578031771602</v>
      </c>
      <c r="K34" s="10">
        <f t="shared" si="5"/>
        <v>4.5087419603807533</v>
      </c>
      <c r="L34" s="10">
        <f t="shared" si="5"/>
        <v>14.957122159424644</v>
      </c>
      <c r="M34" s="20">
        <f t="shared" si="5"/>
        <v>8.0742041306657981</v>
      </c>
      <c r="N34" s="10">
        <f t="shared" si="5"/>
        <v>11.059782608695652</v>
      </c>
      <c r="O34" s="10">
        <f t="shared" si="5"/>
        <v>9.5842450765864342</v>
      </c>
      <c r="P34" s="10">
        <f t="shared" si="5"/>
        <v>10.691375623663578</v>
      </c>
      <c r="Q34" s="10">
        <f t="shared" si="5"/>
        <v>13.87222781171398</v>
      </c>
      <c r="R34" s="10">
        <f t="shared" si="5"/>
        <v>14.133111941585486</v>
      </c>
      <c r="S34" s="10">
        <f t="shared" si="5"/>
        <v>1.2527438468550596</v>
      </c>
    </row>
    <row r="35" spans="1:19" s="9" customFormat="1">
      <c r="A35" s="66" t="s">
        <v>70</v>
      </c>
      <c r="B35" s="10">
        <f t="shared" si="5"/>
        <v>-1.3393330050085019</v>
      </c>
      <c r="C35" s="10">
        <f t="shared" si="5"/>
        <v>0.22325915017208331</v>
      </c>
      <c r="D35" s="10">
        <f t="shared" si="5"/>
        <v>-7.806433836655124</v>
      </c>
      <c r="E35" s="10">
        <f t="shared" si="5"/>
        <v>-2.5430408400777544</v>
      </c>
      <c r="F35" s="10">
        <f t="shared" si="5"/>
        <v>0.97797701853905394</v>
      </c>
      <c r="G35" s="10">
        <f t="shared" si="5"/>
        <v>-9.7776052308949808</v>
      </c>
      <c r="H35" s="10">
        <f t="shared" si="5"/>
        <v>-6.505098079522682</v>
      </c>
      <c r="I35" s="10">
        <f t="shared" si="5"/>
        <v>-5.5876018470827944</v>
      </c>
      <c r="J35" s="10">
        <f t="shared" si="5"/>
        <v>2.3437622416354067</v>
      </c>
      <c r="K35" s="10">
        <f t="shared" si="5"/>
        <v>-0.82956521739130551</v>
      </c>
      <c r="L35" s="10">
        <f t="shared" si="5"/>
        <v>-2.6543341208411064</v>
      </c>
      <c r="M35" s="20">
        <f t="shared" si="5"/>
        <v>-19.163239846601684</v>
      </c>
      <c r="N35" s="10">
        <f t="shared" si="5"/>
        <v>-5.0815217391304408</v>
      </c>
      <c r="O35" s="10">
        <f t="shared" si="5"/>
        <v>1.7067833698030626</v>
      </c>
      <c r="P35" s="10">
        <f t="shared" si="5"/>
        <v>-5.5021469673000354</v>
      </c>
      <c r="Q35" s="10">
        <f t="shared" si="5"/>
        <v>-1.7077721882860182</v>
      </c>
      <c r="R35" s="10">
        <f t="shared" si="5"/>
        <v>-3.4309205600651218</v>
      </c>
      <c r="S35" s="10">
        <f t="shared" si="5"/>
        <v>-1.1116590701914308</v>
      </c>
    </row>
    <row r="36" spans="1:19" s="9" customFormat="1">
      <c r="A36" s="66" t="s">
        <v>112</v>
      </c>
      <c r="B36" s="10">
        <f>+B15-B18-B19-B20-B21</f>
        <v>14.928663686963958</v>
      </c>
      <c r="C36" s="10">
        <f t="shared" ref="C36:S36" si="6">+C15-C18-C19-C20-C21</f>
        <v>17.213280478267539</v>
      </c>
      <c r="D36" s="10">
        <f t="shared" si="6"/>
        <v>7.7157930954457736</v>
      </c>
      <c r="E36" s="10">
        <f t="shared" si="6"/>
        <v>9.2165258869901088</v>
      </c>
      <c r="F36" s="10">
        <f t="shared" si="6"/>
        <v>11.075219419599058</v>
      </c>
      <c r="G36" s="10">
        <f t="shared" si="6"/>
        <v>14.74221495709031</v>
      </c>
      <c r="H36" s="10">
        <f t="shared" si="6"/>
        <v>19.475149762421005</v>
      </c>
      <c r="I36" s="10">
        <f t="shared" si="6"/>
        <v>19.45</v>
      </c>
      <c r="J36" s="10">
        <f t="shared" si="6"/>
        <v>9.9530872838045354</v>
      </c>
      <c r="K36" s="10">
        <f t="shared" si="6"/>
        <v>7.6924311808592734</v>
      </c>
      <c r="L36" s="10">
        <f t="shared" si="6"/>
        <v>16.501076840745043</v>
      </c>
      <c r="M36" s="10">
        <f>+M15-M18-M19-M20-M21</f>
        <v>11.366261608834265</v>
      </c>
      <c r="N36" s="10">
        <f t="shared" si="6"/>
        <v>13.423913043478263</v>
      </c>
      <c r="O36" s="10">
        <f t="shared" si="6"/>
        <v>12.013129102844641</v>
      </c>
      <c r="P36" s="10">
        <f t="shared" si="6"/>
        <v>13.377257792535159</v>
      </c>
      <c r="Q36" s="10">
        <f t="shared" si="6"/>
        <v>15.093931009701766</v>
      </c>
      <c r="R36" s="10">
        <f t="shared" si="6"/>
        <v>16.408245685322616</v>
      </c>
      <c r="S36" s="10">
        <f t="shared" si="6"/>
        <v>2.9334639927073844</v>
      </c>
    </row>
    <row r="37" spans="1:19" s="9" customFormat="1">
      <c r="A37" s="66" t="s">
        <v>105</v>
      </c>
      <c r="B37" s="31">
        <f>+(B34+B22)/B22</f>
        <v>4.2775692125820726</v>
      </c>
      <c r="C37" s="31">
        <f t="shared" ref="C37:S37" si="7">+(C34+C22)/C22</f>
        <v>5.8409090909090908</v>
      </c>
      <c r="D37" s="31">
        <f t="shared" si="7"/>
        <v>4.3375796178343933</v>
      </c>
      <c r="E37" s="31">
        <f t="shared" si="7"/>
        <v>3.6015043619047629</v>
      </c>
      <c r="F37" s="31">
        <f t="shared" si="7"/>
        <v>7.680139505995891</v>
      </c>
      <c r="G37" s="31">
        <f t="shared" si="7"/>
        <v>4.9534722388059684</v>
      </c>
      <c r="H37" s="31">
        <f t="shared" si="7"/>
        <v>4.5372297825539558</v>
      </c>
      <c r="I37" s="31">
        <f t="shared" si="7"/>
        <v>5.1624350951680071</v>
      </c>
      <c r="J37" s="31">
        <f t="shared" si="7"/>
        <v>3.904657580246913</v>
      </c>
      <c r="K37" s="31">
        <f t="shared" si="7"/>
        <v>2.4162004040404028</v>
      </c>
      <c r="L37" s="31">
        <f t="shared" si="7"/>
        <v>10.687539628192447</v>
      </c>
      <c r="M37" s="31">
        <f>+(M34+M22)/M22</f>
        <v>3.4526315789473663</v>
      </c>
      <c r="N37" s="31">
        <f t="shared" si="7"/>
        <v>5.6781609195402298</v>
      </c>
      <c r="O37" s="31">
        <f t="shared" si="7"/>
        <v>4.9459459459459465</v>
      </c>
      <c r="P37" s="31">
        <f t="shared" si="7"/>
        <v>4.9805825242718447</v>
      </c>
      <c r="Q37" s="31">
        <f t="shared" si="7"/>
        <v>12.354826470588236</v>
      </c>
      <c r="R37" s="31">
        <f>+(R34+R22)/R22</f>
        <v>7.2119917040000017</v>
      </c>
      <c r="S37" s="31">
        <f t="shared" si="7"/>
        <v>1.7453613559322037</v>
      </c>
    </row>
    <row r="38" spans="1:19" s="9" customFormat="1">
      <c r="A38" s="67"/>
      <c r="B38" s="8"/>
      <c r="C38" s="8"/>
      <c r="D38" s="8"/>
      <c r="E38" s="8"/>
      <c r="F38" s="8"/>
      <c r="G38" s="8"/>
      <c r="H38" s="8"/>
      <c r="I38" s="8"/>
      <c r="J38" s="8"/>
      <c r="K38" s="8"/>
      <c r="L38" s="8"/>
      <c r="M38" s="19"/>
      <c r="N38" s="8"/>
      <c r="O38" s="8"/>
      <c r="P38" s="8"/>
      <c r="Q38" s="8"/>
      <c r="R38" s="8"/>
      <c r="S38" s="8"/>
    </row>
    <row r="39" spans="1:19" s="9" customFormat="1">
      <c r="A39" s="66" t="s">
        <v>53</v>
      </c>
      <c r="B39" s="8"/>
      <c r="C39" s="8"/>
      <c r="D39" s="8"/>
      <c r="E39" s="8"/>
      <c r="F39" s="8"/>
      <c r="G39" s="8"/>
      <c r="H39" s="8"/>
      <c r="I39" s="8"/>
      <c r="J39" s="8"/>
      <c r="K39" s="8"/>
      <c r="L39" s="8"/>
      <c r="M39" s="19"/>
      <c r="N39" s="8"/>
      <c r="O39" s="8"/>
      <c r="P39" s="8"/>
      <c r="Q39" s="8"/>
      <c r="R39" s="8"/>
      <c r="S39" s="8"/>
    </row>
    <row r="40" spans="1:19" s="9" customFormat="1">
      <c r="A40" s="66" t="s">
        <v>54</v>
      </c>
      <c r="B40" s="12">
        <f t="shared" ref="B40:S41" si="8">+B44/B$47*100</f>
        <v>40.649711476811291</v>
      </c>
      <c r="C40" s="12">
        <f t="shared" si="8"/>
        <v>50.546702122998042</v>
      </c>
      <c r="D40" s="12">
        <f t="shared" si="8"/>
        <v>62.706158992825976</v>
      </c>
      <c r="E40" s="12">
        <f t="shared" si="8"/>
        <v>75.711032215904098</v>
      </c>
      <c r="F40" s="12">
        <f t="shared" si="8"/>
        <v>28.226256275036761</v>
      </c>
      <c r="G40" s="12">
        <f t="shared" si="8"/>
        <v>50.020433183489985</v>
      </c>
      <c r="H40" s="12">
        <f t="shared" si="8"/>
        <v>55.945618249994389</v>
      </c>
      <c r="I40" s="12">
        <f t="shared" si="8"/>
        <v>59.599118745837096</v>
      </c>
      <c r="J40" s="12">
        <f t="shared" si="8"/>
        <v>43.601621308627678</v>
      </c>
      <c r="K40" s="12">
        <f t="shared" si="8"/>
        <v>20.443786982248518</v>
      </c>
      <c r="L40" s="12">
        <f t="shared" si="8"/>
        <v>50.903632542779953</v>
      </c>
      <c r="M40" s="21">
        <f t="shared" si="8"/>
        <v>60.573857598299675</v>
      </c>
      <c r="N40" s="12">
        <f t="shared" si="8"/>
        <v>53</v>
      </c>
      <c r="O40" s="12">
        <f t="shared" si="8"/>
        <v>42.013129102844637</v>
      </c>
      <c r="P40" s="12">
        <f t="shared" si="8"/>
        <v>29.028388644542179</v>
      </c>
      <c r="Q40" s="12">
        <f t="shared" si="8"/>
        <v>61.32231404958678</v>
      </c>
      <c r="R40" s="12">
        <f t="shared" si="8"/>
        <v>56.196167491705992</v>
      </c>
      <c r="S40" s="12">
        <f t="shared" si="8"/>
        <v>1.5268915223336372</v>
      </c>
    </row>
    <row r="41" spans="1:19" s="9" customFormat="1">
      <c r="A41" s="66" t="s">
        <v>55</v>
      </c>
      <c r="B41" s="12">
        <f t="shared" si="8"/>
        <v>16.541996153024151</v>
      </c>
      <c r="C41" s="12">
        <f t="shared" si="8"/>
        <v>13.395057840194552</v>
      </c>
      <c r="D41" s="12">
        <f t="shared" si="8"/>
        <v>0</v>
      </c>
      <c r="E41" s="12">
        <f t="shared" si="8"/>
        <v>0.39282335384825456</v>
      </c>
      <c r="F41" s="12">
        <f t="shared" si="8"/>
        <v>24.584199584199585</v>
      </c>
      <c r="G41" s="12">
        <f t="shared" si="8"/>
        <v>11.442582754393134</v>
      </c>
      <c r="H41" s="12">
        <f t="shared" si="8"/>
        <v>0</v>
      </c>
      <c r="I41" s="12">
        <f t="shared" si="8"/>
        <v>0</v>
      </c>
      <c r="J41" s="12">
        <f t="shared" si="8"/>
        <v>18.066010422698323</v>
      </c>
      <c r="K41" s="12">
        <f t="shared" si="8"/>
        <v>14.171597633136093</v>
      </c>
      <c r="L41" s="12">
        <f t="shared" si="8"/>
        <v>14.75232662864005</v>
      </c>
      <c r="M41" s="21">
        <f t="shared" si="8"/>
        <v>14.346439957492031</v>
      </c>
      <c r="N41" s="12">
        <f t="shared" si="8"/>
        <v>13.5</v>
      </c>
      <c r="O41" s="12">
        <f t="shared" si="8"/>
        <v>19.037199124726474</v>
      </c>
      <c r="P41" s="12">
        <f t="shared" si="8"/>
        <v>13.194722111155539</v>
      </c>
      <c r="Q41" s="12">
        <f t="shared" si="8"/>
        <v>14.214876033057852</v>
      </c>
      <c r="R41" s="12">
        <f t="shared" si="8"/>
        <v>20.610982616613114</v>
      </c>
      <c r="S41" s="12">
        <f t="shared" si="8"/>
        <v>8.7397447584320886</v>
      </c>
    </row>
    <row r="42" spans="1:19" s="9" customFormat="1">
      <c r="A42" s="66" t="s">
        <v>56</v>
      </c>
      <c r="B42" s="12">
        <f t="shared" ref="B42:S42" si="9">+(B46/6)/B$47*100</f>
        <v>42.808292370164565</v>
      </c>
      <c r="C42" s="12">
        <f t="shared" si="9"/>
        <v>36.058240036807391</v>
      </c>
      <c r="D42" s="12">
        <f t="shared" si="9"/>
        <v>37.293841007174031</v>
      </c>
      <c r="E42" s="12">
        <f t="shared" si="9"/>
        <v>23.896144430247638</v>
      </c>
      <c r="F42" s="12">
        <f t="shared" si="9"/>
        <v>47.189544140763658</v>
      </c>
      <c r="G42" s="12">
        <f t="shared" si="9"/>
        <v>38.536984062116879</v>
      </c>
      <c r="H42" s="12">
        <f t="shared" si="9"/>
        <v>44.054381750005618</v>
      </c>
      <c r="I42" s="12">
        <f t="shared" si="9"/>
        <v>40.400881254162897</v>
      </c>
      <c r="J42" s="12">
        <f t="shared" si="9"/>
        <v>38.332368268674003</v>
      </c>
      <c r="K42" s="12">
        <f t="shared" si="9"/>
        <v>65.384615384615387</v>
      </c>
      <c r="L42" s="12">
        <f t="shared" si="9"/>
        <v>34.344040828580006</v>
      </c>
      <c r="M42" s="21">
        <f t="shared" si="9"/>
        <v>25.079702444208291</v>
      </c>
      <c r="N42" s="12">
        <f t="shared" si="9"/>
        <v>33.5</v>
      </c>
      <c r="O42" s="12">
        <f t="shared" si="9"/>
        <v>38.949671772428886</v>
      </c>
      <c r="P42" s="12">
        <f t="shared" si="9"/>
        <v>57.776889244302275</v>
      </c>
      <c r="Q42" s="12">
        <f t="shared" si="9"/>
        <v>24.462809917355372</v>
      </c>
      <c r="R42" s="12">
        <f t="shared" si="9"/>
        <v>23.192849891680879</v>
      </c>
      <c r="S42" s="12">
        <f t="shared" si="9"/>
        <v>89.733363719234276</v>
      </c>
    </row>
    <row r="43" spans="1:19" s="9" customFormat="1">
      <c r="A43" s="66"/>
      <c r="B43" s="12"/>
      <c r="C43" s="12"/>
      <c r="D43" s="12"/>
      <c r="E43" s="12"/>
      <c r="F43" s="12"/>
      <c r="G43" s="12"/>
      <c r="H43" s="12"/>
      <c r="I43" s="12"/>
      <c r="J43" s="12"/>
      <c r="K43" s="12"/>
      <c r="L43" s="12"/>
      <c r="M43" s="21"/>
      <c r="N43" s="12"/>
      <c r="O43" s="12"/>
      <c r="P43" s="12"/>
      <c r="Q43" s="12"/>
      <c r="R43" s="12"/>
      <c r="S43" s="12"/>
    </row>
    <row r="44" spans="1:19" s="9" customFormat="1">
      <c r="A44" s="66" t="s">
        <v>62</v>
      </c>
      <c r="B44" s="12">
        <v>317</v>
      </c>
      <c r="C44" s="12">
        <f>270.889-24.798</f>
        <v>246.09100000000001</v>
      </c>
      <c r="D44" s="12">
        <f>460.986-40.072+40.072</f>
        <v>460.98599999999999</v>
      </c>
      <c r="E44" s="12">
        <f>153.591+28.096+25.311</f>
        <v>206.99800000000002</v>
      </c>
      <c r="F44" s="12">
        <v>44.531999999999996</v>
      </c>
      <c r="G44" s="12">
        <f>571+41</f>
        <v>612</v>
      </c>
      <c r="H44" s="12">
        <v>116.277</v>
      </c>
      <c r="I44" s="12">
        <v>91.12</v>
      </c>
      <c r="J44" s="12">
        <v>251</v>
      </c>
      <c r="K44" s="12">
        <v>69.099999999999994</v>
      </c>
      <c r="L44" s="12">
        <v>282.60000000000002</v>
      </c>
      <c r="M44" s="21">
        <v>190</v>
      </c>
      <c r="N44" s="12">
        <f>154+58</f>
        <v>212</v>
      </c>
      <c r="O44" s="12">
        <v>69.565217391304344</v>
      </c>
      <c r="P44" s="12">
        <v>121</v>
      </c>
      <c r="Q44" s="12">
        <f>181+164+26</f>
        <v>371</v>
      </c>
      <c r="R44" s="12">
        <v>134.24</v>
      </c>
      <c r="S44" s="12">
        <f>536/92</f>
        <v>5.8260869565217392</v>
      </c>
    </row>
    <row r="45" spans="1:19" s="9" customFormat="1">
      <c r="A45" s="66" t="s">
        <v>63</v>
      </c>
      <c r="B45" s="12">
        <v>129</v>
      </c>
      <c r="C45" s="12">
        <f>65.215</f>
        <v>65.215000000000003</v>
      </c>
      <c r="D45" s="12"/>
      <c r="E45" s="12">
        <f>1.074</f>
        <v>1.0740000000000001</v>
      </c>
      <c r="F45" s="12">
        <v>38.786000000000001</v>
      </c>
      <c r="G45" s="12">
        <v>140</v>
      </c>
      <c r="H45" s="12"/>
      <c r="I45" s="12"/>
      <c r="J45" s="12">
        <v>104</v>
      </c>
      <c r="K45" s="12">
        <v>47.9</v>
      </c>
      <c r="L45" s="12">
        <v>81.900000000000006</v>
      </c>
      <c r="M45" s="21">
        <v>45</v>
      </c>
      <c r="N45" s="12">
        <v>54</v>
      </c>
      <c r="O45" s="12">
        <v>31.521739130434781</v>
      </c>
      <c r="P45" s="12">
        <v>55</v>
      </c>
      <c r="Q45" s="12">
        <f>55+31</f>
        <v>86</v>
      </c>
      <c r="R45" s="12">
        <v>49.234999999999999</v>
      </c>
      <c r="S45" s="12">
        <f>3068/92</f>
        <v>33.347826086956523</v>
      </c>
    </row>
    <row r="46" spans="1:19" s="9" customFormat="1">
      <c r="A46" s="66" t="s">
        <v>64</v>
      </c>
      <c r="B46" s="12">
        <v>2003</v>
      </c>
      <c r="C46" s="12">
        <f>1104.069-50.753</f>
        <v>1053.316</v>
      </c>
      <c r="D46" s="12">
        <v>1645</v>
      </c>
      <c r="E46" s="12">
        <v>392</v>
      </c>
      <c r="F46" s="12">
        <v>446.7</v>
      </c>
      <c r="G46" s="12">
        <v>2829</v>
      </c>
      <c r="H46" s="12">
        <v>549.37400000000002</v>
      </c>
      <c r="I46" s="12">
        <v>370.60899999999998</v>
      </c>
      <c r="J46" s="12">
        <v>1324</v>
      </c>
      <c r="K46" s="12">
        <v>1326</v>
      </c>
      <c r="L46" s="12">
        <v>1144</v>
      </c>
      <c r="M46" s="21">
        <v>472</v>
      </c>
      <c r="N46" s="12">
        <v>804</v>
      </c>
      <c r="O46" s="12">
        <f>35600/92</f>
        <v>386.95652173913044</v>
      </c>
      <c r="P46" s="12">
        <v>1445</v>
      </c>
      <c r="Q46" s="12">
        <f>349+531+8</f>
        <v>888</v>
      </c>
      <c r="R46" s="12">
        <v>332.41500000000002</v>
      </c>
      <c r="S46" s="12">
        <f>189/92*1000</f>
        <v>2054.3478260869565</v>
      </c>
    </row>
    <row r="47" spans="1:19" s="9" customFormat="1">
      <c r="A47" s="66" t="s">
        <v>65</v>
      </c>
      <c r="B47" s="12">
        <f t="shared" ref="B47:S47" si="10">+B44+B45+B46/6</f>
        <v>779.83333333333326</v>
      </c>
      <c r="C47" s="12">
        <f t="shared" si="10"/>
        <v>486.85866666666675</v>
      </c>
      <c r="D47" s="12">
        <f t="shared" si="10"/>
        <v>735.15266666666662</v>
      </c>
      <c r="E47" s="12">
        <f t="shared" si="10"/>
        <v>273.40533333333337</v>
      </c>
      <c r="F47" s="12">
        <f t="shared" si="10"/>
        <v>157.768</v>
      </c>
      <c r="G47" s="12">
        <f t="shared" si="10"/>
        <v>1223.5</v>
      </c>
      <c r="H47" s="12">
        <f t="shared" si="10"/>
        <v>207.83933333333334</v>
      </c>
      <c r="I47" s="12">
        <f t="shared" si="10"/>
        <v>152.88816666666668</v>
      </c>
      <c r="J47" s="12">
        <f t="shared" si="10"/>
        <v>575.66666666666663</v>
      </c>
      <c r="K47" s="12">
        <f t="shared" si="10"/>
        <v>338</v>
      </c>
      <c r="L47" s="12">
        <f t="shared" si="10"/>
        <v>555.16666666666663</v>
      </c>
      <c r="M47" s="21">
        <f t="shared" si="10"/>
        <v>313.66666666666669</v>
      </c>
      <c r="N47" s="12">
        <f t="shared" si="10"/>
        <v>400</v>
      </c>
      <c r="O47" s="12">
        <f t="shared" si="10"/>
        <v>165.57971014492753</v>
      </c>
      <c r="P47" s="12">
        <f t="shared" si="10"/>
        <v>416.83333333333337</v>
      </c>
      <c r="Q47" s="12">
        <f t="shared" si="10"/>
        <v>605</v>
      </c>
      <c r="R47" s="12">
        <f t="shared" si="10"/>
        <v>238.87750000000003</v>
      </c>
      <c r="S47" s="12">
        <f t="shared" si="10"/>
        <v>381.56521739130432</v>
      </c>
    </row>
    <row r="48" spans="1:19" s="9" customFormat="1">
      <c r="A48" s="66" t="s">
        <v>66</v>
      </c>
      <c r="B48" s="12">
        <f t="shared" ref="B48:S48" si="11">+B47*0.092</f>
        <v>71.74466666666666</v>
      </c>
      <c r="C48" s="12">
        <f t="shared" si="11"/>
        <v>44.790997333333337</v>
      </c>
      <c r="D48" s="12">
        <f t="shared" si="11"/>
        <v>67.634045333333333</v>
      </c>
      <c r="E48" s="12">
        <f t="shared" si="11"/>
        <v>25.15329066666667</v>
      </c>
      <c r="F48" s="12">
        <f t="shared" si="11"/>
        <v>14.514656</v>
      </c>
      <c r="G48" s="12">
        <f t="shared" si="11"/>
        <v>112.562</v>
      </c>
      <c r="H48" s="12">
        <f t="shared" si="11"/>
        <v>19.121218666666667</v>
      </c>
      <c r="I48" s="12">
        <f t="shared" si="11"/>
        <v>14.065711333333335</v>
      </c>
      <c r="J48" s="12">
        <f t="shared" si="11"/>
        <v>52.961333333333329</v>
      </c>
      <c r="K48" s="12">
        <f t="shared" si="11"/>
        <v>31.096</v>
      </c>
      <c r="L48" s="12">
        <f t="shared" si="11"/>
        <v>51.075333333333326</v>
      </c>
      <c r="M48" s="12">
        <f t="shared" si="11"/>
        <v>28.857333333333333</v>
      </c>
      <c r="N48" s="12">
        <f t="shared" si="11"/>
        <v>36.799999999999997</v>
      </c>
      <c r="O48" s="12">
        <f t="shared" si="11"/>
        <v>15.233333333333333</v>
      </c>
      <c r="P48" s="12">
        <f t="shared" si="11"/>
        <v>38.348666666666666</v>
      </c>
      <c r="Q48" s="12">
        <f t="shared" si="11"/>
        <v>55.66</v>
      </c>
      <c r="R48" s="12">
        <f t="shared" si="11"/>
        <v>21.976730000000003</v>
      </c>
      <c r="S48" s="12">
        <f t="shared" si="11"/>
        <v>35.103999999999999</v>
      </c>
    </row>
    <row r="49" spans="1:19" s="9" customFormat="1">
      <c r="A49" s="66"/>
      <c r="B49" s="12"/>
      <c r="C49" s="12"/>
      <c r="D49" s="12"/>
      <c r="E49" s="12"/>
      <c r="F49" s="12"/>
      <c r="G49" s="12"/>
      <c r="H49" s="12" t="s">
        <v>131</v>
      </c>
      <c r="I49" s="12" t="s">
        <v>131</v>
      </c>
      <c r="J49" s="12"/>
      <c r="K49" s="12"/>
      <c r="L49" s="12"/>
      <c r="M49" s="12"/>
      <c r="N49" s="12"/>
      <c r="O49" s="12"/>
      <c r="P49" s="12"/>
      <c r="Q49" s="12"/>
      <c r="R49" s="12"/>
      <c r="S49" s="12"/>
    </row>
    <row r="50" spans="1:19" s="9" customFormat="1">
      <c r="A50" s="66" t="s">
        <v>106</v>
      </c>
      <c r="B50" s="12">
        <f>+B36*B48*4</f>
        <v>4284.2080000000005</v>
      </c>
      <c r="C50" s="12">
        <f t="shared" ref="C50:S50" si="12">+C36*C48*4</f>
        <v>3084.0000000000005</v>
      </c>
      <c r="D50" s="12">
        <f>+D36*D48*4</f>
        <v>2087.4011999999993</v>
      </c>
      <c r="E50" s="12">
        <f t="shared" si="12"/>
        <v>927.30381828928023</v>
      </c>
      <c r="F50" s="12">
        <f>+F36*F48*4</f>
        <v>643.01199999999994</v>
      </c>
      <c r="G50" s="12">
        <f t="shared" si="12"/>
        <v>6637.652799999998</v>
      </c>
      <c r="H50" s="12">
        <f t="shared" si="12"/>
        <v>1489.5543886933337</v>
      </c>
      <c r="I50" s="12">
        <f t="shared" si="12"/>
        <v>1094.3123417333334</v>
      </c>
      <c r="J50" s="12">
        <f t="shared" si="12"/>
        <v>2108.515093333333</v>
      </c>
      <c r="K50" s="12">
        <f t="shared" si="12"/>
        <v>956.81535999999983</v>
      </c>
      <c r="L50" s="12">
        <f t="shared" si="12"/>
        <v>3371.1919999999996</v>
      </c>
      <c r="M50" s="12">
        <f t="shared" si="12"/>
        <v>1312</v>
      </c>
      <c r="N50" s="12">
        <f t="shared" si="12"/>
        <v>1976.0000000000002</v>
      </c>
      <c r="O50" s="12">
        <f t="shared" si="12"/>
        <v>732</v>
      </c>
      <c r="P50" s="12">
        <f t="shared" si="12"/>
        <v>2052</v>
      </c>
      <c r="Q50" s="12">
        <f t="shared" si="12"/>
        <v>3360.5128000000009</v>
      </c>
      <c r="R50" s="12">
        <f t="shared" si="12"/>
        <v>1442.3983408000006</v>
      </c>
      <c r="S50" s="12">
        <f t="shared" si="12"/>
        <v>411.90528000000006</v>
      </c>
    </row>
    <row r="51" spans="1:19" s="9" customFormat="1">
      <c r="A51" s="67"/>
      <c r="B51" s="8"/>
      <c r="C51" s="8"/>
      <c r="D51" s="8"/>
      <c r="E51" s="8"/>
      <c r="F51" s="8"/>
      <c r="G51" s="8"/>
      <c r="H51" s="8"/>
      <c r="I51" s="8"/>
      <c r="J51" s="8"/>
      <c r="K51" s="8"/>
      <c r="L51" s="8"/>
      <c r="M51" s="19"/>
      <c r="N51" s="8"/>
      <c r="O51" s="8"/>
      <c r="P51" s="8"/>
      <c r="Q51" s="8"/>
      <c r="R51" s="8"/>
      <c r="S51" s="8"/>
    </row>
    <row r="52" spans="1:19" s="9" customFormat="1" ht="24.75" customHeight="1">
      <c r="A52" s="277" t="s">
        <v>127</v>
      </c>
      <c r="B52" s="278"/>
      <c r="C52" s="278"/>
      <c r="D52" s="278"/>
      <c r="E52" s="278"/>
      <c r="F52" s="278"/>
      <c r="G52" s="278"/>
      <c r="H52" s="278"/>
      <c r="I52" s="278"/>
      <c r="J52" s="278"/>
      <c r="K52" s="278"/>
      <c r="L52" s="278"/>
      <c r="M52" s="278"/>
      <c r="N52" s="278"/>
      <c r="O52" s="278"/>
      <c r="P52" s="278"/>
      <c r="Q52" s="278"/>
      <c r="R52" s="278"/>
      <c r="S52" s="278"/>
    </row>
    <row r="53" spans="1:19" s="9" customFormat="1">
      <c r="A53" s="277" t="s">
        <v>76</v>
      </c>
      <c r="B53" s="278"/>
      <c r="C53" s="278"/>
      <c r="D53" s="278"/>
      <c r="E53" s="278"/>
      <c r="F53" s="278"/>
      <c r="G53" s="278"/>
      <c r="H53" s="278"/>
      <c r="I53" s="278"/>
      <c r="J53" s="278"/>
      <c r="K53" s="278"/>
      <c r="L53" s="278"/>
      <c r="M53" s="278"/>
      <c r="N53" s="278"/>
      <c r="O53" s="278"/>
      <c r="P53" s="278"/>
      <c r="Q53" s="278"/>
      <c r="R53" s="278"/>
      <c r="S53" s="278"/>
    </row>
    <row r="54" spans="1:19" s="9" customFormat="1">
      <c r="A54" s="67"/>
      <c r="B54" s="8"/>
      <c r="C54" s="8"/>
      <c r="D54" s="8"/>
      <c r="E54" s="8"/>
      <c r="F54" s="8"/>
      <c r="G54" s="8"/>
      <c r="H54" s="8"/>
      <c r="I54" s="8"/>
      <c r="J54" s="8"/>
      <c r="K54" s="8"/>
      <c r="L54" s="8"/>
      <c r="M54" s="19"/>
      <c r="N54" s="8"/>
      <c r="O54" s="8"/>
      <c r="P54" s="8"/>
      <c r="Q54" s="8"/>
      <c r="R54" s="8"/>
      <c r="S54" s="8"/>
    </row>
    <row r="55" spans="1:19">
      <c r="A55" s="22" t="s">
        <v>94</v>
      </c>
      <c r="B55" s="23"/>
      <c r="C55" s="23"/>
      <c r="D55" s="58">
        <f>1/0.7663</f>
        <v>1.3049719431032234</v>
      </c>
    </row>
    <row r="56" spans="1:19" hidden="1">
      <c r="A56" s="3"/>
      <c r="G56" s="2">
        <f>G44*92/1000</f>
        <v>56.304000000000002</v>
      </c>
    </row>
    <row r="57" spans="1:19" hidden="1">
      <c r="A57" s="3"/>
      <c r="G57" s="2">
        <f>G45*92/1000</f>
        <v>12.88</v>
      </c>
    </row>
    <row r="58" spans="1:19" hidden="1">
      <c r="A58" s="3"/>
      <c r="G58" s="2">
        <f>G46*92/1000</f>
        <v>260.26799999999997</v>
      </c>
    </row>
    <row r="59" spans="1:19" hidden="1">
      <c r="A59" s="3"/>
    </row>
    <row r="60" spans="1:19" hidden="1">
      <c r="A60" s="3"/>
      <c r="G60" s="2">
        <f>G56*G9</f>
        <v>2327.6653199999996</v>
      </c>
    </row>
    <row r="61" spans="1:19" hidden="1">
      <c r="A61" s="3"/>
      <c r="G61" s="2">
        <f>G57*G11</f>
        <v>201.31440000000003</v>
      </c>
    </row>
    <row r="62" spans="1:19" hidden="1">
      <c r="A62" s="3"/>
      <c r="G62" s="2">
        <f>G58*G13</f>
        <v>809.43347999999992</v>
      </c>
    </row>
    <row r="63" spans="1:19" hidden="1">
      <c r="G63" s="2">
        <f>G62+G61+G60</f>
        <v>3338.4131999999995</v>
      </c>
    </row>
    <row r="64" spans="1:19" hidden="1">
      <c r="G64" s="2">
        <f>G63/G48</f>
        <v>29.658438904781359</v>
      </c>
    </row>
    <row r="65" spans="1:19" hidden="1"/>
    <row r="66" spans="1:19" hidden="1"/>
    <row r="67" spans="1:19" hidden="1"/>
    <row r="68" spans="1:19" hidden="1"/>
    <row r="69" spans="1:19" hidden="1">
      <c r="A69" s="1" t="s">
        <v>109</v>
      </c>
    </row>
    <row r="70" spans="1:19" hidden="1">
      <c r="B70" s="2" t="str">
        <f>B7</f>
        <v>APC</v>
      </c>
      <c r="C70" s="2" t="str">
        <f t="shared" ref="C70:S70" si="13">C7</f>
        <v>APA</v>
      </c>
      <c r="D70" s="2" t="str">
        <f t="shared" si="13"/>
        <v>CNQCN</v>
      </c>
      <c r="E70" s="2" t="str">
        <f t="shared" si="13"/>
        <v>CVECN</v>
      </c>
      <c r="F70" s="2" t="str">
        <f t="shared" si="13"/>
        <v>XEC</v>
      </c>
      <c r="G70" s="2" t="str">
        <f t="shared" si="13"/>
        <v>COP</v>
      </c>
      <c r="H70" s="2" t="str">
        <f t="shared" si="13"/>
        <v>CLR</v>
      </c>
      <c r="J70" s="2" t="str">
        <f t="shared" si="13"/>
        <v>DVN</v>
      </c>
      <c r="K70" s="2" t="str">
        <f t="shared" si="13"/>
        <v>ECACN</v>
      </c>
      <c r="L70" s="2" t="str">
        <f t="shared" si="13"/>
        <v>EOG</v>
      </c>
      <c r="M70" s="2" t="str">
        <f t="shared" si="13"/>
        <v>HES</v>
      </c>
      <c r="N70" s="2" t="str">
        <f t="shared" si="13"/>
        <v>MRO</v>
      </c>
      <c r="P70" s="2" t="str">
        <f t="shared" si="13"/>
        <v>NBL</v>
      </c>
      <c r="Q70" s="2" t="str">
        <f t="shared" si="13"/>
        <v>OXY</v>
      </c>
      <c r="R70" s="2" t="str">
        <f t="shared" si="13"/>
        <v>PXD</v>
      </c>
      <c r="S70" s="2" t="str">
        <f t="shared" si="13"/>
        <v>SWN</v>
      </c>
    </row>
    <row r="71" spans="1:19" hidden="1">
      <c r="A71" s="1" t="s">
        <v>110</v>
      </c>
      <c r="B71" s="2">
        <f t="shared" ref="B71:S71" si="14">RANK(B35,$B$35:$S$35)</f>
        <v>7</v>
      </c>
      <c r="C71" s="2">
        <f t="shared" si="14"/>
        <v>4</v>
      </c>
      <c r="D71" s="2">
        <f t="shared" si="14"/>
        <v>16</v>
      </c>
      <c r="E71" s="2">
        <f t="shared" si="14"/>
        <v>9</v>
      </c>
      <c r="F71" s="2">
        <f t="shared" si="14"/>
        <v>3</v>
      </c>
      <c r="G71" s="2">
        <f t="shared" si="14"/>
        <v>17</v>
      </c>
      <c r="H71" s="2">
        <f t="shared" si="14"/>
        <v>15</v>
      </c>
      <c r="J71" s="2">
        <f t="shared" si="14"/>
        <v>1</v>
      </c>
      <c r="K71" s="2">
        <f t="shared" si="14"/>
        <v>5</v>
      </c>
      <c r="L71" s="2">
        <f t="shared" si="14"/>
        <v>10</v>
      </c>
      <c r="M71" s="2">
        <f t="shared" si="14"/>
        <v>18</v>
      </c>
      <c r="N71" s="2">
        <f t="shared" si="14"/>
        <v>12</v>
      </c>
      <c r="P71" s="2">
        <f t="shared" si="14"/>
        <v>13</v>
      </c>
      <c r="Q71" s="2">
        <f t="shared" si="14"/>
        <v>8</v>
      </c>
      <c r="R71" s="2">
        <f t="shared" si="14"/>
        <v>11</v>
      </c>
      <c r="S71" s="2">
        <f t="shared" si="14"/>
        <v>6</v>
      </c>
    </row>
    <row r="72" spans="1:19" hidden="1">
      <c r="B72" s="2" t="str">
        <f>B70</f>
        <v>APC</v>
      </c>
      <c r="C72" s="2" t="str">
        <f t="shared" ref="C72:S72" si="15">C70</f>
        <v>APA</v>
      </c>
      <c r="D72" s="2" t="str">
        <f t="shared" si="15"/>
        <v>CNQCN</v>
      </c>
      <c r="E72" s="2" t="str">
        <f t="shared" si="15"/>
        <v>CVECN</v>
      </c>
      <c r="F72" s="2" t="str">
        <f t="shared" si="15"/>
        <v>XEC</v>
      </c>
      <c r="G72" s="2" t="str">
        <f t="shared" si="15"/>
        <v>COP</v>
      </c>
      <c r="H72" s="2" t="str">
        <f t="shared" si="15"/>
        <v>CLR</v>
      </c>
      <c r="J72" s="2" t="str">
        <f t="shared" si="15"/>
        <v>DVN</v>
      </c>
      <c r="K72" s="2" t="str">
        <f t="shared" si="15"/>
        <v>ECACN</v>
      </c>
      <c r="L72" s="2" t="str">
        <f t="shared" si="15"/>
        <v>EOG</v>
      </c>
      <c r="M72" s="2" t="str">
        <f t="shared" si="15"/>
        <v>HES</v>
      </c>
      <c r="N72" s="2" t="str">
        <f t="shared" si="15"/>
        <v>MRO</v>
      </c>
      <c r="P72" s="2" t="str">
        <f t="shared" si="15"/>
        <v>NBL</v>
      </c>
      <c r="Q72" s="2" t="str">
        <f t="shared" si="15"/>
        <v>OXY</v>
      </c>
      <c r="R72" s="2" t="str">
        <f t="shared" si="15"/>
        <v>PXD</v>
      </c>
      <c r="S72" s="2" t="str">
        <f t="shared" si="15"/>
        <v>SWN</v>
      </c>
    </row>
    <row r="73" spans="1:19" hidden="1">
      <c r="A73" s="1" t="s">
        <v>107</v>
      </c>
      <c r="B73" s="2">
        <f t="shared" ref="B73:S73" si="16">RANK(B37,$B$37:$S$37)</f>
        <v>13</v>
      </c>
      <c r="C73" s="2">
        <f t="shared" si="16"/>
        <v>5</v>
      </c>
      <c r="D73" s="2">
        <f t="shared" si="16"/>
        <v>12</v>
      </c>
      <c r="E73" s="2">
        <f t="shared" si="16"/>
        <v>15</v>
      </c>
      <c r="F73" s="2">
        <f t="shared" si="16"/>
        <v>3</v>
      </c>
      <c r="G73" s="2">
        <f t="shared" si="16"/>
        <v>9</v>
      </c>
      <c r="H73" s="2">
        <f t="shared" si="16"/>
        <v>11</v>
      </c>
      <c r="J73" s="2">
        <f t="shared" si="16"/>
        <v>14</v>
      </c>
      <c r="K73" s="2">
        <f t="shared" si="16"/>
        <v>17</v>
      </c>
      <c r="L73" s="2">
        <f t="shared" si="16"/>
        <v>2</v>
      </c>
      <c r="M73" s="2">
        <f t="shared" si="16"/>
        <v>16</v>
      </c>
      <c r="N73" s="2">
        <f t="shared" si="16"/>
        <v>6</v>
      </c>
      <c r="P73" s="2">
        <f t="shared" si="16"/>
        <v>8</v>
      </c>
      <c r="Q73" s="2">
        <f t="shared" si="16"/>
        <v>1</v>
      </c>
      <c r="R73" s="2">
        <f t="shared" si="16"/>
        <v>4</v>
      </c>
      <c r="S73" s="2">
        <f t="shared" si="16"/>
        <v>18</v>
      </c>
    </row>
    <row r="74" spans="1:19" hidden="1">
      <c r="B74" s="2" t="str">
        <f>B72</f>
        <v>APC</v>
      </c>
      <c r="C74" s="2" t="str">
        <f t="shared" ref="C74:S74" si="17">C72</f>
        <v>APA</v>
      </c>
      <c r="D74" s="2" t="str">
        <f t="shared" si="17"/>
        <v>CNQCN</v>
      </c>
      <c r="E74" s="2" t="str">
        <f t="shared" si="17"/>
        <v>CVECN</v>
      </c>
      <c r="F74" s="2" t="str">
        <f t="shared" si="17"/>
        <v>XEC</v>
      </c>
      <c r="G74" s="2" t="str">
        <f t="shared" si="17"/>
        <v>COP</v>
      </c>
      <c r="H74" s="2" t="str">
        <f t="shared" si="17"/>
        <v>CLR</v>
      </c>
      <c r="J74" s="2" t="str">
        <f t="shared" si="17"/>
        <v>DVN</v>
      </c>
      <c r="K74" s="2" t="str">
        <f t="shared" si="17"/>
        <v>ECACN</v>
      </c>
      <c r="L74" s="2" t="str">
        <f t="shared" si="17"/>
        <v>EOG</v>
      </c>
      <c r="M74" s="2" t="str">
        <f t="shared" si="17"/>
        <v>HES</v>
      </c>
      <c r="N74" s="2" t="str">
        <f t="shared" si="17"/>
        <v>MRO</v>
      </c>
      <c r="P74" s="2" t="str">
        <f t="shared" si="17"/>
        <v>NBL</v>
      </c>
      <c r="Q74" s="2" t="str">
        <f t="shared" si="17"/>
        <v>OXY</v>
      </c>
      <c r="R74" s="2" t="str">
        <f t="shared" si="17"/>
        <v>PXD</v>
      </c>
      <c r="S74" s="2" t="str">
        <f t="shared" si="17"/>
        <v>SWN</v>
      </c>
    </row>
    <row r="75" spans="1:19" hidden="1">
      <c r="A75" s="1" t="s">
        <v>111</v>
      </c>
      <c r="B75" s="2">
        <f t="shared" ref="B75:S75" si="18">RANK(B34,$B$34:$S$34)</f>
        <v>8</v>
      </c>
      <c r="C75" s="2">
        <f t="shared" si="18"/>
        <v>4</v>
      </c>
      <c r="D75" s="2">
        <f t="shared" si="18"/>
        <v>16</v>
      </c>
      <c r="E75" s="2">
        <f t="shared" si="18"/>
        <v>15</v>
      </c>
      <c r="F75" s="2">
        <f t="shared" si="18"/>
        <v>11</v>
      </c>
      <c r="G75" s="2">
        <f t="shared" si="18"/>
        <v>7</v>
      </c>
      <c r="H75" s="2">
        <f t="shared" si="18"/>
        <v>2</v>
      </c>
      <c r="J75" s="2">
        <f t="shared" si="18"/>
        <v>14</v>
      </c>
      <c r="K75" s="2">
        <f t="shared" si="18"/>
        <v>17</v>
      </c>
      <c r="L75" s="2">
        <f t="shared" si="18"/>
        <v>3</v>
      </c>
      <c r="M75" s="2">
        <f t="shared" si="18"/>
        <v>13</v>
      </c>
      <c r="N75" s="2">
        <f t="shared" si="18"/>
        <v>9</v>
      </c>
      <c r="P75" s="2">
        <f t="shared" si="18"/>
        <v>10</v>
      </c>
      <c r="Q75" s="2">
        <f t="shared" si="18"/>
        <v>6</v>
      </c>
      <c r="R75" s="2">
        <f t="shared" si="18"/>
        <v>5</v>
      </c>
      <c r="S75" s="2">
        <f t="shared" si="18"/>
        <v>18</v>
      </c>
    </row>
    <row r="76" spans="1:19" hidden="1"/>
    <row r="77" spans="1:19" hidden="1"/>
    <row r="78" spans="1:19" hidden="1"/>
    <row r="79" spans="1:19" hidden="1">
      <c r="A79" s="1" t="s">
        <v>130</v>
      </c>
      <c r="B79" s="61">
        <f>B15-'2Q16 Actual'!B15</f>
        <v>3.1769050229448084</v>
      </c>
      <c r="C79" s="61">
        <f>C15-'2Q16 Actual'!C15</f>
        <v>0.914121544293927</v>
      </c>
      <c r="D79" s="61">
        <f>D15-'2Q16 Actual'!D15</f>
        <v>-1.0982143153328785</v>
      </c>
      <c r="E79" s="61">
        <f>E15-'2Q16 Actual'!E15</f>
        <v>1.5844617376794723</v>
      </c>
      <c r="F79" s="61">
        <f>F15-'2Q16 Actual'!F15</f>
        <v>2.7828306851681148</v>
      </c>
      <c r="G79" s="61">
        <f>G15-'2Q16 Actual'!G15</f>
        <v>1.5502700050655633</v>
      </c>
      <c r="H79" s="61">
        <f>H15-'2Q16 Actual'!H15</f>
        <v>6.0000000000002274E-2</v>
      </c>
      <c r="I79" s="61"/>
      <c r="J79" s="61">
        <f>J15-'2Q16 Actual'!J15</f>
        <v>2.4800000000000004</v>
      </c>
      <c r="K79" s="61">
        <f>K15-'2Q16 Actual'!K15</f>
        <v>3.3500000000000014</v>
      </c>
      <c r="L79" s="61">
        <f>L15-'2Q16 Actual'!L15</f>
        <v>2.0244534824102089</v>
      </c>
      <c r="M79" s="61">
        <f>M15-'2Q16 Actual'!M15</f>
        <v>-1.171939171327125</v>
      </c>
      <c r="N79" s="61">
        <f>N15-'2Q16 Actual'!N15</f>
        <v>2.7626996938184831</v>
      </c>
      <c r="O79" s="61"/>
      <c r="P79" s="61">
        <f>P15-'2Q16 Actual'!P15</f>
        <v>1.1931101271030364</v>
      </c>
      <c r="Q79" s="61">
        <f>Q15-'2Q16 Actual'!Q15</f>
        <v>2.4706358494114546</v>
      </c>
      <c r="R79" s="61">
        <f>R15-'2Q16 Actual'!R15</f>
        <v>0.28999999999999915</v>
      </c>
      <c r="S79" s="61">
        <f>S15-'2Q16 Actual'!S15</f>
        <v>3.1048974331419412</v>
      </c>
    </row>
    <row r="80" spans="1:19" hidden="1">
      <c r="A80" s="1" t="s">
        <v>132</v>
      </c>
      <c r="B80" s="61">
        <f>B28-'2Q16 Actual'!B28</f>
        <v>-0.67110821178803448</v>
      </c>
      <c r="C80" s="61">
        <f>C28-'2Q16 Actual'!C28</f>
        <v>0.82904480789701296</v>
      </c>
      <c r="D80" s="61">
        <f>D28-'2Q16 Actual'!D28</f>
        <v>0.30846346476609909</v>
      </c>
      <c r="E80" s="61">
        <f>E28-'2Q16 Actual'!E28</f>
        <v>-1.4885725401601597</v>
      </c>
      <c r="F80" s="61">
        <f>F28-'2Q16 Actual'!F28</f>
        <v>4.6823215352375769E-2</v>
      </c>
      <c r="G80" s="61">
        <f>G28-'2Q16 Actual'!G28</f>
        <v>-1.0339009886499753</v>
      </c>
      <c r="H80" s="61">
        <f>H28-'2Q16 Actual'!H28</f>
        <v>-0.35654268505628295</v>
      </c>
      <c r="I80" s="61"/>
      <c r="J80" s="61">
        <f>J28-'2Q16 Actual'!J28</f>
        <v>-1.0192376427324845</v>
      </c>
      <c r="K80" s="61">
        <f>K28-'2Q16 Actual'!K28</f>
        <v>-0.46943411890096343</v>
      </c>
      <c r="L80" s="61">
        <f>L28-'2Q16 Actual'!L28</f>
        <v>0.21343929849462917</v>
      </c>
      <c r="M80" s="61">
        <f>M28-'2Q16 Actual'!M28</f>
        <v>-1.2874413752568969</v>
      </c>
      <c r="N80" s="61">
        <f>N28-'2Q16 Actual'!N28</f>
        <v>-3.21879260594784</v>
      </c>
      <c r="O80" s="61"/>
      <c r="P80" s="61">
        <f>P28-'2Q16 Actual'!P28</f>
        <v>1.8010124868332866E-3</v>
      </c>
      <c r="Q80" s="61">
        <f>Q28-'2Q16 Actual'!Q28</f>
        <v>0.92041706007667479</v>
      </c>
      <c r="R80" s="61">
        <f>R28-'2Q16 Actual'!R28</f>
        <v>-0.85459810328393537</v>
      </c>
      <c r="S80" s="61">
        <f>S28-'2Q16 Actual'!S28</f>
        <v>0.36958706222461046</v>
      </c>
    </row>
    <row r="81" spans="1:19" hidden="1">
      <c r="A81" s="1" t="s">
        <v>129</v>
      </c>
      <c r="B81" s="62">
        <f>B48-'2Q16 Actual'!B48</f>
        <v>-0.29700000000001125</v>
      </c>
      <c r="C81" s="62">
        <f>C48-'2Q16 Actual'!C48</f>
        <v>-3.9355441666666593</v>
      </c>
      <c r="D81" s="62">
        <f>D48-'2Q16 Actual'!D48</f>
        <v>-3.7017646666666764</v>
      </c>
      <c r="E81" s="62">
        <f>E48-'2Q16 Actual'!E48</f>
        <v>1.0765106666666675</v>
      </c>
      <c r="F81" s="62">
        <f>F48-'2Q16 Actual'!F48</f>
        <v>-0.26086233333333375</v>
      </c>
      <c r="G81" s="62">
        <f>G48-'2Q16 Actual'!G48</f>
        <v>0.49550000000000693</v>
      </c>
      <c r="H81" s="62">
        <f>H48-'2Q16 Actual'!H48</f>
        <v>-0.83721983333333583</v>
      </c>
      <c r="I81" s="62"/>
      <c r="J81" s="62">
        <f>J48-'2Q16 Actual'!J48</f>
        <v>-5.6881666666666675</v>
      </c>
      <c r="K81" s="62">
        <f>K48-'2Q16 Actual'!K48</f>
        <v>-2.4223333333333379</v>
      </c>
      <c r="L81" s="62">
        <f>L48-'2Q16 Actual'!L48</f>
        <v>0.93433333333332769</v>
      </c>
      <c r="M81" s="62">
        <f>M48-'2Q16 Actual'!M48</f>
        <v>0.38950000000000173</v>
      </c>
      <c r="N81" s="62">
        <f>N48-'2Q16 Actual'!N48</f>
        <v>0.96116666666666362</v>
      </c>
      <c r="O81" s="62"/>
      <c r="P81" s="62">
        <f>P48-'2Q16 Actual'!P48</f>
        <v>-0.4931666666666672</v>
      </c>
      <c r="Q81" s="62">
        <f>Q48-'2Q16 Actual'!Q48</f>
        <v>-3.7478333333333396</v>
      </c>
      <c r="R81" s="62">
        <f>R48-'2Q16 Actual'!R48</f>
        <v>0.80075700000000083</v>
      </c>
      <c r="S81" s="62">
        <f>S48-'2Q16 Actual'!S48</f>
        <v>-2.4513333333333236</v>
      </c>
    </row>
    <row r="165" spans="2:17" hidden="1">
      <c r="L165" s="2" t="s">
        <v>58</v>
      </c>
    </row>
    <row r="166" spans="2:17" hidden="1">
      <c r="L166" s="2" t="s">
        <v>54</v>
      </c>
      <c r="M166" s="2">
        <v>52.63</v>
      </c>
      <c r="N166" s="2">
        <v>176</v>
      </c>
      <c r="Q166" s="2">
        <f>+N166*M166</f>
        <v>9262.880000000001</v>
      </c>
    </row>
    <row r="167" spans="2:17" hidden="1">
      <c r="D167" s="2" t="s">
        <v>72</v>
      </c>
      <c r="E167" s="2" t="s">
        <v>73</v>
      </c>
      <c r="L167" s="2" t="s">
        <v>55</v>
      </c>
      <c r="M167" s="2">
        <v>14.77</v>
      </c>
      <c r="N167" s="2">
        <v>37</v>
      </c>
      <c r="Q167" s="2">
        <f>+N167*M167</f>
        <v>546.49</v>
      </c>
    </row>
    <row r="168" spans="2:17" hidden="1">
      <c r="B168" s="2" t="s">
        <v>61</v>
      </c>
      <c r="C168" s="2">
        <v>95.057000000000002</v>
      </c>
      <c r="D168" s="2">
        <f>73.05</f>
        <v>73.05</v>
      </c>
      <c r="F168" s="2">
        <f>+D168*C168</f>
        <v>6943.9138499999999</v>
      </c>
      <c r="L168" s="2" t="s">
        <v>59</v>
      </c>
      <c r="M168" s="2">
        <v>2.76</v>
      </c>
      <c r="N168" s="2">
        <v>361</v>
      </c>
      <c r="P168" s="2">
        <f>+N168/6</f>
        <v>60.166666666666664</v>
      </c>
      <c r="Q168" s="2">
        <f>+N168*M168</f>
        <v>996.3599999999999</v>
      </c>
    </row>
    <row r="169" spans="2:17" hidden="1">
      <c r="B169" s="2" t="s">
        <v>71</v>
      </c>
      <c r="C169" s="2">
        <f>458.144-C168</f>
        <v>363.08699999999999</v>
      </c>
      <c r="D169" s="2">
        <f>53.09</f>
        <v>53.09</v>
      </c>
      <c r="F169" s="2">
        <f>+D169*C169</f>
        <v>19276.288830000001</v>
      </c>
      <c r="G169" s="2">
        <f>+SUM(F168:F169)/(C168+C169)</f>
        <v>57.231356691345958</v>
      </c>
    </row>
    <row r="170" spans="2:17" hidden="1">
      <c r="L170" s="2" t="s">
        <v>60</v>
      </c>
    </row>
    <row r="171" spans="2:17" hidden="1">
      <c r="L171" s="2" t="s">
        <v>54</v>
      </c>
      <c r="M171" s="2">
        <v>56.7</v>
      </c>
      <c r="N171" s="2">
        <v>33</v>
      </c>
      <c r="Q171" s="2">
        <f>+N171*M171</f>
        <v>1871.1000000000001</v>
      </c>
    </row>
    <row r="172" spans="2:17" hidden="1">
      <c r="D172" s="2">
        <v>608</v>
      </c>
      <c r="E172" s="2">
        <v>58</v>
      </c>
      <c r="L172" s="2" t="s">
        <v>55</v>
      </c>
      <c r="M172" s="2">
        <v>3.1</v>
      </c>
      <c r="N172" s="2">
        <v>9</v>
      </c>
      <c r="Q172" s="2">
        <f>+N172*M172</f>
        <v>27.900000000000002</v>
      </c>
    </row>
    <row r="173" spans="2:17" hidden="1">
      <c r="D173" s="2">
        <v>138</v>
      </c>
      <c r="E173" s="2">
        <v>33.299999999999997</v>
      </c>
      <c r="L173" s="2" t="s">
        <v>59</v>
      </c>
      <c r="M173" s="2">
        <v>0.78</v>
      </c>
      <c r="N173" s="2">
        <v>396</v>
      </c>
      <c r="P173" s="2">
        <f>+N173/6</f>
        <v>66</v>
      </c>
      <c r="Q173" s="2">
        <f>+N173*M173</f>
        <v>308.88</v>
      </c>
    </row>
    <row r="174" spans="2:17" hidden="1">
      <c r="E174" s="2">
        <f>+SUMPRODUCT(D172:D173,E172:E173)/SUM(D172:D173)</f>
        <v>53.430831099195714</v>
      </c>
    </row>
    <row r="175" spans="2:17" hidden="1">
      <c r="L175" s="2" t="s">
        <v>61</v>
      </c>
    </row>
    <row r="176" spans="2:17" hidden="1">
      <c r="L176" s="2" t="s">
        <v>54</v>
      </c>
      <c r="M176" s="2">
        <v>52.46</v>
      </c>
      <c r="N176" s="2">
        <v>29</v>
      </c>
      <c r="Q176" s="2">
        <f>+N176*M176</f>
        <v>1521.34</v>
      </c>
    </row>
  </sheetData>
  <mergeCells count="2">
    <mergeCell ref="A52:S52"/>
    <mergeCell ref="A53:S53"/>
  </mergeCells>
  <printOptions horizontalCentered="1"/>
  <pageMargins left="0.4" right="0.4" top="0.5" bottom="0.75" header="0.3" footer="0.3"/>
  <pageSetup orientation="landscape" r:id="rId1"/>
  <headerFooter>
    <oddFooter>&amp;C&amp;"Expert Sans Regular,Regular"&amp;10&amp;K000000 Restricted - External_x000D_&amp;1#&amp;"Calibri"&amp;10 Restricted - External</oddFooter>
    <evenFooter>&amp;C&amp;"Expert Sans Regular,Regular"&amp;10&amp;K000000 Restricted - External</evenFooter>
    <firstFooter>&amp;C&amp;"Expert Sans Regular,Regular"&amp;10&amp;K000000 Restricted - External</firstFooter>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pageSetUpPr autoPageBreaks="0" fitToPage="1"/>
  </sheetPr>
  <dimension ref="A1:T176"/>
  <sheetViews>
    <sheetView workbookViewId="0">
      <pane xSplit="1" ySplit="7" topLeftCell="B8" activePane="bottomRight" state="frozen"/>
      <selection activeCell="B36" sqref="B36:V36"/>
      <selection pane="topRight" activeCell="B36" sqref="B36:V36"/>
      <selection pane="bottomLeft" activeCell="B36" sqref="B36:V36"/>
      <selection pane="bottomRight" activeCell="B36" sqref="B36:V36"/>
    </sheetView>
  </sheetViews>
  <sheetFormatPr defaultRowHeight="14.25"/>
  <cols>
    <col min="1" max="1" width="36.375" style="1" customWidth="1"/>
    <col min="2" max="19" width="9.25" style="2" customWidth="1"/>
    <col min="20" max="16384" width="9" style="1"/>
  </cols>
  <sheetData>
    <row r="1" spans="1:19" s="9" customFormat="1">
      <c r="A1" s="57" t="s">
        <v>126</v>
      </c>
      <c r="B1" s="8"/>
      <c r="C1" s="8"/>
      <c r="D1" s="8"/>
      <c r="E1" s="8"/>
      <c r="F1" s="8"/>
      <c r="G1" s="8"/>
      <c r="H1" s="8"/>
      <c r="I1" s="8"/>
      <c r="J1" s="8"/>
      <c r="K1" s="8"/>
      <c r="L1" s="8"/>
      <c r="M1" s="19"/>
      <c r="N1" s="8"/>
      <c r="O1" s="8"/>
      <c r="P1" s="8"/>
      <c r="Q1" s="8"/>
      <c r="R1" s="8"/>
      <c r="S1" s="8"/>
    </row>
    <row r="2" spans="1:19" s="9" customFormat="1">
      <c r="A2" s="57" t="s">
        <v>1</v>
      </c>
      <c r="B2" s="10">
        <v>45.53</v>
      </c>
      <c r="C2" s="8"/>
      <c r="D2" s="8"/>
      <c r="E2" s="8"/>
      <c r="F2" s="8"/>
      <c r="G2" s="8"/>
      <c r="H2" s="8"/>
      <c r="I2" s="8"/>
      <c r="J2" s="8"/>
      <c r="K2" s="8"/>
      <c r="L2" s="8"/>
      <c r="M2" s="19"/>
      <c r="N2" s="8"/>
      <c r="O2" s="8"/>
      <c r="P2" s="8"/>
      <c r="Q2" s="8"/>
      <c r="R2" s="8"/>
      <c r="S2" s="8"/>
    </row>
    <row r="3" spans="1:19" s="9" customFormat="1">
      <c r="A3" s="57" t="s">
        <v>0</v>
      </c>
      <c r="B3" s="10">
        <v>19.952000000000002</v>
      </c>
      <c r="C3" s="8"/>
      <c r="D3" s="8"/>
      <c r="E3" s="8"/>
      <c r="F3" s="8"/>
      <c r="G3" s="8"/>
      <c r="H3" s="8"/>
      <c r="I3" s="8"/>
      <c r="J3" s="8"/>
      <c r="K3" s="8"/>
      <c r="L3" s="8"/>
      <c r="M3" s="19"/>
      <c r="N3" s="8"/>
      <c r="O3" s="8"/>
      <c r="P3" s="8"/>
      <c r="Q3" s="8"/>
      <c r="R3" s="8"/>
      <c r="S3" s="8"/>
    </row>
    <row r="4" spans="1:19" s="9" customFormat="1">
      <c r="A4" s="57" t="s">
        <v>2</v>
      </c>
      <c r="B4" s="10">
        <v>2.1379000000000001</v>
      </c>
      <c r="C4" s="8"/>
      <c r="D4" s="8"/>
      <c r="E4" s="8"/>
      <c r="F4" s="8"/>
      <c r="G4" s="8"/>
      <c r="H4" s="8"/>
      <c r="I4" s="8"/>
      <c r="J4" s="8"/>
      <c r="K4" s="8"/>
      <c r="L4" s="8"/>
      <c r="M4" s="19"/>
      <c r="N4" s="8"/>
      <c r="O4" s="8"/>
      <c r="P4" s="8"/>
      <c r="Q4" s="8"/>
      <c r="R4" s="8"/>
      <c r="S4" s="8"/>
    </row>
    <row r="5" spans="1:19" s="9" customFormat="1" ht="15" thickBot="1">
      <c r="A5" s="57"/>
      <c r="B5" s="8"/>
      <c r="C5" s="8"/>
      <c r="D5" s="8"/>
      <c r="E5" s="8"/>
      <c r="F5" s="8"/>
      <c r="G5" s="8"/>
      <c r="H5" s="8"/>
      <c r="I5" s="8"/>
      <c r="J5" s="8"/>
      <c r="K5" s="8"/>
      <c r="L5" s="8"/>
      <c r="M5" s="19"/>
      <c r="N5" s="8"/>
      <c r="O5" s="8"/>
      <c r="P5" s="8"/>
      <c r="Q5" s="8"/>
      <c r="R5" s="8"/>
      <c r="S5" s="8"/>
    </row>
    <row r="6" spans="1:19" ht="26.25" thickBot="1">
      <c r="A6" s="4" t="s">
        <v>15</v>
      </c>
      <c r="B6" s="52" t="s">
        <v>17</v>
      </c>
      <c r="C6" s="52" t="s">
        <v>18</v>
      </c>
      <c r="D6" s="52" t="s">
        <v>19</v>
      </c>
      <c r="E6" s="52" t="s">
        <v>21</v>
      </c>
      <c r="F6" s="52" t="s">
        <v>22</v>
      </c>
      <c r="G6" s="138" t="s">
        <v>174</v>
      </c>
      <c r="H6" s="52" t="s">
        <v>23</v>
      </c>
      <c r="I6" s="52" t="s">
        <v>139</v>
      </c>
      <c r="J6" s="52" t="s">
        <v>24</v>
      </c>
      <c r="K6" s="52" t="s">
        <v>25</v>
      </c>
      <c r="L6" s="52" t="s">
        <v>26</v>
      </c>
      <c r="M6" s="52" t="s">
        <v>27</v>
      </c>
      <c r="N6" s="52" t="s">
        <v>28</v>
      </c>
      <c r="O6" s="116" t="s">
        <v>162</v>
      </c>
      <c r="P6" s="52" t="s">
        <v>29</v>
      </c>
      <c r="Q6" s="52" t="s">
        <v>30</v>
      </c>
      <c r="R6" s="52" t="s">
        <v>31</v>
      </c>
      <c r="S6" s="138" t="s">
        <v>173</v>
      </c>
    </row>
    <row r="7" spans="1:19" ht="18" customHeight="1" thickBot="1">
      <c r="A7" s="25" t="s">
        <v>16</v>
      </c>
      <c r="B7" s="55" t="s">
        <v>33</v>
      </c>
      <c r="C7" s="55" t="s">
        <v>34</v>
      </c>
      <c r="D7" s="55" t="s">
        <v>35</v>
      </c>
      <c r="E7" s="55" t="s">
        <v>37</v>
      </c>
      <c r="F7" s="55" t="s">
        <v>38</v>
      </c>
      <c r="G7" s="55" t="s">
        <v>36</v>
      </c>
      <c r="H7" s="55" t="s">
        <v>39</v>
      </c>
      <c r="I7" s="69" t="s">
        <v>140</v>
      </c>
      <c r="J7" s="55" t="s">
        <v>40</v>
      </c>
      <c r="K7" s="55" t="s">
        <v>41</v>
      </c>
      <c r="L7" s="55" t="s">
        <v>42</v>
      </c>
      <c r="M7" s="55" t="s">
        <v>43</v>
      </c>
      <c r="N7" s="55" t="s">
        <v>44</v>
      </c>
      <c r="O7" s="69" t="s">
        <v>163</v>
      </c>
      <c r="P7" s="55" t="s">
        <v>45</v>
      </c>
      <c r="Q7" s="55" t="s">
        <v>46</v>
      </c>
      <c r="R7" s="55" t="s">
        <v>47</v>
      </c>
      <c r="S7" s="55" t="s">
        <v>48</v>
      </c>
    </row>
    <row r="8" spans="1:19" s="9" customFormat="1">
      <c r="A8" s="57"/>
      <c r="B8" s="8"/>
      <c r="C8" s="8"/>
      <c r="D8" s="8"/>
      <c r="E8" s="8"/>
      <c r="F8" s="8"/>
      <c r="G8" s="8"/>
      <c r="H8" s="8"/>
      <c r="I8" s="8"/>
      <c r="J8" s="8"/>
      <c r="K8" s="8"/>
      <c r="L8" s="8"/>
      <c r="M8" s="8"/>
      <c r="N8" s="8"/>
      <c r="O8" s="8"/>
      <c r="P8" s="8"/>
      <c r="Q8" s="8"/>
      <c r="R8" s="8"/>
      <c r="S8" s="8"/>
    </row>
    <row r="9" spans="1:19" s="9" customFormat="1">
      <c r="A9" s="57" t="s">
        <v>50</v>
      </c>
      <c r="B9" s="10">
        <v>41.77</v>
      </c>
      <c r="C9" s="10">
        <v>43.14</v>
      </c>
      <c r="D9" s="10">
        <f>((37.17*(502.41-119.511))+(119.511*(61.78-1.34))+(492+15))/D44/D55</f>
        <v>33.926656936152149</v>
      </c>
      <c r="E9" s="10">
        <f>33.89/D55</f>
        <v>26.301901435778039</v>
      </c>
      <c r="F9" s="10">
        <v>40.07</v>
      </c>
      <c r="G9" s="10">
        <f>+((577*42.63)+(19*13.76))/(577+19)</f>
        <v>41.709647651006712</v>
      </c>
      <c r="H9" s="10">
        <v>38.380000000000003</v>
      </c>
      <c r="I9" s="10">
        <v>41.68</v>
      </c>
      <c r="J9" s="10">
        <v>32.64</v>
      </c>
      <c r="K9" s="10">
        <v>33.67</v>
      </c>
      <c r="L9" s="10">
        <v>43.65</v>
      </c>
      <c r="M9" s="10">
        <v>41.95</v>
      </c>
      <c r="N9" s="10">
        <f>((40.77*135)+(33*42.21)+(26.41*40.88))/N44</f>
        <v>36.758160368663603</v>
      </c>
      <c r="O9" s="10">
        <v>39.54</v>
      </c>
      <c r="P9" s="10">
        <v>41.51</v>
      </c>
      <c r="Q9" s="10">
        <v>39.659999999999997</v>
      </c>
      <c r="R9" s="10">
        <v>41.43</v>
      </c>
      <c r="S9" s="10">
        <v>32.46</v>
      </c>
    </row>
    <row r="10" spans="1:19" s="9" customFormat="1">
      <c r="A10" s="57" t="s">
        <v>3</v>
      </c>
      <c r="B10" s="10">
        <f t="shared" ref="B10:S10" si="0">+B9-$B$2</f>
        <v>-3.759999999999998</v>
      </c>
      <c r="C10" s="10">
        <f t="shared" si="0"/>
        <v>-2.3900000000000006</v>
      </c>
      <c r="D10" s="10">
        <f t="shared" si="0"/>
        <v>-11.603343063847852</v>
      </c>
      <c r="E10" s="10">
        <f t="shared" si="0"/>
        <v>-19.228098564221963</v>
      </c>
      <c r="F10" s="10">
        <f t="shared" si="0"/>
        <v>-5.4600000000000009</v>
      </c>
      <c r="G10" s="10">
        <f t="shared" si="0"/>
        <v>-3.8203523489932891</v>
      </c>
      <c r="H10" s="10">
        <f t="shared" si="0"/>
        <v>-7.1499999999999986</v>
      </c>
      <c r="I10" s="10">
        <f t="shared" si="0"/>
        <v>-3.8500000000000014</v>
      </c>
      <c r="J10" s="10">
        <f t="shared" si="0"/>
        <v>-12.89</v>
      </c>
      <c r="K10" s="10">
        <f t="shared" si="0"/>
        <v>-11.86</v>
      </c>
      <c r="L10" s="10">
        <f t="shared" si="0"/>
        <v>-1.8800000000000026</v>
      </c>
      <c r="M10" s="10">
        <f t="shared" si="0"/>
        <v>-3.5799999999999983</v>
      </c>
      <c r="N10" s="10">
        <f t="shared" si="0"/>
        <v>-8.7718396313363982</v>
      </c>
      <c r="O10" s="10">
        <f t="shared" si="0"/>
        <v>-5.990000000000002</v>
      </c>
      <c r="P10" s="10">
        <f t="shared" si="0"/>
        <v>-4.0200000000000031</v>
      </c>
      <c r="Q10" s="10">
        <f t="shared" si="0"/>
        <v>-5.8700000000000045</v>
      </c>
      <c r="R10" s="10">
        <f t="shared" si="0"/>
        <v>-4.1000000000000014</v>
      </c>
      <c r="S10" s="10">
        <f t="shared" si="0"/>
        <v>-13.07</v>
      </c>
    </row>
    <row r="11" spans="1:19" s="9" customFormat="1">
      <c r="A11" s="57" t="s">
        <v>51</v>
      </c>
      <c r="B11" s="10">
        <v>19.600000000000001</v>
      </c>
      <c r="C11" s="10">
        <v>10.220000000000001</v>
      </c>
      <c r="D11" s="10"/>
      <c r="E11" s="10">
        <f>28.11/D55</f>
        <v>21.816065192083819</v>
      </c>
      <c r="F11" s="10">
        <v>13.93</v>
      </c>
      <c r="G11" s="10">
        <v>15.76</v>
      </c>
      <c r="H11" s="10"/>
      <c r="I11" s="10"/>
      <c r="J11" s="10">
        <v>10.14</v>
      </c>
      <c r="K11" s="10"/>
      <c r="L11" s="10">
        <v>14.56</v>
      </c>
      <c r="M11" s="10">
        <v>9.0299999999999994</v>
      </c>
      <c r="N11" s="10">
        <f>((14.84*38)+(2.65*11))/N45</f>
        <v>12.103469387755101</v>
      </c>
      <c r="O11" s="10">
        <v>19.23</v>
      </c>
      <c r="P11" s="10">
        <v>14.1</v>
      </c>
      <c r="Q11" s="10">
        <v>14.59</v>
      </c>
      <c r="R11" s="10">
        <v>14.21</v>
      </c>
      <c r="S11" s="10">
        <v>6.41</v>
      </c>
    </row>
    <row r="12" spans="1:19" s="9" customFormat="1">
      <c r="A12" s="57" t="s">
        <v>3</v>
      </c>
      <c r="B12" s="10">
        <f t="shared" ref="B12:S12" si="1">+B11-$B$3</f>
        <v>-0.35200000000000031</v>
      </c>
      <c r="C12" s="10">
        <f t="shared" si="1"/>
        <v>-9.7320000000000011</v>
      </c>
      <c r="D12" s="10">
        <f t="shared" si="1"/>
        <v>-19.952000000000002</v>
      </c>
      <c r="E12" s="10">
        <f t="shared" si="1"/>
        <v>1.8640651920838174</v>
      </c>
      <c r="F12" s="10">
        <f t="shared" si="1"/>
        <v>-6.022000000000002</v>
      </c>
      <c r="G12" s="10">
        <f t="shared" si="1"/>
        <v>-4.1920000000000019</v>
      </c>
      <c r="H12" s="10">
        <f t="shared" si="1"/>
        <v>-19.952000000000002</v>
      </c>
      <c r="I12" s="10">
        <f t="shared" si="1"/>
        <v>-19.952000000000002</v>
      </c>
      <c r="J12" s="10">
        <f t="shared" si="1"/>
        <v>-9.8120000000000012</v>
      </c>
      <c r="K12" s="10">
        <f t="shared" si="1"/>
        <v>-19.952000000000002</v>
      </c>
      <c r="L12" s="10">
        <f t="shared" si="1"/>
        <v>-5.3920000000000012</v>
      </c>
      <c r="M12" s="10">
        <f t="shared" si="1"/>
        <v>-10.922000000000002</v>
      </c>
      <c r="N12" s="10">
        <f t="shared" si="1"/>
        <v>-7.8485306122449003</v>
      </c>
      <c r="O12" s="10">
        <f t="shared" si="1"/>
        <v>-0.72200000000000131</v>
      </c>
      <c r="P12" s="10">
        <f t="shared" si="1"/>
        <v>-5.8520000000000021</v>
      </c>
      <c r="Q12" s="10">
        <f t="shared" si="1"/>
        <v>-5.3620000000000019</v>
      </c>
      <c r="R12" s="10">
        <f t="shared" si="1"/>
        <v>-5.7420000000000009</v>
      </c>
      <c r="S12" s="10">
        <f t="shared" si="1"/>
        <v>-13.542000000000002</v>
      </c>
    </row>
    <row r="13" spans="1:19" s="9" customFormat="1">
      <c r="A13" s="57" t="s">
        <v>52</v>
      </c>
      <c r="B13" s="10">
        <v>1.61</v>
      </c>
      <c r="C13" s="10">
        <v>2.04</v>
      </c>
      <c r="D13" s="10">
        <f>1.15/D55</f>
        <v>0.89251067132324402</v>
      </c>
      <c r="E13" s="10">
        <f>1.53/D55</f>
        <v>1.1874272409778812</v>
      </c>
      <c r="F13" s="10">
        <v>1.82</v>
      </c>
      <c r="G13" s="10">
        <v>2.54</v>
      </c>
      <c r="H13" s="10">
        <v>1.31</v>
      </c>
      <c r="I13" s="10">
        <v>1.88</v>
      </c>
      <c r="J13" s="10">
        <v>1.4</v>
      </c>
      <c r="K13" s="10">
        <v>1.35</v>
      </c>
      <c r="L13" s="10">
        <v>1.44</v>
      </c>
      <c r="M13" s="10">
        <v>3.58</v>
      </c>
      <c r="N13" s="10">
        <f>((1.96*310)+(0.53*457))/N46</f>
        <v>1.1079661016949154</v>
      </c>
      <c r="O13" s="10">
        <v>1.69</v>
      </c>
      <c r="P13" s="10">
        <v>2.16</v>
      </c>
      <c r="Q13" s="10">
        <v>1.26</v>
      </c>
      <c r="R13" s="10">
        <v>1.67</v>
      </c>
      <c r="S13" s="10">
        <v>1.21</v>
      </c>
    </row>
    <row r="14" spans="1:19" s="9" customFormat="1">
      <c r="A14" s="57" t="s">
        <v>3</v>
      </c>
      <c r="B14" s="10">
        <f t="shared" ref="B14:S14" si="2">+B13-$B$4</f>
        <v>-0.52790000000000004</v>
      </c>
      <c r="C14" s="10">
        <f t="shared" si="2"/>
        <v>-9.7900000000000098E-2</v>
      </c>
      <c r="D14" s="10">
        <f t="shared" si="2"/>
        <v>-1.2453893286767561</v>
      </c>
      <c r="E14" s="10">
        <f t="shared" si="2"/>
        <v>-0.95047275902211892</v>
      </c>
      <c r="F14" s="10">
        <f t="shared" si="2"/>
        <v>-0.31790000000000007</v>
      </c>
      <c r="G14" s="10">
        <f t="shared" si="2"/>
        <v>0.4020999999999999</v>
      </c>
      <c r="H14" s="10">
        <f t="shared" si="2"/>
        <v>-0.82790000000000008</v>
      </c>
      <c r="I14" s="10">
        <f t="shared" si="2"/>
        <v>-0.25790000000000024</v>
      </c>
      <c r="J14" s="10">
        <f t="shared" si="2"/>
        <v>-0.73790000000000022</v>
      </c>
      <c r="K14" s="10">
        <f t="shared" si="2"/>
        <v>-0.78790000000000004</v>
      </c>
      <c r="L14" s="10">
        <f t="shared" si="2"/>
        <v>-0.69790000000000019</v>
      </c>
      <c r="M14" s="10">
        <f t="shared" si="2"/>
        <v>1.4420999999999999</v>
      </c>
      <c r="N14" s="10">
        <f t="shared" si="2"/>
        <v>-1.0299338983050847</v>
      </c>
      <c r="O14" s="10">
        <f t="shared" si="2"/>
        <v>-0.44790000000000019</v>
      </c>
      <c r="P14" s="10">
        <f t="shared" si="2"/>
        <v>2.2100000000000009E-2</v>
      </c>
      <c r="Q14" s="10">
        <f t="shared" si="2"/>
        <v>-0.87790000000000012</v>
      </c>
      <c r="R14" s="10">
        <f t="shared" si="2"/>
        <v>-0.4679000000000002</v>
      </c>
      <c r="S14" s="10">
        <f t="shared" si="2"/>
        <v>-0.92790000000000017</v>
      </c>
    </row>
    <row r="15" spans="1:19" s="9" customFormat="1">
      <c r="A15" s="57" t="s">
        <v>49</v>
      </c>
      <c r="B15" s="10">
        <f>+(1125+320+235)/B48</f>
        <v>23.319838056680162</v>
      </c>
      <c r="C15" s="10">
        <f>1386/C48</f>
        <v>28.444456703334879</v>
      </c>
      <c r="D15" s="10">
        <f>+((1993+674)/D48)/D55</f>
        <v>29.015562607812161</v>
      </c>
      <c r="E15" s="10">
        <f>27.56/D55</f>
        <v>21.389212262320527</v>
      </c>
      <c r="F15" s="10">
        <f>+(162.005+76.615+51.939)/F48</f>
        <v>19.664893876819438</v>
      </c>
      <c r="G15" s="10">
        <f>+G66</f>
        <v>28.108168899715796</v>
      </c>
      <c r="H15" s="10">
        <v>26.36</v>
      </c>
      <c r="I15" s="10">
        <v>30</v>
      </c>
      <c r="J15" s="10">
        <v>18.5</v>
      </c>
      <c r="K15" s="10">
        <v>17.29</v>
      </c>
      <c r="L15" s="10">
        <f>+(1059.69+111.643+155.983)/L48</f>
        <v>26.471669890907641</v>
      </c>
      <c r="M15" s="20">
        <f>968.567/M48</f>
        <v>34.023207479787132</v>
      </c>
      <c r="N15" s="10">
        <f>870/N48</f>
        <v>24.275343784442388</v>
      </c>
      <c r="O15" s="10">
        <f>381/O48</f>
        <v>25.010940919037196</v>
      </c>
      <c r="P15" s="10">
        <f>+(465+282+76+24)/P48</f>
        <v>21.806385726729342</v>
      </c>
      <c r="Q15" s="10">
        <f>1625/Q48</f>
        <v>27.353295160290308</v>
      </c>
      <c r="R15" s="10">
        <v>28.95</v>
      </c>
      <c r="S15" s="10">
        <f>+(251+20+20)/S48</f>
        <v>7.7485665595654432</v>
      </c>
    </row>
    <row r="16" spans="1:19" s="9" customFormat="1">
      <c r="A16" s="57"/>
      <c r="B16" s="10"/>
      <c r="C16" s="10"/>
      <c r="D16" s="10"/>
      <c r="E16" s="10"/>
      <c r="F16" s="10"/>
      <c r="G16" s="10"/>
      <c r="H16" s="10"/>
      <c r="I16" s="10"/>
      <c r="J16" s="10"/>
      <c r="K16" s="10"/>
      <c r="L16" s="10"/>
      <c r="M16" s="20"/>
      <c r="N16" s="10"/>
      <c r="O16" s="10"/>
      <c r="P16" s="10"/>
      <c r="Q16" s="10"/>
      <c r="R16" s="10"/>
      <c r="S16" s="10"/>
    </row>
    <row r="17" spans="1:20" s="9" customFormat="1">
      <c r="A17" s="57" t="s">
        <v>4</v>
      </c>
      <c r="B17" s="10"/>
      <c r="C17" s="10"/>
      <c r="D17" s="10"/>
      <c r="E17" s="10"/>
      <c r="F17" s="10"/>
      <c r="G17" s="10"/>
      <c r="H17" s="10"/>
      <c r="I17" s="10"/>
      <c r="J17" s="10"/>
      <c r="K17" s="10"/>
      <c r="L17" s="10"/>
      <c r="M17" s="20"/>
      <c r="N17" s="10"/>
      <c r="O17" s="10"/>
      <c r="P17" s="10"/>
      <c r="Q17" s="10"/>
      <c r="R17" s="10"/>
      <c r="S17" s="10"/>
    </row>
    <row r="18" spans="1:20" s="9" customFormat="1">
      <c r="A18" s="56" t="s">
        <v>75</v>
      </c>
      <c r="B18" s="10">
        <f>+(202+246)/B48</f>
        <v>6.2186234817813757</v>
      </c>
      <c r="C18" s="10">
        <f>+(359+52)/C48</f>
        <v>8.4348280700365326</v>
      </c>
      <c r="D18" s="20">
        <f>+(692+492+293+15)/D48/D55</f>
        <v>16.232178256788803</v>
      </c>
      <c r="E18" s="10">
        <f>+(5.07+8.89)/D55</f>
        <v>10.83430345362825</v>
      </c>
      <c r="F18" s="10">
        <f>+(57.213+44.436)/F48</f>
        <v>6.879555607242656</v>
      </c>
      <c r="G18" s="10">
        <f>+(1445)/G48</f>
        <v>12.894129824702299</v>
      </c>
      <c r="H18" s="10">
        <f>74.083/H48</f>
        <v>3.7118635308067804</v>
      </c>
      <c r="I18" s="10">
        <v>5.83</v>
      </c>
      <c r="J18" s="10">
        <f>444/J48</f>
        <v>7.570397019582435</v>
      </c>
      <c r="K18" s="10">
        <f>6.8+3.63</f>
        <v>10.43</v>
      </c>
      <c r="L18" s="10">
        <f>+(218.393+179.471)/L48</f>
        <v>7.9349035719271663</v>
      </c>
      <c r="M18" s="20">
        <f>+(409+109)/M48</f>
        <v>18.195975574771527</v>
      </c>
      <c r="N18" s="10">
        <f>+(350+95)/N48</f>
        <v>12.416698832272257</v>
      </c>
      <c r="O18" s="10">
        <f>+(62+66)/O48</f>
        <v>8.402625820568927</v>
      </c>
      <c r="P18" s="10">
        <f>+(119+115)/P48</f>
        <v>6.0244324203715065</v>
      </c>
      <c r="Q18" s="10">
        <v>10.210000000000001</v>
      </c>
      <c r="R18" s="10">
        <f>(141+25)/R48</f>
        <v>7.8390730853311901</v>
      </c>
      <c r="S18" s="10">
        <f>0.87*6</f>
        <v>5.22</v>
      </c>
    </row>
    <row r="19" spans="1:20" s="9" customFormat="1">
      <c r="A19" s="56" t="s">
        <v>74</v>
      </c>
      <c r="B19" s="10"/>
      <c r="C19" s="10"/>
      <c r="D19" s="10">
        <f>134/D48/D55</f>
        <v>1.4578497898188336</v>
      </c>
      <c r="E19" s="10">
        <f>+(1.51)/D55</f>
        <v>1.1719053162592161</v>
      </c>
      <c r="F19" s="10"/>
      <c r="G19" s="10"/>
      <c r="H19" s="10"/>
      <c r="I19" s="10"/>
      <c r="J19" s="10"/>
      <c r="K19" s="10"/>
      <c r="L19" s="10"/>
      <c r="M19" s="20"/>
      <c r="N19" s="10"/>
      <c r="O19" s="10"/>
      <c r="P19" s="10"/>
      <c r="Q19" s="10"/>
      <c r="R19" s="10"/>
      <c r="S19" s="10"/>
    </row>
    <row r="20" spans="1:20" s="9" customFormat="1">
      <c r="A20" s="56" t="s">
        <v>10</v>
      </c>
      <c r="B20" s="10">
        <f>(157-12.078)/B48</f>
        <v>2.0116414112203582</v>
      </c>
      <c r="C20" s="10">
        <f>65/C48</f>
        <v>1.3339752422198896</v>
      </c>
      <c r="D20" s="10"/>
      <c r="E20" s="10">
        <f>+(0.12/D55)</f>
        <v>9.3131548311990692E-2</v>
      </c>
      <c r="F20" s="10">
        <f>14.066/F48</f>
        <v>0.95198013921903024</v>
      </c>
      <c r="G20" s="10">
        <f>197/G48</f>
        <v>1.7578848273123548</v>
      </c>
      <c r="H20" s="10">
        <f>39.141/H48</f>
        <v>1.9611253655941066</v>
      </c>
      <c r="I20" s="10">
        <v>2.5099999999999998</v>
      </c>
      <c r="J20" s="10">
        <f>64/J48</f>
        <v>1.0912283992190897</v>
      </c>
      <c r="K20" s="10">
        <v>0.89</v>
      </c>
      <c r="L20" s="10">
        <f>93.48/L48</f>
        <v>1.8643425539977265</v>
      </c>
      <c r="M20" s="20">
        <f>28/M48</f>
        <v>0.98356624728494746</v>
      </c>
      <c r="N20" s="10">
        <f>39/N48</f>
        <v>1.0882050661991416</v>
      </c>
      <c r="O20" s="10">
        <f>11/O48</f>
        <v>0.72210065645514221</v>
      </c>
      <c r="P20" s="10">
        <f>40/P48</f>
        <v>1.0298175077558132</v>
      </c>
      <c r="Q20" s="10">
        <v>1.1200000000000001</v>
      </c>
      <c r="R20" s="10">
        <f>36/R48</f>
        <v>1.7000399462164026</v>
      </c>
      <c r="S20" s="10">
        <f>0.21*6</f>
        <v>1.26</v>
      </c>
    </row>
    <row r="21" spans="1:20" s="9" customFormat="1">
      <c r="A21" s="56" t="s">
        <v>11</v>
      </c>
      <c r="B21" s="10">
        <f>(305-10.883)/B48</f>
        <v>4.0825957200694045</v>
      </c>
      <c r="C21" s="10">
        <f>103/C48</f>
        <v>2.1138376915176713</v>
      </c>
      <c r="D21" s="10">
        <f>+(213)/D48/D55</f>
        <v>2.3173283972493404</v>
      </c>
      <c r="E21" s="10">
        <f>94/E48/D55</f>
        <v>3.0300167288867543</v>
      </c>
      <c r="F21" s="74">
        <f>+(21.424+17.973+12.714)/F48</f>
        <v>3.5268475070981715</v>
      </c>
      <c r="G21" s="10">
        <f>167/G48</f>
        <v>1.490186630259712</v>
      </c>
      <c r="H21" s="10">
        <f>36.246/H48</f>
        <v>1.8160739378483941</v>
      </c>
      <c r="I21" s="10">
        <v>4.04</v>
      </c>
      <c r="J21" s="10">
        <f>(118+56)/J48</f>
        <v>2.9667772103769003</v>
      </c>
      <c r="K21" s="10">
        <f>(61+9)/K48</f>
        <v>2.0884093282283325</v>
      </c>
      <c r="L21" s="10">
        <f>97.705/L48</f>
        <v>1.9486049340858778</v>
      </c>
      <c r="M21" s="20">
        <f>(106-5)/M48</f>
        <v>3.5478639634207032</v>
      </c>
      <c r="N21" s="10">
        <f>(132-31)/N48</f>
        <v>2.8181720945157256</v>
      </c>
      <c r="O21" s="10">
        <f>58/O48</f>
        <v>3.8074398249452952</v>
      </c>
      <c r="P21" s="10">
        <f>102/P48</f>
        <v>2.6260346447773233</v>
      </c>
      <c r="Q21" s="10">
        <v>2.2200000000000002</v>
      </c>
      <c r="R21" s="10">
        <f>80/R48</f>
        <v>3.7778665471475614</v>
      </c>
      <c r="S21" s="10">
        <f>0.21*6</f>
        <v>1.26</v>
      </c>
    </row>
    <row r="22" spans="1:20" s="9" customFormat="1">
      <c r="A22" s="56" t="s">
        <v>12</v>
      </c>
      <c r="B22" s="10">
        <f>(217-12.883+42)/B48</f>
        <v>3.416314632735685</v>
      </c>
      <c r="C22" s="10">
        <f>116/C48</f>
        <v>2.3806327399616491</v>
      </c>
      <c r="D22" s="10">
        <f>153/D48/D55</f>
        <v>1.6645598346438921</v>
      </c>
      <c r="E22" s="10">
        <f>83/E48/D55</f>
        <v>2.6754403031659639</v>
      </c>
      <c r="F22" s="10">
        <f>20.824/F48</f>
        <v>1.4093583406154617</v>
      </c>
      <c r="G22" s="10">
        <f>312/G48</f>
        <v>2.7840612493474857</v>
      </c>
      <c r="H22" s="10">
        <f>81.922/H48</f>
        <v>4.1046297284228919</v>
      </c>
      <c r="I22" s="10">
        <f>54.502/I48</f>
        <v>4.1260080527637255</v>
      </c>
      <c r="J22" s="10">
        <f>(118+56)/J48</f>
        <v>2.9667772103769003</v>
      </c>
      <c r="K22" s="10">
        <f>(107)/K48</f>
        <v>3.1922828302918798</v>
      </c>
      <c r="L22" s="10">
        <f>(71.108+(17-9))/L48</f>
        <v>1.5777108553878065</v>
      </c>
      <c r="M22" s="20">
        <f>(95)/M48</f>
        <v>3.3370997675739287</v>
      </c>
      <c r="N22" s="10">
        <f>(86+17)/N48</f>
        <v>2.8739774825259379</v>
      </c>
      <c r="O22" s="10">
        <f>38/O48</f>
        <v>2.4945295404814001</v>
      </c>
      <c r="P22" s="10">
        <f>102/P48</f>
        <v>2.6260346447773233</v>
      </c>
      <c r="Q22" s="10">
        <f>88/Q48</f>
        <v>1.481286137911106</v>
      </c>
      <c r="R22" s="10">
        <f>56/R48</f>
        <v>2.644506583003293</v>
      </c>
      <c r="S22" s="10">
        <f>56/S48</f>
        <v>1.4911330836277141</v>
      </c>
    </row>
    <row r="23" spans="1:20" s="9" customFormat="1">
      <c r="A23" s="56" t="s">
        <v>13</v>
      </c>
      <c r="B23" s="10">
        <f>(984-67.305)/B48</f>
        <v>12.724511278195488</v>
      </c>
      <c r="C23" s="10">
        <f>629/C48</f>
        <v>12.908775805481701</v>
      </c>
      <c r="D23" s="10">
        <f>+(1036+135)/D48/D55</f>
        <v>12.739866446849657</v>
      </c>
      <c r="E23" s="10">
        <f>+(156+143)/E48/D55</f>
        <v>9.6380319355014841</v>
      </c>
      <c r="F23" s="10">
        <f>125.627/F48</f>
        <v>8.5023751563819925</v>
      </c>
      <c r="G23" s="10">
        <f>2329/G48</f>
        <v>20.782303364520175</v>
      </c>
      <c r="H23" s="10">
        <f>441.761/H48</f>
        <v>22.13404620807384</v>
      </c>
      <c r="I23" s="10">
        <v>21.27</v>
      </c>
      <c r="J23" s="10">
        <f>359/J48</f>
        <v>6.1211093018695815</v>
      </c>
      <c r="K23" s="10">
        <f>+(67+143)/K48</f>
        <v>6.265227984684997</v>
      </c>
      <c r="L23" s="10">
        <f>862.491/L48</f>
        <v>17.20131229931593</v>
      </c>
      <c r="M23" s="20">
        <f>770/M48</f>
        <v>27.048071800336054</v>
      </c>
      <c r="N23" s="10">
        <f>561/N48</f>
        <v>15.653411336864574</v>
      </c>
      <c r="O23" s="10">
        <f>160/O48</f>
        <v>10.503282275711159</v>
      </c>
      <c r="P23" s="10">
        <f>622/P48</f>
        <v>16.013662245602895</v>
      </c>
      <c r="Q23" s="10">
        <v>15</v>
      </c>
      <c r="R23" s="10">
        <f>384/R48</f>
        <v>18.133759426308295</v>
      </c>
      <c r="S23" s="10">
        <f>90/S48</f>
        <v>2.3964638844016837</v>
      </c>
    </row>
    <row r="24" spans="1:20" s="9" customFormat="1">
      <c r="A24" s="56"/>
      <c r="B24" s="10"/>
      <c r="C24" s="10"/>
      <c r="D24" s="10"/>
      <c r="E24" s="10"/>
      <c r="F24" s="10"/>
      <c r="G24" s="10"/>
      <c r="H24" s="10"/>
      <c r="I24" s="10"/>
      <c r="J24" s="10"/>
      <c r="K24" s="10"/>
      <c r="L24" s="10"/>
      <c r="M24" s="20"/>
      <c r="N24" s="10"/>
      <c r="O24" s="10"/>
      <c r="P24" s="10"/>
      <c r="Q24" s="10"/>
      <c r="R24" s="10"/>
      <c r="S24" s="10"/>
    </row>
    <row r="25" spans="1:20" s="9" customFormat="1">
      <c r="A25" s="57" t="s">
        <v>9</v>
      </c>
      <c r="B25" s="8"/>
      <c r="C25" s="8"/>
      <c r="D25" s="8"/>
      <c r="E25" s="8"/>
      <c r="F25" s="8"/>
      <c r="G25" s="8"/>
      <c r="H25" s="8"/>
      <c r="I25" s="8"/>
      <c r="J25" s="8"/>
      <c r="K25" s="8"/>
      <c r="L25" s="8"/>
      <c r="M25" s="19"/>
      <c r="N25" s="8"/>
      <c r="O25" s="8"/>
      <c r="P25" s="8"/>
      <c r="Q25" s="8"/>
      <c r="R25" s="8"/>
      <c r="S25" s="8"/>
    </row>
    <row r="26" spans="1:20" s="9" customFormat="1">
      <c r="A26" s="56" t="s">
        <v>5</v>
      </c>
      <c r="B26" s="10">
        <f>+B18+B20</f>
        <v>8.2302648930017348</v>
      </c>
      <c r="C26" s="10">
        <f>+C18+C20</f>
        <v>9.7688033122564217</v>
      </c>
      <c r="D26" s="10">
        <f>+D18+D20+D19</f>
        <v>17.690028046607637</v>
      </c>
      <c r="E26" s="10">
        <f>+E18+E20+E19</f>
        <v>12.099340318199458</v>
      </c>
      <c r="F26" s="10">
        <f t="shared" ref="F26:S26" si="3">+F18+F20</f>
        <v>7.8315357464616859</v>
      </c>
      <c r="G26" s="10">
        <f t="shared" si="3"/>
        <v>14.652014652014653</v>
      </c>
      <c r="H26" s="10">
        <f t="shared" si="3"/>
        <v>5.672988896400887</v>
      </c>
      <c r="I26" s="10">
        <f t="shared" si="3"/>
        <v>8.34</v>
      </c>
      <c r="J26" s="10">
        <f t="shared" si="3"/>
        <v>8.661625418801524</v>
      </c>
      <c r="K26" s="10">
        <f t="shared" si="3"/>
        <v>11.32</v>
      </c>
      <c r="L26" s="10">
        <f t="shared" si="3"/>
        <v>9.799246125924892</v>
      </c>
      <c r="M26" s="20">
        <f t="shared" si="3"/>
        <v>19.179541822056475</v>
      </c>
      <c r="N26" s="10">
        <f t="shared" si="3"/>
        <v>13.504903898471397</v>
      </c>
      <c r="O26" s="10">
        <f t="shared" si="3"/>
        <v>9.124726477024069</v>
      </c>
      <c r="P26" s="10">
        <f t="shared" si="3"/>
        <v>7.0542499281273194</v>
      </c>
      <c r="Q26" s="10">
        <f t="shared" si="3"/>
        <v>11.330000000000002</v>
      </c>
      <c r="R26" s="10">
        <f t="shared" si="3"/>
        <v>9.5391130315475934</v>
      </c>
      <c r="S26" s="10">
        <f t="shared" si="3"/>
        <v>6.4799999999999995</v>
      </c>
    </row>
    <row r="27" spans="1:20" s="9" customFormat="1">
      <c r="A27" s="56" t="s">
        <v>6</v>
      </c>
      <c r="B27" s="10">
        <f t="shared" ref="B27:S29" si="4">+B26+B21</f>
        <v>12.312860613071139</v>
      </c>
      <c r="C27" s="10">
        <f t="shared" si="4"/>
        <v>11.882641003774093</v>
      </c>
      <c r="D27" s="10">
        <f t="shared" si="4"/>
        <v>20.007356443856978</v>
      </c>
      <c r="E27" s="10">
        <f t="shared" si="4"/>
        <v>15.129357047086213</v>
      </c>
      <c r="F27" s="10">
        <f t="shared" si="4"/>
        <v>11.358383253559857</v>
      </c>
      <c r="G27" s="10">
        <f t="shared" si="4"/>
        <v>16.142201282274364</v>
      </c>
      <c r="H27" s="10">
        <f t="shared" si="4"/>
        <v>7.4890628342492809</v>
      </c>
      <c r="I27" s="10">
        <f t="shared" si="4"/>
        <v>12.379999999999999</v>
      </c>
      <c r="J27" s="10">
        <f t="shared" si="4"/>
        <v>11.628402629178424</v>
      </c>
      <c r="K27" s="10">
        <f t="shared" si="4"/>
        <v>13.408409328228332</v>
      </c>
      <c r="L27" s="10">
        <f t="shared" si="4"/>
        <v>11.74785106001077</v>
      </c>
      <c r="M27" s="20">
        <f t="shared" si="4"/>
        <v>22.727405785477178</v>
      </c>
      <c r="N27" s="10">
        <f t="shared" si="4"/>
        <v>16.323075992987121</v>
      </c>
      <c r="O27" s="10">
        <f t="shared" si="4"/>
        <v>12.932166301969364</v>
      </c>
      <c r="P27" s="10">
        <f t="shared" si="4"/>
        <v>9.6802845729046432</v>
      </c>
      <c r="Q27" s="10">
        <f t="shared" si="4"/>
        <v>13.550000000000002</v>
      </c>
      <c r="R27" s="10">
        <f t="shared" si="4"/>
        <v>13.316979578695154</v>
      </c>
      <c r="S27" s="10">
        <f t="shared" si="4"/>
        <v>7.7399999999999993</v>
      </c>
    </row>
    <row r="28" spans="1:20" s="9" customFormat="1">
      <c r="A28" s="56" t="s">
        <v>7</v>
      </c>
      <c r="B28" s="10">
        <f t="shared" si="4"/>
        <v>15.729175245806825</v>
      </c>
      <c r="C28" s="10">
        <f t="shared" si="4"/>
        <v>14.263273743735743</v>
      </c>
      <c r="D28" s="10">
        <f t="shared" si="4"/>
        <v>21.67191627850087</v>
      </c>
      <c r="E28" s="10">
        <f t="shared" si="4"/>
        <v>17.804797350252176</v>
      </c>
      <c r="F28" s="10">
        <f t="shared" si="4"/>
        <v>12.76774159417532</v>
      </c>
      <c r="G28" s="10">
        <f t="shared" si="4"/>
        <v>18.926262531621848</v>
      </c>
      <c r="H28" s="10">
        <f t="shared" si="4"/>
        <v>11.593692562672173</v>
      </c>
      <c r="I28" s="10">
        <f t="shared" si="4"/>
        <v>16.506008052763725</v>
      </c>
      <c r="J28" s="10">
        <f t="shared" si="4"/>
        <v>14.595179839555325</v>
      </c>
      <c r="K28" s="10">
        <f t="shared" si="4"/>
        <v>16.600692158520211</v>
      </c>
      <c r="L28" s="10">
        <f t="shared" si="4"/>
        <v>13.325561915398577</v>
      </c>
      <c r="M28" s="20">
        <f t="shared" si="4"/>
        <v>26.064505553051106</v>
      </c>
      <c r="N28" s="10">
        <f t="shared" si="4"/>
        <v>19.197053475513059</v>
      </c>
      <c r="O28" s="10">
        <f t="shared" si="4"/>
        <v>15.426695842450764</v>
      </c>
      <c r="P28" s="10">
        <f t="shared" si="4"/>
        <v>12.306319217681967</v>
      </c>
      <c r="Q28" s="10">
        <f t="shared" si="4"/>
        <v>15.031286137911108</v>
      </c>
      <c r="R28" s="10">
        <f t="shared" si="4"/>
        <v>15.961486161698447</v>
      </c>
      <c r="S28" s="10">
        <f t="shared" si="4"/>
        <v>9.2311330836277143</v>
      </c>
      <c r="T28" s="65"/>
    </row>
    <row r="29" spans="1:20" s="9" customFormat="1">
      <c r="A29" s="56" t="s">
        <v>8</v>
      </c>
      <c r="B29" s="10">
        <f t="shared" si="4"/>
        <v>28.453686524002315</v>
      </c>
      <c r="C29" s="10">
        <f t="shared" si="4"/>
        <v>27.172049549217444</v>
      </c>
      <c r="D29" s="10">
        <f t="shared" si="4"/>
        <v>34.411782725350527</v>
      </c>
      <c r="E29" s="10">
        <f t="shared" si="4"/>
        <v>27.44282928575366</v>
      </c>
      <c r="F29" s="10">
        <f t="shared" si="4"/>
        <v>21.270116750557314</v>
      </c>
      <c r="G29" s="10">
        <f t="shared" si="4"/>
        <v>39.708565896142019</v>
      </c>
      <c r="H29" s="10">
        <f t="shared" si="4"/>
        <v>33.727738770746015</v>
      </c>
      <c r="I29" s="10">
        <f t="shared" si="4"/>
        <v>37.776008052763729</v>
      </c>
      <c r="J29" s="10">
        <f t="shared" si="4"/>
        <v>20.716289141424905</v>
      </c>
      <c r="K29" s="10">
        <f t="shared" si="4"/>
        <v>22.865920143205209</v>
      </c>
      <c r="L29" s="10">
        <f t="shared" si="4"/>
        <v>30.526874214714507</v>
      </c>
      <c r="M29" s="20">
        <f t="shared" si="4"/>
        <v>53.112577353387159</v>
      </c>
      <c r="N29" s="10">
        <f t="shared" si="4"/>
        <v>34.850464812377631</v>
      </c>
      <c r="O29" s="10">
        <f t="shared" si="4"/>
        <v>25.929978118161923</v>
      </c>
      <c r="P29" s="10">
        <f t="shared" si="4"/>
        <v>28.319981463284861</v>
      </c>
      <c r="Q29" s="10">
        <f t="shared" si="4"/>
        <v>30.03128613791111</v>
      </c>
      <c r="R29" s="10">
        <f t="shared" si="4"/>
        <v>34.09524558800674</v>
      </c>
      <c r="S29" s="10">
        <f t="shared" si="4"/>
        <v>11.627596968029398</v>
      </c>
      <c r="T29" s="65"/>
    </row>
    <row r="30" spans="1:20" s="9" customFormat="1">
      <c r="A30" s="57"/>
      <c r="B30" s="10"/>
      <c r="C30" s="10"/>
      <c r="D30" s="10"/>
      <c r="E30" s="10"/>
      <c r="F30" s="10"/>
      <c r="G30" s="10"/>
      <c r="H30" s="10"/>
      <c r="I30" s="10"/>
      <c r="J30" s="10"/>
      <c r="K30" s="10"/>
      <c r="L30" s="10"/>
      <c r="M30" s="20"/>
      <c r="N30" s="10"/>
      <c r="O30" s="10"/>
      <c r="P30" s="10"/>
      <c r="Q30" s="10"/>
      <c r="R30" s="10"/>
      <c r="S30" s="10"/>
    </row>
    <row r="31" spans="1:20" s="9" customFormat="1">
      <c r="A31" s="56" t="s">
        <v>14</v>
      </c>
      <c r="B31" s="10"/>
      <c r="C31" s="10"/>
      <c r="D31" s="10"/>
      <c r="E31" s="10"/>
      <c r="F31" s="10"/>
      <c r="G31" s="10"/>
      <c r="H31" s="10"/>
      <c r="I31" s="10"/>
      <c r="J31" s="10"/>
      <c r="K31" s="10"/>
      <c r="L31" s="10"/>
      <c r="M31" s="20"/>
      <c r="N31" s="10"/>
      <c r="O31" s="10"/>
      <c r="P31" s="10"/>
      <c r="Q31" s="10"/>
      <c r="R31" s="10"/>
      <c r="S31" s="10"/>
    </row>
    <row r="32" spans="1:20" s="9" customFormat="1">
      <c r="A32" s="56" t="s">
        <v>67</v>
      </c>
      <c r="B32" s="10">
        <f t="shared" ref="B32:S35" si="5">+B$15-B26</f>
        <v>15.089573163678427</v>
      </c>
      <c r="C32" s="10">
        <f t="shared" si="5"/>
        <v>18.675653391078455</v>
      </c>
      <c r="D32" s="10">
        <f t="shared" si="5"/>
        <v>11.325534561204524</v>
      </c>
      <c r="E32" s="10">
        <f t="shared" si="5"/>
        <v>9.2898719441210691</v>
      </c>
      <c r="F32" s="10">
        <f t="shared" si="5"/>
        <v>11.833358130357752</v>
      </c>
      <c r="G32" s="10">
        <f t="shared" si="5"/>
        <v>13.456154247701143</v>
      </c>
      <c r="H32" s="10">
        <f t="shared" si="5"/>
        <v>20.687011103599112</v>
      </c>
      <c r="I32" s="10">
        <f t="shared" si="5"/>
        <v>21.66</v>
      </c>
      <c r="J32" s="10">
        <f t="shared" si="5"/>
        <v>9.838374581198476</v>
      </c>
      <c r="K32" s="10">
        <f t="shared" si="5"/>
        <v>5.9699999999999989</v>
      </c>
      <c r="L32" s="10">
        <f t="shared" si="5"/>
        <v>16.672423764982749</v>
      </c>
      <c r="M32" s="20">
        <f t="shared" si="5"/>
        <v>14.843665657730657</v>
      </c>
      <c r="N32" s="10">
        <f t="shared" si="5"/>
        <v>10.77043988597099</v>
      </c>
      <c r="O32" s="10">
        <f t="shared" si="5"/>
        <v>15.886214442013127</v>
      </c>
      <c r="P32" s="10">
        <f t="shared" si="5"/>
        <v>14.752135798602023</v>
      </c>
      <c r="Q32" s="10">
        <f t="shared" si="5"/>
        <v>16.023295160290306</v>
      </c>
      <c r="R32" s="10">
        <f t="shared" si="5"/>
        <v>19.410886968452406</v>
      </c>
      <c r="S32" s="10">
        <f t="shared" si="5"/>
        <v>1.2685665595654436</v>
      </c>
    </row>
    <row r="33" spans="1:20" s="9" customFormat="1">
      <c r="A33" s="56" t="s">
        <v>68</v>
      </c>
      <c r="B33" s="10">
        <f t="shared" si="5"/>
        <v>11.006977443609022</v>
      </c>
      <c r="C33" s="10">
        <f t="shared" si="5"/>
        <v>16.561815699560785</v>
      </c>
      <c r="D33" s="10">
        <f t="shared" si="5"/>
        <v>9.0082061639551831</v>
      </c>
      <c r="E33" s="10">
        <f t="shared" si="5"/>
        <v>6.2598552152343139</v>
      </c>
      <c r="F33" s="10">
        <f t="shared" si="5"/>
        <v>8.3065106232595802</v>
      </c>
      <c r="G33" s="10">
        <f t="shared" si="5"/>
        <v>11.965967617441432</v>
      </c>
      <c r="H33" s="10">
        <f t="shared" si="5"/>
        <v>18.870937165750718</v>
      </c>
      <c r="I33" s="10">
        <f t="shared" si="5"/>
        <v>17.62</v>
      </c>
      <c r="J33" s="10">
        <f t="shared" si="5"/>
        <v>6.8715973708215756</v>
      </c>
      <c r="K33" s="10">
        <f t="shared" si="5"/>
        <v>3.8815906717716668</v>
      </c>
      <c r="L33" s="10">
        <f t="shared" si="5"/>
        <v>14.723818830896871</v>
      </c>
      <c r="M33" s="20">
        <f t="shared" si="5"/>
        <v>11.295801694309954</v>
      </c>
      <c r="N33" s="10">
        <f t="shared" si="5"/>
        <v>7.9522677914552666</v>
      </c>
      <c r="O33" s="10">
        <f t="shared" si="5"/>
        <v>12.078774617067833</v>
      </c>
      <c r="P33" s="10">
        <f t="shared" si="5"/>
        <v>12.126101153824699</v>
      </c>
      <c r="Q33" s="10">
        <f t="shared" si="5"/>
        <v>13.803295160290306</v>
      </c>
      <c r="R33" s="10">
        <f t="shared" si="5"/>
        <v>15.633020421304845</v>
      </c>
      <c r="S33" s="10">
        <f t="shared" si="5"/>
        <v>8.566559565443832E-3</v>
      </c>
    </row>
    <row r="34" spans="1:20" s="9" customFormat="1">
      <c r="A34" s="56" t="s">
        <v>69</v>
      </c>
      <c r="B34" s="10">
        <f t="shared" si="5"/>
        <v>7.5906628108733365</v>
      </c>
      <c r="C34" s="10">
        <f t="shared" si="5"/>
        <v>14.181182959599136</v>
      </c>
      <c r="D34" s="10">
        <f t="shared" si="5"/>
        <v>7.3436463293112908</v>
      </c>
      <c r="E34" s="10">
        <f t="shared" si="5"/>
        <v>3.5844149120683504</v>
      </c>
      <c r="F34" s="10">
        <f t="shared" si="5"/>
        <v>6.8971522826441181</v>
      </c>
      <c r="G34" s="10">
        <f t="shared" si="5"/>
        <v>9.1819063680939479</v>
      </c>
      <c r="H34" s="10">
        <f t="shared" si="5"/>
        <v>14.766307437327827</v>
      </c>
      <c r="I34" s="10">
        <f t="shared" si="5"/>
        <v>13.493991947236275</v>
      </c>
      <c r="J34" s="10">
        <f t="shared" si="5"/>
        <v>3.9048201604446753</v>
      </c>
      <c r="K34" s="10">
        <f t="shared" si="5"/>
        <v>0.68930784147978841</v>
      </c>
      <c r="L34" s="10">
        <f t="shared" si="5"/>
        <v>13.146107975509064</v>
      </c>
      <c r="M34" s="20">
        <f t="shared" si="5"/>
        <v>7.9587019267360262</v>
      </c>
      <c r="N34" s="10">
        <f t="shared" si="5"/>
        <v>5.0782903089293292</v>
      </c>
      <c r="O34" s="10">
        <f t="shared" si="5"/>
        <v>9.5842450765864324</v>
      </c>
      <c r="P34" s="10">
        <f t="shared" si="5"/>
        <v>9.5000665090473753</v>
      </c>
      <c r="Q34" s="10">
        <f t="shared" si="5"/>
        <v>12.3220090223792</v>
      </c>
      <c r="R34" s="10">
        <f t="shared" si="5"/>
        <v>12.988513838301552</v>
      </c>
      <c r="S34" s="10">
        <f t="shared" si="5"/>
        <v>-1.4825665240622712</v>
      </c>
      <c r="T34" s="65"/>
    </row>
    <row r="35" spans="1:20" s="9" customFormat="1">
      <c r="A35" s="56" t="s">
        <v>70</v>
      </c>
      <c r="B35" s="10">
        <f t="shared" si="5"/>
        <v>-5.1338484673221529</v>
      </c>
      <c r="C35" s="10">
        <f t="shared" si="5"/>
        <v>1.2724071541174347</v>
      </c>
      <c r="D35" s="10">
        <f t="shared" si="5"/>
        <v>-5.3962201175383662</v>
      </c>
      <c r="E35" s="10">
        <f t="shared" si="5"/>
        <v>-6.0536170234331337</v>
      </c>
      <c r="F35" s="10">
        <f t="shared" si="5"/>
        <v>-1.6052228737378762</v>
      </c>
      <c r="G35" s="10">
        <f t="shared" si="5"/>
        <v>-11.600396996426223</v>
      </c>
      <c r="H35" s="10">
        <f t="shared" si="5"/>
        <v>-7.3677387707460156</v>
      </c>
      <c r="I35" s="10">
        <f t="shared" si="5"/>
        <v>-7.7760080527637285</v>
      </c>
      <c r="J35" s="10">
        <f t="shared" si="5"/>
        <v>-2.2162891414249053</v>
      </c>
      <c r="K35" s="10">
        <f t="shared" si="5"/>
        <v>-5.5759201432052095</v>
      </c>
      <c r="L35" s="10">
        <f t="shared" si="5"/>
        <v>-4.0552043238068656</v>
      </c>
      <c r="M35" s="20">
        <f t="shared" si="5"/>
        <v>-19.089369873600027</v>
      </c>
      <c r="N35" s="10">
        <f t="shared" si="5"/>
        <v>-10.575121027935243</v>
      </c>
      <c r="O35" s="10">
        <f t="shared" si="5"/>
        <v>-0.91903719912472681</v>
      </c>
      <c r="P35" s="10">
        <f t="shared" si="5"/>
        <v>-6.5135957365555193</v>
      </c>
      <c r="Q35" s="10">
        <f t="shared" si="5"/>
        <v>-2.6779909776208015</v>
      </c>
      <c r="R35" s="10">
        <f t="shared" si="5"/>
        <v>-5.1452455880067411</v>
      </c>
      <c r="S35" s="10">
        <f t="shared" si="5"/>
        <v>-3.8790304084639544</v>
      </c>
    </row>
    <row r="36" spans="1:20" s="9" customFormat="1">
      <c r="A36" s="56" t="s">
        <v>112</v>
      </c>
      <c r="B36" s="10">
        <f>+B15-B18-B19-B20-B21</f>
        <v>11.006977443609024</v>
      </c>
      <c r="C36" s="10">
        <f t="shared" ref="C36:S36" si="6">+C15-C18-C19-C20-C21</f>
        <v>16.561815699560789</v>
      </c>
      <c r="D36" s="10">
        <f t="shared" si="6"/>
        <v>9.0082061639551831</v>
      </c>
      <c r="E36" s="10">
        <f t="shared" si="6"/>
        <v>6.2598552152343148</v>
      </c>
      <c r="F36" s="10">
        <f t="shared" si="6"/>
        <v>8.3065106232595802</v>
      </c>
      <c r="G36" s="10">
        <f t="shared" si="6"/>
        <v>11.96596761744143</v>
      </c>
      <c r="H36" s="10">
        <f t="shared" si="6"/>
        <v>18.870937165750718</v>
      </c>
      <c r="I36" s="10">
        <f t="shared" si="6"/>
        <v>17.620000000000005</v>
      </c>
      <c r="J36" s="10">
        <f t="shared" si="6"/>
        <v>6.8715973708215756</v>
      </c>
      <c r="K36" s="10">
        <f t="shared" si="6"/>
        <v>3.8815906717716673</v>
      </c>
      <c r="L36" s="10">
        <f t="shared" si="6"/>
        <v>14.723818830896871</v>
      </c>
      <c r="M36" s="10">
        <f>+M15-M18-M19-M20-M21</f>
        <v>11.295801694309954</v>
      </c>
      <c r="N36" s="10">
        <f t="shared" si="6"/>
        <v>7.9522677914552649</v>
      </c>
      <c r="O36" s="10">
        <f t="shared" si="6"/>
        <v>12.078774617067831</v>
      </c>
      <c r="P36" s="10">
        <f t="shared" si="6"/>
        <v>12.126101153824697</v>
      </c>
      <c r="Q36" s="10">
        <f t="shared" si="6"/>
        <v>13.803295160290306</v>
      </c>
      <c r="R36" s="10">
        <f t="shared" si="6"/>
        <v>15.633020421304845</v>
      </c>
      <c r="S36" s="10">
        <f t="shared" si="6"/>
        <v>8.5665595654433879E-3</v>
      </c>
    </row>
    <row r="37" spans="1:20" s="9" customFormat="1">
      <c r="A37" s="56" t="s">
        <v>105</v>
      </c>
      <c r="B37" s="31">
        <f>+(B34+B22)/B22</f>
        <v>3.2218863386113106</v>
      </c>
      <c r="C37" s="31">
        <f t="shared" ref="C37:S37" si="7">+(C34+C22)/C22</f>
        <v>6.9568965517241388</v>
      </c>
      <c r="D37" s="31">
        <f t="shared" si="7"/>
        <v>5.4117647058823541</v>
      </c>
      <c r="E37" s="31">
        <f t="shared" si="7"/>
        <v>2.3397476698795177</v>
      </c>
      <c r="F37" s="31">
        <f t="shared" si="7"/>
        <v>5.8938244333461407</v>
      </c>
      <c r="G37" s="31">
        <f t="shared" si="7"/>
        <v>4.2980259935897447</v>
      </c>
      <c r="H37" s="31">
        <f t="shared" si="7"/>
        <v>4.5974761219208524</v>
      </c>
      <c r="I37" s="31">
        <f t="shared" si="7"/>
        <v>4.2704715489339851</v>
      </c>
      <c r="J37" s="31">
        <f t="shared" si="7"/>
        <v>2.3161824712643675</v>
      </c>
      <c r="K37" s="31">
        <f t="shared" si="7"/>
        <v>1.2159294392523368</v>
      </c>
      <c r="L37" s="31">
        <f t="shared" si="7"/>
        <v>9.3323936896394795</v>
      </c>
      <c r="M37" s="31">
        <f>+(M34+M22)/M22</f>
        <v>3.3849157894736845</v>
      </c>
      <c r="N37" s="31">
        <f t="shared" si="7"/>
        <v>2.7669902912621365</v>
      </c>
      <c r="O37" s="31">
        <f t="shared" si="7"/>
        <v>4.8421052631578947</v>
      </c>
      <c r="P37" s="31">
        <f t="shared" si="7"/>
        <v>4.6176470588235299</v>
      </c>
      <c r="Q37" s="31">
        <f t="shared" si="7"/>
        <v>9.318452935606059</v>
      </c>
      <c r="R37" s="31">
        <f>+(R34+R22)/R22</f>
        <v>5.9115074705357156</v>
      </c>
      <c r="S37" s="31">
        <f t="shared" si="7"/>
        <v>5.745000000001158E-3</v>
      </c>
    </row>
    <row r="38" spans="1:20" s="9" customFormat="1">
      <c r="A38" s="57"/>
      <c r="B38" s="8"/>
      <c r="C38" s="8"/>
      <c r="D38" s="8"/>
      <c r="E38" s="8"/>
      <c r="F38" s="8"/>
      <c r="G38" s="8"/>
      <c r="H38" s="8"/>
      <c r="I38" s="8"/>
      <c r="J38" s="8"/>
      <c r="K38" s="8"/>
      <c r="L38" s="8"/>
      <c r="M38" s="19"/>
      <c r="N38" s="8"/>
      <c r="O38" s="8"/>
      <c r="P38" s="8"/>
      <c r="Q38" s="8"/>
      <c r="R38" s="8"/>
      <c r="S38" s="8"/>
    </row>
    <row r="39" spans="1:20" s="9" customFormat="1">
      <c r="A39" s="56" t="s">
        <v>53</v>
      </c>
      <c r="B39" s="8"/>
      <c r="C39" s="8"/>
      <c r="D39" s="8"/>
      <c r="E39" s="8"/>
      <c r="F39" s="8"/>
      <c r="G39" s="8"/>
      <c r="H39" s="8"/>
      <c r="I39" s="8"/>
      <c r="J39" s="8"/>
      <c r="K39" s="8"/>
      <c r="L39" s="8"/>
      <c r="M39" s="19"/>
      <c r="N39" s="8"/>
      <c r="O39" s="8"/>
      <c r="P39" s="8"/>
      <c r="Q39" s="8"/>
      <c r="R39" s="8"/>
      <c r="S39" s="8"/>
    </row>
    <row r="40" spans="1:20" s="9" customFormat="1">
      <c r="A40" s="56" t="s">
        <v>54</v>
      </c>
      <c r="B40" s="12">
        <f t="shared" ref="B40:S41" si="8">+B44/B$47*100</f>
        <v>37.389473684210522</v>
      </c>
      <c r="C40" s="12">
        <f t="shared" si="8"/>
        <v>53.226545947243139</v>
      </c>
      <c r="D40" s="12">
        <f t="shared" si="8"/>
        <v>64.090265464147663</v>
      </c>
      <c r="E40" s="12">
        <f t="shared" si="8"/>
        <v>74.56383702471841</v>
      </c>
      <c r="F40" s="12">
        <f t="shared" si="8"/>
        <v>27.360014781207337</v>
      </c>
      <c r="G40" s="12">
        <f t="shared" si="8"/>
        <v>48.396264717823797</v>
      </c>
      <c r="H40" s="12">
        <f t="shared" si="8"/>
        <v>60.661078270226398</v>
      </c>
      <c r="I40" s="12">
        <f t="shared" si="8"/>
        <v>61.600462943826727</v>
      </c>
      <c r="J40" s="12">
        <f t="shared" si="8"/>
        <v>40.186190845616757</v>
      </c>
      <c r="K40" s="12">
        <f t="shared" si="8"/>
        <v>21.420814479638008</v>
      </c>
      <c r="L40" s="12">
        <f t="shared" si="8"/>
        <v>48.584392014519054</v>
      </c>
      <c r="M40" s="21">
        <f t="shared" si="8"/>
        <v>57.218966435801811</v>
      </c>
      <c r="N40" s="12">
        <f t="shared" si="8"/>
        <v>55.0994498518832</v>
      </c>
      <c r="O40" s="12">
        <f t="shared" si="8"/>
        <v>44.63894967177243</v>
      </c>
      <c r="P40" s="12">
        <f t="shared" si="8"/>
        <v>29.051151893791484</v>
      </c>
      <c r="Q40" s="12">
        <f t="shared" si="8"/>
        <v>60.045953535869288</v>
      </c>
      <c r="R40" s="12">
        <f t="shared" si="8"/>
        <v>57.894827312067306</v>
      </c>
      <c r="S40" s="12">
        <f t="shared" si="8"/>
        <v>1.5603642625104295</v>
      </c>
    </row>
    <row r="41" spans="1:20" s="9" customFormat="1">
      <c r="A41" s="56" t="s">
        <v>55</v>
      </c>
      <c r="B41" s="12">
        <f t="shared" si="8"/>
        <v>16.547368421052632</v>
      </c>
      <c r="C41" s="12">
        <f t="shared" si="8"/>
        <v>11.809922934916287</v>
      </c>
      <c r="D41" s="12">
        <f t="shared" si="8"/>
        <v>0</v>
      </c>
      <c r="E41" s="12">
        <f t="shared" si="8"/>
        <v>0.30198805654244459</v>
      </c>
      <c r="F41" s="12">
        <f t="shared" si="8"/>
        <v>25.227209739173279</v>
      </c>
      <c r="G41" s="12">
        <f t="shared" si="8"/>
        <v>11.124644742184328</v>
      </c>
      <c r="H41" s="12">
        <f t="shared" si="8"/>
        <v>0</v>
      </c>
      <c r="I41" s="12">
        <f t="shared" si="8"/>
        <v>0</v>
      </c>
      <c r="J41" s="12">
        <f t="shared" si="8"/>
        <v>20.325833979829326</v>
      </c>
      <c r="K41" s="12">
        <f t="shared" si="8"/>
        <v>14.41628959276018</v>
      </c>
      <c r="L41" s="12">
        <f t="shared" si="8"/>
        <v>15.2994555353902</v>
      </c>
      <c r="M41" s="21">
        <f t="shared" si="8"/>
        <v>14.064997336174748</v>
      </c>
      <c r="N41" s="12">
        <f t="shared" si="8"/>
        <v>12.441811256876852</v>
      </c>
      <c r="O41" s="12">
        <f t="shared" si="8"/>
        <v>18.380743982494529</v>
      </c>
      <c r="P41" s="12">
        <f t="shared" si="8"/>
        <v>14.994142912924637</v>
      </c>
      <c r="Q41" s="12">
        <f t="shared" si="8"/>
        <v>12.56063313760531</v>
      </c>
      <c r="R41" s="12">
        <f t="shared" si="8"/>
        <v>17.714855416561022</v>
      </c>
      <c r="S41" s="12">
        <f t="shared" si="8"/>
        <v>8.3503452683152002</v>
      </c>
    </row>
    <row r="42" spans="1:20" s="9" customFormat="1">
      <c r="A42" s="56" t="s">
        <v>56</v>
      </c>
      <c r="B42" s="12">
        <f t="shared" ref="B42:S42" si="9">+(B46/6)/B$47*100</f>
        <v>46.06315789473684</v>
      </c>
      <c r="C42" s="12">
        <f t="shared" si="9"/>
        <v>34.963531117840574</v>
      </c>
      <c r="D42" s="12">
        <f t="shared" si="9"/>
        <v>35.90973453585233</v>
      </c>
      <c r="E42" s="12">
        <f t="shared" si="9"/>
        <v>25.134174918739127</v>
      </c>
      <c r="F42" s="12">
        <f t="shared" si="9"/>
        <v>47.412775479619384</v>
      </c>
      <c r="G42" s="12">
        <f t="shared" si="9"/>
        <v>40.47909053999188</v>
      </c>
      <c r="H42" s="12">
        <f t="shared" si="9"/>
        <v>39.338921729773595</v>
      </c>
      <c r="I42" s="12">
        <f t="shared" si="9"/>
        <v>38.399537056173273</v>
      </c>
      <c r="J42" s="12">
        <f t="shared" si="9"/>
        <v>39.487975174553917</v>
      </c>
      <c r="K42" s="12">
        <f t="shared" si="9"/>
        <v>64.162895927601809</v>
      </c>
      <c r="L42" s="12">
        <f t="shared" si="9"/>
        <v>36.116152450090745</v>
      </c>
      <c r="M42" s="21">
        <f t="shared" si="9"/>
        <v>28.716036228023441</v>
      </c>
      <c r="N42" s="12">
        <f t="shared" si="9"/>
        <v>32.458738891239953</v>
      </c>
      <c r="O42" s="12">
        <f t="shared" si="9"/>
        <v>36.980306345733041</v>
      </c>
      <c r="P42" s="12">
        <f t="shared" si="9"/>
        <v>55.954705193283871</v>
      </c>
      <c r="Q42" s="12">
        <f t="shared" si="9"/>
        <v>27.393413326525401</v>
      </c>
      <c r="R42" s="12">
        <f t="shared" si="9"/>
        <v>24.390317271371657</v>
      </c>
      <c r="S42" s="12">
        <f t="shared" si="9"/>
        <v>90.089290469174372</v>
      </c>
    </row>
    <row r="43" spans="1:20" s="9" customFormat="1">
      <c r="A43" s="56"/>
      <c r="B43" s="12"/>
      <c r="C43" s="12"/>
      <c r="D43" s="12"/>
      <c r="E43" s="12"/>
      <c r="F43" s="12"/>
      <c r="G43" s="12"/>
      <c r="H43" s="12"/>
      <c r="I43" s="12"/>
      <c r="J43" s="12"/>
      <c r="K43" s="12"/>
      <c r="L43" s="12"/>
      <c r="M43" s="21"/>
      <c r="N43" s="12"/>
      <c r="O43" s="12"/>
      <c r="P43" s="12"/>
      <c r="Q43" s="12"/>
      <c r="R43" s="12"/>
      <c r="S43" s="12"/>
    </row>
    <row r="44" spans="1:20" s="9" customFormat="1">
      <c r="A44" s="56" t="s">
        <v>62</v>
      </c>
      <c r="B44" s="12">
        <v>296</v>
      </c>
      <c r="C44" s="12">
        <v>285.005</v>
      </c>
      <c r="D44" s="12">
        <v>502.41</v>
      </c>
      <c r="E44" s="12">
        <f>142.604+28.5+26.177</f>
        <v>197.28100000000001</v>
      </c>
      <c r="F44" s="12">
        <v>44.423999999999999</v>
      </c>
      <c r="G44" s="12">
        <f>577+19</f>
        <v>596</v>
      </c>
      <c r="H44" s="12">
        <v>133.04400000000001</v>
      </c>
      <c r="I44" s="12">
        <v>89.418000000000006</v>
      </c>
      <c r="J44" s="12">
        <v>259</v>
      </c>
      <c r="K44" s="12">
        <v>78.900000000000006</v>
      </c>
      <c r="L44" s="12">
        <v>267.7</v>
      </c>
      <c r="M44" s="21">
        <v>179</v>
      </c>
      <c r="N44" s="12">
        <f>135+33+49</f>
        <v>217</v>
      </c>
      <c r="O44" s="12">
        <v>74.72527472527473</v>
      </c>
      <c r="P44" s="12">
        <v>124</v>
      </c>
      <c r="Q44" s="12">
        <f>190+34+168</f>
        <v>392</v>
      </c>
      <c r="R44" s="12">
        <v>134.72300000000001</v>
      </c>
      <c r="S44" s="12">
        <v>6.4395604395604398</v>
      </c>
    </row>
    <row r="45" spans="1:20" s="9" customFormat="1">
      <c r="A45" s="56" t="s">
        <v>63</v>
      </c>
      <c r="B45" s="12">
        <v>131</v>
      </c>
      <c r="C45" s="12">
        <f>348.242-C44</f>
        <v>63.237000000000023</v>
      </c>
      <c r="D45" s="12"/>
      <c r="E45" s="12">
        <v>0.79900000000000004</v>
      </c>
      <c r="F45" s="12">
        <v>40.960999999999999</v>
      </c>
      <c r="G45" s="12">
        <v>137</v>
      </c>
      <c r="H45" s="12"/>
      <c r="I45" s="12"/>
      <c r="J45" s="12">
        <v>131</v>
      </c>
      <c r="K45" s="12">
        <v>53.1</v>
      </c>
      <c r="L45" s="12">
        <v>84.3</v>
      </c>
      <c r="M45" s="21">
        <v>44</v>
      </c>
      <c r="N45" s="12">
        <f>38+11</f>
        <v>49</v>
      </c>
      <c r="O45" s="12">
        <v>30.76923076923077</v>
      </c>
      <c r="P45" s="12">
        <v>64</v>
      </c>
      <c r="Q45" s="12">
        <f>52+30</f>
        <v>82</v>
      </c>
      <c r="R45" s="12">
        <v>41.222999999999999</v>
      </c>
      <c r="S45" s="12">
        <v>34.46153846153846</v>
      </c>
    </row>
    <row r="46" spans="1:20" s="9" customFormat="1">
      <c r="A46" s="56" t="s">
        <v>64</v>
      </c>
      <c r="B46" s="12">
        <v>2188</v>
      </c>
      <c r="C46" s="12">
        <v>1123.287</v>
      </c>
      <c r="D46" s="12">
        <v>1689</v>
      </c>
      <c r="E46" s="12">
        <v>399</v>
      </c>
      <c r="F46" s="12">
        <v>461.9</v>
      </c>
      <c r="G46" s="12">
        <v>2991</v>
      </c>
      <c r="H46" s="12">
        <v>517.67700000000002</v>
      </c>
      <c r="I46" s="12">
        <v>334.44</v>
      </c>
      <c r="J46" s="12">
        <v>1527</v>
      </c>
      <c r="K46" s="12">
        <v>1418</v>
      </c>
      <c r="L46" s="12">
        <v>1194</v>
      </c>
      <c r="M46" s="21">
        <v>539</v>
      </c>
      <c r="N46" s="12">
        <f>310+457</f>
        <v>767</v>
      </c>
      <c r="O46" s="12">
        <f>33800/91</f>
        <v>371.42857142857144</v>
      </c>
      <c r="P46" s="12">
        <v>1433</v>
      </c>
      <c r="Q46" s="12">
        <f>357+8+708</f>
        <v>1073</v>
      </c>
      <c r="R46" s="12">
        <v>340.54199999999997</v>
      </c>
      <c r="S46" s="12">
        <f>2.23076923076923*1000</f>
        <v>2230.76923076923</v>
      </c>
    </row>
    <row r="47" spans="1:20" s="9" customFormat="1">
      <c r="A47" s="56" t="s">
        <v>65</v>
      </c>
      <c r="B47" s="12">
        <f t="shared" ref="B47:S47" si="10">+B44+B45+B46/6</f>
        <v>791.66666666666674</v>
      </c>
      <c r="C47" s="12">
        <f t="shared" si="10"/>
        <v>535.45650000000001</v>
      </c>
      <c r="D47" s="12">
        <f t="shared" si="10"/>
        <v>783.91000000000008</v>
      </c>
      <c r="E47" s="12">
        <f t="shared" si="10"/>
        <v>264.58000000000004</v>
      </c>
      <c r="F47" s="12">
        <f t="shared" si="10"/>
        <v>162.36833333333334</v>
      </c>
      <c r="G47" s="12">
        <f t="shared" si="10"/>
        <v>1231.5</v>
      </c>
      <c r="H47" s="12">
        <f t="shared" si="10"/>
        <v>219.32350000000002</v>
      </c>
      <c r="I47" s="12">
        <f t="shared" si="10"/>
        <v>145.15800000000002</v>
      </c>
      <c r="J47" s="12">
        <f t="shared" si="10"/>
        <v>644.5</v>
      </c>
      <c r="K47" s="12">
        <f t="shared" si="10"/>
        <v>368.33333333333337</v>
      </c>
      <c r="L47" s="12">
        <f t="shared" si="10"/>
        <v>551</v>
      </c>
      <c r="M47" s="21">
        <f t="shared" si="10"/>
        <v>312.83333333333331</v>
      </c>
      <c r="N47" s="12">
        <f t="shared" si="10"/>
        <v>393.83333333333331</v>
      </c>
      <c r="O47" s="12">
        <f t="shared" si="10"/>
        <v>167.39926739926742</v>
      </c>
      <c r="P47" s="12">
        <f t="shared" si="10"/>
        <v>426.83333333333337</v>
      </c>
      <c r="Q47" s="12">
        <f t="shared" si="10"/>
        <v>652.83333333333337</v>
      </c>
      <c r="R47" s="12">
        <f t="shared" si="10"/>
        <v>232.70300000000003</v>
      </c>
      <c r="S47" s="12">
        <f t="shared" si="10"/>
        <v>412.69597069597057</v>
      </c>
    </row>
    <row r="48" spans="1:20" s="9" customFormat="1">
      <c r="A48" s="56" t="s">
        <v>66</v>
      </c>
      <c r="B48" s="12">
        <f>+B47*0.091</f>
        <v>72.041666666666671</v>
      </c>
      <c r="C48" s="12">
        <f>+C47*0.091</f>
        <v>48.726541499999996</v>
      </c>
      <c r="D48" s="12">
        <f t="shared" ref="D48:S48" si="11">+D47*0.091</f>
        <v>71.335810000000009</v>
      </c>
      <c r="E48" s="12">
        <f t="shared" si="11"/>
        <v>24.076780000000003</v>
      </c>
      <c r="F48" s="12">
        <f t="shared" si="11"/>
        <v>14.775518333333334</v>
      </c>
      <c r="G48" s="12">
        <f t="shared" si="11"/>
        <v>112.06649999999999</v>
      </c>
      <c r="H48" s="12">
        <f t="shared" si="11"/>
        <v>19.958438500000003</v>
      </c>
      <c r="I48" s="12">
        <f t="shared" si="11"/>
        <v>13.209378000000001</v>
      </c>
      <c r="J48" s="12">
        <f t="shared" si="11"/>
        <v>58.649499999999996</v>
      </c>
      <c r="K48" s="12">
        <f t="shared" si="11"/>
        <v>33.518333333333338</v>
      </c>
      <c r="L48" s="12">
        <f t="shared" si="11"/>
        <v>50.140999999999998</v>
      </c>
      <c r="M48" s="12">
        <f t="shared" si="11"/>
        <v>28.467833333333331</v>
      </c>
      <c r="N48" s="12">
        <f t="shared" si="11"/>
        <v>35.838833333333334</v>
      </c>
      <c r="O48" s="12">
        <f t="shared" si="11"/>
        <v>15.233333333333334</v>
      </c>
      <c r="P48" s="12">
        <f t="shared" si="11"/>
        <v>38.841833333333334</v>
      </c>
      <c r="Q48" s="12">
        <f t="shared" si="11"/>
        <v>59.407833333333336</v>
      </c>
      <c r="R48" s="12">
        <f t="shared" si="11"/>
        <v>21.175973000000003</v>
      </c>
      <c r="S48" s="12">
        <f t="shared" si="11"/>
        <v>37.555333333333323</v>
      </c>
    </row>
    <row r="49" spans="1:19" s="9" customFormat="1">
      <c r="A49" s="56"/>
      <c r="B49" s="12"/>
      <c r="C49" s="12"/>
      <c r="D49" s="12"/>
      <c r="E49" s="12"/>
      <c r="F49" s="12"/>
      <c r="G49" s="12"/>
      <c r="H49" s="12"/>
      <c r="I49" s="12" t="s">
        <v>131</v>
      </c>
      <c r="J49" s="12"/>
      <c r="K49" s="12"/>
      <c r="L49" s="12"/>
      <c r="M49" s="12"/>
      <c r="N49" s="12"/>
      <c r="O49" s="12"/>
      <c r="P49" s="12"/>
      <c r="Q49" s="12"/>
      <c r="R49" s="12"/>
      <c r="S49" s="12"/>
    </row>
    <row r="50" spans="1:19" s="9" customFormat="1">
      <c r="A50" s="56" t="s">
        <v>106</v>
      </c>
      <c r="B50" s="12">
        <f>+B36*B48*4</f>
        <v>3171.8440000000005</v>
      </c>
      <c r="C50" s="12">
        <f t="shared" ref="C50:S50" si="12">+C36*C48*4</f>
        <v>3228.0000000000009</v>
      </c>
      <c r="D50" s="12">
        <f t="shared" si="12"/>
        <v>2570.4307334109435</v>
      </c>
      <c r="E50" s="12">
        <f t="shared" si="12"/>
        <v>602.8686273961971</v>
      </c>
      <c r="F50" s="12">
        <f t="shared" si="12"/>
        <v>490.93200000000013</v>
      </c>
      <c r="G50" s="12">
        <f t="shared" si="12"/>
        <v>5363.9364399999995</v>
      </c>
      <c r="H50" s="12">
        <f t="shared" si="12"/>
        <v>1506.5377554400002</v>
      </c>
      <c r="I50" s="12">
        <f t="shared" si="12"/>
        <v>930.99696144000029</v>
      </c>
      <c r="J50" s="12">
        <f t="shared" si="12"/>
        <v>1612.0629999999999</v>
      </c>
      <c r="K50" s="12">
        <f t="shared" si="12"/>
        <v>520.41780000000006</v>
      </c>
      <c r="L50" s="12">
        <f t="shared" si="12"/>
        <v>2953.0679999999998</v>
      </c>
      <c r="M50" s="12">
        <f t="shared" si="12"/>
        <v>1286.2680000000003</v>
      </c>
      <c r="N50" s="12">
        <f t="shared" si="12"/>
        <v>1140</v>
      </c>
      <c r="O50" s="12">
        <f t="shared" si="12"/>
        <v>735.99999999999989</v>
      </c>
      <c r="P50" s="12">
        <f t="shared" si="12"/>
        <v>1883.9999999999998</v>
      </c>
      <c r="Q50" s="12">
        <f t="shared" si="12"/>
        <v>3280.0954333333325</v>
      </c>
      <c r="R50" s="12">
        <f t="shared" si="12"/>
        <v>1324.1776734000002</v>
      </c>
      <c r="S50" s="12">
        <f t="shared" si="12"/>
        <v>1.286880000000326</v>
      </c>
    </row>
    <row r="51" spans="1:19" s="9" customFormat="1">
      <c r="A51" s="57"/>
      <c r="B51" s="8"/>
      <c r="C51" s="8"/>
      <c r="D51" s="8"/>
      <c r="E51" s="8"/>
      <c r="F51" s="8"/>
      <c r="G51" s="8"/>
      <c r="H51" s="8"/>
      <c r="I51" s="8"/>
      <c r="J51" s="8"/>
      <c r="K51" s="8"/>
      <c r="L51" s="8"/>
      <c r="M51" s="19"/>
      <c r="N51" s="8"/>
      <c r="O51" s="8"/>
      <c r="P51" s="8"/>
      <c r="Q51" s="8"/>
      <c r="R51" s="8"/>
      <c r="S51" s="8"/>
    </row>
    <row r="52" spans="1:19" s="9" customFormat="1" ht="24.75" customHeight="1">
      <c r="A52" s="277" t="s">
        <v>127</v>
      </c>
      <c r="B52" s="278"/>
      <c r="C52" s="278"/>
      <c r="D52" s="278"/>
      <c r="E52" s="278"/>
      <c r="F52" s="278"/>
      <c r="G52" s="278"/>
      <c r="H52" s="278"/>
      <c r="I52" s="278"/>
      <c r="J52" s="278"/>
      <c r="K52" s="278"/>
      <c r="L52" s="278"/>
      <c r="M52" s="278"/>
      <c r="N52" s="278"/>
      <c r="O52" s="278"/>
      <c r="P52" s="278"/>
      <c r="Q52" s="278"/>
      <c r="R52" s="278"/>
      <c r="S52" s="278"/>
    </row>
    <row r="53" spans="1:19" s="9" customFormat="1">
      <c r="A53" s="277" t="s">
        <v>76</v>
      </c>
      <c r="B53" s="278"/>
      <c r="C53" s="278"/>
      <c r="D53" s="278"/>
      <c r="E53" s="278"/>
      <c r="F53" s="278"/>
      <c r="G53" s="278"/>
      <c r="H53" s="278"/>
      <c r="I53" s="278"/>
      <c r="J53" s="278"/>
      <c r="K53" s="278"/>
      <c r="L53" s="278"/>
      <c r="M53" s="278"/>
      <c r="N53" s="278"/>
      <c r="O53" s="278"/>
      <c r="P53" s="278"/>
      <c r="Q53" s="278"/>
      <c r="R53" s="278"/>
      <c r="S53" s="278"/>
    </row>
    <row r="54" spans="1:19" s="9" customFormat="1">
      <c r="A54" s="57"/>
      <c r="B54" s="8"/>
      <c r="C54" s="8"/>
      <c r="D54" s="8"/>
      <c r="E54" s="8"/>
      <c r="F54" s="8"/>
      <c r="G54" s="8"/>
      <c r="H54" s="8"/>
      <c r="I54" s="8"/>
      <c r="J54" s="8"/>
      <c r="K54" s="8"/>
      <c r="L54" s="8"/>
      <c r="M54" s="19"/>
      <c r="N54" s="8"/>
      <c r="O54" s="8"/>
      <c r="P54" s="8"/>
      <c r="Q54" s="8"/>
      <c r="R54" s="8"/>
      <c r="S54" s="8"/>
    </row>
    <row r="55" spans="1:19">
      <c r="A55" s="22" t="s">
        <v>94</v>
      </c>
      <c r="B55" s="23"/>
      <c r="C55" s="23"/>
      <c r="D55" s="23">
        <v>1.2885</v>
      </c>
    </row>
    <row r="56" spans="1:19">
      <c r="A56" s="3"/>
    </row>
    <row r="57" spans="1:19">
      <c r="A57" s="3"/>
    </row>
    <row r="58" spans="1:19">
      <c r="A58" s="3"/>
      <c r="G58" s="2">
        <f>+G44*91/1000</f>
        <v>54.235999999999997</v>
      </c>
    </row>
    <row r="59" spans="1:19">
      <c r="A59" s="3"/>
      <c r="G59" s="2">
        <f>+G45*91/1000</f>
        <v>12.467000000000001</v>
      </c>
    </row>
    <row r="60" spans="1:19">
      <c r="A60" s="3"/>
      <c r="G60" s="2">
        <f>+G46*91/1000</f>
        <v>272.18099999999998</v>
      </c>
    </row>
    <row r="61" spans="1:19">
      <c r="A61" s="3"/>
    </row>
    <row r="62" spans="1:19">
      <c r="A62" s="3"/>
      <c r="G62" s="2">
        <f>+G58*G9</f>
        <v>2262.1644499999998</v>
      </c>
    </row>
    <row r="63" spans="1:19">
      <c r="G63" s="2">
        <f>+G59*G11</f>
        <v>196.47991999999999</v>
      </c>
    </row>
    <row r="64" spans="1:19">
      <c r="G64" s="2">
        <f>+G13*G60</f>
        <v>691.33974000000001</v>
      </c>
    </row>
    <row r="66" spans="1:19">
      <c r="G66" s="2">
        <f>+SUM(G62:G64)/G48</f>
        <v>28.108168899715796</v>
      </c>
    </row>
    <row r="69" spans="1:19">
      <c r="A69" s="1" t="s">
        <v>109</v>
      </c>
    </row>
    <row r="70" spans="1:19">
      <c r="B70" s="2" t="str">
        <f>B7</f>
        <v>APC</v>
      </c>
      <c r="C70" s="2" t="str">
        <f t="shared" ref="C70:S70" si="13">C7</f>
        <v>APA</v>
      </c>
      <c r="D70" s="2" t="str">
        <f t="shared" si="13"/>
        <v>CNQCN</v>
      </c>
      <c r="E70" s="2" t="str">
        <f t="shared" si="13"/>
        <v>CVECN</v>
      </c>
      <c r="F70" s="2" t="str">
        <f t="shared" si="13"/>
        <v>XEC</v>
      </c>
      <c r="G70" s="2" t="str">
        <f t="shared" si="13"/>
        <v>COP</v>
      </c>
      <c r="H70" s="2" t="str">
        <f t="shared" si="13"/>
        <v>CLR</v>
      </c>
      <c r="J70" s="2" t="str">
        <f t="shared" si="13"/>
        <v>DVN</v>
      </c>
      <c r="K70" s="2" t="str">
        <f t="shared" si="13"/>
        <v>ECACN</v>
      </c>
      <c r="L70" s="2" t="str">
        <f t="shared" si="13"/>
        <v>EOG</v>
      </c>
      <c r="M70" s="2" t="str">
        <f t="shared" si="13"/>
        <v>HES</v>
      </c>
      <c r="N70" s="2" t="str">
        <f t="shared" si="13"/>
        <v>MRO</v>
      </c>
      <c r="P70" s="2" t="str">
        <f t="shared" si="13"/>
        <v>NBL</v>
      </c>
      <c r="Q70" s="2" t="str">
        <f t="shared" si="13"/>
        <v>OXY</v>
      </c>
      <c r="R70" s="2" t="str">
        <f t="shared" si="13"/>
        <v>PXD</v>
      </c>
      <c r="S70" s="2" t="str">
        <f t="shared" si="13"/>
        <v>SWN</v>
      </c>
    </row>
    <row r="71" spans="1:19">
      <c r="A71" s="1" t="s">
        <v>110</v>
      </c>
      <c r="B71" s="2">
        <f t="shared" ref="B71:S71" si="14">RANK(B35,$B$35:$S$35)</f>
        <v>8</v>
      </c>
      <c r="C71" s="2">
        <f t="shared" si="14"/>
        <v>1</v>
      </c>
      <c r="D71" s="2">
        <f t="shared" si="14"/>
        <v>10</v>
      </c>
      <c r="E71" s="2">
        <f t="shared" si="14"/>
        <v>12</v>
      </c>
      <c r="F71" s="2">
        <f t="shared" si="14"/>
        <v>3</v>
      </c>
      <c r="G71" s="2">
        <f t="shared" si="14"/>
        <v>17</v>
      </c>
      <c r="H71" s="2">
        <f t="shared" si="14"/>
        <v>14</v>
      </c>
      <c r="J71" s="2">
        <f t="shared" si="14"/>
        <v>4</v>
      </c>
      <c r="K71" s="2">
        <f t="shared" si="14"/>
        <v>11</v>
      </c>
      <c r="L71" s="2">
        <f t="shared" si="14"/>
        <v>7</v>
      </c>
      <c r="M71" s="2">
        <f t="shared" si="14"/>
        <v>18</v>
      </c>
      <c r="N71" s="2">
        <f t="shared" si="14"/>
        <v>16</v>
      </c>
      <c r="P71" s="2">
        <f t="shared" si="14"/>
        <v>13</v>
      </c>
      <c r="Q71" s="2">
        <f t="shared" si="14"/>
        <v>5</v>
      </c>
      <c r="R71" s="2">
        <f t="shared" si="14"/>
        <v>9</v>
      </c>
      <c r="S71" s="2">
        <f t="shared" si="14"/>
        <v>6</v>
      </c>
    </row>
    <row r="72" spans="1:19">
      <c r="B72" s="2" t="str">
        <f>B70</f>
        <v>APC</v>
      </c>
      <c r="C72" s="2" t="str">
        <f t="shared" ref="C72:S72" si="15">C70</f>
        <v>APA</v>
      </c>
      <c r="D72" s="2" t="str">
        <f t="shared" si="15"/>
        <v>CNQCN</v>
      </c>
      <c r="E72" s="2" t="str">
        <f t="shared" si="15"/>
        <v>CVECN</v>
      </c>
      <c r="F72" s="2" t="str">
        <f t="shared" si="15"/>
        <v>XEC</v>
      </c>
      <c r="G72" s="2" t="str">
        <f t="shared" si="15"/>
        <v>COP</v>
      </c>
      <c r="H72" s="2" t="str">
        <f t="shared" si="15"/>
        <v>CLR</v>
      </c>
      <c r="J72" s="2" t="str">
        <f t="shared" si="15"/>
        <v>DVN</v>
      </c>
      <c r="K72" s="2" t="str">
        <f t="shared" si="15"/>
        <v>ECACN</v>
      </c>
      <c r="L72" s="2" t="str">
        <f t="shared" si="15"/>
        <v>EOG</v>
      </c>
      <c r="M72" s="2" t="str">
        <f t="shared" si="15"/>
        <v>HES</v>
      </c>
      <c r="N72" s="2" t="str">
        <f t="shared" si="15"/>
        <v>MRO</v>
      </c>
      <c r="P72" s="2" t="str">
        <f t="shared" si="15"/>
        <v>NBL</v>
      </c>
      <c r="Q72" s="2" t="str">
        <f t="shared" si="15"/>
        <v>OXY</v>
      </c>
      <c r="R72" s="2" t="str">
        <f t="shared" si="15"/>
        <v>PXD</v>
      </c>
      <c r="S72" s="2" t="str">
        <f t="shared" si="15"/>
        <v>SWN</v>
      </c>
    </row>
    <row r="73" spans="1:19">
      <c r="A73" s="1" t="s">
        <v>107</v>
      </c>
      <c r="B73" s="2">
        <f t="shared" ref="B73:S73" si="16">RANK(B37,$B$37:$S$37)</f>
        <v>13</v>
      </c>
      <c r="C73" s="2">
        <f t="shared" si="16"/>
        <v>3</v>
      </c>
      <c r="D73" s="2">
        <f t="shared" si="16"/>
        <v>6</v>
      </c>
      <c r="E73" s="2">
        <f t="shared" si="16"/>
        <v>15</v>
      </c>
      <c r="F73" s="2">
        <f t="shared" si="16"/>
        <v>5</v>
      </c>
      <c r="G73" s="2">
        <f t="shared" si="16"/>
        <v>10</v>
      </c>
      <c r="H73" s="2">
        <f t="shared" si="16"/>
        <v>9</v>
      </c>
      <c r="J73" s="2">
        <f t="shared" si="16"/>
        <v>16</v>
      </c>
      <c r="K73" s="2">
        <f t="shared" si="16"/>
        <v>17</v>
      </c>
      <c r="L73" s="2">
        <f t="shared" si="16"/>
        <v>1</v>
      </c>
      <c r="M73" s="2">
        <f t="shared" si="16"/>
        <v>12</v>
      </c>
      <c r="N73" s="2">
        <f t="shared" si="16"/>
        <v>14</v>
      </c>
      <c r="P73" s="2">
        <f t="shared" si="16"/>
        <v>8</v>
      </c>
      <c r="Q73" s="2">
        <f t="shared" si="16"/>
        <v>2</v>
      </c>
      <c r="R73" s="2">
        <f t="shared" si="16"/>
        <v>4</v>
      </c>
      <c r="S73" s="2">
        <f t="shared" si="16"/>
        <v>18</v>
      </c>
    </row>
    <row r="74" spans="1:19">
      <c r="B74" s="2" t="str">
        <f>B72</f>
        <v>APC</v>
      </c>
      <c r="C74" s="2" t="str">
        <f t="shared" ref="C74:S74" si="17">C72</f>
        <v>APA</v>
      </c>
      <c r="D74" s="2" t="str">
        <f t="shared" si="17"/>
        <v>CNQCN</v>
      </c>
      <c r="E74" s="2" t="str">
        <f t="shared" si="17"/>
        <v>CVECN</v>
      </c>
      <c r="F74" s="2" t="str">
        <f t="shared" si="17"/>
        <v>XEC</v>
      </c>
      <c r="G74" s="2" t="str">
        <f t="shared" si="17"/>
        <v>COP</v>
      </c>
      <c r="H74" s="2" t="str">
        <f t="shared" si="17"/>
        <v>CLR</v>
      </c>
      <c r="J74" s="2" t="str">
        <f t="shared" si="17"/>
        <v>DVN</v>
      </c>
      <c r="K74" s="2" t="str">
        <f t="shared" si="17"/>
        <v>ECACN</v>
      </c>
      <c r="L74" s="2" t="str">
        <f t="shared" si="17"/>
        <v>EOG</v>
      </c>
      <c r="M74" s="2" t="str">
        <f t="shared" si="17"/>
        <v>HES</v>
      </c>
      <c r="N74" s="2" t="str">
        <f t="shared" si="17"/>
        <v>MRO</v>
      </c>
      <c r="P74" s="2" t="str">
        <f t="shared" si="17"/>
        <v>NBL</v>
      </c>
      <c r="Q74" s="2" t="str">
        <f t="shared" si="17"/>
        <v>OXY</v>
      </c>
      <c r="R74" s="2" t="str">
        <f t="shared" si="17"/>
        <v>PXD</v>
      </c>
      <c r="S74" s="2" t="str">
        <f t="shared" si="17"/>
        <v>SWN</v>
      </c>
    </row>
    <row r="75" spans="1:19">
      <c r="A75" s="1" t="s">
        <v>111</v>
      </c>
      <c r="B75" s="2">
        <f t="shared" ref="B75:S75" si="18">RANK(B34,$B$34:$S$34)</f>
        <v>11</v>
      </c>
      <c r="C75" s="2">
        <f t="shared" si="18"/>
        <v>2</v>
      </c>
      <c r="D75" s="2">
        <f t="shared" si="18"/>
        <v>12</v>
      </c>
      <c r="E75" s="2">
        <f t="shared" si="18"/>
        <v>16</v>
      </c>
      <c r="F75" s="2">
        <f t="shared" si="18"/>
        <v>13</v>
      </c>
      <c r="G75" s="2">
        <f t="shared" si="18"/>
        <v>9</v>
      </c>
      <c r="H75" s="2">
        <f t="shared" si="18"/>
        <v>1</v>
      </c>
      <c r="J75" s="2">
        <f t="shared" si="18"/>
        <v>15</v>
      </c>
      <c r="K75" s="2">
        <f t="shared" si="18"/>
        <v>17</v>
      </c>
      <c r="L75" s="2">
        <f t="shared" si="18"/>
        <v>4</v>
      </c>
      <c r="M75" s="2">
        <f t="shared" si="18"/>
        <v>10</v>
      </c>
      <c r="N75" s="2">
        <f t="shared" si="18"/>
        <v>14</v>
      </c>
      <c r="P75" s="2">
        <f t="shared" si="18"/>
        <v>8</v>
      </c>
      <c r="Q75" s="2">
        <f t="shared" si="18"/>
        <v>6</v>
      </c>
      <c r="R75" s="2">
        <f t="shared" si="18"/>
        <v>5</v>
      </c>
      <c r="S75" s="2">
        <f t="shared" si="18"/>
        <v>18</v>
      </c>
    </row>
    <row r="77" spans="1:19">
      <c r="A77" s="140" t="s">
        <v>76</v>
      </c>
    </row>
    <row r="165" spans="2:17" hidden="1">
      <c r="L165" s="2" t="s">
        <v>58</v>
      </c>
    </row>
    <row r="166" spans="2:17" hidden="1">
      <c r="L166" s="2" t="s">
        <v>54</v>
      </c>
      <c r="M166" s="2">
        <v>52.63</v>
      </c>
      <c r="N166" s="2">
        <v>176</v>
      </c>
      <c r="Q166" s="2">
        <f>+N166*M166</f>
        <v>9262.880000000001</v>
      </c>
    </row>
    <row r="167" spans="2:17" hidden="1">
      <c r="D167" s="2" t="s">
        <v>72</v>
      </c>
      <c r="E167" s="2" t="s">
        <v>73</v>
      </c>
      <c r="L167" s="2" t="s">
        <v>55</v>
      </c>
      <c r="M167" s="2">
        <v>14.77</v>
      </c>
      <c r="N167" s="2">
        <v>37</v>
      </c>
      <c r="Q167" s="2">
        <f>+N167*M167</f>
        <v>546.49</v>
      </c>
    </row>
    <row r="168" spans="2:17" hidden="1">
      <c r="B168" s="2" t="s">
        <v>61</v>
      </c>
      <c r="C168" s="2">
        <v>95.057000000000002</v>
      </c>
      <c r="D168" s="2">
        <f>73.05</f>
        <v>73.05</v>
      </c>
      <c r="F168" s="2">
        <f>+D168*C168</f>
        <v>6943.9138499999999</v>
      </c>
      <c r="L168" s="2" t="s">
        <v>59</v>
      </c>
      <c r="M168" s="2">
        <v>2.76</v>
      </c>
      <c r="N168" s="2">
        <v>361</v>
      </c>
      <c r="P168" s="2">
        <f>+N168/6</f>
        <v>60.166666666666664</v>
      </c>
      <c r="Q168" s="2">
        <f>+N168*M168</f>
        <v>996.3599999999999</v>
      </c>
    </row>
    <row r="169" spans="2:17" hidden="1">
      <c r="B169" s="2" t="s">
        <v>71</v>
      </c>
      <c r="C169" s="2">
        <f>458.144-C168</f>
        <v>363.08699999999999</v>
      </c>
      <c r="D169" s="2">
        <f>53.09</f>
        <v>53.09</v>
      </c>
      <c r="F169" s="2">
        <f>+D169*C169</f>
        <v>19276.288830000001</v>
      </c>
      <c r="G169" s="2">
        <f>+SUM(F168:F169)/(C168+C169)</f>
        <v>57.231356691345958</v>
      </c>
    </row>
    <row r="170" spans="2:17" hidden="1">
      <c r="L170" s="2" t="s">
        <v>60</v>
      </c>
    </row>
    <row r="171" spans="2:17" hidden="1">
      <c r="L171" s="2" t="s">
        <v>54</v>
      </c>
      <c r="M171" s="2">
        <v>56.7</v>
      </c>
      <c r="N171" s="2">
        <v>33</v>
      </c>
      <c r="Q171" s="2">
        <f>+N171*M171</f>
        <v>1871.1000000000001</v>
      </c>
    </row>
    <row r="172" spans="2:17" hidden="1">
      <c r="D172" s="2">
        <v>608</v>
      </c>
      <c r="E172" s="2">
        <v>58</v>
      </c>
      <c r="L172" s="2" t="s">
        <v>55</v>
      </c>
      <c r="M172" s="2">
        <v>3.1</v>
      </c>
      <c r="N172" s="2">
        <v>9</v>
      </c>
      <c r="Q172" s="2">
        <f>+N172*M172</f>
        <v>27.900000000000002</v>
      </c>
    </row>
    <row r="173" spans="2:17" hidden="1">
      <c r="D173" s="2">
        <v>138</v>
      </c>
      <c r="E173" s="2">
        <v>33.299999999999997</v>
      </c>
      <c r="L173" s="2" t="s">
        <v>59</v>
      </c>
      <c r="M173" s="2">
        <v>0.78</v>
      </c>
      <c r="N173" s="2">
        <v>396</v>
      </c>
      <c r="P173" s="2">
        <f>+N173/6</f>
        <v>66</v>
      </c>
      <c r="Q173" s="2">
        <f>+N173*M173</f>
        <v>308.88</v>
      </c>
    </row>
    <row r="174" spans="2:17" hidden="1">
      <c r="E174" s="2">
        <f>+SUMPRODUCT(D172:D173,E172:E173)/SUM(D172:D173)</f>
        <v>53.430831099195714</v>
      </c>
    </row>
    <row r="175" spans="2:17" hidden="1">
      <c r="L175" s="2" t="s">
        <v>61</v>
      </c>
    </row>
    <row r="176" spans="2:17" hidden="1">
      <c r="L176" s="2" t="s">
        <v>54</v>
      </c>
      <c r="M176" s="2">
        <v>52.46</v>
      </c>
      <c r="N176" s="2">
        <v>29</v>
      </c>
      <c r="Q176" s="2">
        <f>+N176*M176</f>
        <v>1521.34</v>
      </c>
    </row>
  </sheetData>
  <mergeCells count="2">
    <mergeCell ref="A52:S52"/>
    <mergeCell ref="A53:S53"/>
  </mergeCells>
  <printOptions horizontalCentered="1"/>
  <pageMargins left="0.4" right="0.4" top="0.5" bottom="0.75" header="0.3" footer="0.3"/>
  <pageSetup orientation="landscape" r:id="rId1"/>
  <headerFooter>
    <oddFooter>&amp;C&amp;"Expert Sans Regular,Regular"&amp;10&amp;K000000 Restricted - External_x000D_&amp;1#&amp;"Calibri"&amp;10 Restricted - External</oddFooter>
    <evenFooter>&amp;C&amp;"Expert Sans Regular,Regular"&amp;10&amp;K000000 Restricted - External</evenFooter>
    <firstFooter>&amp;C&amp;"Expert Sans Regular,Regular"&amp;10&amp;K000000 Restricted - External</first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Z32"/>
  <sheetViews>
    <sheetView topLeftCell="A4" workbookViewId="0">
      <selection activeCell="A4" sqref="A4"/>
    </sheetView>
  </sheetViews>
  <sheetFormatPr defaultRowHeight="14.25"/>
  <cols>
    <col min="1" max="1" width="27.25" style="1" customWidth="1"/>
    <col min="2" max="2" width="10.875" style="2" customWidth="1"/>
    <col min="3" max="3" width="9" style="2"/>
    <col min="4" max="4" width="9" style="1"/>
    <col min="5" max="8" width="9" style="2"/>
    <col min="9" max="10" width="9" style="1" customWidth="1"/>
    <col min="11" max="12" width="9" style="1"/>
    <col min="13" max="13" width="8.875" style="1" customWidth="1"/>
    <col min="14" max="19" width="9" style="1"/>
    <col min="20" max="20" width="12.25" style="1" customWidth="1"/>
    <col min="21" max="16384" width="9" style="1"/>
  </cols>
  <sheetData>
    <row r="1" spans="1:26" ht="27" hidden="1" customHeight="1"/>
    <row r="2" spans="1:26" ht="25.5" hidden="1" customHeight="1"/>
    <row r="3" spans="1:26" ht="26.25" hidden="1" customHeight="1" thickBot="1"/>
    <row r="4" spans="1:26" s="9" customFormat="1" ht="18" customHeight="1">
      <c r="A4" s="204" t="str">
        <f>'3Q19 Actual'!$B$1&amp;" Actual"</f>
        <v>3Q19 Actual</v>
      </c>
      <c r="B4" s="205" t="s">
        <v>84</v>
      </c>
      <c r="C4" s="205" t="s">
        <v>92</v>
      </c>
      <c r="E4" s="14"/>
      <c r="F4" s="14"/>
      <c r="G4" s="14"/>
      <c r="H4" s="14"/>
    </row>
    <row r="5" spans="1:26" s="9" customFormat="1">
      <c r="A5" s="206" t="s">
        <v>4</v>
      </c>
      <c r="B5" s="207"/>
      <c r="C5" s="207"/>
      <c r="E5" s="14"/>
      <c r="F5" s="14"/>
      <c r="G5" s="14"/>
      <c r="H5" s="14"/>
    </row>
    <row r="6" spans="1:26" s="9" customFormat="1">
      <c r="A6" s="208" t="s">
        <v>75</v>
      </c>
      <c r="B6" s="209">
        <f>+AVERAGE('3Q19 Actual'!B19:AQ19)</f>
        <v>9.2765481582713765</v>
      </c>
      <c r="C6" s="209">
        <f>+MEDIAN('3Q19 Actual'!B19:AQ19)</f>
        <v>8.805233825729081</v>
      </c>
      <c r="E6" s="14"/>
      <c r="F6" s="14"/>
      <c r="G6" s="14"/>
      <c r="H6" s="14"/>
    </row>
    <row r="7" spans="1:26" s="9" customFormat="1">
      <c r="A7" s="208" t="s">
        <v>74</v>
      </c>
      <c r="B7" s="209">
        <f>+AVERAGE('3Q19 Actual'!B20:AQ20)</f>
        <v>3.333836474940767</v>
      </c>
      <c r="C7" s="209">
        <f>+MEDIAN('3Q19 Actual'!B20:AQ20)</f>
        <v>2.9889505517585362</v>
      </c>
      <c r="E7" s="14"/>
      <c r="F7" s="14"/>
      <c r="G7" s="14"/>
      <c r="H7" s="14"/>
    </row>
    <row r="8" spans="1:26" s="9" customFormat="1">
      <c r="A8" s="208" t="s">
        <v>10</v>
      </c>
      <c r="B8" s="209">
        <f>+AVERAGE('3Q19 Actual'!B21:AQ21)</f>
        <v>1.5043467136253716</v>
      </c>
      <c r="C8" s="209">
        <f>+MEDIAN('3Q19 Actual'!B21:AQ21)</f>
        <v>1.5400072348988409</v>
      </c>
      <c r="E8" s="14"/>
      <c r="F8" s="14"/>
      <c r="G8" s="14"/>
      <c r="H8" s="14"/>
    </row>
    <row r="9" spans="1:26" s="9" customFormat="1">
      <c r="A9" s="208" t="s">
        <v>11</v>
      </c>
      <c r="B9" s="209">
        <f>+AVERAGE('3Q19 Actual'!B22:AQ22)</f>
        <v>1.716646150018768</v>
      </c>
      <c r="C9" s="209">
        <f>+MEDIAN('3Q19 Actual'!B22:AQ22)</f>
        <v>1.5895220900774869</v>
      </c>
      <c r="E9" s="14"/>
      <c r="F9" s="14"/>
      <c r="G9" s="14"/>
      <c r="H9" s="14"/>
    </row>
    <row r="10" spans="1:26" s="9" customFormat="1" ht="15" thickBot="1">
      <c r="A10" s="208" t="s">
        <v>12</v>
      </c>
      <c r="B10" s="209">
        <f>+AVERAGE('3Q19 Actual'!B23:AQ23)</f>
        <v>1.7402083667785848</v>
      </c>
      <c r="C10" s="209">
        <f>+MEDIAN('3Q19 Actual'!B23:AQ23)</f>
        <v>1.5885057681304096</v>
      </c>
      <c r="E10" s="14"/>
      <c r="F10" s="14"/>
      <c r="G10" s="14"/>
      <c r="H10" s="14"/>
    </row>
    <row r="11" spans="1:26" s="9" customFormat="1" ht="18" customHeight="1" thickBot="1">
      <c r="A11" s="208" t="s">
        <v>13</v>
      </c>
      <c r="B11" s="209">
        <f>+AVERAGE('3Q19 Actual'!B24:AQ24)</f>
        <v>12.235325007113797</v>
      </c>
      <c r="C11" s="209">
        <f>+MEDIAN('3Q19 Actual'!B24:AQ24)</f>
        <v>13.020754431146795</v>
      </c>
      <c r="E11" s="80"/>
      <c r="F11" s="276" t="s">
        <v>118</v>
      </c>
      <c r="G11" s="276"/>
      <c r="H11" s="276"/>
      <c r="I11" s="276"/>
      <c r="J11" s="276"/>
      <c r="K11" s="276"/>
    </row>
    <row r="12" spans="1:26" s="9" customFormat="1" ht="18" customHeight="1" thickBot="1">
      <c r="A12" s="206"/>
      <c r="B12" s="209"/>
      <c r="C12" s="207"/>
      <c r="F12" s="69"/>
      <c r="G12" s="69"/>
      <c r="H12" s="69"/>
      <c r="I12" s="69"/>
      <c r="J12" s="69"/>
      <c r="K12" s="69" t="str">
        <f>F13&amp;"/"&amp;J13</f>
        <v>3Q19/3Q18</v>
      </c>
      <c r="N12" s="69"/>
      <c r="O12" s="69"/>
      <c r="P12" s="69"/>
      <c r="Q12" s="69"/>
      <c r="R12" s="69"/>
      <c r="S12" s="69"/>
      <c r="T12" s="69"/>
      <c r="U12" s="69"/>
      <c r="V12" s="69"/>
      <c r="W12" s="69"/>
      <c r="X12" s="69"/>
      <c r="Y12" s="69"/>
      <c r="Z12" s="69"/>
    </row>
    <row r="13" spans="1:26" s="9" customFormat="1" ht="18" customHeight="1" thickBot="1">
      <c r="A13" s="206" t="s">
        <v>9</v>
      </c>
      <c r="B13" s="209"/>
      <c r="C13" s="207"/>
      <c r="F13" s="69" t="s">
        <v>229</v>
      </c>
      <c r="G13" s="69" t="s">
        <v>224</v>
      </c>
      <c r="H13" s="69" t="s">
        <v>221</v>
      </c>
      <c r="I13" s="69" t="s">
        <v>206</v>
      </c>
      <c r="J13" s="69" t="s">
        <v>201</v>
      </c>
      <c r="K13" s="69" t="s">
        <v>117</v>
      </c>
      <c r="N13" s="69" t="s">
        <v>198</v>
      </c>
      <c r="O13" s="69" t="s">
        <v>177</v>
      </c>
      <c r="P13" s="69" t="s">
        <v>170</v>
      </c>
      <c r="Q13" s="69" t="s">
        <v>167</v>
      </c>
      <c r="R13" s="69" t="s">
        <v>153</v>
      </c>
      <c r="S13" s="69" t="s">
        <v>137</v>
      </c>
      <c r="T13" s="69" t="s">
        <v>136</v>
      </c>
      <c r="U13" s="69" t="s">
        <v>133</v>
      </c>
      <c r="V13" s="69" t="s">
        <v>128</v>
      </c>
      <c r="W13" s="69" t="s">
        <v>116</v>
      </c>
      <c r="X13" s="69" t="s">
        <v>115</v>
      </c>
      <c r="Y13" s="69" t="s">
        <v>114</v>
      </c>
      <c r="Z13" s="69" t="s">
        <v>113</v>
      </c>
    </row>
    <row r="14" spans="1:26" s="9" customFormat="1" ht="15" customHeight="1">
      <c r="A14" s="208" t="s">
        <v>75</v>
      </c>
      <c r="B14" s="209">
        <f>+AVERAGE('3Q19 Actual'!B19:AQ19)</f>
        <v>9.2765481582713765</v>
      </c>
      <c r="C14" s="209">
        <f>+MEDIAN('3Q19 Actual'!B19:AQ19)</f>
        <v>8.805233825729081</v>
      </c>
      <c r="E14" s="199"/>
      <c r="F14" s="10">
        <f>+AVERAGE('3Q19 Actual'!$B19:$V19)</f>
        <v>9.2765481582713765</v>
      </c>
      <c r="G14" s="10">
        <f>+AVERAGE('2Q19 Actual'!$B19:$W19)</f>
        <v>9.3673037364729836</v>
      </c>
      <c r="H14" s="10">
        <f>+AVERAGE('1Q19 Actual'!$B19:$W19)</f>
        <v>9.4683979537454395</v>
      </c>
      <c r="I14" s="10">
        <f>+AVERAGE('4Q18 Actual'!$B19:$W19)</f>
        <v>9.5840615488640477</v>
      </c>
      <c r="J14" s="10">
        <f>+AVERAGE('3Q18 Actual'!$B18:$W18)</f>
        <v>9.6189297616935914</v>
      </c>
      <c r="K14" s="31">
        <f>(F14/J14-1)*100</f>
        <v>-3.5594563210734176</v>
      </c>
      <c r="N14" s="10">
        <v>10.330639097461903</v>
      </c>
      <c r="O14" s="10">
        <v>10.073488504998895</v>
      </c>
      <c r="P14" s="10">
        <v>9.4234895250892166</v>
      </c>
      <c r="Q14" s="10">
        <v>9.3480145920677682</v>
      </c>
      <c r="R14" s="10">
        <v>9.4041135506271356</v>
      </c>
      <c r="S14" s="10">
        <v>9.4545180014381742</v>
      </c>
      <c r="T14" s="10">
        <v>9.4813289605101545</v>
      </c>
      <c r="U14" s="10">
        <v>9.1588369534832292</v>
      </c>
      <c r="V14" s="10">
        <v>9.3565273569429621</v>
      </c>
      <c r="W14" s="10">
        <v>9.3883358786569193</v>
      </c>
      <c r="X14" s="10">
        <v>9.9992262577637447</v>
      </c>
      <c r="Y14" s="10">
        <v>10.287702042507304</v>
      </c>
      <c r="Z14" s="10">
        <v>10.771884088051678</v>
      </c>
    </row>
    <row r="15" spans="1:26" s="9" customFormat="1">
      <c r="A15" s="208" t="s">
        <v>147</v>
      </c>
      <c r="B15" s="209">
        <f>+AVERAGE('3Q19 Actual'!B27:AQ27)</f>
        <v>11.17879086996081</v>
      </c>
      <c r="C15" s="209">
        <f>+MEDIAN('3Q19 Actual'!B27:AQ27)</f>
        <v>10.318312885169899</v>
      </c>
      <c r="F15" s="10">
        <f>+AVERAGE('3Q19 Actual'!$B27:$V27)</f>
        <v>11.17879086996081</v>
      </c>
      <c r="G15" s="10">
        <f>+AVERAGE('2Q19 Actual'!$B27:$W27)</f>
        <v>11.346076646113202</v>
      </c>
      <c r="H15" s="10">
        <f>+AVERAGE('1Q19 Actual'!$B27:$W27)</f>
        <v>11.312049724525741</v>
      </c>
      <c r="I15" s="10">
        <f>+AVERAGE('4Q18 Actual'!$B27:$W27)</f>
        <v>11.14171932485319</v>
      </c>
      <c r="J15" s="10">
        <f>+AVERAGE('3Q18 Actual'!$B26:$W26)</f>
        <v>11.87276649808819</v>
      </c>
      <c r="K15" s="31">
        <f t="shared" ref="K15:K20" si="0">(F15/J15-1)*100</f>
        <v>-5.8451046623306135</v>
      </c>
      <c r="N15" s="10">
        <v>12.306232336948556</v>
      </c>
      <c r="O15" s="10">
        <v>12.052440363062525</v>
      </c>
      <c r="P15" s="10">
        <v>11.140755443947258</v>
      </c>
      <c r="Q15" s="10">
        <v>10.927640444707857</v>
      </c>
      <c r="R15" s="10">
        <v>10.876567374443102</v>
      </c>
      <c r="S15" s="10">
        <v>11.095175537533924</v>
      </c>
      <c r="T15" s="10">
        <v>10.801743928330518</v>
      </c>
      <c r="U15" s="10">
        <v>10.38147990674172</v>
      </c>
      <c r="V15" s="10">
        <v>10.708712804346709</v>
      </c>
      <c r="W15" s="10">
        <v>10.335017790107724</v>
      </c>
      <c r="X15" s="10">
        <v>11.246389853607045</v>
      </c>
      <c r="Y15" s="10">
        <v>11.688648110530785</v>
      </c>
      <c r="Z15" s="10">
        <v>12.443080669291673</v>
      </c>
    </row>
    <row r="16" spans="1:26" s="9" customFormat="1">
      <c r="A16" s="208" t="s">
        <v>148</v>
      </c>
      <c r="B16" s="209">
        <f>+AVERAGE('3Q19 Actual'!B28:AQ28)</f>
        <v>12.895437019979576</v>
      </c>
      <c r="C16" s="209">
        <f>+MEDIAN('3Q19 Actual'!B28:AQ28)</f>
        <v>12.077294685990339</v>
      </c>
      <c r="F16" s="10">
        <f>+AVERAGE('3Q19 Actual'!$B28:$V28)</f>
        <v>12.895437019979576</v>
      </c>
      <c r="G16" s="10">
        <f>+AVERAGE('2Q19 Actual'!$B28:$W28)</f>
        <v>13.354294014368783</v>
      </c>
      <c r="H16" s="10">
        <f>+AVERAGE('1Q19 Actual'!$B28:$W28)</f>
        <v>13.576875184319222</v>
      </c>
      <c r="I16" s="10">
        <f>+AVERAGE('4Q18 Actual'!$B28:$W28)</f>
        <v>13.116616553221638</v>
      </c>
      <c r="J16" s="10">
        <f>+AVERAGE('3Q18 Actual'!$B27:$W27)</f>
        <v>14.110971141189037</v>
      </c>
      <c r="K16" s="31">
        <f t="shared" si="0"/>
        <v>-8.6141067758362269</v>
      </c>
      <c r="N16" s="10">
        <v>15.072799066860192</v>
      </c>
      <c r="O16" s="10">
        <v>14.57142989215615</v>
      </c>
      <c r="P16" s="10">
        <v>13.896683248395966</v>
      </c>
      <c r="Q16" s="10">
        <v>13.707663627248351</v>
      </c>
      <c r="R16" s="10">
        <v>13.424978413755738</v>
      </c>
      <c r="S16" s="10">
        <v>13.613956659589977</v>
      </c>
      <c r="T16" s="10">
        <v>13.660239590877925</v>
      </c>
      <c r="U16" s="10">
        <v>12.964126497529582</v>
      </c>
      <c r="V16" s="10">
        <v>13.379033947897165</v>
      </c>
      <c r="W16" s="10">
        <v>12.924903163921709</v>
      </c>
      <c r="X16" s="10">
        <v>14.036311712419623</v>
      </c>
      <c r="Y16" s="10">
        <v>14.461801516699888</v>
      </c>
      <c r="Z16" s="10">
        <v>15.417048266765971</v>
      </c>
    </row>
    <row r="17" spans="1:26" s="9" customFormat="1">
      <c r="A17" s="208" t="s">
        <v>149</v>
      </c>
      <c r="B17" s="209">
        <f>+AVERAGE('3Q19 Actual'!B29:AQ29)</f>
        <v>14.635645386758164</v>
      </c>
      <c r="C17" s="209">
        <f>+MEDIAN('3Q19 Actual'!B29:AQ29)</f>
        <v>13.818558134298504</v>
      </c>
      <c r="F17" s="10">
        <f>+AVERAGE('3Q19 Actual'!$B29:$V29)</f>
        <v>14.635645386758164</v>
      </c>
      <c r="G17" s="10">
        <f>+AVERAGE('2Q19 Actual'!$B29:$W29)</f>
        <v>15.364098356379833</v>
      </c>
      <c r="H17" s="10">
        <f>+AVERAGE('1Q19 Actual'!$B29:$W29)</f>
        <v>15.504071125937726</v>
      </c>
      <c r="I17" s="10">
        <f>+AVERAGE('4Q18 Actual'!$B29:$W29)</f>
        <v>15.017107344517241</v>
      </c>
      <c r="J17" s="10">
        <f>+AVERAGE('3Q18 Actual'!$B28:$W28)</f>
        <v>16.083751110196761</v>
      </c>
      <c r="K17" s="31">
        <f t="shared" si="0"/>
        <v>-9.0035322824694184</v>
      </c>
      <c r="N17" s="10">
        <v>17.08761067420836</v>
      </c>
      <c r="O17" s="10">
        <v>16.720022326583688</v>
      </c>
      <c r="P17" s="10">
        <v>16.153151644012091</v>
      </c>
      <c r="Q17" s="10">
        <v>16.07858736169462</v>
      </c>
      <c r="R17" s="10">
        <v>15.717068954375176</v>
      </c>
      <c r="S17" s="10">
        <v>15.942689887315392</v>
      </c>
      <c r="T17" s="10">
        <v>15.955666979692811</v>
      </c>
      <c r="U17" s="10">
        <v>15.492844459483178</v>
      </c>
      <c r="V17" s="10">
        <v>15.957270911713536</v>
      </c>
      <c r="W17" s="10">
        <v>15.3399086851514</v>
      </c>
      <c r="X17" s="10">
        <v>16.394157672184612</v>
      </c>
      <c r="Y17" s="10">
        <v>16.703259158832257</v>
      </c>
      <c r="Z17" s="10">
        <v>17.695247486414807</v>
      </c>
    </row>
    <row r="18" spans="1:26" s="9" customFormat="1">
      <c r="A18" s="208" t="s">
        <v>85</v>
      </c>
      <c r="B18" s="209">
        <f>+AVERAGE('3Q19 Actual'!B30:AQ30)</f>
        <v>26.870970393871954</v>
      </c>
      <c r="C18" s="209">
        <f>+MEDIAN('3Q19 Actual'!B30:AQ30)</f>
        <v>28.199181106977463</v>
      </c>
      <c r="F18" s="10">
        <f>+AVERAGE('3Q19 Actual'!$B30:$V30)</f>
        <v>26.870970393871954</v>
      </c>
      <c r="G18" s="10">
        <f>+AVERAGE('2Q19 Actual'!$B30:$W30)</f>
        <v>27.509397946062624</v>
      </c>
      <c r="H18" s="10">
        <f>+AVERAGE('1Q19 Actual'!$B30:$W30)</f>
        <v>27.575466848310693</v>
      </c>
      <c r="I18" s="10">
        <f>+AVERAGE('4Q18 Actual'!$B30:$W30)</f>
        <v>26.88178427756576</v>
      </c>
      <c r="J18" s="10">
        <f>+AVERAGE('3Q18 Actual'!$B29:$W29)</f>
        <v>28.125951356995142</v>
      </c>
      <c r="K18" s="31">
        <f t="shared" si="0"/>
        <v>-4.4620036036969957</v>
      </c>
      <c r="N18" s="10">
        <v>28.976487375041447</v>
      </c>
      <c r="O18" s="10">
        <v>28.839717083803563</v>
      </c>
      <c r="P18" s="10">
        <v>29.160983202857274</v>
      </c>
      <c r="Q18" s="10">
        <v>29.223350719623607</v>
      </c>
      <c r="R18" s="10">
        <v>28.588112610730764</v>
      </c>
      <c r="S18" s="10">
        <v>29.006371158167397</v>
      </c>
      <c r="T18" s="10">
        <v>29.422403399325393</v>
      </c>
      <c r="U18" s="10">
        <v>29.675899374267086</v>
      </c>
      <c r="V18" s="10">
        <v>30.210900292413772</v>
      </c>
      <c r="W18" s="10">
        <v>30.051642853440661</v>
      </c>
      <c r="X18" s="10">
        <v>32.093677031963836</v>
      </c>
      <c r="Y18" s="10">
        <v>32.607832755425939</v>
      </c>
      <c r="Z18" s="10">
        <v>34.485572909201373</v>
      </c>
    </row>
    <row r="19" spans="1:26" s="9" customFormat="1">
      <c r="A19" s="208"/>
      <c r="B19" s="209"/>
      <c r="C19" s="209"/>
      <c r="E19" s="199" t="s">
        <v>155</v>
      </c>
      <c r="F19" s="10">
        <f>+AVERAGE('3Q19 Actual'!$B16:$V16)</f>
        <v>31.322106968349143</v>
      </c>
      <c r="G19" s="10">
        <f>+AVERAGE('2Q19 Actual'!$B16:$W16)</f>
        <v>34.130328716663648</v>
      </c>
      <c r="H19" s="10">
        <f>+AVERAGE('1Q19 Actual'!$B16:$W16)</f>
        <v>33.810181155615858</v>
      </c>
      <c r="I19" s="10">
        <f>+AVERAGE('4Q18 Actual'!$B16:$W16)</f>
        <v>33.497896908789265</v>
      </c>
      <c r="J19" s="10">
        <f>+AVERAGE('3Q18 Actual'!$B15:$W15)</f>
        <v>39.893202061940805</v>
      </c>
      <c r="K19" s="31">
        <f t="shared" si="0"/>
        <v>-21.485101848389153</v>
      </c>
      <c r="N19" s="10">
        <v>38.613339795826633</v>
      </c>
      <c r="O19" s="10">
        <v>38.443622181795483</v>
      </c>
      <c r="P19" s="10">
        <v>35.667986556068108</v>
      </c>
      <c r="Q19" s="10">
        <v>30.690258280691676</v>
      </c>
      <c r="R19" s="10">
        <v>29.587327180056892</v>
      </c>
      <c r="S19" s="10">
        <v>31.887328401173349</v>
      </c>
      <c r="T19" s="10">
        <v>29.197497052250871</v>
      </c>
      <c r="U19" s="10">
        <v>25.767125388155861</v>
      </c>
      <c r="V19" s="10">
        <v>24.377159051221305</v>
      </c>
      <c r="W19" s="10">
        <v>18.494451894725692</v>
      </c>
      <c r="X19" s="10">
        <v>24.049369037203732</v>
      </c>
      <c r="Y19" s="10">
        <v>27.396133524228745</v>
      </c>
      <c r="Z19" s="10">
        <v>33.047762156572482</v>
      </c>
    </row>
    <row r="20" spans="1:26" s="9" customFormat="1">
      <c r="A20" s="208" t="s">
        <v>145</v>
      </c>
      <c r="B20" s="209">
        <f>+AVERAGE('3Q19 Actual'!B37:AQ37)</f>
        <v>18.419939150662344</v>
      </c>
      <c r="C20" s="209">
        <f>+MEDIAN('3Q19 Actual'!B37:AQ37)</f>
        <v>19.785819268110533</v>
      </c>
      <c r="E20" s="199" t="s">
        <v>146</v>
      </c>
      <c r="F20" s="77">
        <f>+AVERAGE('3Q19 Actual'!$B37:$V37)</f>
        <v>18.419939150662344</v>
      </c>
      <c r="G20" s="78">
        <f>+AVERAGE('2Q19 Actual'!$B37:$W37)</f>
        <v>20.77460141535224</v>
      </c>
      <c r="H20" s="78">
        <f>+AVERAGE('1Q19 Actual'!$B37:$W37)</f>
        <v>20.228814415421681</v>
      </c>
      <c r="I20" s="78">
        <f>+AVERAGE('4Q18 Actual'!$B37:$W37)</f>
        <v>20.372834694948057</v>
      </c>
      <c r="J20" s="78">
        <f>+AVERAGE('3Q18 Actual'!$B36:$W36)</f>
        <v>25.774936563277677</v>
      </c>
      <c r="K20" s="79">
        <f t="shared" si="0"/>
        <v>-28.535462714171011</v>
      </c>
      <c r="N20" s="77">
        <v>23.540540728966441</v>
      </c>
      <c r="O20" s="78">
        <v>23.872192289639329</v>
      </c>
      <c r="P20" s="78">
        <v>21.771303307672149</v>
      </c>
      <c r="Q20" s="78">
        <v>16.982594653443321</v>
      </c>
      <c r="R20" s="78">
        <v>16.162348766301147</v>
      </c>
      <c r="S20" s="78">
        <v>18.273371741583379</v>
      </c>
      <c r="T20" s="78">
        <v>15.537257461372947</v>
      </c>
      <c r="U20" s="78">
        <v>12.802998890626277</v>
      </c>
      <c r="V20" s="78">
        <v>10.998125103324146</v>
      </c>
      <c r="W20" s="78">
        <v>5.5695487308039873</v>
      </c>
      <c r="X20" s="78">
        <v>10.013057324784114</v>
      </c>
      <c r="Y20" s="78">
        <v>12.934332007528855</v>
      </c>
      <c r="Z20" s="79">
        <v>17.630713889806515</v>
      </c>
    </row>
    <row r="21" spans="1:26" s="9" customFormat="1">
      <c r="A21" s="208"/>
      <c r="B21" s="209"/>
      <c r="C21" s="209"/>
      <c r="F21" s="6" t="s">
        <v>204</v>
      </c>
      <c r="G21" s="10"/>
      <c r="H21" s="10"/>
      <c r="I21" s="10"/>
      <c r="J21" s="10"/>
      <c r="K21" s="10"/>
      <c r="L21" s="10"/>
      <c r="M21" s="10"/>
      <c r="N21" s="31"/>
      <c r="O21" s="31"/>
      <c r="P21" s="31"/>
      <c r="Q21" s="31"/>
      <c r="R21" s="31"/>
      <c r="S21" s="31"/>
    </row>
    <row r="22" spans="1:26" s="9" customFormat="1">
      <c r="A22" s="208" t="s">
        <v>86</v>
      </c>
      <c r="B22" s="209"/>
      <c r="C22" s="207"/>
      <c r="F22" s="6" t="s">
        <v>76</v>
      </c>
      <c r="G22" s="14"/>
      <c r="H22" s="14"/>
      <c r="I22" s="14"/>
    </row>
    <row r="23" spans="1:26" s="9" customFormat="1">
      <c r="A23" s="208" t="s">
        <v>67</v>
      </c>
      <c r="B23" s="209">
        <f>+AVERAGE('3Q19 Actual'!B33:AQ33)</f>
        <v>20.143316098388333</v>
      </c>
      <c r="C23" s="209">
        <f>+MEDIAN('3Q19 Actual'!B33:AQ33)</f>
        <v>22.06144294220428</v>
      </c>
      <c r="F23" s="14"/>
      <c r="G23" s="14"/>
      <c r="H23" s="14"/>
    </row>
    <row r="24" spans="1:26" s="9" customFormat="1">
      <c r="A24" s="208" t="s">
        <v>150</v>
      </c>
      <c r="B24" s="209">
        <f>+AVERAGE('3Q19 Actual'!B34:AQ34)</f>
        <v>18.426669948369565</v>
      </c>
      <c r="C24" s="209">
        <f>+MEDIAN('3Q19 Actual'!B34:AQ34)</f>
        <v>19.785819268110533</v>
      </c>
      <c r="F24" s="14"/>
      <c r="G24" s="14"/>
      <c r="H24" s="14"/>
    </row>
    <row r="25" spans="1:26" s="9" customFormat="1">
      <c r="A25" s="208" t="s">
        <v>151</v>
      </c>
      <c r="B25" s="209">
        <f>+AVERAGE('3Q19 Actual'!B35:AQ35)</f>
        <v>16.686461581590986</v>
      </c>
      <c r="C25" s="209">
        <f>+MEDIAN('3Q19 Actual'!B35:AQ35)</f>
        <v>17.087504473311178</v>
      </c>
      <c r="E25" s="14"/>
    </row>
    <row r="26" spans="1:26" s="9" customFormat="1">
      <c r="A26" s="208" t="s">
        <v>70</v>
      </c>
      <c r="B26" s="209">
        <f>+AVERAGE('3Q19 Actual'!B36:AQ36)</f>
        <v>4.4511365744771858</v>
      </c>
      <c r="C26" s="209">
        <f>+MEDIAN('3Q19 Actual'!B36:AQ36)</f>
        <v>2.976146145978305</v>
      </c>
      <c r="E26" s="14"/>
      <c r="F26" s="14"/>
      <c r="G26" s="14"/>
      <c r="H26" s="14"/>
    </row>
    <row r="27" spans="1:26" s="9" customFormat="1">
      <c r="A27" s="206"/>
      <c r="B27" s="210"/>
      <c r="C27" s="207"/>
      <c r="E27" s="14"/>
      <c r="F27" s="14"/>
      <c r="G27" s="14"/>
      <c r="H27" s="14"/>
    </row>
    <row r="28" spans="1:26" s="9" customFormat="1">
      <c r="A28" s="206" t="s">
        <v>144</v>
      </c>
      <c r="B28" s="210">
        <f>+AVERAGE('3Q19 Actual'!B53:AQ53)</f>
        <v>2.6016194960150991</v>
      </c>
      <c r="C28" s="210">
        <f>+MEDIAN('3Q19 Actual'!B53:AQ53)</f>
        <v>1.8092416257935549</v>
      </c>
      <c r="E28" s="14"/>
      <c r="F28" s="14"/>
      <c r="G28" s="14"/>
      <c r="H28" s="14"/>
    </row>
    <row r="30" spans="1:26">
      <c r="A30" s="6" t="s">
        <v>231</v>
      </c>
    </row>
    <row r="31" spans="1:26" s="9" customFormat="1">
      <c r="A31" s="6" t="s">
        <v>76</v>
      </c>
      <c r="B31" s="15"/>
      <c r="C31" s="14"/>
      <c r="E31" s="14"/>
      <c r="F31" s="14"/>
      <c r="G31" s="14"/>
      <c r="H31" s="14"/>
    </row>
    <row r="32" spans="1:26" s="9" customFormat="1">
      <c r="A32" s="6"/>
      <c r="B32" s="15"/>
      <c r="C32" s="14"/>
      <c r="E32" s="14"/>
      <c r="F32" s="14"/>
      <c r="G32" s="14"/>
      <c r="H32" s="14"/>
    </row>
  </sheetData>
  <mergeCells count="1">
    <mergeCell ref="F11:K11"/>
  </mergeCells>
  <pageMargins left="0.7" right="0.7" top="0.75" bottom="0.75" header="0.3" footer="0.3"/>
  <pageSetup orientation="portrait" r:id="rId1"/>
  <headerFooter>
    <oddFooter>&amp;C&amp;"Expert Sans Regular,Regular"&amp;10&amp;K000000 Restricted - External_x000D_&amp;1#&amp;"Calibri"&amp;10 Restricted - External</oddFooter>
    <evenFooter>&amp;C&amp;"Expert Sans Regular,Regular"&amp;10&amp;K000000 Restricted - External</evenFooter>
    <firstFooter>&amp;C&amp;"Expert Sans Regular,Regular"&amp;10&amp;K000000 Restricted - External</firstFooter>
  </headerFooter>
  <webPublishItems count="3">
    <webPublishItem id="31896" divId="4Q18_US34620 EP Margin Calculator Mar 05 19_Working File_31896" sourceType="range" sourceRef="A4:C28" destinationFile="C:\Users\dusarah\AppData\Local\Temp\a4a03f43-0580-40f0-ab12-5e832457b946.html"/>
    <webPublishItem id="2230" divId="4Q18_US34620 EP Margin Calculator Mar 05 19_Working File_2230" sourceType="range" sourceRef="A4:C28" destinationFile="C:\Users\dusarah\AppData\Local\Temp\1f2b769d-9f40-4013-81de-33c3826c3c33.html"/>
    <webPublishItem id="5218" divId="4Q18_US34620 EP Margin Calculator Mar 05 19_Working File_5218" sourceType="range" sourceRef="A4:C28" destinationFile="C:\Users\dusarah\AppData\Local\Temp\0fc7ab88-f5c9-4924-bac3-0ec637f49de1.html"/>
  </webPublishItem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pageSetUpPr autoPageBreaks="0" fitToPage="1"/>
  </sheetPr>
  <dimension ref="A1:S176"/>
  <sheetViews>
    <sheetView workbookViewId="0">
      <pane xSplit="1" ySplit="7" topLeftCell="B8" activePane="bottomRight" state="frozen"/>
      <selection activeCell="B36" sqref="B36:V36"/>
      <selection pane="topRight" activeCell="B36" sqref="B36:V36"/>
      <selection pane="bottomLeft" activeCell="B36" sqref="B36:V36"/>
      <selection pane="bottomRight" activeCell="B36" sqref="B36:V36"/>
    </sheetView>
  </sheetViews>
  <sheetFormatPr defaultRowHeight="14.25"/>
  <cols>
    <col min="1" max="1" width="36.375" style="1" customWidth="1"/>
    <col min="2" max="19" width="9.25" style="2" customWidth="1"/>
    <col min="20" max="16384" width="9" style="1"/>
  </cols>
  <sheetData>
    <row r="1" spans="1:19" s="9" customFormat="1">
      <c r="A1" s="39" t="s">
        <v>108</v>
      </c>
      <c r="B1" s="8"/>
      <c r="C1" s="8"/>
      <c r="D1" s="8"/>
      <c r="E1" s="8"/>
      <c r="F1" s="8"/>
      <c r="G1" s="8"/>
      <c r="H1" s="8"/>
      <c r="I1" s="8"/>
      <c r="J1" s="8"/>
      <c r="K1" s="8"/>
      <c r="L1" s="8"/>
      <c r="M1" s="19"/>
      <c r="N1" s="8"/>
      <c r="O1" s="8"/>
      <c r="P1" s="8"/>
      <c r="Q1" s="8"/>
      <c r="R1" s="8"/>
      <c r="S1" s="8"/>
    </row>
    <row r="2" spans="1:19" s="9" customFormat="1">
      <c r="A2" s="39" t="s">
        <v>1</v>
      </c>
      <c r="B2" s="10">
        <v>33.47</v>
      </c>
      <c r="C2" s="8"/>
      <c r="D2" s="8"/>
      <c r="E2" s="8"/>
      <c r="F2" s="8"/>
      <c r="G2" s="8"/>
      <c r="H2" s="8"/>
      <c r="I2" s="8"/>
      <c r="J2" s="8"/>
      <c r="K2" s="8"/>
      <c r="L2" s="8"/>
      <c r="M2" s="19"/>
      <c r="N2" s="8"/>
      <c r="O2" s="8"/>
      <c r="P2" s="8"/>
      <c r="Q2" s="8"/>
      <c r="R2" s="8"/>
      <c r="S2" s="8"/>
    </row>
    <row r="3" spans="1:19" s="9" customFormat="1">
      <c r="A3" s="39" t="s">
        <v>0</v>
      </c>
      <c r="B3" s="10">
        <v>16.106999999999999</v>
      </c>
      <c r="C3" s="8"/>
      <c r="D3" s="8"/>
      <c r="E3" s="8"/>
      <c r="F3" s="8"/>
      <c r="G3" s="8"/>
      <c r="H3" s="8"/>
      <c r="I3" s="8"/>
      <c r="J3" s="8"/>
      <c r="K3" s="8"/>
      <c r="L3" s="8"/>
      <c r="M3" s="19"/>
      <c r="N3" s="8"/>
      <c r="O3" s="8"/>
      <c r="P3" s="8"/>
      <c r="Q3" s="8"/>
      <c r="R3" s="8"/>
      <c r="S3" s="8"/>
    </row>
    <row r="4" spans="1:19" s="9" customFormat="1">
      <c r="A4" s="39" t="s">
        <v>2</v>
      </c>
      <c r="B4" s="10">
        <v>1.9695</v>
      </c>
      <c r="C4" s="8"/>
      <c r="D4" s="8"/>
      <c r="E4" s="8"/>
      <c r="F4" s="8"/>
      <c r="G4" s="8"/>
      <c r="H4" s="8"/>
      <c r="I4" s="8"/>
      <c r="J4" s="8"/>
      <c r="K4" s="8"/>
      <c r="L4" s="8"/>
      <c r="M4" s="19"/>
      <c r="N4" s="8"/>
      <c r="O4" s="8"/>
      <c r="P4" s="8"/>
      <c r="Q4" s="8"/>
      <c r="R4" s="8"/>
      <c r="S4" s="8"/>
    </row>
    <row r="5" spans="1:19" s="9" customFormat="1" ht="15" thickBot="1">
      <c r="A5" s="39"/>
      <c r="B5" s="8"/>
      <c r="C5" s="8"/>
      <c r="D5" s="8"/>
      <c r="E5" s="8"/>
      <c r="F5" s="8"/>
      <c r="G5" s="8"/>
      <c r="H5" s="8"/>
      <c r="I5" s="8"/>
      <c r="J5" s="8"/>
      <c r="K5" s="8"/>
      <c r="L5" s="8"/>
      <c r="M5" s="19"/>
      <c r="N5" s="8"/>
      <c r="O5" s="8"/>
      <c r="P5" s="8"/>
      <c r="Q5" s="8"/>
      <c r="R5" s="8"/>
      <c r="S5" s="8"/>
    </row>
    <row r="6" spans="1:19" ht="26.25" thickBot="1">
      <c r="A6" s="4" t="s">
        <v>15</v>
      </c>
      <c r="B6" s="5" t="s">
        <v>17</v>
      </c>
      <c r="C6" s="42" t="s">
        <v>18</v>
      </c>
      <c r="D6" s="5" t="s">
        <v>19</v>
      </c>
      <c r="E6" s="5" t="s">
        <v>21</v>
      </c>
      <c r="F6" s="5" t="s">
        <v>22</v>
      </c>
      <c r="G6" s="138" t="s">
        <v>174</v>
      </c>
      <c r="H6" s="5" t="s">
        <v>23</v>
      </c>
      <c r="I6" s="52" t="s">
        <v>139</v>
      </c>
      <c r="J6" s="5" t="s">
        <v>24</v>
      </c>
      <c r="K6" s="5" t="s">
        <v>25</v>
      </c>
      <c r="L6" s="5" t="s">
        <v>26</v>
      </c>
      <c r="M6" s="52" t="s">
        <v>27</v>
      </c>
      <c r="N6" s="52" t="s">
        <v>28</v>
      </c>
      <c r="O6" s="116" t="s">
        <v>162</v>
      </c>
      <c r="P6" s="5" t="s">
        <v>29</v>
      </c>
      <c r="Q6" s="5" t="s">
        <v>30</v>
      </c>
      <c r="R6" s="5" t="s">
        <v>31</v>
      </c>
      <c r="S6" s="138" t="s">
        <v>173</v>
      </c>
    </row>
    <row r="7" spans="1:19" ht="18" customHeight="1" thickBot="1">
      <c r="A7" s="25" t="s">
        <v>16</v>
      </c>
      <c r="B7" s="26" t="s">
        <v>33</v>
      </c>
      <c r="C7" s="26" t="s">
        <v>34</v>
      </c>
      <c r="D7" s="26" t="s">
        <v>35</v>
      </c>
      <c r="E7" s="26" t="s">
        <v>37</v>
      </c>
      <c r="F7" s="26" t="s">
        <v>38</v>
      </c>
      <c r="G7" s="26" t="s">
        <v>36</v>
      </c>
      <c r="H7" s="26" t="s">
        <v>39</v>
      </c>
      <c r="I7" s="69" t="s">
        <v>140</v>
      </c>
      <c r="J7" s="26" t="s">
        <v>40</v>
      </c>
      <c r="K7" s="26" t="s">
        <v>41</v>
      </c>
      <c r="L7" s="26" t="s">
        <v>42</v>
      </c>
      <c r="M7" s="26" t="s">
        <v>43</v>
      </c>
      <c r="N7" s="26" t="s">
        <v>44</v>
      </c>
      <c r="O7" s="69" t="s">
        <v>163</v>
      </c>
      <c r="P7" s="26" t="s">
        <v>45</v>
      </c>
      <c r="Q7" s="26" t="s">
        <v>46</v>
      </c>
      <c r="R7" s="26" t="s">
        <v>47</v>
      </c>
      <c r="S7" s="26" t="s">
        <v>48</v>
      </c>
    </row>
    <row r="8" spans="1:19" s="9" customFormat="1">
      <c r="A8" s="39"/>
      <c r="B8" s="8"/>
      <c r="C8" s="8"/>
      <c r="D8" s="8"/>
      <c r="E8" s="8"/>
      <c r="F8" s="8"/>
      <c r="G8" s="8"/>
      <c r="H8" s="8"/>
      <c r="I8" s="8"/>
      <c r="J8" s="8"/>
      <c r="K8" s="8"/>
      <c r="L8" s="8"/>
      <c r="M8" s="8"/>
      <c r="N8" s="8"/>
      <c r="O8" s="8"/>
      <c r="P8" s="8"/>
      <c r="Q8" s="8"/>
      <c r="R8" s="8"/>
      <c r="S8" s="8"/>
    </row>
    <row r="9" spans="1:19" s="9" customFormat="1">
      <c r="A9" s="39" t="s">
        <v>50</v>
      </c>
      <c r="B9" s="10">
        <v>29.65</v>
      </c>
      <c r="C9" s="10">
        <v>31.51</v>
      </c>
      <c r="D9" s="10">
        <f>((20.85*(546.927-127.909))+(127.909*44.56)+(23+504))/D44/D55</f>
        <v>19.939208353823869</v>
      </c>
      <c r="E9" s="10">
        <f>15.91/D55</f>
        <v>11.595364769331681</v>
      </c>
      <c r="F9" s="10">
        <v>28.02</v>
      </c>
      <c r="G9" s="10">
        <f>((605*31.43)+(2.54*27))/(605+27)</f>
        <v>30.195775316455702</v>
      </c>
      <c r="H9" s="10">
        <v>25.72</v>
      </c>
      <c r="I9" s="10">
        <v>29.9</v>
      </c>
      <c r="J9" s="10">
        <v>20.059999999999999</v>
      </c>
      <c r="K9" s="10">
        <v>23.53</v>
      </c>
      <c r="L9" s="10">
        <v>30.85</v>
      </c>
      <c r="M9" s="10">
        <v>28.5</v>
      </c>
      <c r="N9" s="10">
        <f>((28.21*147)+(23*30.95)+(26.41*59))/N44</f>
        <v>28.021441048034934</v>
      </c>
      <c r="O9" s="10">
        <v>26.7</v>
      </c>
      <c r="P9" s="10">
        <v>31.04</v>
      </c>
      <c r="Q9" s="10">
        <v>29.42</v>
      </c>
      <c r="R9" s="10">
        <v>28.09</v>
      </c>
      <c r="S9" s="10">
        <v>18.649999999999999</v>
      </c>
    </row>
    <row r="10" spans="1:19" s="9" customFormat="1">
      <c r="A10" s="39" t="s">
        <v>3</v>
      </c>
      <c r="B10" s="10">
        <f t="shared" ref="B10:S10" si="0">+B9-$B$2</f>
        <v>-3.8200000000000003</v>
      </c>
      <c r="C10" s="10">
        <f t="shared" si="0"/>
        <v>-1.9599999999999973</v>
      </c>
      <c r="D10" s="10">
        <f t="shared" si="0"/>
        <v>-13.53079164617613</v>
      </c>
      <c r="E10" s="10">
        <f t="shared" si="0"/>
        <v>-21.874635230668318</v>
      </c>
      <c r="F10" s="10">
        <f t="shared" si="0"/>
        <v>-5.4499999999999993</v>
      </c>
      <c r="G10" s="10">
        <f t="shared" si="0"/>
        <v>-3.274224683544297</v>
      </c>
      <c r="H10" s="10">
        <f t="shared" si="0"/>
        <v>-7.75</v>
      </c>
      <c r="I10" s="10">
        <f t="shared" si="0"/>
        <v>-3.5700000000000003</v>
      </c>
      <c r="J10" s="10">
        <f t="shared" si="0"/>
        <v>-13.41</v>
      </c>
      <c r="K10" s="10">
        <f t="shared" si="0"/>
        <v>-9.9399999999999977</v>
      </c>
      <c r="L10" s="10">
        <f t="shared" si="0"/>
        <v>-2.6199999999999974</v>
      </c>
      <c r="M10" s="10">
        <f t="shared" si="0"/>
        <v>-4.9699999999999989</v>
      </c>
      <c r="N10" s="10">
        <f t="shared" si="0"/>
        <v>-5.4485589519650652</v>
      </c>
      <c r="O10" s="10">
        <f t="shared" si="0"/>
        <v>-6.77</v>
      </c>
      <c r="P10" s="10">
        <f t="shared" si="0"/>
        <v>-2.4299999999999997</v>
      </c>
      <c r="Q10" s="10">
        <f t="shared" si="0"/>
        <v>-4.0499999999999972</v>
      </c>
      <c r="R10" s="10">
        <f t="shared" si="0"/>
        <v>-5.379999999999999</v>
      </c>
      <c r="S10" s="10">
        <f t="shared" si="0"/>
        <v>-14.82</v>
      </c>
    </row>
    <row r="11" spans="1:19" s="9" customFormat="1">
      <c r="A11" s="39" t="s">
        <v>51</v>
      </c>
      <c r="B11" s="10">
        <v>15.32</v>
      </c>
      <c r="C11" s="10">
        <v>7.16</v>
      </c>
      <c r="D11" s="10">
        <v>0</v>
      </c>
      <c r="E11" s="10">
        <f>24.99/D55</f>
        <v>18.212958239195391</v>
      </c>
      <c r="F11" s="10">
        <v>9.84</v>
      </c>
      <c r="G11" s="10">
        <v>11.47</v>
      </c>
      <c r="H11" s="10"/>
      <c r="I11" s="10"/>
      <c r="J11" s="10">
        <v>6.84</v>
      </c>
      <c r="K11" s="10"/>
      <c r="L11" s="10">
        <v>10.41</v>
      </c>
      <c r="M11" s="10">
        <v>7.44</v>
      </c>
      <c r="N11" s="10">
        <f>((8.12*39)+(2.2*9))/N45</f>
        <v>7.0099999999999989</v>
      </c>
      <c r="O11" s="10">
        <v>14.75</v>
      </c>
      <c r="P11" s="10">
        <v>11.18</v>
      </c>
      <c r="Q11" s="10">
        <v>10.86</v>
      </c>
      <c r="R11" s="10">
        <v>10.33</v>
      </c>
      <c r="S11" s="10">
        <v>4.9800000000000004</v>
      </c>
    </row>
    <row r="12" spans="1:19" s="9" customFormat="1">
      <c r="A12" s="39" t="s">
        <v>3</v>
      </c>
      <c r="B12" s="10">
        <f t="shared" ref="B12:S12" si="1">+B11-$B$3</f>
        <v>-0.78699999999999903</v>
      </c>
      <c r="C12" s="10">
        <f t="shared" si="1"/>
        <v>-8.9469999999999992</v>
      </c>
      <c r="D12" s="10">
        <f t="shared" si="1"/>
        <v>-16.106999999999999</v>
      </c>
      <c r="E12" s="10">
        <f t="shared" si="1"/>
        <v>2.1059582391953917</v>
      </c>
      <c r="F12" s="10">
        <f t="shared" si="1"/>
        <v>-6.2669999999999995</v>
      </c>
      <c r="G12" s="10">
        <f t="shared" si="1"/>
        <v>-4.6369999999999987</v>
      </c>
      <c r="H12" s="10">
        <f t="shared" si="1"/>
        <v>-16.106999999999999</v>
      </c>
      <c r="I12" s="10">
        <f t="shared" si="1"/>
        <v>-16.106999999999999</v>
      </c>
      <c r="J12" s="10">
        <f t="shared" si="1"/>
        <v>-9.2669999999999995</v>
      </c>
      <c r="K12" s="10">
        <f t="shared" si="1"/>
        <v>-16.106999999999999</v>
      </c>
      <c r="L12" s="10">
        <f t="shared" si="1"/>
        <v>-5.6969999999999992</v>
      </c>
      <c r="M12" s="10">
        <f t="shared" si="1"/>
        <v>-8.666999999999998</v>
      </c>
      <c r="N12" s="10">
        <f t="shared" si="1"/>
        <v>-9.0970000000000013</v>
      </c>
      <c r="O12" s="10">
        <f t="shared" si="1"/>
        <v>-1.3569999999999993</v>
      </c>
      <c r="P12" s="10">
        <f t="shared" si="1"/>
        <v>-4.9269999999999996</v>
      </c>
      <c r="Q12" s="10">
        <f t="shared" si="1"/>
        <v>-5.2469999999999999</v>
      </c>
      <c r="R12" s="10">
        <f t="shared" si="1"/>
        <v>-5.7769999999999992</v>
      </c>
      <c r="S12" s="10">
        <f t="shared" si="1"/>
        <v>-11.126999999999999</v>
      </c>
    </row>
    <row r="13" spans="1:19" s="9" customFormat="1">
      <c r="A13" s="39" t="s">
        <v>52</v>
      </c>
      <c r="B13" s="10">
        <v>1.75</v>
      </c>
      <c r="C13" s="10">
        <v>2.15</v>
      </c>
      <c r="D13" s="10">
        <f>1.95/D55</f>
        <v>1.4211792143429778</v>
      </c>
      <c r="E13" s="10">
        <f>2.31/D55</f>
        <v>1.6835507616062968</v>
      </c>
      <c r="F13" s="10">
        <v>1.92</v>
      </c>
      <c r="G13" s="10">
        <v>2.85</v>
      </c>
      <c r="H13" s="10">
        <v>1.36</v>
      </c>
      <c r="I13" s="10">
        <v>1.5</v>
      </c>
      <c r="J13" s="10">
        <v>1.53</v>
      </c>
      <c r="K13" s="10">
        <v>1.73</v>
      </c>
      <c r="L13" s="10">
        <v>1.5</v>
      </c>
      <c r="M13" s="10">
        <v>3.42</v>
      </c>
      <c r="N13" s="10">
        <f>((2.02*315)+(0.6*382))/N46</f>
        <v>1.2417503586800573</v>
      </c>
      <c r="O13" s="10">
        <v>1.83</v>
      </c>
      <c r="P13" s="10">
        <v>2.2999999999999998</v>
      </c>
      <c r="Q13" s="10">
        <v>1.25</v>
      </c>
      <c r="R13" s="10">
        <v>1.79</v>
      </c>
      <c r="S13" s="10">
        <v>1.44</v>
      </c>
    </row>
    <row r="14" spans="1:19" s="9" customFormat="1">
      <c r="A14" s="39" t="s">
        <v>3</v>
      </c>
      <c r="B14" s="10">
        <f t="shared" ref="B14:S14" si="2">+B13-$B$4</f>
        <v>-0.21950000000000003</v>
      </c>
      <c r="C14" s="10">
        <f t="shared" si="2"/>
        <v>0.18049999999999988</v>
      </c>
      <c r="D14" s="10">
        <f t="shared" si="2"/>
        <v>-0.54832078565702225</v>
      </c>
      <c r="E14" s="10">
        <f t="shared" si="2"/>
        <v>-0.28594923839370323</v>
      </c>
      <c r="F14" s="10">
        <f t="shared" si="2"/>
        <v>-4.9500000000000099E-2</v>
      </c>
      <c r="G14" s="10">
        <f t="shared" si="2"/>
        <v>0.88050000000000006</v>
      </c>
      <c r="H14" s="10">
        <f t="shared" si="2"/>
        <v>-0.60949999999999993</v>
      </c>
      <c r="I14" s="10">
        <f t="shared" si="2"/>
        <v>-0.46950000000000003</v>
      </c>
      <c r="J14" s="10">
        <f t="shared" si="2"/>
        <v>-0.4395</v>
      </c>
      <c r="K14" s="10">
        <f t="shared" si="2"/>
        <v>-0.23950000000000005</v>
      </c>
      <c r="L14" s="10">
        <f t="shared" si="2"/>
        <v>-0.46950000000000003</v>
      </c>
      <c r="M14" s="10">
        <f t="shared" si="2"/>
        <v>1.4504999999999999</v>
      </c>
      <c r="N14" s="10">
        <f t="shared" si="2"/>
        <v>-0.72774964131994269</v>
      </c>
      <c r="O14" s="10">
        <f t="shared" si="2"/>
        <v>-0.13949999999999996</v>
      </c>
      <c r="P14" s="10">
        <f t="shared" si="2"/>
        <v>0.33049999999999979</v>
      </c>
      <c r="Q14" s="10">
        <f t="shared" si="2"/>
        <v>-0.71950000000000003</v>
      </c>
      <c r="R14" s="10">
        <f t="shared" si="2"/>
        <v>-0.17949999999999999</v>
      </c>
      <c r="S14" s="10">
        <f t="shared" si="2"/>
        <v>-0.52950000000000008</v>
      </c>
    </row>
    <row r="15" spans="1:19" s="9" customFormat="1">
      <c r="A15" s="39" t="s">
        <v>49</v>
      </c>
      <c r="B15" s="10">
        <f>+(850+366+178)/B48</f>
        <v>18.526927617836712</v>
      </c>
      <c r="C15" s="10">
        <f>1060/C48</f>
        <v>21.917940629447486</v>
      </c>
      <c r="D15" s="10">
        <f>+((1733+524)/D48)/D55</f>
        <v>21.402109511745252</v>
      </c>
      <c r="E15" s="10">
        <f>15.43/D55</f>
        <v>11.245536039647256</v>
      </c>
      <c r="F15" s="10">
        <f>+(117.573+82.608+33.352)/F48</f>
        <v>15.822812612168285</v>
      </c>
      <c r="G15" s="10">
        <f>+G66</f>
        <v>22.922812742812745</v>
      </c>
      <c r="H15" s="10">
        <v>19.27</v>
      </c>
      <c r="I15" s="10">
        <v>22.34</v>
      </c>
      <c r="J15" s="10">
        <v>13.23</v>
      </c>
      <c r="K15" s="10">
        <v>14.85</v>
      </c>
      <c r="L15" s="10">
        <f>+(753.711+75.319+165.503)/L48</f>
        <v>19.8780175808186</v>
      </c>
      <c r="M15" s="20">
        <f>+(763.68)/M48</f>
        <v>23.965981662316739</v>
      </c>
      <c r="N15" s="10">
        <f>714/N48</f>
        <v>19.956304822773664</v>
      </c>
      <c r="O15" s="10">
        <f>284/O48</f>
        <v>18.438454324668768</v>
      </c>
      <c r="P15" s="10">
        <f>(365+287+53)/P48</f>
        <v>18.872722892211321</v>
      </c>
      <c r="Q15" s="10">
        <f>1275/Q48</f>
        <v>21.325706257213106</v>
      </c>
      <c r="R15" s="10">
        <v>20.28</v>
      </c>
      <c r="S15" s="10">
        <f>+(315+11+17)/S48</f>
        <v>8.6872831345135921</v>
      </c>
    </row>
    <row r="16" spans="1:19" s="9" customFormat="1">
      <c r="A16" s="39"/>
      <c r="B16" s="10"/>
      <c r="C16" s="10"/>
      <c r="D16" s="10"/>
      <c r="E16" s="10"/>
      <c r="F16" s="10"/>
      <c r="G16" s="10"/>
      <c r="H16" s="10"/>
      <c r="I16" s="10"/>
      <c r="J16" s="10"/>
      <c r="K16" s="10"/>
      <c r="L16" s="10"/>
      <c r="M16" s="20"/>
      <c r="N16" s="10"/>
      <c r="O16" s="10"/>
      <c r="P16" s="10"/>
      <c r="Q16" s="10"/>
      <c r="R16" s="10"/>
      <c r="S16" s="10"/>
    </row>
    <row r="17" spans="1:19" s="9" customFormat="1">
      <c r="A17" s="39" t="s">
        <v>4</v>
      </c>
      <c r="B17" s="10"/>
      <c r="C17" s="10"/>
      <c r="D17" s="10"/>
      <c r="E17" s="10"/>
      <c r="F17" s="10"/>
      <c r="G17" s="10"/>
      <c r="H17" s="10"/>
      <c r="I17" s="10"/>
      <c r="J17" s="10"/>
      <c r="K17" s="10"/>
      <c r="L17" s="10"/>
      <c r="M17" s="20"/>
      <c r="N17" s="10"/>
      <c r="O17" s="10"/>
      <c r="P17" s="10"/>
      <c r="Q17" s="10"/>
      <c r="R17" s="10"/>
      <c r="S17" s="10"/>
    </row>
    <row r="18" spans="1:19" s="9" customFormat="1">
      <c r="A18" s="38" t="s">
        <v>75</v>
      </c>
      <c r="B18" s="10">
        <f>+(208+242)/B48</f>
        <v>5.9807155150835873</v>
      </c>
      <c r="C18" s="10">
        <f>+(378+52)/C48</f>
        <v>8.8912400666626592</v>
      </c>
      <c r="D18" s="20">
        <f>(721+504+297+23)/D48/D55</f>
        <v>14.650535753498632</v>
      </c>
      <c r="E18" s="10">
        <f>(4.51+10.14)/D55</f>
        <v>10.677064353910064</v>
      </c>
      <c r="F18" s="10">
        <f>+(70.702+46.443)/F48</f>
        <v>7.9370512238204185</v>
      </c>
      <c r="G18" s="10">
        <f>1354/G48</f>
        <v>11.561088484165408</v>
      </c>
      <c r="H18" s="10">
        <f>+(78.64)/H48</f>
        <v>3.7442302240700869</v>
      </c>
      <c r="I18" s="10">
        <v>7.28</v>
      </c>
      <c r="J18" s="10">
        <f>+(444)/J48</f>
        <v>7.117608868155914</v>
      </c>
      <c r="K18" s="10">
        <f>4.35+7.07</f>
        <v>11.42</v>
      </c>
      <c r="L18" s="10">
        <f>+(240.865+190.454)/L48</f>
        <v>8.6208971094383973</v>
      </c>
      <c r="M18" s="20">
        <f>+(391+112)/M48</f>
        <v>15.785261858560288</v>
      </c>
      <c r="N18" s="10">
        <f>(328+109)/N48</f>
        <v>12.214152951753629</v>
      </c>
      <c r="O18" s="10">
        <f>+(61+63)/O48</f>
        <v>8.0505927333060825</v>
      </c>
      <c r="P18" s="10">
        <f>(161+107)/P48</f>
        <v>7.1743116810108285</v>
      </c>
      <c r="Q18" s="10">
        <v>10.28</v>
      </c>
      <c r="R18" s="10">
        <f>+(156+24)/R48</f>
        <v>8.9176746288152113</v>
      </c>
      <c r="S18" s="10">
        <f>0.88*6</f>
        <v>5.28</v>
      </c>
    </row>
    <row r="19" spans="1:19" s="9" customFormat="1">
      <c r="A19" s="38" t="s">
        <v>74</v>
      </c>
      <c r="B19" s="10"/>
      <c r="C19" s="10"/>
      <c r="D19" s="10">
        <f>85/D48/D55</f>
        <v>0.80601653012775631</v>
      </c>
      <c r="E19" s="10">
        <f>0.82/D55</f>
        <v>0.59762407987755983</v>
      </c>
      <c r="F19" s="10"/>
      <c r="G19" s="10"/>
      <c r="H19" s="10"/>
      <c r="I19" s="10"/>
      <c r="J19" s="10"/>
      <c r="K19" s="10"/>
      <c r="L19" s="10"/>
      <c r="M19" s="20"/>
      <c r="N19" s="10"/>
      <c r="O19" s="10"/>
      <c r="P19" s="10"/>
      <c r="Q19" s="10"/>
      <c r="R19" s="10"/>
      <c r="S19" s="10"/>
    </row>
    <row r="20" spans="1:19" s="9" customFormat="1">
      <c r="A20" s="38" t="s">
        <v>10</v>
      </c>
      <c r="B20" s="10">
        <f>(117-10.35)/B48</f>
        <v>1.4174295770748102</v>
      </c>
      <c r="C20" s="10">
        <f>11/C48</f>
        <v>0.22745032728671918</v>
      </c>
      <c r="D20" s="10"/>
      <c r="E20" s="10">
        <f>0.08/D55</f>
        <v>5.8304788280737554E-2</v>
      </c>
      <c r="F20" s="10">
        <f>13.839/F48</f>
        <v>0.93764865667720154</v>
      </c>
      <c r="G20" s="10">
        <f>180/G48</f>
        <v>1.5369246138476909</v>
      </c>
      <c r="H20" s="10">
        <f>30.493/H48</f>
        <v>1.4518414575606453</v>
      </c>
      <c r="I20" s="10">
        <v>1.78</v>
      </c>
      <c r="J20" s="10">
        <f>67/J48</f>
        <v>1.0740535904649691</v>
      </c>
      <c r="K20" s="10">
        <v>0.65</v>
      </c>
      <c r="L20" s="10">
        <f>60.679/L48</f>
        <v>1.2128086536962492</v>
      </c>
      <c r="M20" s="20">
        <f>19/M48</f>
        <v>0.59626237636708845</v>
      </c>
      <c r="N20" s="10">
        <f>48/N48:N48</f>
        <v>1.3416003242200782</v>
      </c>
      <c r="O20" s="10">
        <f>10/O48</f>
        <v>0.64924134946016798</v>
      </c>
      <c r="P20" s="10">
        <f>4/P48</f>
        <v>0.10707927882105714</v>
      </c>
      <c r="Q20" s="10">
        <v>1.1499999999999999</v>
      </c>
      <c r="R20" s="10">
        <f>29/R48</f>
        <v>1.4367364679757841</v>
      </c>
      <c r="S20" s="10">
        <f>0.08*6</f>
        <v>0.48</v>
      </c>
    </row>
    <row r="21" spans="1:19" s="9" customFormat="1">
      <c r="A21" s="38" t="s">
        <v>11</v>
      </c>
      <c r="B21" s="10">
        <f>(449-203-11.277)/B48</f>
        <v>3.1195810841043663</v>
      </c>
      <c r="C21" s="10">
        <f>93/C48</f>
        <v>1.9229891306968077</v>
      </c>
      <c r="D21" s="10">
        <f>203/D48/D55</f>
        <v>1.9249571248933475</v>
      </c>
      <c r="E21" s="10">
        <f>60/E48/D55</f>
        <v>1.8095731868708387</v>
      </c>
      <c r="F21" s="10">
        <f>+(13.897+16.162+10.514)/F48</f>
        <v>2.748986122361738</v>
      </c>
      <c r="G21" s="10">
        <f>186/G48</f>
        <v>1.5881554343092805</v>
      </c>
      <c r="H21" s="10">
        <f>32.407/H48</f>
        <v>1.5429713742553317</v>
      </c>
      <c r="I21" s="10">
        <v>4.24</v>
      </c>
      <c r="J21" s="10">
        <f>(164+73)/J48</f>
        <v>3.7992641931372786</v>
      </c>
      <c r="K21" s="10">
        <f>(79+1)/K48</f>
        <v>2.2925614024362284</v>
      </c>
      <c r="L21" s="10">
        <f>100.531/L48</f>
        <v>2.0093420584508257</v>
      </c>
      <c r="M21" s="20">
        <f>(98-4)/M48</f>
        <v>2.9499296515003319</v>
      </c>
      <c r="N21" s="10">
        <f>151/N48</f>
        <v>4.2204510199423293</v>
      </c>
      <c r="O21" s="10">
        <f>44/O48</f>
        <v>2.8566619376247391</v>
      </c>
      <c r="P21" s="10">
        <f>91/P48</f>
        <v>2.4360535931790501</v>
      </c>
      <c r="Q21" s="10">
        <v>2.88</v>
      </c>
      <c r="R21" s="10">
        <f>74/R48</f>
        <v>3.666155125179587</v>
      </c>
      <c r="S21" s="10">
        <f>0.19*6</f>
        <v>1.1400000000000001</v>
      </c>
    </row>
    <row r="22" spans="1:19" s="9" customFormat="1">
      <c r="A22" s="38" t="s">
        <v>12</v>
      </c>
      <c r="B22" s="10">
        <f>+(220-32.036+38)/B48</f>
        <v>3.0031697792229948</v>
      </c>
      <c r="C22" s="10">
        <f>116/C48</f>
        <v>2.3985670877508567</v>
      </c>
      <c r="D22" s="10">
        <f>153/D48/D55</f>
        <v>1.4508297542299615</v>
      </c>
      <c r="E22" s="10">
        <f>88/E48/D55</f>
        <v>2.6540406740772302</v>
      </c>
      <c r="F22" s="10">
        <f>19.895/F48</f>
        <v>1.3479673404576142</v>
      </c>
      <c r="G22" s="10">
        <f>281/G48</f>
        <v>2.3993100916177843</v>
      </c>
      <c r="H22" s="10">
        <f>80.953/H48</f>
        <v>3.8543574431478351</v>
      </c>
      <c r="I22" s="10">
        <f>54.138/I48</f>
        <v>4.2652421005609602</v>
      </c>
      <c r="J22" s="10">
        <f>(120+14)/J48</f>
        <v>2.1481071809299381</v>
      </c>
      <c r="K22" s="10">
        <f>103/K48</f>
        <v>2.9516728056366439</v>
      </c>
      <c r="L22" s="10">
        <f>(68.39+9)/L48</f>
        <v>1.5468162248809758</v>
      </c>
      <c r="M22" s="20">
        <f>(85+13)/M48</f>
        <v>3.075458572840772</v>
      </c>
      <c r="N22" s="10">
        <f>85/N48</f>
        <v>2.375750574139722</v>
      </c>
      <c r="O22" s="10">
        <f>41/O48</f>
        <v>2.6618895327866885</v>
      </c>
      <c r="P22" s="10">
        <f>106/P48</f>
        <v>2.8376008887580144</v>
      </c>
      <c r="Q22" s="10">
        <f>61/Q48</f>
        <v>1.0202886915215683</v>
      </c>
      <c r="R22" s="10">
        <f>55/R48</f>
        <v>2.7248450254713146</v>
      </c>
      <c r="S22" s="10">
        <f>(53)/S48</f>
        <v>1.3423498720968523</v>
      </c>
    </row>
    <row r="23" spans="1:19" s="9" customFormat="1">
      <c r="A23" s="38" t="s">
        <v>13</v>
      </c>
      <c r="B23" s="10">
        <f>+(1149-32.036)/B48</f>
        <v>14.844986499088497</v>
      </c>
      <c r="C23" s="10">
        <f>552/C48</f>
        <v>11.41387096929718</v>
      </c>
      <c r="D23" s="10">
        <f>(1069+147)/D48/D55</f>
        <v>11.53077765453355</v>
      </c>
      <c r="E23" s="10">
        <f>(148+322-170)/E48/D55</f>
        <v>9.0478659343541938</v>
      </c>
      <c r="F23" s="10">
        <f>130.397/F48</f>
        <v>8.8349282379317184</v>
      </c>
      <c r="G23" s="10">
        <f>2247/G48</f>
        <v>19.185942262865343</v>
      </c>
      <c r="H23" s="10">
        <f>463.992/H48</f>
        <v>22.091720118600303</v>
      </c>
      <c r="I23" s="10">
        <v>24.43</v>
      </c>
      <c r="J23" s="10">
        <f>420/J48</f>
        <v>6.7328732536610003</v>
      </c>
      <c r="K23" s="10">
        <f>(82+159)/K48</f>
        <v>6.9063412248391378</v>
      </c>
      <c r="L23" s="10">
        <f>928.891/L48</f>
        <v>18.566012016357597</v>
      </c>
      <c r="M23" s="20">
        <f>842/M48</f>
        <v>26.42383794216255</v>
      </c>
      <c r="N23" s="10">
        <f>609/N42</f>
        <v>20.611635581061694</v>
      </c>
      <c r="O23" s="10">
        <f>177/O48</f>
        <v>11.491571885444973</v>
      </c>
      <c r="P23" s="10">
        <f>617/P48</f>
        <v>16.516978758148063</v>
      </c>
      <c r="Q23" s="10">
        <v>15.61</v>
      </c>
      <c r="R23" s="10">
        <f>353/R48</f>
        <v>17.488550799843164</v>
      </c>
      <c r="S23" s="10">
        <f>127/S48</f>
        <v>3.2165742218169857</v>
      </c>
    </row>
    <row r="24" spans="1:19" s="9" customFormat="1">
      <c r="A24" s="38"/>
      <c r="B24" s="10"/>
      <c r="C24" s="10"/>
      <c r="D24" s="10"/>
      <c r="E24" s="10"/>
      <c r="F24" s="10"/>
      <c r="G24" s="10"/>
      <c r="H24" s="10"/>
      <c r="I24" s="10"/>
      <c r="J24" s="10"/>
      <c r="K24" s="10"/>
      <c r="L24" s="10"/>
      <c r="M24" s="20"/>
      <c r="N24" s="10"/>
      <c r="O24" s="10"/>
      <c r="P24" s="10"/>
      <c r="Q24" s="10"/>
      <c r="R24" s="10"/>
      <c r="S24" s="10"/>
    </row>
    <row r="25" spans="1:19" s="9" customFormat="1">
      <c r="A25" s="39" t="s">
        <v>9</v>
      </c>
      <c r="B25" s="8"/>
      <c r="C25" s="8"/>
      <c r="D25" s="8"/>
      <c r="E25" s="8"/>
      <c r="F25" s="8"/>
      <c r="G25" s="8"/>
      <c r="H25" s="8"/>
      <c r="I25" s="8"/>
      <c r="J25" s="8"/>
      <c r="K25" s="8"/>
      <c r="L25" s="8"/>
      <c r="M25" s="19"/>
      <c r="N25" s="8"/>
      <c r="O25" s="8"/>
      <c r="P25" s="8"/>
      <c r="Q25" s="8"/>
      <c r="R25" s="8"/>
      <c r="S25" s="8"/>
    </row>
    <row r="26" spans="1:19" s="9" customFormat="1">
      <c r="A26" s="38" t="s">
        <v>5</v>
      </c>
      <c r="B26" s="10">
        <f>+B18+B20</f>
        <v>7.3981450921583978</v>
      </c>
      <c r="C26" s="10">
        <f>+C18+C20</f>
        <v>9.1186903939493789</v>
      </c>
      <c r="D26" s="10">
        <f>+D18+D20+D19</f>
        <v>15.456552283626388</v>
      </c>
      <c r="E26" s="10">
        <f>+E18+E20+E19</f>
        <v>11.332993222068362</v>
      </c>
      <c r="F26" s="10">
        <f t="shared" ref="F26:S26" si="3">+F18+F20</f>
        <v>8.8746998804976194</v>
      </c>
      <c r="G26" s="10">
        <f t="shared" si="3"/>
        <v>13.098013098013098</v>
      </c>
      <c r="H26" s="10">
        <f t="shared" si="3"/>
        <v>5.1960716816307322</v>
      </c>
      <c r="I26" s="10">
        <f t="shared" si="3"/>
        <v>9.06</v>
      </c>
      <c r="J26" s="10">
        <f t="shared" si="3"/>
        <v>8.1916624586208826</v>
      </c>
      <c r="K26" s="10">
        <f t="shared" si="3"/>
        <v>12.07</v>
      </c>
      <c r="L26" s="10">
        <f t="shared" si="3"/>
        <v>9.8337057631346472</v>
      </c>
      <c r="M26" s="20">
        <f t="shared" si="3"/>
        <v>16.381524234927376</v>
      </c>
      <c r="N26" s="10">
        <f t="shared" si="3"/>
        <v>13.555753275973707</v>
      </c>
      <c r="O26" s="10">
        <f t="shared" si="3"/>
        <v>8.6998340827662499</v>
      </c>
      <c r="P26" s="10">
        <f t="shared" si="3"/>
        <v>7.281390959831886</v>
      </c>
      <c r="Q26" s="10">
        <f t="shared" si="3"/>
        <v>11.43</v>
      </c>
      <c r="R26" s="10">
        <f t="shared" si="3"/>
        <v>10.354411096790995</v>
      </c>
      <c r="S26" s="10">
        <f t="shared" si="3"/>
        <v>5.76</v>
      </c>
    </row>
    <row r="27" spans="1:19" s="9" customFormat="1">
      <c r="A27" s="38" t="s">
        <v>6</v>
      </c>
      <c r="B27" s="10">
        <f t="shared" ref="B27:S29" si="4">+B26+B21</f>
        <v>10.517726176262764</v>
      </c>
      <c r="C27" s="10">
        <f t="shared" si="4"/>
        <v>11.041679524646186</v>
      </c>
      <c r="D27" s="10">
        <f t="shared" si="4"/>
        <v>17.381509408519737</v>
      </c>
      <c r="E27" s="10">
        <f t="shared" si="4"/>
        <v>13.142566408939201</v>
      </c>
      <c r="F27" s="10">
        <f t="shared" si="4"/>
        <v>11.623686002859358</v>
      </c>
      <c r="G27" s="10">
        <f t="shared" si="4"/>
        <v>14.686168532322379</v>
      </c>
      <c r="H27" s="10">
        <f t="shared" si="4"/>
        <v>6.7390430558860643</v>
      </c>
      <c r="I27" s="10">
        <f t="shared" si="4"/>
        <v>13.3</v>
      </c>
      <c r="J27" s="10">
        <f t="shared" si="4"/>
        <v>11.990926651758162</v>
      </c>
      <c r="K27" s="10">
        <f t="shared" si="4"/>
        <v>14.362561402436228</v>
      </c>
      <c r="L27" s="10">
        <f t="shared" si="4"/>
        <v>11.843047821585472</v>
      </c>
      <c r="M27" s="20">
        <f t="shared" si="4"/>
        <v>19.33145388642771</v>
      </c>
      <c r="N27" s="10">
        <f t="shared" si="4"/>
        <v>17.776204295916038</v>
      </c>
      <c r="O27" s="10">
        <f t="shared" si="4"/>
        <v>11.556496020390989</v>
      </c>
      <c r="P27" s="10">
        <f t="shared" si="4"/>
        <v>9.7174445530109352</v>
      </c>
      <c r="Q27" s="10">
        <f t="shared" si="4"/>
        <v>14.309999999999999</v>
      </c>
      <c r="R27" s="10">
        <f t="shared" si="4"/>
        <v>14.020566221970583</v>
      </c>
      <c r="S27" s="10">
        <f t="shared" si="4"/>
        <v>6.9</v>
      </c>
    </row>
    <row r="28" spans="1:19" s="9" customFormat="1">
      <c r="A28" s="38" t="s">
        <v>7</v>
      </c>
      <c r="B28" s="10">
        <f t="shared" si="4"/>
        <v>13.520895955485759</v>
      </c>
      <c r="C28" s="10">
        <f t="shared" si="4"/>
        <v>13.440246612397043</v>
      </c>
      <c r="D28" s="10">
        <f t="shared" si="4"/>
        <v>18.832339162749697</v>
      </c>
      <c r="E28" s="10">
        <f t="shared" si="4"/>
        <v>15.796607083016431</v>
      </c>
      <c r="F28" s="10">
        <f t="shared" si="4"/>
        <v>12.971653343316973</v>
      </c>
      <c r="G28" s="10">
        <f t="shared" si="4"/>
        <v>17.085478623940162</v>
      </c>
      <c r="H28" s="10">
        <f t="shared" si="4"/>
        <v>10.593400499033899</v>
      </c>
      <c r="I28" s="10">
        <f t="shared" si="4"/>
        <v>17.565242100560962</v>
      </c>
      <c r="J28" s="10">
        <f t="shared" si="4"/>
        <v>14.139033832688099</v>
      </c>
      <c r="K28" s="10">
        <f t="shared" si="4"/>
        <v>17.314234208072872</v>
      </c>
      <c r="L28" s="10">
        <f t="shared" si="4"/>
        <v>13.389864046466448</v>
      </c>
      <c r="M28" s="20">
        <f t="shared" si="4"/>
        <v>22.406912459268483</v>
      </c>
      <c r="N28" s="10">
        <f t="shared" si="4"/>
        <v>20.151954870055761</v>
      </c>
      <c r="O28" s="10">
        <f t="shared" si="4"/>
        <v>14.218385553177677</v>
      </c>
      <c r="P28" s="10">
        <f t="shared" si="4"/>
        <v>12.55504544176895</v>
      </c>
      <c r="Q28" s="10">
        <f t="shared" si="4"/>
        <v>15.330288691521567</v>
      </c>
      <c r="R28" s="10">
        <f t="shared" si="4"/>
        <v>16.745411247441897</v>
      </c>
      <c r="S28" s="10">
        <f t="shared" si="4"/>
        <v>8.2423498720968524</v>
      </c>
    </row>
    <row r="29" spans="1:19" s="9" customFormat="1">
      <c r="A29" s="38" t="s">
        <v>8</v>
      </c>
      <c r="B29" s="10">
        <f t="shared" si="4"/>
        <v>28.365882454574255</v>
      </c>
      <c r="C29" s="10">
        <f t="shared" si="4"/>
        <v>24.854117581694226</v>
      </c>
      <c r="D29" s="10">
        <f t="shared" si="4"/>
        <v>30.363116817283249</v>
      </c>
      <c r="E29" s="10">
        <f t="shared" si="4"/>
        <v>24.844473017370625</v>
      </c>
      <c r="F29" s="10">
        <f t="shared" si="4"/>
        <v>21.806581581248693</v>
      </c>
      <c r="G29" s="10">
        <f t="shared" si="4"/>
        <v>36.271420886805501</v>
      </c>
      <c r="H29" s="10">
        <f t="shared" si="4"/>
        <v>32.685120617634205</v>
      </c>
      <c r="I29" s="10">
        <f t="shared" si="4"/>
        <v>41.995242100560958</v>
      </c>
      <c r="J29" s="10">
        <f t="shared" si="4"/>
        <v>20.871907086349101</v>
      </c>
      <c r="K29" s="10">
        <f t="shared" si="4"/>
        <v>24.22057543291201</v>
      </c>
      <c r="L29" s="10">
        <f t="shared" si="4"/>
        <v>31.955876062824046</v>
      </c>
      <c r="M29" s="20">
        <f t="shared" si="4"/>
        <v>48.830750401431033</v>
      </c>
      <c r="N29" s="10">
        <f t="shared" si="4"/>
        <v>40.763590451117452</v>
      </c>
      <c r="O29" s="10">
        <f t="shared" si="4"/>
        <v>25.709957438622652</v>
      </c>
      <c r="P29" s="10">
        <f t="shared" si="4"/>
        <v>29.072024199917013</v>
      </c>
      <c r="Q29" s="10">
        <f t="shared" si="4"/>
        <v>30.940288691521566</v>
      </c>
      <c r="R29" s="10">
        <f t="shared" si="4"/>
        <v>34.233962047285061</v>
      </c>
      <c r="S29" s="10">
        <f t="shared" si="4"/>
        <v>11.458924093913838</v>
      </c>
    </row>
    <row r="30" spans="1:19" s="9" customFormat="1">
      <c r="A30" s="39"/>
      <c r="B30" s="10"/>
      <c r="C30" s="10"/>
      <c r="D30" s="10"/>
      <c r="E30" s="10"/>
      <c r="F30" s="10"/>
      <c r="G30" s="10"/>
      <c r="H30" s="10"/>
      <c r="I30" s="10"/>
      <c r="J30" s="10"/>
      <c r="K30" s="10"/>
      <c r="L30" s="10"/>
      <c r="M30" s="20"/>
      <c r="N30" s="10"/>
      <c r="O30" s="10"/>
      <c r="P30" s="10"/>
      <c r="Q30" s="10"/>
      <c r="R30" s="10"/>
      <c r="S30" s="10"/>
    </row>
    <row r="31" spans="1:19" s="9" customFormat="1">
      <c r="A31" s="38" t="s">
        <v>14</v>
      </c>
      <c r="B31" s="10"/>
      <c r="C31" s="10"/>
      <c r="D31" s="10"/>
      <c r="E31" s="10"/>
      <c r="F31" s="10"/>
      <c r="G31" s="10"/>
      <c r="H31" s="10"/>
      <c r="I31" s="10"/>
      <c r="J31" s="10"/>
      <c r="K31" s="10"/>
      <c r="L31" s="10"/>
      <c r="M31" s="20"/>
      <c r="N31" s="10"/>
      <c r="O31" s="10"/>
      <c r="P31" s="10"/>
      <c r="Q31" s="10"/>
      <c r="R31" s="10"/>
      <c r="S31" s="10"/>
    </row>
    <row r="32" spans="1:19" s="9" customFormat="1">
      <c r="A32" s="38" t="s">
        <v>67</v>
      </c>
      <c r="B32" s="10">
        <f t="shared" ref="B32:S35" si="5">+B$15-B26</f>
        <v>11.128782525678314</v>
      </c>
      <c r="C32" s="10">
        <f t="shared" si="5"/>
        <v>12.799250235498107</v>
      </c>
      <c r="D32" s="10">
        <f t="shared" si="5"/>
        <v>5.9455572281188633</v>
      </c>
      <c r="E32" s="10">
        <f t="shared" si="5"/>
        <v>-8.7457182421106339E-2</v>
      </c>
      <c r="F32" s="10">
        <f t="shared" si="5"/>
        <v>6.9481127316706655</v>
      </c>
      <c r="G32" s="10">
        <f t="shared" si="5"/>
        <v>9.8247996447996471</v>
      </c>
      <c r="H32" s="10">
        <f t="shared" si="5"/>
        <v>14.073928318369267</v>
      </c>
      <c r="I32" s="10">
        <f t="shared" si="5"/>
        <v>13.28</v>
      </c>
      <c r="J32" s="10">
        <f t="shared" si="5"/>
        <v>5.0383375413791178</v>
      </c>
      <c r="K32" s="10">
        <f t="shared" si="5"/>
        <v>2.7799999999999994</v>
      </c>
      <c r="L32" s="10">
        <f t="shared" si="5"/>
        <v>10.044311817683953</v>
      </c>
      <c r="M32" s="20">
        <f t="shared" si="5"/>
        <v>7.5844574273893635</v>
      </c>
      <c r="N32" s="10">
        <f t="shared" si="5"/>
        <v>6.4005515467999565</v>
      </c>
      <c r="O32" s="10">
        <f t="shared" si="5"/>
        <v>9.7386202419025185</v>
      </c>
      <c r="P32" s="10">
        <f t="shared" si="5"/>
        <v>11.591331932379436</v>
      </c>
      <c r="Q32" s="10">
        <f t="shared" si="5"/>
        <v>9.8957062572131065</v>
      </c>
      <c r="R32" s="10">
        <f t="shared" si="5"/>
        <v>9.9255889032090057</v>
      </c>
      <c r="S32" s="10">
        <f t="shared" si="5"/>
        <v>2.9272831345135923</v>
      </c>
    </row>
    <row r="33" spans="1:19" s="9" customFormat="1">
      <c r="A33" s="38" t="s">
        <v>68</v>
      </c>
      <c r="B33" s="10">
        <f t="shared" si="5"/>
        <v>8.0092014415739481</v>
      </c>
      <c r="C33" s="10">
        <f t="shared" si="5"/>
        <v>10.8762611048013</v>
      </c>
      <c r="D33" s="10">
        <f t="shared" si="5"/>
        <v>4.0206001032255152</v>
      </c>
      <c r="E33" s="10">
        <f t="shared" si="5"/>
        <v>-1.8970303692919455</v>
      </c>
      <c r="F33" s="10">
        <f t="shared" si="5"/>
        <v>4.1991266093089266</v>
      </c>
      <c r="G33" s="10">
        <f t="shared" si="5"/>
        <v>8.2366442104903665</v>
      </c>
      <c r="H33" s="10">
        <f t="shared" si="5"/>
        <v>12.530956944113935</v>
      </c>
      <c r="I33" s="10">
        <f t="shared" si="5"/>
        <v>9.0399999999999991</v>
      </c>
      <c r="J33" s="10">
        <f t="shared" si="5"/>
        <v>1.2390733482418383</v>
      </c>
      <c r="K33" s="10">
        <f t="shared" si="5"/>
        <v>0.48743859756377184</v>
      </c>
      <c r="L33" s="10">
        <f t="shared" si="5"/>
        <v>8.0349697592331282</v>
      </c>
      <c r="M33" s="20">
        <f t="shared" si="5"/>
        <v>4.6345277758890298</v>
      </c>
      <c r="N33" s="10">
        <f t="shared" si="5"/>
        <v>2.1801005268576255</v>
      </c>
      <c r="O33" s="10">
        <f t="shared" si="5"/>
        <v>6.881958304277779</v>
      </c>
      <c r="P33" s="10">
        <f t="shared" si="5"/>
        <v>9.155278339200386</v>
      </c>
      <c r="Q33" s="10">
        <f t="shared" si="5"/>
        <v>7.0157062572131075</v>
      </c>
      <c r="R33" s="10">
        <f t="shared" si="5"/>
        <v>6.2594337780294182</v>
      </c>
      <c r="S33" s="10">
        <f t="shared" si="5"/>
        <v>1.7872831345135918</v>
      </c>
    </row>
    <row r="34" spans="1:19" s="9" customFormat="1">
      <c r="A34" s="38" t="s">
        <v>69</v>
      </c>
      <c r="B34" s="10">
        <f t="shared" si="5"/>
        <v>5.0060316623509529</v>
      </c>
      <c r="C34" s="10">
        <f t="shared" si="5"/>
        <v>8.4776940170504425</v>
      </c>
      <c r="D34" s="10">
        <f t="shared" si="5"/>
        <v>2.5697703489955543</v>
      </c>
      <c r="E34" s="10">
        <f t="shared" si="5"/>
        <v>-4.5510710433691752</v>
      </c>
      <c r="F34" s="10">
        <f t="shared" si="5"/>
        <v>2.8511592688513119</v>
      </c>
      <c r="G34" s="10">
        <f t="shared" si="5"/>
        <v>5.8373341188725831</v>
      </c>
      <c r="H34" s="10">
        <f t="shared" si="5"/>
        <v>8.6765995009661001</v>
      </c>
      <c r="I34" s="10">
        <f t="shared" si="5"/>
        <v>4.7747578994390381</v>
      </c>
      <c r="J34" s="10">
        <f t="shared" si="5"/>
        <v>-0.9090338326880989</v>
      </c>
      <c r="K34" s="10">
        <f t="shared" si="5"/>
        <v>-2.4642342080728721</v>
      </c>
      <c r="L34" s="10">
        <f t="shared" si="5"/>
        <v>6.4881535343521524</v>
      </c>
      <c r="M34" s="20">
        <f t="shared" si="5"/>
        <v>1.5590692030482565</v>
      </c>
      <c r="N34" s="10">
        <f t="shared" si="5"/>
        <v>-0.19565004728209701</v>
      </c>
      <c r="O34" s="10">
        <f t="shared" si="5"/>
        <v>4.2200687714910909</v>
      </c>
      <c r="P34" s="10">
        <f t="shared" si="5"/>
        <v>6.3176774504423712</v>
      </c>
      <c r="Q34" s="10">
        <f t="shared" si="5"/>
        <v>5.9954175656915396</v>
      </c>
      <c r="R34" s="10">
        <f t="shared" si="5"/>
        <v>3.5345887525581041</v>
      </c>
      <c r="S34" s="10">
        <f t="shared" si="5"/>
        <v>0.44493326241673969</v>
      </c>
    </row>
    <row r="35" spans="1:19" s="9" customFormat="1">
      <c r="A35" s="38" t="s">
        <v>70</v>
      </c>
      <c r="B35" s="10">
        <f t="shared" si="5"/>
        <v>-9.8389548367375426</v>
      </c>
      <c r="C35" s="10">
        <f t="shared" si="5"/>
        <v>-2.9361769522467398</v>
      </c>
      <c r="D35" s="10">
        <f t="shared" si="5"/>
        <v>-8.9610073055379971</v>
      </c>
      <c r="E35" s="10">
        <f t="shared" si="5"/>
        <v>-13.598936977723369</v>
      </c>
      <c r="F35" s="10">
        <f t="shared" si="5"/>
        <v>-5.9837689690804083</v>
      </c>
      <c r="G35" s="10">
        <f t="shared" si="5"/>
        <v>-13.348608143992756</v>
      </c>
      <c r="H35" s="10">
        <f t="shared" si="5"/>
        <v>-13.415120617634205</v>
      </c>
      <c r="I35" s="10">
        <f t="shared" si="5"/>
        <v>-19.655242100560958</v>
      </c>
      <c r="J35" s="10">
        <f t="shared" si="5"/>
        <v>-7.6419070863491001</v>
      </c>
      <c r="K35" s="10">
        <f t="shared" si="5"/>
        <v>-9.3705754329120108</v>
      </c>
      <c r="L35" s="10">
        <f t="shared" si="5"/>
        <v>-12.077858482005446</v>
      </c>
      <c r="M35" s="20">
        <f t="shared" si="5"/>
        <v>-24.864768739114293</v>
      </c>
      <c r="N35" s="10">
        <f t="shared" si="5"/>
        <v>-20.807285628343788</v>
      </c>
      <c r="O35" s="10">
        <f t="shared" si="5"/>
        <v>-7.2715031139538837</v>
      </c>
      <c r="P35" s="10">
        <f t="shared" si="5"/>
        <v>-10.199301307705692</v>
      </c>
      <c r="Q35" s="10">
        <f t="shared" si="5"/>
        <v>-9.6145824343084598</v>
      </c>
      <c r="R35" s="10">
        <f t="shared" si="5"/>
        <v>-13.95396204728506</v>
      </c>
      <c r="S35" s="10">
        <f t="shared" si="5"/>
        <v>-2.771640959400246</v>
      </c>
    </row>
    <row r="36" spans="1:19" s="9" customFormat="1">
      <c r="A36" s="41" t="s">
        <v>112</v>
      </c>
      <c r="B36" s="10">
        <f>+B15-B18-B19-B20-B21</f>
        <v>8.0092014415739481</v>
      </c>
      <c r="C36" s="10">
        <f t="shared" ref="C36:S36" si="6">+C15-C18-C19-C20-C21</f>
        <v>10.8762611048013</v>
      </c>
      <c r="D36" s="10">
        <f t="shared" si="6"/>
        <v>4.0206001032255161</v>
      </c>
      <c r="E36" s="10">
        <f t="shared" si="6"/>
        <v>-1.8970303692919439</v>
      </c>
      <c r="F36" s="10">
        <f t="shared" si="6"/>
        <v>4.1991266093089266</v>
      </c>
      <c r="G36" s="10">
        <f t="shared" si="6"/>
        <v>8.2366442104903665</v>
      </c>
      <c r="H36" s="10">
        <f t="shared" si="6"/>
        <v>12.530956944113935</v>
      </c>
      <c r="I36" s="10">
        <f t="shared" si="6"/>
        <v>9.0399999999999991</v>
      </c>
      <c r="J36" s="10">
        <f t="shared" si="6"/>
        <v>1.2390733482418392</v>
      </c>
      <c r="K36" s="10">
        <f t="shared" si="6"/>
        <v>0.48743859756377139</v>
      </c>
      <c r="L36" s="10">
        <f t="shared" si="6"/>
        <v>8.0349697592331282</v>
      </c>
      <c r="M36" s="10">
        <f>+M15-M18-M19-M20-M21</f>
        <v>4.6345277758890315</v>
      </c>
      <c r="N36" s="10">
        <f t="shared" si="6"/>
        <v>2.1801005268576272</v>
      </c>
      <c r="O36" s="10">
        <f t="shared" si="6"/>
        <v>6.881958304277779</v>
      </c>
      <c r="P36" s="10">
        <f t="shared" si="6"/>
        <v>9.155278339200386</v>
      </c>
      <c r="Q36" s="10">
        <f t="shared" si="6"/>
        <v>7.0157062572131066</v>
      </c>
      <c r="R36" s="10">
        <f t="shared" si="6"/>
        <v>6.2594337780294182</v>
      </c>
      <c r="S36" s="10">
        <f t="shared" si="6"/>
        <v>1.7872831345135918</v>
      </c>
    </row>
    <row r="37" spans="1:19" s="9" customFormat="1">
      <c r="A37" s="38" t="s">
        <v>105</v>
      </c>
      <c r="B37" s="31">
        <f>+(B34+B22)/B22</f>
        <v>2.6669159689154025</v>
      </c>
      <c r="C37" s="31">
        <f t="shared" ref="C37:S37" si="7">+(C34+C22)/C22</f>
        <v>4.5344827586206904</v>
      </c>
      <c r="D37" s="31">
        <f t="shared" si="7"/>
        <v>2.7712418300653607</v>
      </c>
      <c r="E37" s="31">
        <f t="shared" si="7"/>
        <v>-0.71477064681818181</v>
      </c>
      <c r="F37" s="31">
        <f t="shared" si="7"/>
        <v>3.1151545614475995</v>
      </c>
      <c r="G37" s="31">
        <f t="shared" si="7"/>
        <v>3.4329219217081861</v>
      </c>
      <c r="H37" s="31">
        <f t="shared" si="7"/>
        <v>3.2511143890899654</v>
      </c>
      <c r="I37" s="31">
        <f t="shared" si="7"/>
        <v>2.1194576502025684</v>
      </c>
      <c r="J37" s="31">
        <f t="shared" si="7"/>
        <v>0.57682100746268694</v>
      </c>
      <c r="K37" s="31">
        <f t="shared" si="7"/>
        <v>0.16513977993527523</v>
      </c>
      <c r="L37" s="31">
        <f t="shared" si="7"/>
        <v>5.1945212559762242</v>
      </c>
      <c r="M37" s="31">
        <f>+(M34+M22)/M22</f>
        <v>1.5069387755102026</v>
      </c>
      <c r="N37" s="31">
        <f t="shared" si="7"/>
        <v>0.91764705882352848</v>
      </c>
      <c r="O37" s="31">
        <f t="shared" si="7"/>
        <v>2.5853658536585362</v>
      </c>
      <c r="P37" s="31">
        <f t="shared" si="7"/>
        <v>3.2264150943396226</v>
      </c>
      <c r="Q37" s="31">
        <f t="shared" si="7"/>
        <v>6.8761972131147546</v>
      </c>
      <c r="R37" s="31">
        <f t="shared" si="7"/>
        <v>2.2971705618181821</v>
      </c>
      <c r="S37" s="31">
        <f t="shared" si="7"/>
        <v>1.33145849056604</v>
      </c>
    </row>
    <row r="38" spans="1:19" s="9" customFormat="1">
      <c r="A38" s="39"/>
      <c r="B38" s="8"/>
      <c r="C38" s="8"/>
      <c r="D38" s="8"/>
      <c r="E38" s="8"/>
      <c r="F38" s="8"/>
      <c r="G38" s="8"/>
      <c r="H38" s="8"/>
      <c r="I38" s="8"/>
      <c r="J38" s="8"/>
      <c r="K38" s="8"/>
      <c r="L38" s="8"/>
      <c r="M38" s="19"/>
      <c r="N38" s="8"/>
      <c r="O38" s="8"/>
      <c r="P38" s="8"/>
      <c r="Q38" s="8"/>
      <c r="R38" s="8"/>
      <c r="S38" s="8"/>
    </row>
    <row r="39" spans="1:19" s="9" customFormat="1">
      <c r="A39" s="38" t="s">
        <v>53</v>
      </c>
      <c r="B39" s="8"/>
      <c r="C39" s="8"/>
      <c r="D39" s="8"/>
      <c r="E39" s="8"/>
      <c r="F39" s="8"/>
      <c r="G39" s="8"/>
      <c r="H39" s="8"/>
      <c r="I39" s="8"/>
      <c r="J39" s="8"/>
      <c r="K39" s="8"/>
      <c r="L39" s="8"/>
      <c r="M39" s="19"/>
      <c r="N39" s="8"/>
      <c r="O39" s="8"/>
      <c r="P39" s="8"/>
      <c r="Q39" s="8"/>
      <c r="R39" s="8"/>
      <c r="S39" s="8"/>
    </row>
    <row r="40" spans="1:19" s="9" customFormat="1">
      <c r="A40" s="38" t="s">
        <v>54</v>
      </c>
      <c r="B40" s="12">
        <f t="shared" ref="B40:S41" si="8">+B44/B$47*100</f>
        <v>38.097157831082448</v>
      </c>
      <c r="C40" s="12">
        <f t="shared" si="8"/>
        <v>52.175843764122064</v>
      </c>
      <c r="D40" s="12">
        <f t="shared" si="8"/>
        <v>64.75622794550911</v>
      </c>
      <c r="E40" s="12">
        <f t="shared" si="8"/>
        <v>73.937962952502531</v>
      </c>
      <c r="F40" s="12">
        <f t="shared" si="8"/>
        <v>28.429678010724075</v>
      </c>
      <c r="G40" s="12">
        <f t="shared" si="8"/>
        <v>49.106449106449105</v>
      </c>
      <c r="H40" s="12">
        <f t="shared" si="8"/>
        <v>63.460888553825356</v>
      </c>
      <c r="I40" s="12">
        <f t="shared" si="8"/>
        <v>63.815555210362177</v>
      </c>
      <c r="J40" s="12">
        <f t="shared" si="8"/>
        <v>41.575492341356671</v>
      </c>
      <c r="K40" s="12">
        <f t="shared" si="8"/>
        <v>20.99269819193324</v>
      </c>
      <c r="L40" s="12">
        <f t="shared" si="8"/>
        <v>48.726809748999642</v>
      </c>
      <c r="M40" s="21">
        <f t="shared" si="8"/>
        <v>59.400285578296042</v>
      </c>
      <c r="N40" s="12">
        <f t="shared" si="8"/>
        <v>58.245019075879611</v>
      </c>
      <c r="O40" s="12">
        <f t="shared" si="8"/>
        <v>45.951859956236326</v>
      </c>
      <c r="P40" s="12">
        <f t="shared" si="8"/>
        <v>31.425091352009744</v>
      </c>
      <c r="Q40" s="12">
        <f t="shared" si="8"/>
        <v>63.470319634703202</v>
      </c>
      <c r="R40" s="12">
        <f t="shared" si="8"/>
        <v>55.36380747714815</v>
      </c>
      <c r="S40" s="12">
        <f t="shared" si="8"/>
        <v>1.5373705138920555</v>
      </c>
    </row>
    <row r="41" spans="1:19" s="9" customFormat="1">
      <c r="A41" s="38" t="s">
        <v>55</v>
      </c>
      <c r="B41" s="12">
        <f t="shared" si="8"/>
        <v>15.480749848820805</v>
      </c>
      <c r="C41" s="12">
        <f t="shared" si="8"/>
        <v>12.211808072023949</v>
      </c>
      <c r="D41" s="12">
        <f t="shared" si="8"/>
        <v>0</v>
      </c>
      <c r="E41" s="12">
        <f t="shared" si="8"/>
        <v>0.45490320126830625</v>
      </c>
      <c r="F41" s="12">
        <f t="shared" si="8"/>
        <v>22.974953192661268</v>
      </c>
      <c r="G41" s="12">
        <f t="shared" si="8"/>
        <v>10.8003108003108</v>
      </c>
      <c r="H41" s="12">
        <f t="shared" si="8"/>
        <v>0</v>
      </c>
      <c r="I41" s="12">
        <f t="shared" si="8"/>
        <v>0</v>
      </c>
      <c r="J41" s="12">
        <f t="shared" si="8"/>
        <v>19.985412107950403</v>
      </c>
      <c r="K41" s="12">
        <f t="shared" si="8"/>
        <v>13.117176634214184</v>
      </c>
      <c r="L41" s="12">
        <f t="shared" si="8"/>
        <v>14.441615132775556</v>
      </c>
      <c r="M41" s="21">
        <f t="shared" si="8"/>
        <v>13.422179914326509</v>
      </c>
      <c r="N41" s="12">
        <f t="shared" si="8"/>
        <v>12.208562950402712</v>
      </c>
      <c r="O41" s="12">
        <f t="shared" si="8"/>
        <v>16.411378555798688</v>
      </c>
      <c r="P41" s="12">
        <f t="shared" si="8"/>
        <v>12.911084043848964</v>
      </c>
      <c r="Q41" s="12">
        <f t="shared" si="8"/>
        <v>11.56773211567732</v>
      </c>
      <c r="R41" s="12">
        <f t="shared" si="8"/>
        <v>17.687276224682627</v>
      </c>
      <c r="S41" s="12">
        <f t="shared" si="8"/>
        <v>8.5505154116961766</v>
      </c>
    </row>
    <row r="42" spans="1:19" s="9" customFormat="1">
      <c r="A42" s="38" t="s">
        <v>56</v>
      </c>
      <c r="B42" s="12">
        <f t="shared" ref="B42:S42" si="9">+(B46/6)/B$47*100</f>
        <v>46.422092320096759</v>
      </c>
      <c r="C42" s="12">
        <f t="shared" si="9"/>
        <v>35.612348163853994</v>
      </c>
      <c r="D42" s="12">
        <f t="shared" si="9"/>
        <v>35.243772054490904</v>
      </c>
      <c r="E42" s="12">
        <f t="shared" si="9"/>
        <v>25.607133846229164</v>
      </c>
      <c r="F42" s="12">
        <f t="shared" si="9"/>
        <v>48.595368796614665</v>
      </c>
      <c r="G42" s="12">
        <f t="shared" si="9"/>
        <v>40.093240093240098</v>
      </c>
      <c r="H42" s="12">
        <f t="shared" si="9"/>
        <v>36.539111446174644</v>
      </c>
      <c r="I42" s="12">
        <f t="shared" si="9"/>
        <v>36.184444789637823</v>
      </c>
      <c r="J42" s="12">
        <f t="shared" si="9"/>
        <v>38.439095550692926</v>
      </c>
      <c r="K42" s="12">
        <f t="shared" si="9"/>
        <v>65.890125173852567</v>
      </c>
      <c r="L42" s="12">
        <f t="shared" si="9"/>
        <v>36.831575118224812</v>
      </c>
      <c r="M42" s="21">
        <f t="shared" si="9"/>
        <v>27.177534507377437</v>
      </c>
      <c r="N42" s="12">
        <f t="shared" si="9"/>
        <v>29.546417973717677</v>
      </c>
      <c r="O42" s="12">
        <f t="shared" si="9"/>
        <v>37.636761487964989</v>
      </c>
      <c r="P42" s="12">
        <f t="shared" si="9"/>
        <v>55.66382460414129</v>
      </c>
      <c r="Q42" s="12">
        <f t="shared" si="9"/>
        <v>24.961948249619482</v>
      </c>
      <c r="R42" s="12">
        <f t="shared" si="9"/>
        <v>26.948916298169223</v>
      </c>
      <c r="S42" s="12">
        <f t="shared" si="9"/>
        <v>89.912114074411761</v>
      </c>
    </row>
    <row r="43" spans="1:19" s="9" customFormat="1">
      <c r="A43" s="38"/>
      <c r="B43" s="12"/>
      <c r="C43" s="12"/>
      <c r="D43" s="12"/>
      <c r="E43" s="12"/>
      <c r="F43" s="12"/>
      <c r="G43" s="12"/>
      <c r="H43" s="12"/>
      <c r="I43" s="12"/>
      <c r="J43" s="12"/>
      <c r="K43" s="12"/>
      <c r="L43" s="12"/>
      <c r="M43" s="21"/>
      <c r="N43" s="12"/>
      <c r="O43" s="12"/>
      <c r="P43" s="12"/>
      <c r="Q43" s="12"/>
      <c r="R43" s="12"/>
      <c r="S43" s="12"/>
    </row>
    <row r="44" spans="1:19" s="9" customFormat="1">
      <c r="A44" s="38" t="s">
        <v>62</v>
      </c>
      <c r="B44" s="12">
        <v>315</v>
      </c>
      <c r="C44" s="12">
        <v>277.29000000000002</v>
      </c>
      <c r="D44" s="12">
        <f>546.927</f>
        <v>546.92700000000002</v>
      </c>
      <c r="E44" s="12">
        <f>137.975+31.247+27.121</f>
        <v>196.34299999999999</v>
      </c>
      <c r="F44" s="12">
        <v>46.11</v>
      </c>
      <c r="G44" s="12">
        <f>605+27</f>
        <v>632</v>
      </c>
      <c r="H44" s="12">
        <v>146.46899999999999</v>
      </c>
      <c r="I44" s="12">
        <v>89.010999999999996</v>
      </c>
      <c r="J44" s="12">
        <v>285</v>
      </c>
      <c r="K44" s="12">
        <v>80.5</v>
      </c>
      <c r="L44" s="12">
        <v>267.89999999999998</v>
      </c>
      <c r="M44" s="21">
        <v>208</v>
      </c>
      <c r="N44" s="12">
        <f>147+23+59</f>
        <v>229</v>
      </c>
      <c r="O44" s="12">
        <v>77.777777777777771</v>
      </c>
      <c r="P44" s="12">
        <v>129</v>
      </c>
      <c r="Q44" s="12">
        <f>197+182+38</f>
        <v>417</v>
      </c>
      <c r="R44" s="12">
        <v>122.80200000000001</v>
      </c>
      <c r="S44" s="12">
        <v>6.6703296703296706</v>
      </c>
    </row>
    <row r="45" spans="1:19" s="9" customFormat="1">
      <c r="A45" s="38" t="s">
        <v>63</v>
      </c>
      <c r="B45" s="12">
        <v>128</v>
      </c>
      <c r="C45" s="12">
        <f>342.19-C44</f>
        <v>64.899999999999977</v>
      </c>
      <c r="D45" s="12">
        <v>0</v>
      </c>
      <c r="E45" s="12">
        <f>1.208</f>
        <v>1.208</v>
      </c>
      <c r="F45" s="12">
        <v>37.262999999999998</v>
      </c>
      <c r="G45" s="12">
        <v>139</v>
      </c>
      <c r="H45" s="12">
        <v>0</v>
      </c>
      <c r="I45" s="12"/>
      <c r="J45" s="12">
        <v>137</v>
      </c>
      <c r="K45" s="12">
        <v>50.3</v>
      </c>
      <c r="L45" s="12">
        <v>79.400000000000006</v>
      </c>
      <c r="M45" s="21">
        <v>47</v>
      </c>
      <c r="N45" s="12">
        <f>39+9</f>
        <v>48</v>
      </c>
      <c r="O45" s="12">
        <v>27.777777777777779</v>
      </c>
      <c r="P45" s="12">
        <v>53</v>
      </c>
      <c r="Q45" s="12">
        <f>54+22</f>
        <v>76</v>
      </c>
      <c r="R45" s="12">
        <v>39.231999999999999</v>
      </c>
      <c r="S45" s="12">
        <v>37.098901098901102</v>
      </c>
    </row>
    <row r="46" spans="1:19" s="9" customFormat="1">
      <c r="A46" s="38" t="s">
        <v>64</v>
      </c>
      <c r="B46" s="12">
        <v>2303</v>
      </c>
      <c r="C46" s="12">
        <v>1135.577</v>
      </c>
      <c r="D46" s="12">
        <v>1786</v>
      </c>
      <c r="E46" s="12">
        <f>408</f>
        <v>408</v>
      </c>
      <c r="F46" s="12">
        <v>472.9</v>
      </c>
      <c r="G46" s="12">
        <v>3096</v>
      </c>
      <c r="H46" s="12">
        <v>505.99799999999999</v>
      </c>
      <c r="I46" s="12">
        <v>302.82400000000001</v>
      </c>
      <c r="J46" s="12">
        <v>1581</v>
      </c>
      <c r="K46" s="12">
        <v>1516</v>
      </c>
      <c r="L46" s="12">
        <v>1215</v>
      </c>
      <c r="M46" s="21">
        <v>571</v>
      </c>
      <c r="N46" s="12">
        <f>315+382</f>
        <v>697</v>
      </c>
      <c r="O46" s="12">
        <f>34400/90</f>
        <v>382.22222222222223</v>
      </c>
      <c r="P46" s="12">
        <v>1371</v>
      </c>
      <c r="Q46" s="12">
        <f>388+588+8</f>
        <v>984</v>
      </c>
      <c r="R46" s="12">
        <v>358.65100000000001</v>
      </c>
      <c r="S46" s="12">
        <f>2.34065934065934*1000</f>
        <v>2340.6593406593397</v>
      </c>
    </row>
    <row r="47" spans="1:19" s="9" customFormat="1">
      <c r="A47" s="38" t="s">
        <v>65</v>
      </c>
      <c r="B47" s="12">
        <f t="shared" ref="B47:S47" si="10">+B44+B45+B46/6</f>
        <v>826.83333333333326</v>
      </c>
      <c r="C47" s="12">
        <f t="shared" si="10"/>
        <v>531.45283333333327</v>
      </c>
      <c r="D47" s="12">
        <f t="shared" si="10"/>
        <v>844.59366666666665</v>
      </c>
      <c r="E47" s="12">
        <f t="shared" si="10"/>
        <v>265.55099999999999</v>
      </c>
      <c r="F47" s="12">
        <f t="shared" si="10"/>
        <v>162.18966666666665</v>
      </c>
      <c r="G47" s="12">
        <f t="shared" si="10"/>
        <v>1287</v>
      </c>
      <c r="H47" s="12">
        <f t="shared" si="10"/>
        <v>230.80199999999999</v>
      </c>
      <c r="I47" s="12">
        <f t="shared" si="10"/>
        <v>139.48166666666665</v>
      </c>
      <c r="J47" s="12">
        <f t="shared" si="10"/>
        <v>685.5</v>
      </c>
      <c r="K47" s="12">
        <f t="shared" si="10"/>
        <v>383.4666666666667</v>
      </c>
      <c r="L47" s="12">
        <f t="shared" si="10"/>
        <v>549.79999999999995</v>
      </c>
      <c r="M47" s="21">
        <f t="shared" si="10"/>
        <v>350.16666666666669</v>
      </c>
      <c r="N47" s="12">
        <f t="shared" si="10"/>
        <v>393.16666666666669</v>
      </c>
      <c r="O47" s="12">
        <f t="shared" si="10"/>
        <v>169.25925925925924</v>
      </c>
      <c r="P47" s="12">
        <f t="shared" si="10"/>
        <v>410.5</v>
      </c>
      <c r="Q47" s="12">
        <f t="shared" si="10"/>
        <v>657</v>
      </c>
      <c r="R47" s="12">
        <f t="shared" si="10"/>
        <v>221.80916666666667</v>
      </c>
      <c r="S47" s="12">
        <f t="shared" si="10"/>
        <v>433.87912087912071</v>
      </c>
    </row>
    <row r="48" spans="1:19" s="9" customFormat="1">
      <c r="A48" s="38" t="s">
        <v>66</v>
      </c>
      <c r="B48" s="12">
        <f>+B47*0.091</f>
        <v>75.241833333333318</v>
      </c>
      <c r="C48" s="12">
        <f>+C47*0.091</f>
        <v>48.362207833333329</v>
      </c>
      <c r="D48" s="12">
        <f t="shared" ref="D48:S48" si="11">+D47*0.091</f>
        <v>76.858023666666668</v>
      </c>
      <c r="E48" s="12">
        <f t="shared" si="11"/>
        <v>24.165140999999998</v>
      </c>
      <c r="F48" s="12">
        <f t="shared" si="11"/>
        <v>14.759259666666665</v>
      </c>
      <c r="G48" s="12">
        <f t="shared" si="11"/>
        <v>117.11699999999999</v>
      </c>
      <c r="H48" s="12">
        <f t="shared" si="11"/>
        <v>21.002981999999999</v>
      </c>
      <c r="I48" s="12">
        <f t="shared" si="11"/>
        <v>12.692831666666665</v>
      </c>
      <c r="J48" s="12">
        <f t="shared" si="11"/>
        <v>62.380499999999998</v>
      </c>
      <c r="K48" s="12">
        <f t="shared" si="11"/>
        <v>34.895466666666671</v>
      </c>
      <c r="L48" s="12">
        <f t="shared" si="11"/>
        <v>50.031799999999997</v>
      </c>
      <c r="M48" s="12">
        <f t="shared" si="11"/>
        <v>31.865166666666667</v>
      </c>
      <c r="N48" s="12">
        <f t="shared" si="11"/>
        <v>35.778166666666671</v>
      </c>
      <c r="O48" s="12">
        <f t="shared" si="11"/>
        <v>15.40259259259259</v>
      </c>
      <c r="P48" s="12">
        <f t="shared" si="11"/>
        <v>37.355499999999999</v>
      </c>
      <c r="Q48" s="12">
        <f t="shared" si="11"/>
        <v>59.786999999999999</v>
      </c>
      <c r="R48" s="12">
        <f t="shared" si="11"/>
        <v>20.184634166666665</v>
      </c>
      <c r="S48" s="12">
        <f t="shared" si="11"/>
        <v>39.482999999999983</v>
      </c>
    </row>
    <row r="49" spans="1:19" s="9" customFormat="1">
      <c r="A49" s="38"/>
      <c r="B49" s="12"/>
      <c r="C49" s="12"/>
      <c r="D49" s="12"/>
      <c r="E49" s="12"/>
      <c r="F49" s="12"/>
      <c r="G49" s="12"/>
      <c r="H49" s="12"/>
      <c r="I49" s="12" t="s">
        <v>131</v>
      </c>
      <c r="J49" s="12"/>
      <c r="K49" s="12"/>
      <c r="L49" s="12"/>
      <c r="M49" s="12"/>
      <c r="N49" s="12"/>
      <c r="O49" s="12"/>
      <c r="P49" s="12"/>
      <c r="Q49" s="12"/>
      <c r="R49" s="12"/>
      <c r="S49" s="12"/>
    </row>
    <row r="50" spans="1:19" s="9" customFormat="1">
      <c r="A50" s="38" t="s">
        <v>106</v>
      </c>
      <c r="B50" s="12">
        <f>+B36*B48*4</f>
        <v>2410.5079999999998</v>
      </c>
      <c r="C50" s="12">
        <f t="shared" ref="C50:S50" si="12">+C36*C48*4</f>
        <v>2104</v>
      </c>
      <c r="D50" s="12">
        <f t="shared" si="12"/>
        <v>1236.0615115516366</v>
      </c>
      <c r="E50" s="12">
        <f t="shared" si="12"/>
        <v>-183.36802542088756</v>
      </c>
      <c r="F50" s="12">
        <f t="shared" si="12"/>
        <v>247.90399999999997</v>
      </c>
      <c r="G50" s="12">
        <f t="shared" si="12"/>
        <v>3858.6042400000006</v>
      </c>
      <c r="H50" s="12">
        <f t="shared" si="12"/>
        <v>1052.7498525599999</v>
      </c>
      <c r="I50" s="12">
        <f t="shared" si="12"/>
        <v>458.97279306666655</v>
      </c>
      <c r="J50" s="12">
        <f t="shared" si="12"/>
        <v>309.17606000000018</v>
      </c>
      <c r="K50" s="12">
        <f t="shared" si="12"/>
        <v>68.037589333333344</v>
      </c>
      <c r="L50" s="12">
        <f t="shared" si="12"/>
        <v>1608.0160000000001</v>
      </c>
      <c r="M50" s="12">
        <f t="shared" si="12"/>
        <v>590.71999999999991</v>
      </c>
      <c r="N50" s="12">
        <f t="shared" si="12"/>
        <v>312</v>
      </c>
      <c r="O50" s="12">
        <f t="shared" si="12"/>
        <v>423.99999999999994</v>
      </c>
      <c r="P50" s="12">
        <f t="shared" si="12"/>
        <v>1368</v>
      </c>
      <c r="Q50" s="12">
        <f t="shared" si="12"/>
        <v>1677.7921200000001</v>
      </c>
      <c r="R50" s="12">
        <f t="shared" si="12"/>
        <v>505.37752360000002</v>
      </c>
      <c r="S50" s="12">
        <f t="shared" si="12"/>
        <v>282.26920000000047</v>
      </c>
    </row>
    <row r="51" spans="1:19" s="9" customFormat="1">
      <c r="A51" s="39"/>
      <c r="B51" s="8"/>
      <c r="C51" s="8"/>
      <c r="D51" s="8"/>
      <c r="E51" s="8"/>
      <c r="F51" s="8"/>
      <c r="G51" s="8"/>
      <c r="H51" s="8"/>
      <c r="I51" s="8"/>
      <c r="J51" s="8"/>
      <c r="K51" s="8"/>
      <c r="L51" s="8"/>
      <c r="M51" s="19"/>
      <c r="N51" s="8"/>
      <c r="O51" s="8"/>
      <c r="P51" s="8"/>
      <c r="Q51" s="8"/>
      <c r="R51" s="8"/>
      <c r="S51" s="8"/>
    </row>
    <row r="52" spans="1:19" s="9" customFormat="1" ht="24.75" customHeight="1">
      <c r="A52" s="277" t="s">
        <v>83</v>
      </c>
      <c r="B52" s="278"/>
      <c r="C52" s="278"/>
      <c r="D52" s="278"/>
      <c r="E52" s="278"/>
      <c r="F52" s="278"/>
      <c r="G52" s="278"/>
      <c r="H52" s="278"/>
      <c r="I52" s="278"/>
      <c r="J52" s="278"/>
      <c r="K52" s="278"/>
      <c r="L52" s="278"/>
      <c r="M52" s="278"/>
      <c r="N52" s="278"/>
      <c r="O52" s="278"/>
      <c r="P52" s="278"/>
      <c r="Q52" s="278"/>
      <c r="R52" s="278"/>
      <c r="S52" s="278"/>
    </row>
    <row r="53" spans="1:19" s="9" customFormat="1">
      <c r="A53" s="277" t="s">
        <v>76</v>
      </c>
      <c r="B53" s="278"/>
      <c r="C53" s="278"/>
      <c r="D53" s="278"/>
      <c r="E53" s="278"/>
      <c r="F53" s="278"/>
      <c r="G53" s="278"/>
      <c r="H53" s="278"/>
      <c r="I53" s="278"/>
      <c r="J53" s="278"/>
      <c r="K53" s="278"/>
      <c r="L53" s="278"/>
      <c r="M53" s="278"/>
      <c r="N53" s="278"/>
      <c r="O53" s="278"/>
      <c r="P53" s="278"/>
      <c r="Q53" s="278"/>
      <c r="R53" s="278"/>
      <c r="S53" s="278"/>
    </row>
    <row r="54" spans="1:19" s="9" customFormat="1">
      <c r="A54" s="39"/>
      <c r="B54" s="8"/>
      <c r="C54" s="8"/>
      <c r="D54" s="8"/>
      <c r="E54" s="8"/>
      <c r="F54" s="8"/>
      <c r="G54" s="8"/>
      <c r="H54" s="8"/>
      <c r="I54" s="8"/>
      <c r="J54" s="8"/>
      <c r="K54" s="8"/>
      <c r="L54" s="8"/>
      <c r="M54" s="19"/>
      <c r="N54" s="8"/>
      <c r="O54" s="8"/>
      <c r="P54" s="8"/>
      <c r="Q54" s="8"/>
      <c r="R54" s="8"/>
      <c r="S54" s="8"/>
    </row>
    <row r="55" spans="1:19">
      <c r="A55" s="22" t="s">
        <v>94</v>
      </c>
      <c r="B55" s="23"/>
      <c r="C55" s="23"/>
      <c r="D55" s="23">
        <v>1.3721000000000001</v>
      </c>
    </row>
    <row r="56" spans="1:19">
      <c r="A56" s="3"/>
    </row>
    <row r="57" spans="1:19">
      <c r="A57" s="3"/>
    </row>
    <row r="58" spans="1:19">
      <c r="A58" s="3"/>
      <c r="G58" s="2">
        <f>+G44*91/1000</f>
        <v>57.512</v>
      </c>
    </row>
    <row r="59" spans="1:19">
      <c r="A59" s="3"/>
      <c r="G59" s="2">
        <f>+G45*91/1000</f>
        <v>12.648999999999999</v>
      </c>
    </row>
    <row r="60" spans="1:19">
      <c r="A60" s="3"/>
      <c r="G60" s="2">
        <f>+G46*91/1000</f>
        <v>281.73599999999999</v>
      </c>
    </row>
    <row r="61" spans="1:19">
      <c r="A61" s="3"/>
    </row>
    <row r="62" spans="1:19">
      <c r="A62" s="3"/>
      <c r="G62" s="2">
        <f>+G58*G9</f>
        <v>1736.6194300000004</v>
      </c>
    </row>
    <row r="63" spans="1:19">
      <c r="G63" s="2">
        <f>+G59*G11</f>
        <v>145.08402999999998</v>
      </c>
    </row>
    <row r="64" spans="1:19">
      <c r="G64" s="2">
        <f>+G13*G60</f>
        <v>802.94759999999997</v>
      </c>
    </row>
    <row r="66" spans="1:19">
      <c r="G66" s="2">
        <f>+SUM(G62:G64)/G48</f>
        <v>22.922812742812745</v>
      </c>
    </row>
    <row r="69" spans="1:19">
      <c r="A69" s="1" t="s">
        <v>109</v>
      </c>
    </row>
    <row r="70" spans="1:19">
      <c r="B70" s="2" t="str">
        <f>B7</f>
        <v>APC</v>
      </c>
      <c r="C70" s="2" t="str">
        <f t="shared" ref="C70:S70" si="13">C7</f>
        <v>APA</v>
      </c>
      <c r="D70" s="2" t="str">
        <f t="shared" si="13"/>
        <v>CNQCN</v>
      </c>
      <c r="E70" s="2" t="str">
        <f t="shared" si="13"/>
        <v>CVECN</v>
      </c>
      <c r="F70" s="2" t="str">
        <f t="shared" si="13"/>
        <v>XEC</v>
      </c>
      <c r="G70" s="2" t="str">
        <f t="shared" si="13"/>
        <v>COP</v>
      </c>
      <c r="H70" s="2" t="str">
        <f t="shared" si="13"/>
        <v>CLR</v>
      </c>
      <c r="J70" s="2" t="str">
        <f t="shared" si="13"/>
        <v>DVN</v>
      </c>
      <c r="K70" s="2" t="str">
        <f t="shared" si="13"/>
        <v>ECACN</v>
      </c>
      <c r="L70" s="2" t="str">
        <f t="shared" si="13"/>
        <v>EOG</v>
      </c>
      <c r="M70" s="2" t="str">
        <f t="shared" si="13"/>
        <v>HES</v>
      </c>
      <c r="N70" s="2" t="str">
        <f t="shared" si="13"/>
        <v>MRO</v>
      </c>
      <c r="P70" s="2" t="str">
        <f t="shared" si="13"/>
        <v>NBL</v>
      </c>
      <c r="Q70" s="2" t="str">
        <f t="shared" si="13"/>
        <v>OXY</v>
      </c>
      <c r="R70" s="2" t="str">
        <f t="shared" si="13"/>
        <v>PXD</v>
      </c>
      <c r="S70" s="2" t="str">
        <f t="shared" si="13"/>
        <v>SWN</v>
      </c>
    </row>
    <row r="71" spans="1:19">
      <c r="A71" s="1" t="s">
        <v>110</v>
      </c>
      <c r="B71" s="2">
        <f t="shared" ref="B71:S71" si="14">RANK(B35,$B$35:$S$35)</f>
        <v>9</v>
      </c>
      <c r="C71" s="2">
        <f t="shared" si="14"/>
        <v>2</v>
      </c>
      <c r="D71" s="2">
        <f t="shared" si="14"/>
        <v>6</v>
      </c>
      <c r="E71" s="2">
        <f t="shared" si="14"/>
        <v>14</v>
      </c>
      <c r="F71" s="2">
        <f t="shared" si="14"/>
        <v>3</v>
      </c>
      <c r="G71" s="2">
        <f t="shared" si="14"/>
        <v>12</v>
      </c>
      <c r="H71" s="2">
        <f t="shared" si="14"/>
        <v>13</v>
      </c>
      <c r="J71" s="2">
        <f t="shared" si="14"/>
        <v>5</v>
      </c>
      <c r="K71" s="2">
        <f t="shared" si="14"/>
        <v>7</v>
      </c>
      <c r="L71" s="2">
        <f t="shared" si="14"/>
        <v>11</v>
      </c>
      <c r="M71" s="2">
        <f t="shared" si="14"/>
        <v>18</v>
      </c>
      <c r="N71" s="2">
        <f t="shared" si="14"/>
        <v>17</v>
      </c>
      <c r="P71" s="2">
        <f t="shared" si="14"/>
        <v>10</v>
      </c>
      <c r="Q71" s="2">
        <f t="shared" si="14"/>
        <v>8</v>
      </c>
      <c r="R71" s="2">
        <f t="shared" si="14"/>
        <v>15</v>
      </c>
      <c r="S71" s="2">
        <f t="shared" si="14"/>
        <v>1</v>
      </c>
    </row>
    <row r="72" spans="1:19">
      <c r="B72" s="2" t="str">
        <f>B70</f>
        <v>APC</v>
      </c>
      <c r="C72" s="2" t="str">
        <f t="shared" ref="C72:S72" si="15">C70</f>
        <v>APA</v>
      </c>
      <c r="D72" s="2" t="str">
        <f t="shared" si="15"/>
        <v>CNQCN</v>
      </c>
      <c r="E72" s="2" t="str">
        <f t="shared" si="15"/>
        <v>CVECN</v>
      </c>
      <c r="F72" s="2" t="str">
        <f t="shared" si="15"/>
        <v>XEC</v>
      </c>
      <c r="G72" s="2" t="str">
        <f t="shared" si="15"/>
        <v>COP</v>
      </c>
      <c r="H72" s="2" t="str">
        <f t="shared" si="15"/>
        <v>CLR</v>
      </c>
      <c r="J72" s="2" t="str">
        <f t="shared" si="15"/>
        <v>DVN</v>
      </c>
      <c r="K72" s="2" t="str">
        <f t="shared" si="15"/>
        <v>ECACN</v>
      </c>
      <c r="L72" s="2" t="str">
        <f t="shared" si="15"/>
        <v>EOG</v>
      </c>
      <c r="M72" s="2" t="str">
        <f t="shared" si="15"/>
        <v>HES</v>
      </c>
      <c r="N72" s="2" t="str">
        <f t="shared" si="15"/>
        <v>MRO</v>
      </c>
      <c r="P72" s="2" t="str">
        <f t="shared" si="15"/>
        <v>NBL</v>
      </c>
      <c r="Q72" s="2" t="str">
        <f t="shared" si="15"/>
        <v>OXY</v>
      </c>
      <c r="R72" s="2" t="str">
        <f t="shared" si="15"/>
        <v>PXD</v>
      </c>
      <c r="S72" s="2" t="str">
        <f t="shared" si="15"/>
        <v>SWN</v>
      </c>
    </row>
    <row r="73" spans="1:19">
      <c r="A73" s="1" t="s">
        <v>107</v>
      </c>
      <c r="B73" s="2">
        <f t="shared" ref="B73:S73" si="16">RANK(B37,$B$37:$S$37)</f>
        <v>9</v>
      </c>
      <c r="C73" s="2">
        <f t="shared" si="16"/>
        <v>3</v>
      </c>
      <c r="D73" s="2">
        <f t="shared" si="16"/>
        <v>8</v>
      </c>
      <c r="E73" s="2">
        <f t="shared" si="16"/>
        <v>18</v>
      </c>
      <c r="F73" s="2">
        <f t="shared" si="16"/>
        <v>7</v>
      </c>
      <c r="G73" s="2">
        <f t="shared" si="16"/>
        <v>4</v>
      </c>
      <c r="H73" s="2">
        <f t="shared" si="16"/>
        <v>5</v>
      </c>
      <c r="J73" s="2">
        <f t="shared" si="16"/>
        <v>16</v>
      </c>
      <c r="K73" s="2">
        <f t="shared" si="16"/>
        <v>17</v>
      </c>
      <c r="L73" s="2">
        <f t="shared" si="16"/>
        <v>2</v>
      </c>
      <c r="M73" s="2">
        <f t="shared" si="16"/>
        <v>13</v>
      </c>
      <c r="N73" s="2">
        <f t="shared" si="16"/>
        <v>15</v>
      </c>
      <c r="P73" s="2">
        <f t="shared" si="16"/>
        <v>6</v>
      </c>
      <c r="Q73" s="2">
        <f t="shared" si="16"/>
        <v>1</v>
      </c>
      <c r="R73" s="2">
        <f t="shared" si="16"/>
        <v>11</v>
      </c>
      <c r="S73" s="2">
        <f t="shared" si="16"/>
        <v>14</v>
      </c>
    </row>
    <row r="74" spans="1:19">
      <c r="B74" s="2" t="str">
        <f>B72</f>
        <v>APC</v>
      </c>
      <c r="C74" s="2" t="str">
        <f t="shared" ref="C74:S74" si="17">C72</f>
        <v>APA</v>
      </c>
      <c r="D74" s="2" t="str">
        <f t="shared" si="17"/>
        <v>CNQCN</v>
      </c>
      <c r="E74" s="2" t="str">
        <f t="shared" si="17"/>
        <v>CVECN</v>
      </c>
      <c r="F74" s="2" t="str">
        <f t="shared" si="17"/>
        <v>XEC</v>
      </c>
      <c r="G74" s="2" t="str">
        <f t="shared" si="17"/>
        <v>COP</v>
      </c>
      <c r="H74" s="2" t="str">
        <f t="shared" si="17"/>
        <v>CLR</v>
      </c>
      <c r="J74" s="2" t="str">
        <f t="shared" si="17"/>
        <v>DVN</v>
      </c>
      <c r="K74" s="2" t="str">
        <f t="shared" si="17"/>
        <v>ECACN</v>
      </c>
      <c r="L74" s="2" t="str">
        <f t="shared" si="17"/>
        <v>EOG</v>
      </c>
      <c r="M74" s="2" t="str">
        <f t="shared" si="17"/>
        <v>HES</v>
      </c>
      <c r="N74" s="2" t="str">
        <f t="shared" si="17"/>
        <v>MRO</v>
      </c>
      <c r="P74" s="2" t="str">
        <f t="shared" si="17"/>
        <v>NBL</v>
      </c>
      <c r="Q74" s="2" t="str">
        <f t="shared" si="17"/>
        <v>OXY</v>
      </c>
      <c r="R74" s="2" t="str">
        <f t="shared" si="17"/>
        <v>PXD</v>
      </c>
      <c r="S74" s="2" t="str">
        <f t="shared" si="17"/>
        <v>SWN</v>
      </c>
    </row>
    <row r="75" spans="1:19">
      <c r="A75" s="1" t="s">
        <v>111</v>
      </c>
      <c r="B75" s="2">
        <f t="shared" ref="B75:S75" si="18">RANK(B34,$B$34:$S$34)</f>
        <v>7</v>
      </c>
      <c r="C75" s="2">
        <f t="shared" si="18"/>
        <v>2</v>
      </c>
      <c r="D75" s="2">
        <f t="shared" si="18"/>
        <v>12</v>
      </c>
      <c r="E75" s="2">
        <f t="shared" si="18"/>
        <v>18</v>
      </c>
      <c r="F75" s="2">
        <f t="shared" si="18"/>
        <v>11</v>
      </c>
      <c r="G75" s="2">
        <f t="shared" si="18"/>
        <v>6</v>
      </c>
      <c r="H75" s="2">
        <f t="shared" si="18"/>
        <v>1</v>
      </c>
      <c r="J75" s="2">
        <f t="shared" si="18"/>
        <v>16</v>
      </c>
      <c r="K75" s="2">
        <f t="shared" si="18"/>
        <v>17</v>
      </c>
      <c r="L75" s="2">
        <f t="shared" si="18"/>
        <v>3</v>
      </c>
      <c r="M75" s="2">
        <f t="shared" si="18"/>
        <v>13</v>
      </c>
      <c r="N75" s="2">
        <f t="shared" si="18"/>
        <v>15</v>
      </c>
      <c r="P75" s="2">
        <f t="shared" si="18"/>
        <v>4</v>
      </c>
      <c r="Q75" s="2">
        <f t="shared" si="18"/>
        <v>5</v>
      </c>
      <c r="R75" s="2">
        <f t="shared" si="18"/>
        <v>10</v>
      </c>
      <c r="S75" s="2">
        <f t="shared" si="18"/>
        <v>14</v>
      </c>
    </row>
    <row r="77" spans="1:19">
      <c r="A77" s="140" t="s">
        <v>76</v>
      </c>
    </row>
    <row r="165" spans="2:17" hidden="1">
      <c r="L165" s="2" t="s">
        <v>58</v>
      </c>
    </row>
    <row r="166" spans="2:17" hidden="1">
      <c r="L166" s="2" t="s">
        <v>54</v>
      </c>
      <c r="M166" s="2">
        <v>52.63</v>
      </c>
      <c r="N166" s="2">
        <v>176</v>
      </c>
      <c r="Q166" s="2">
        <f>+N166*M166</f>
        <v>9262.880000000001</v>
      </c>
    </row>
    <row r="167" spans="2:17" hidden="1">
      <c r="D167" s="2" t="s">
        <v>72</v>
      </c>
      <c r="E167" s="2" t="s">
        <v>73</v>
      </c>
      <c r="L167" s="2" t="s">
        <v>55</v>
      </c>
      <c r="M167" s="2">
        <v>14.77</v>
      </c>
      <c r="N167" s="2">
        <v>37</v>
      </c>
      <c r="Q167" s="2">
        <f>+N167*M167</f>
        <v>546.49</v>
      </c>
    </row>
    <row r="168" spans="2:17" hidden="1">
      <c r="B168" s="2" t="s">
        <v>61</v>
      </c>
      <c r="C168" s="2">
        <v>95.057000000000002</v>
      </c>
      <c r="D168" s="2">
        <f>73.05</f>
        <v>73.05</v>
      </c>
      <c r="F168" s="2">
        <f>+D168*C168</f>
        <v>6943.9138499999999</v>
      </c>
      <c r="L168" s="2" t="s">
        <v>59</v>
      </c>
      <c r="M168" s="2">
        <v>2.76</v>
      </c>
      <c r="N168" s="2">
        <v>361</v>
      </c>
      <c r="P168" s="2">
        <f>+N168/6</f>
        <v>60.166666666666664</v>
      </c>
      <c r="Q168" s="2">
        <f>+N168*M168</f>
        <v>996.3599999999999</v>
      </c>
    </row>
    <row r="169" spans="2:17" hidden="1">
      <c r="B169" s="2" t="s">
        <v>71</v>
      </c>
      <c r="C169" s="2">
        <f>458.144-C168</f>
        <v>363.08699999999999</v>
      </c>
      <c r="D169" s="2">
        <f>53.09</f>
        <v>53.09</v>
      </c>
      <c r="F169" s="2">
        <f>+D169*C169</f>
        <v>19276.288830000001</v>
      </c>
      <c r="G169" s="2">
        <f>+SUM(F168:F169)/(C168+C169)</f>
        <v>57.231356691345958</v>
      </c>
    </row>
    <row r="170" spans="2:17" hidden="1">
      <c r="L170" s="2" t="s">
        <v>60</v>
      </c>
    </row>
    <row r="171" spans="2:17" hidden="1">
      <c r="L171" s="2" t="s">
        <v>54</v>
      </c>
      <c r="M171" s="2">
        <v>56.7</v>
      </c>
      <c r="N171" s="2">
        <v>33</v>
      </c>
      <c r="Q171" s="2">
        <f>+N171*M171</f>
        <v>1871.1000000000001</v>
      </c>
    </row>
    <row r="172" spans="2:17" hidden="1">
      <c r="D172" s="2">
        <v>608</v>
      </c>
      <c r="E172" s="2">
        <v>58</v>
      </c>
      <c r="L172" s="2" t="s">
        <v>55</v>
      </c>
      <c r="M172" s="2">
        <v>3.1</v>
      </c>
      <c r="N172" s="2">
        <v>9</v>
      </c>
      <c r="Q172" s="2">
        <f>+N172*M172</f>
        <v>27.900000000000002</v>
      </c>
    </row>
    <row r="173" spans="2:17" hidden="1">
      <c r="D173" s="2">
        <v>138</v>
      </c>
      <c r="E173" s="2">
        <v>33.299999999999997</v>
      </c>
      <c r="L173" s="2" t="s">
        <v>59</v>
      </c>
      <c r="M173" s="2">
        <v>0.78</v>
      </c>
      <c r="N173" s="2">
        <v>396</v>
      </c>
      <c r="P173" s="2">
        <f>+N173/6</f>
        <v>66</v>
      </c>
      <c r="Q173" s="2">
        <f>+N173*M173</f>
        <v>308.88</v>
      </c>
    </row>
    <row r="174" spans="2:17" hidden="1">
      <c r="E174" s="2">
        <f>+SUMPRODUCT(D172:D173,E172:E173)/SUM(D172:D173)</f>
        <v>53.430831099195714</v>
      </c>
    </row>
    <row r="175" spans="2:17" hidden="1">
      <c r="L175" s="2" t="s">
        <v>61</v>
      </c>
    </row>
    <row r="176" spans="2:17" hidden="1">
      <c r="L176" s="2" t="s">
        <v>54</v>
      </c>
      <c r="M176" s="2">
        <v>52.46</v>
      </c>
      <c r="N176" s="2">
        <v>29</v>
      </c>
      <c r="Q176" s="2">
        <f>+N176*M176</f>
        <v>1521.34</v>
      </c>
    </row>
  </sheetData>
  <mergeCells count="2">
    <mergeCell ref="A52:S52"/>
    <mergeCell ref="A53:S53"/>
  </mergeCells>
  <printOptions horizontalCentered="1"/>
  <pageMargins left="0.4" right="0.4" top="0.5" bottom="0.75" header="0.3" footer="0.3"/>
  <pageSetup orientation="landscape" r:id="rId1"/>
  <headerFooter>
    <oddFooter>&amp;C&amp;"Expert Sans Regular,Regular"&amp;10&amp;K000000 Restricted - External_x000D_&amp;1#&amp;"Calibri"&amp;10 Restricted - External</oddFooter>
    <evenFooter>&amp;C&amp;"Expert Sans Regular,Regular"&amp;10&amp;K000000 Restricted - External</evenFooter>
    <firstFooter>&amp;C&amp;"Expert Sans Regular,Regular"&amp;10&amp;K000000 Restricted - External</firstFooter>
  </headerFooter>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autoPageBreaks="0" fitToPage="1"/>
  </sheetPr>
  <dimension ref="A1:T173"/>
  <sheetViews>
    <sheetView workbookViewId="0">
      <selection activeCell="B36" sqref="B36:V36"/>
    </sheetView>
  </sheetViews>
  <sheetFormatPr defaultRowHeight="14.25"/>
  <cols>
    <col min="1" max="1" width="36.375" style="1" customWidth="1"/>
    <col min="2" max="19" width="9.25" style="2" customWidth="1"/>
    <col min="20" max="16384" width="9" style="1"/>
  </cols>
  <sheetData>
    <row r="1" spans="1:19" s="9" customFormat="1">
      <c r="A1" s="29" t="s">
        <v>96</v>
      </c>
      <c r="B1" s="8"/>
      <c r="C1" s="8"/>
      <c r="D1" s="8"/>
      <c r="E1" s="8"/>
      <c r="F1" s="8"/>
      <c r="G1" s="8"/>
      <c r="H1" s="8"/>
      <c r="I1" s="8"/>
      <c r="J1" s="8"/>
      <c r="K1" s="8"/>
      <c r="L1" s="8"/>
      <c r="M1" s="19"/>
      <c r="N1" s="8"/>
      <c r="O1" s="8"/>
      <c r="P1" s="8"/>
      <c r="Q1" s="8"/>
      <c r="R1" s="8"/>
      <c r="S1" s="8"/>
    </row>
    <row r="2" spans="1:19" s="9" customFormat="1">
      <c r="A2" s="29" t="s">
        <v>1</v>
      </c>
      <c r="B2" s="10">
        <v>42.02</v>
      </c>
      <c r="C2" s="8"/>
      <c r="D2" s="8"/>
      <c r="E2" s="8"/>
      <c r="F2" s="8"/>
      <c r="G2" s="8"/>
      <c r="H2" s="8"/>
      <c r="I2" s="8"/>
      <c r="J2" s="8"/>
      <c r="K2" s="8"/>
      <c r="L2" s="8"/>
      <c r="M2" s="19"/>
      <c r="N2" s="8"/>
      <c r="O2" s="8"/>
      <c r="P2" s="8"/>
      <c r="Q2" s="8"/>
      <c r="R2" s="8"/>
      <c r="S2" s="8"/>
    </row>
    <row r="3" spans="1:19" s="9" customFormat="1">
      <c r="A3" s="29" t="s">
        <v>0</v>
      </c>
      <c r="B3" s="10">
        <v>18.574000000000002</v>
      </c>
      <c r="C3" s="8"/>
      <c r="D3" s="8"/>
      <c r="E3" s="8"/>
      <c r="F3" s="8"/>
      <c r="G3" s="8"/>
      <c r="H3" s="8"/>
      <c r="I3" s="8"/>
      <c r="J3" s="8"/>
      <c r="K3" s="8"/>
      <c r="L3" s="8"/>
      <c r="M3" s="19"/>
      <c r="N3" s="8"/>
      <c r="O3" s="8"/>
      <c r="P3" s="8"/>
      <c r="Q3" s="8"/>
      <c r="R3" s="8"/>
      <c r="S3" s="8"/>
    </row>
    <row r="4" spans="1:19" s="9" customFormat="1">
      <c r="A4" s="29" t="s">
        <v>2</v>
      </c>
      <c r="B4" s="10">
        <v>2.1065</v>
      </c>
      <c r="C4" s="8"/>
      <c r="D4" s="8"/>
      <c r="E4" s="8"/>
      <c r="F4" s="8"/>
      <c r="G4" s="8"/>
      <c r="H4" s="8"/>
      <c r="I4" s="8"/>
      <c r="J4" s="8"/>
      <c r="K4" s="8"/>
      <c r="L4" s="8"/>
      <c r="M4" s="19"/>
      <c r="N4" s="8"/>
      <c r="O4" s="8"/>
      <c r="P4" s="8"/>
      <c r="Q4" s="8"/>
      <c r="R4" s="8"/>
      <c r="S4" s="8"/>
    </row>
    <row r="5" spans="1:19" s="9" customFormat="1" ht="15" thickBot="1">
      <c r="A5" s="29"/>
      <c r="B5" s="8"/>
      <c r="C5" s="8"/>
      <c r="D5" s="8"/>
      <c r="E5" s="8"/>
      <c r="F5" s="8"/>
      <c r="G5" s="8"/>
      <c r="H5" s="8"/>
      <c r="I5" s="8"/>
      <c r="J5" s="8"/>
      <c r="K5" s="8"/>
      <c r="L5" s="8"/>
      <c r="M5" s="19"/>
      <c r="N5" s="8"/>
      <c r="O5" s="8"/>
      <c r="P5" s="8"/>
      <c r="Q5" s="8"/>
      <c r="R5" s="8"/>
      <c r="S5" s="8"/>
    </row>
    <row r="6" spans="1:19" ht="26.25" thickBot="1">
      <c r="A6" s="4" t="s">
        <v>15</v>
      </c>
      <c r="B6" s="5" t="s">
        <v>17</v>
      </c>
      <c r="C6" s="5" t="s">
        <v>18</v>
      </c>
      <c r="D6" s="5" t="s">
        <v>19</v>
      </c>
      <c r="E6" s="5" t="s">
        <v>21</v>
      </c>
      <c r="F6" s="5" t="s">
        <v>22</v>
      </c>
      <c r="G6" s="138" t="s">
        <v>174</v>
      </c>
      <c r="H6" s="5" t="s">
        <v>23</v>
      </c>
      <c r="I6" s="52" t="s">
        <v>139</v>
      </c>
      <c r="J6" s="5" t="s">
        <v>24</v>
      </c>
      <c r="K6" s="5" t="s">
        <v>25</v>
      </c>
      <c r="L6" s="5" t="s">
        <v>26</v>
      </c>
      <c r="M6" s="52" t="s">
        <v>27</v>
      </c>
      <c r="N6" s="52" t="s">
        <v>28</v>
      </c>
      <c r="O6" s="116" t="s">
        <v>162</v>
      </c>
      <c r="P6" s="5" t="s">
        <v>29</v>
      </c>
      <c r="Q6" s="5" t="s">
        <v>30</v>
      </c>
      <c r="R6" s="5" t="s">
        <v>31</v>
      </c>
      <c r="S6" s="138" t="s">
        <v>173</v>
      </c>
    </row>
    <row r="7" spans="1:19" ht="18" customHeight="1" thickBot="1">
      <c r="A7" s="25" t="s">
        <v>16</v>
      </c>
      <c r="B7" s="26" t="s">
        <v>33</v>
      </c>
      <c r="C7" s="26" t="s">
        <v>34</v>
      </c>
      <c r="D7" s="26" t="s">
        <v>35</v>
      </c>
      <c r="E7" s="26" t="s">
        <v>37</v>
      </c>
      <c r="F7" s="26" t="s">
        <v>38</v>
      </c>
      <c r="G7" s="26" t="s">
        <v>36</v>
      </c>
      <c r="H7" s="26" t="s">
        <v>39</v>
      </c>
      <c r="I7" s="69" t="s">
        <v>140</v>
      </c>
      <c r="J7" s="26" t="s">
        <v>40</v>
      </c>
      <c r="K7" s="26" t="s">
        <v>41</v>
      </c>
      <c r="L7" s="26" t="s">
        <v>42</v>
      </c>
      <c r="M7" s="26" t="s">
        <v>43</v>
      </c>
      <c r="N7" s="26" t="s">
        <v>44</v>
      </c>
      <c r="O7" s="69" t="s">
        <v>163</v>
      </c>
      <c r="P7" s="26" t="s">
        <v>45</v>
      </c>
      <c r="Q7" s="26" t="s">
        <v>46</v>
      </c>
      <c r="R7" s="26" t="s">
        <v>47</v>
      </c>
      <c r="S7" s="26" t="s">
        <v>48</v>
      </c>
    </row>
    <row r="8" spans="1:19" s="9" customFormat="1">
      <c r="A8" s="29"/>
      <c r="B8" s="8"/>
      <c r="C8" s="8"/>
      <c r="D8" s="8"/>
      <c r="E8" s="8"/>
      <c r="F8" s="8"/>
      <c r="G8" s="8"/>
      <c r="H8" s="8"/>
      <c r="I8" s="8"/>
      <c r="J8" s="8"/>
      <c r="K8" s="8"/>
      <c r="L8" s="8"/>
      <c r="M8" s="8"/>
      <c r="N8" s="8"/>
      <c r="O8" s="8"/>
      <c r="P8" s="8"/>
      <c r="Q8" s="8"/>
      <c r="R8" s="8"/>
      <c r="S8" s="8"/>
    </row>
    <row r="9" spans="1:19" s="9" customFormat="1">
      <c r="A9" s="29" t="s">
        <v>50</v>
      </c>
      <c r="B9" s="10">
        <v>39.71</v>
      </c>
      <c r="C9" s="10">
        <v>38.86</v>
      </c>
      <c r="D9" s="10">
        <f>+((((31.29*(572-129.05))+((57.49-1.66)*129.05))+(573+20))/(572))/D55</f>
        <v>28.338619131037362</v>
      </c>
      <c r="E9" s="10">
        <f>+(27.62-1.44)/D55</f>
        <v>19.594341740887657</v>
      </c>
      <c r="F9" s="10">
        <v>37.32</v>
      </c>
      <c r="G9" s="10">
        <f>+((40.29*598)+(12.91*18))/(598+18)</f>
        <v>39.489935064935061</v>
      </c>
      <c r="H9" s="10">
        <v>34.229999999999997</v>
      </c>
      <c r="I9" s="10">
        <v>38.92</v>
      </c>
      <c r="J9" s="10">
        <v>29.31</v>
      </c>
      <c r="K9" s="10">
        <v>31.43</v>
      </c>
      <c r="L9" s="10">
        <v>40.32</v>
      </c>
      <c r="M9" s="10">
        <v>39.4</v>
      </c>
      <c r="N9" s="10">
        <f>+((37.71*159)+(38.43*32)+(34.65*59))/N44</f>
        <v>37.08</v>
      </c>
      <c r="O9" s="10">
        <v>35.99</v>
      </c>
      <c r="P9" s="10">
        <v>38.75</v>
      </c>
      <c r="Q9" s="10">
        <v>38.68</v>
      </c>
      <c r="R9" s="10">
        <v>37.92</v>
      </c>
      <c r="S9" s="10">
        <v>27.36</v>
      </c>
    </row>
    <row r="10" spans="1:19" s="9" customFormat="1">
      <c r="A10" s="29" t="s">
        <v>3</v>
      </c>
      <c r="B10" s="10">
        <f t="shared" ref="B10:S10" si="0">+B9-$B$2</f>
        <v>-2.3100000000000023</v>
      </c>
      <c r="C10" s="10">
        <f t="shared" si="0"/>
        <v>-3.1600000000000037</v>
      </c>
      <c r="D10" s="10">
        <f t="shared" si="0"/>
        <v>-13.681380868962641</v>
      </c>
      <c r="E10" s="10">
        <f t="shared" si="0"/>
        <v>-22.425658259112346</v>
      </c>
      <c r="F10" s="10">
        <f t="shared" si="0"/>
        <v>-4.7000000000000028</v>
      </c>
      <c r="G10" s="10">
        <f t="shared" si="0"/>
        <v>-2.5300649350649422</v>
      </c>
      <c r="H10" s="10">
        <f t="shared" si="0"/>
        <v>-7.7900000000000063</v>
      </c>
      <c r="I10" s="10">
        <f t="shared" si="0"/>
        <v>-3.1000000000000014</v>
      </c>
      <c r="J10" s="10">
        <f t="shared" si="0"/>
        <v>-12.710000000000004</v>
      </c>
      <c r="K10" s="10">
        <f t="shared" si="0"/>
        <v>-10.590000000000003</v>
      </c>
      <c r="L10" s="10">
        <f t="shared" si="0"/>
        <v>-1.7000000000000028</v>
      </c>
      <c r="M10" s="10">
        <f t="shared" si="0"/>
        <v>-2.6200000000000045</v>
      </c>
      <c r="N10" s="10">
        <f t="shared" si="0"/>
        <v>-4.9400000000000048</v>
      </c>
      <c r="O10" s="10">
        <f t="shared" si="0"/>
        <v>-6.0300000000000011</v>
      </c>
      <c r="P10" s="10">
        <f t="shared" si="0"/>
        <v>-3.2700000000000031</v>
      </c>
      <c r="Q10" s="10">
        <f t="shared" si="0"/>
        <v>-3.3400000000000034</v>
      </c>
      <c r="R10" s="10">
        <f t="shared" si="0"/>
        <v>-4.1000000000000014</v>
      </c>
      <c r="S10" s="10">
        <f t="shared" si="0"/>
        <v>-14.660000000000004</v>
      </c>
    </row>
    <row r="11" spans="1:19" s="9" customFormat="1">
      <c r="A11" s="29" t="s">
        <v>51</v>
      </c>
      <c r="B11" s="10">
        <v>17.52</v>
      </c>
      <c r="C11" s="10">
        <v>9.8800000000000008</v>
      </c>
      <c r="D11" s="10">
        <v>0</v>
      </c>
      <c r="E11" s="10">
        <f>+(30.7-3.94)/D55</f>
        <v>20.028440984956212</v>
      </c>
      <c r="F11" s="10">
        <v>12.72</v>
      </c>
      <c r="G11" s="10">
        <v>15.5</v>
      </c>
      <c r="H11" s="10"/>
      <c r="I11" s="10"/>
      <c r="J11" s="10">
        <v>8.81</v>
      </c>
      <c r="K11" s="10"/>
      <c r="L11" s="10">
        <v>13.25</v>
      </c>
      <c r="M11" s="10">
        <v>9.61</v>
      </c>
      <c r="N11" s="10">
        <f>+((12.53*41)+(2.08*11))/N45</f>
        <v>10.319423076923076</v>
      </c>
      <c r="O11" s="10">
        <v>18.12</v>
      </c>
      <c r="P11" s="10">
        <v>11.55</v>
      </c>
      <c r="Q11" s="10">
        <v>14.02</v>
      </c>
      <c r="R11" s="10">
        <v>12.16</v>
      </c>
      <c r="S11" s="10">
        <v>7.62</v>
      </c>
    </row>
    <row r="12" spans="1:19" s="9" customFormat="1">
      <c r="A12" s="29" t="s">
        <v>3</v>
      </c>
      <c r="B12" s="10">
        <f t="shared" ref="B12:S12" si="1">+B11-$B$3</f>
        <v>-1.054000000000002</v>
      </c>
      <c r="C12" s="10">
        <f t="shared" si="1"/>
        <v>-8.6940000000000008</v>
      </c>
      <c r="D12" s="10">
        <f t="shared" si="1"/>
        <v>-18.574000000000002</v>
      </c>
      <c r="E12" s="10">
        <f t="shared" si="1"/>
        <v>1.4544409849562108</v>
      </c>
      <c r="F12" s="10">
        <f t="shared" si="1"/>
        <v>-5.854000000000001</v>
      </c>
      <c r="G12" s="10">
        <f t="shared" si="1"/>
        <v>-3.0740000000000016</v>
      </c>
      <c r="H12" s="10">
        <f t="shared" si="1"/>
        <v>-18.574000000000002</v>
      </c>
      <c r="I12" s="10">
        <f t="shared" si="1"/>
        <v>-18.574000000000002</v>
      </c>
      <c r="J12" s="10">
        <f t="shared" si="1"/>
        <v>-9.7640000000000011</v>
      </c>
      <c r="K12" s="10">
        <f t="shared" si="1"/>
        <v>-18.574000000000002</v>
      </c>
      <c r="L12" s="10">
        <f t="shared" si="1"/>
        <v>-5.3240000000000016</v>
      </c>
      <c r="M12" s="10">
        <f t="shared" si="1"/>
        <v>-8.9640000000000022</v>
      </c>
      <c r="N12" s="10">
        <f t="shared" si="1"/>
        <v>-8.2545769230769253</v>
      </c>
      <c r="O12" s="10">
        <f t="shared" si="1"/>
        <v>-0.45400000000000063</v>
      </c>
      <c r="P12" s="10">
        <f t="shared" si="1"/>
        <v>-7.0240000000000009</v>
      </c>
      <c r="Q12" s="10">
        <f t="shared" si="1"/>
        <v>-4.554000000000002</v>
      </c>
      <c r="R12" s="10">
        <f t="shared" si="1"/>
        <v>-6.4140000000000015</v>
      </c>
      <c r="S12" s="10">
        <f t="shared" si="1"/>
        <v>-10.954000000000001</v>
      </c>
    </row>
    <row r="13" spans="1:19" s="9" customFormat="1">
      <c r="A13" s="29" t="s">
        <v>52</v>
      </c>
      <c r="B13" s="10">
        <v>2.08</v>
      </c>
      <c r="C13" s="10">
        <v>2.66</v>
      </c>
      <c r="D13" s="10">
        <f>2.96/D55</f>
        <v>2.2154030386947086</v>
      </c>
      <c r="E13" s="10">
        <f>+(2.78-0.1)/D55</f>
        <v>2.0058378863857493</v>
      </c>
      <c r="F13" s="10">
        <v>2.2000000000000002</v>
      </c>
      <c r="G13" s="10">
        <v>3.32</v>
      </c>
      <c r="H13" s="10">
        <v>2.0699999999999998</v>
      </c>
      <c r="I13" s="10">
        <v>2.13</v>
      </c>
      <c r="J13" s="10">
        <v>1.75</v>
      </c>
      <c r="K13" s="10">
        <v>2.13</v>
      </c>
      <c r="L13" s="10">
        <v>1.88</v>
      </c>
      <c r="M13" s="10">
        <v>3.44</v>
      </c>
      <c r="N13" s="10">
        <f>+((2.12*345)+(0.58*467))/N46</f>
        <v>1.2343103448275863</v>
      </c>
      <c r="O13" s="10">
        <v>2.0699999999999998</v>
      </c>
      <c r="P13" s="10">
        <v>2.19</v>
      </c>
      <c r="Q13" s="10">
        <v>1.32</v>
      </c>
      <c r="R13" s="10">
        <v>2.0299999999999998</v>
      </c>
      <c r="S13" s="10">
        <v>1.48</v>
      </c>
    </row>
    <row r="14" spans="1:19" s="9" customFormat="1">
      <c r="A14" s="29" t="s">
        <v>3</v>
      </c>
      <c r="B14" s="10">
        <f t="shared" ref="B14:S14" si="2">+B13-$B$4</f>
        <v>-2.6499999999999968E-2</v>
      </c>
      <c r="C14" s="10">
        <f t="shared" si="2"/>
        <v>0.5535000000000001</v>
      </c>
      <c r="D14" s="10">
        <f t="shared" si="2"/>
        <v>0.10890303869470852</v>
      </c>
      <c r="E14" s="10">
        <f t="shared" si="2"/>
        <v>-0.1006621136142507</v>
      </c>
      <c r="F14" s="10">
        <f t="shared" si="2"/>
        <v>9.3500000000000139E-2</v>
      </c>
      <c r="G14" s="10">
        <f t="shared" si="2"/>
        <v>1.2134999999999998</v>
      </c>
      <c r="H14" s="10">
        <f t="shared" si="2"/>
        <v>-3.6500000000000199E-2</v>
      </c>
      <c r="I14" s="10">
        <f t="shared" si="2"/>
        <v>2.3499999999999854E-2</v>
      </c>
      <c r="J14" s="10">
        <f t="shared" si="2"/>
        <v>-0.35650000000000004</v>
      </c>
      <c r="K14" s="10">
        <f t="shared" si="2"/>
        <v>2.3499999999999854E-2</v>
      </c>
      <c r="L14" s="10">
        <f t="shared" si="2"/>
        <v>-0.22650000000000015</v>
      </c>
      <c r="M14" s="10">
        <f t="shared" si="2"/>
        <v>1.3334999999999999</v>
      </c>
      <c r="N14" s="10">
        <f t="shared" si="2"/>
        <v>-0.87218965517241376</v>
      </c>
      <c r="O14" s="10">
        <f t="shared" si="2"/>
        <v>-3.6500000000000199E-2</v>
      </c>
      <c r="P14" s="10">
        <f t="shared" si="2"/>
        <v>8.3499999999999908E-2</v>
      </c>
      <c r="Q14" s="10">
        <f t="shared" si="2"/>
        <v>-0.78649999999999998</v>
      </c>
      <c r="R14" s="10">
        <f t="shared" si="2"/>
        <v>-7.6500000000000234E-2</v>
      </c>
      <c r="S14" s="10">
        <f t="shared" si="2"/>
        <v>-0.62650000000000006</v>
      </c>
    </row>
    <row r="15" spans="1:19" s="9" customFormat="1">
      <c r="A15" s="29" t="s">
        <v>49</v>
      </c>
      <c r="B15" s="10">
        <f>+(1156+395+189)/B48</f>
        <v>24.289011316259675</v>
      </c>
      <c r="C15" s="10">
        <f>1221/C48</f>
        <v>26.916486936840297</v>
      </c>
      <c r="D15" s="10">
        <f>+((2251+693)/D48)/D55</f>
        <v>27.984774824954865</v>
      </c>
      <c r="E15" s="10">
        <f>+(24.78-1.23)/D55</f>
        <v>17.625926203128508</v>
      </c>
      <c r="F15" s="10">
        <f>+(161.814+96.242+44.411)/F48</f>
        <v>20.010619686352733</v>
      </c>
      <c r="G15" s="10">
        <f>+G66</f>
        <v>28.548505167632964</v>
      </c>
      <c r="H15" s="10">
        <v>26.57</v>
      </c>
      <c r="I15" s="10">
        <v>29.38</v>
      </c>
      <c r="J15" s="10">
        <v>17.850000000000001</v>
      </c>
      <c r="K15" s="10">
        <v>19.440000000000001</v>
      </c>
      <c r="L15" s="10">
        <f>+(1040.47+96.521+217.381)/L48</f>
        <v>25.845215559355157</v>
      </c>
      <c r="M15" s="20">
        <v>31.31</v>
      </c>
      <c r="N15" s="10">
        <f>1064/N48</f>
        <v>26.444856839872745</v>
      </c>
      <c r="O15" s="10">
        <f>362/O48</f>
        <v>24.404494382022474</v>
      </c>
      <c r="P15" s="10">
        <f>+(488+272+56)/P48</f>
        <v>21.381033067234963</v>
      </c>
      <c r="Q15" s="10">
        <f>1899/Q48</f>
        <v>28.628716155098598</v>
      </c>
      <c r="R15" s="10">
        <v>25.72</v>
      </c>
      <c r="S15" s="10">
        <f>+(406+16+26)/S48</f>
        <v>10.778644809970267</v>
      </c>
    </row>
    <row r="16" spans="1:19" s="9" customFormat="1">
      <c r="A16" s="29"/>
      <c r="B16" s="10"/>
      <c r="C16" s="10"/>
      <c r="D16" s="10"/>
      <c r="E16" s="10"/>
      <c r="F16" s="10"/>
      <c r="G16" s="10"/>
      <c r="H16" s="10"/>
      <c r="I16" s="10"/>
      <c r="J16" s="10"/>
      <c r="K16" s="10"/>
      <c r="L16" s="10"/>
      <c r="M16" s="20"/>
      <c r="N16" s="10"/>
      <c r="O16" s="10"/>
      <c r="P16" s="10"/>
      <c r="Q16" s="10"/>
      <c r="R16" s="10"/>
      <c r="S16" s="10"/>
    </row>
    <row r="17" spans="1:20" s="9" customFormat="1">
      <c r="A17" s="29" t="s">
        <v>4</v>
      </c>
      <c r="B17" s="10"/>
      <c r="C17" s="10"/>
      <c r="D17" s="10"/>
      <c r="E17" s="10"/>
      <c r="F17" s="10"/>
      <c r="G17" s="10"/>
      <c r="H17" s="10"/>
      <c r="I17" s="10"/>
      <c r="J17" s="10"/>
      <c r="K17" s="10"/>
      <c r="L17" s="10"/>
      <c r="M17" s="20"/>
      <c r="N17" s="10"/>
      <c r="O17" s="10"/>
      <c r="P17" s="10"/>
      <c r="Q17" s="10"/>
      <c r="R17" s="10"/>
      <c r="S17" s="10"/>
    </row>
    <row r="18" spans="1:20" s="9" customFormat="1">
      <c r="A18" s="28" t="s">
        <v>75</v>
      </c>
      <c r="B18" s="10">
        <f>+(230+264)/B48</f>
        <v>6.8958457415128045</v>
      </c>
      <c r="C18" s="10">
        <f>+(456+48)/C48</f>
        <v>11.110490922332113</v>
      </c>
      <c r="D18" s="20">
        <f>+((769+573+344+20)/D48)/D55</f>
        <v>16.216720737558767</v>
      </c>
      <c r="E18" s="10">
        <f>(4.43+10.43)/D55</f>
        <v>11.121922011825461</v>
      </c>
      <c r="F18" s="10">
        <f>+(77.229+52.717)/F48</f>
        <v>8.5969708621528707</v>
      </c>
      <c r="G18" s="10">
        <f>1582/G48</f>
        <v>13.004022314529649</v>
      </c>
      <c r="H18" s="10">
        <f>+(80.185)/H48</f>
        <v>3.8747736554243071</v>
      </c>
      <c r="I18" s="10">
        <v>7.67</v>
      </c>
      <c r="J18" s="10">
        <f>+(479)/J48</f>
        <v>7.6472779522111658</v>
      </c>
      <c r="K18" s="10">
        <f>4.32+7.58</f>
        <v>11.9</v>
      </c>
      <c r="L18" s="10">
        <f>+(247.916+207.58)/L48</f>
        <v>8.692140937957987</v>
      </c>
      <c r="M18" s="20">
        <f>+(443+114)/M48</f>
        <v>16.444584407660361</v>
      </c>
      <c r="N18" s="10">
        <f>+(394+157)/N48</f>
        <v>13.694658006362671</v>
      </c>
      <c r="O18" s="10">
        <f>+(66+59)/O48</f>
        <v>8.4269662921348321</v>
      </c>
      <c r="P18" s="10">
        <f>+(146+85)/P48</f>
        <v>6.0527189197687212</v>
      </c>
      <c r="Q18" s="10">
        <v>9.9499999999999993</v>
      </c>
      <c r="R18" s="10">
        <f>(185+53-38)/R48</f>
        <v>10.123599362064761</v>
      </c>
      <c r="S18" s="10">
        <f>0.91*6</f>
        <v>5.46</v>
      </c>
    </row>
    <row r="19" spans="1:20" s="9" customFormat="1">
      <c r="A19" s="28" t="s">
        <v>74</v>
      </c>
      <c r="B19" s="10"/>
      <c r="C19" s="10"/>
      <c r="D19" s="10">
        <f>+(170/D48)/D55</f>
        <v>1.6159686549736167</v>
      </c>
      <c r="E19" s="10">
        <f>1.23/D55</f>
        <v>0.92058977621435512</v>
      </c>
      <c r="F19" s="10"/>
      <c r="G19" s="10"/>
      <c r="H19" s="10"/>
      <c r="I19" s="10"/>
      <c r="J19" s="10"/>
      <c r="K19" s="10"/>
      <c r="L19" s="10"/>
      <c r="M19" s="20"/>
      <c r="N19" s="10"/>
      <c r="O19" s="10"/>
      <c r="P19" s="10"/>
      <c r="Q19" s="10"/>
      <c r="R19" s="10"/>
      <c r="S19" s="10"/>
    </row>
    <row r="20" spans="1:20" s="9" customFormat="1">
      <c r="A20" s="28" t="s">
        <v>10</v>
      </c>
      <c r="B20" s="10">
        <f>(93-4.892)/B48</f>
        <v>1.229917361524717</v>
      </c>
      <c r="C20" s="10">
        <f>50/C48</f>
        <v>1.1022312422948524</v>
      </c>
      <c r="D20" s="10"/>
      <c r="E20" s="10">
        <f>0.1/D55</f>
        <v>7.4844697253199616E-2</v>
      </c>
      <c r="F20" s="10">
        <f>17.086/F48</f>
        <v>1.130376034281501</v>
      </c>
      <c r="G20" s="10">
        <f>246/G48</f>
        <v>2.02211724992054</v>
      </c>
      <c r="H20" s="10">
        <f>43.048/H48</f>
        <v>2.0802052293908533</v>
      </c>
      <c r="I20" s="10">
        <v>2.5499999999999998</v>
      </c>
      <c r="J20" s="10">
        <f>63/J48</f>
        <v>1.0058006492469802</v>
      </c>
      <c r="K20" s="10">
        <v>0.82</v>
      </c>
      <c r="L20" s="10">
        <f>87.5/L48</f>
        <v>1.6697453590620421</v>
      </c>
      <c r="M20" s="20">
        <f>36/M48</f>
        <v>1.0628456708721239</v>
      </c>
      <c r="N20" s="10">
        <f>43/N48</f>
        <v>1.0687301166489924</v>
      </c>
      <c r="O20" s="10">
        <f>3/O48</f>
        <v>0.20224719101123598</v>
      </c>
      <c r="P20" s="10">
        <f>38/P48</f>
        <v>0.99568536342515757</v>
      </c>
      <c r="Q20" s="10">
        <v>0.67</v>
      </c>
      <c r="R20" s="10">
        <f>33/R48</f>
        <v>1.6703938947406858</v>
      </c>
      <c r="S20" s="10">
        <f>0.09*6</f>
        <v>0.54</v>
      </c>
    </row>
    <row r="21" spans="1:20" s="9" customFormat="1">
      <c r="A21" s="28" t="s">
        <v>11</v>
      </c>
      <c r="B21" s="10">
        <f>(288-9.611+(164-127))/B48</f>
        <v>4.4025787298987487</v>
      </c>
      <c r="C21" s="10">
        <f>98/C48</f>
        <v>2.1603732348979108</v>
      </c>
      <c r="D21" s="10">
        <f>+(149/D48)/D55</f>
        <v>1.4163489975945229</v>
      </c>
      <c r="E21" s="10">
        <f>+((109/D55))/E48</f>
        <v>3.4478469458094811</v>
      </c>
      <c r="F21" s="10">
        <f>+(58.332+74.688-49.426-50.405-27.468+36.341)/F48</f>
        <v>2.782738894647578</v>
      </c>
      <c r="G21" s="10">
        <f>283/G48</f>
        <v>2.3262568362907023</v>
      </c>
      <c r="H21" s="10">
        <f>46.478/H48</f>
        <v>2.2459528584749133</v>
      </c>
      <c r="I21" s="10">
        <v>3.84</v>
      </c>
      <c r="J21" s="10">
        <f>(162+85)/J48</f>
        <v>3.9433771486349856</v>
      </c>
      <c r="K21" s="10">
        <f>58/K48</f>
        <v>1.5496143775715585</v>
      </c>
      <c r="L21" s="10">
        <f>(109.014)/L48</f>
        <v>2.080292806546165</v>
      </c>
      <c r="M21" s="20">
        <f>(131)/M48</f>
        <v>3.8675773023402287</v>
      </c>
      <c r="N21" s="10">
        <f>126/N48</f>
        <v>3.1316277836691406</v>
      </c>
      <c r="O21" s="10">
        <f>64/O48</f>
        <v>4.3146067415730345</v>
      </c>
      <c r="P21" s="10">
        <f>89/P48</f>
        <v>2.3319999301273429</v>
      </c>
      <c r="Q21" s="10">
        <v>2.69</v>
      </c>
      <c r="R21" s="10">
        <f>81/R48</f>
        <v>4.1000577416362285</v>
      </c>
      <c r="S21" s="10">
        <f>0.2*6</f>
        <v>1.2000000000000002</v>
      </c>
    </row>
    <row r="22" spans="1:20" s="9" customFormat="1">
      <c r="A22" s="28" t="s">
        <v>12</v>
      </c>
      <c r="B22" s="10">
        <f>(209-31.535)/B48</f>
        <v>2.4772697662298984</v>
      </c>
      <c r="C22" s="10">
        <f>(59+(227-173))/C48</f>
        <v>2.4910426075863668</v>
      </c>
      <c r="D22" s="10">
        <f>+(133/D48)/D55</f>
        <v>1.2642578300675942</v>
      </c>
      <c r="E22" s="10">
        <f>+(85/D55)/E48</f>
        <v>2.6886879852642744</v>
      </c>
      <c r="F22" s="10">
        <f>(19.811+(30.589-25.087))/F48</f>
        <v>1.6746581151684208</v>
      </c>
      <c r="G22" s="10">
        <f>268/G48</f>
        <v>2.202957003978474</v>
      </c>
      <c r="H22" s="10">
        <f>80.175/H48</f>
        <v>3.8742904261849946</v>
      </c>
      <c r="I22" s="10">
        <f>54.581/I48</f>
        <v>4.1212496032105195</v>
      </c>
      <c r="J22" s="10">
        <f>(108+14)/J48</f>
        <v>1.9477409398116123</v>
      </c>
      <c r="K22" s="10">
        <f>106/K48</f>
        <v>2.8320538624583653</v>
      </c>
      <c r="L22" s="10">
        <f>(62.993+(42-33))/L48</f>
        <v>1.3738283158280409</v>
      </c>
      <c r="M22" s="20">
        <f>(86+(45-33))/M48</f>
        <v>2.893302104040782</v>
      </c>
      <c r="N22" s="10">
        <f>87/N48</f>
        <v>2.1623144220572641</v>
      </c>
      <c r="O22" s="10">
        <f>37/O48</f>
        <v>2.4943820224719104</v>
      </c>
      <c r="P22" s="10">
        <f>(113+(144-111))/P48</f>
        <v>3.825527975265079</v>
      </c>
      <c r="Q22" s="10">
        <f>61/Q48</f>
        <v>0.91961647470300922</v>
      </c>
      <c r="R22" s="10">
        <f>48/R48</f>
        <v>2.4296638468955427</v>
      </c>
      <c r="S22" s="10">
        <f>(200-153)/S48</f>
        <v>1.1307953260459878</v>
      </c>
    </row>
    <row r="23" spans="1:20" s="9" customFormat="1">
      <c r="A23" s="28" t="s">
        <v>13</v>
      </c>
      <c r="B23" s="10">
        <f>(1022-60.448)/B48</f>
        <v>13.422498511018462</v>
      </c>
      <c r="C23" s="10">
        <f>780/C48</f>
        <v>17.194807379799698</v>
      </c>
      <c r="D23" s="10">
        <f>+((139+1330)/D48)/D55</f>
        <v>13.963870318566137</v>
      </c>
      <c r="E23" s="10">
        <f>+((189+403-184)/D55)/E48</f>
        <v>12.905702329268516</v>
      </c>
      <c r="F23" s="10">
        <f>161.768/F48</f>
        <v>10.702251569334535</v>
      </c>
      <c r="G23" s="10">
        <f>2382/G48</f>
        <v>19.580013371181813</v>
      </c>
      <c r="H23" s="10">
        <f>460.778/H48</f>
        <v>22.266140243176419</v>
      </c>
      <c r="I23" s="10">
        <v>24.29</v>
      </c>
      <c r="J23" s="10">
        <f>543/J48</f>
        <v>8.6690436911287332</v>
      </c>
      <c r="K23" s="10">
        <f>+(68+186)/K48</f>
        <v>6.7862422741926869</v>
      </c>
      <c r="L23" s="10">
        <f>769.457/L48</f>
        <v>14.683397197117733</v>
      </c>
      <c r="M23" s="20">
        <f>953/M48</f>
        <v>28.135886787253725</v>
      </c>
      <c r="N23" s="10">
        <f>668/N48</f>
        <v>16.602598091198303</v>
      </c>
      <c r="O23" s="10">
        <f>196/O48</f>
        <v>13.213483146067416</v>
      </c>
      <c r="P23" s="10">
        <f>686/P48</f>
        <v>17.974741034464689</v>
      </c>
      <c r="Q23" s="10">
        <v>16.36</v>
      </c>
      <c r="R23" s="10">
        <f>382/R48</f>
        <v>19.336074781543694</v>
      </c>
      <c r="S23" s="10">
        <f>204/S48</f>
        <v>4.9081329045400315</v>
      </c>
    </row>
    <row r="24" spans="1:20" s="9" customFormat="1">
      <c r="A24" s="34"/>
      <c r="B24" s="10"/>
      <c r="C24" s="10"/>
      <c r="D24" s="10"/>
      <c r="E24" s="10"/>
      <c r="F24" s="10"/>
      <c r="G24" s="10"/>
      <c r="H24" s="10"/>
      <c r="I24" s="10"/>
      <c r="J24" s="10"/>
      <c r="K24" s="10"/>
      <c r="L24" s="10"/>
      <c r="M24" s="20"/>
      <c r="N24" s="10"/>
      <c r="O24" s="10"/>
      <c r="P24" s="10"/>
      <c r="Q24" s="10"/>
      <c r="R24" s="10"/>
      <c r="S24" s="10"/>
    </row>
    <row r="25" spans="1:20" s="9" customFormat="1">
      <c r="A25" s="29" t="s">
        <v>9</v>
      </c>
      <c r="B25" s="8"/>
      <c r="C25" s="8"/>
      <c r="D25" s="8"/>
      <c r="E25" s="8"/>
      <c r="F25" s="8"/>
      <c r="G25" s="8"/>
      <c r="H25" s="8"/>
      <c r="I25" s="8"/>
      <c r="J25" s="8"/>
      <c r="K25" s="8"/>
      <c r="L25" s="8"/>
      <c r="M25" s="19"/>
      <c r="N25" s="8"/>
      <c r="O25" s="8"/>
      <c r="P25" s="10"/>
      <c r="Q25" s="8"/>
      <c r="R25" s="8"/>
      <c r="S25" s="8"/>
    </row>
    <row r="26" spans="1:20" s="9" customFormat="1">
      <c r="A26" s="28" t="s">
        <v>5</v>
      </c>
      <c r="B26" s="10">
        <f>+B18+B20</f>
        <v>8.1257631030375208</v>
      </c>
      <c r="C26" s="10">
        <f>+C18+C20</f>
        <v>12.212722164626966</v>
      </c>
      <c r="D26" s="10">
        <f>+D18+D20+D19</f>
        <v>17.832689392532384</v>
      </c>
      <c r="E26" s="10">
        <f>+E18+E20+E19</f>
        <v>12.117356485293016</v>
      </c>
      <c r="F26" s="10">
        <f t="shared" ref="F26:S26" si="3">+F18+F20</f>
        <v>9.727346896434371</v>
      </c>
      <c r="G26" s="10">
        <f t="shared" si="3"/>
        <v>15.02613956445019</v>
      </c>
      <c r="H26" s="10">
        <f t="shared" si="3"/>
        <v>5.9549788848151604</v>
      </c>
      <c r="I26" s="10">
        <f t="shared" si="3"/>
        <v>10.219999999999999</v>
      </c>
      <c r="J26" s="10">
        <f t="shared" si="3"/>
        <v>8.6530786014581462</v>
      </c>
      <c r="K26" s="10">
        <f t="shared" si="3"/>
        <v>12.72</v>
      </c>
      <c r="L26" s="10">
        <f t="shared" si="3"/>
        <v>10.361886297020028</v>
      </c>
      <c r="M26" s="20">
        <f t="shared" si="3"/>
        <v>17.507430078532487</v>
      </c>
      <c r="N26" s="10">
        <f t="shared" si="3"/>
        <v>14.763388123011664</v>
      </c>
      <c r="O26" s="10">
        <f t="shared" si="3"/>
        <v>8.6292134831460672</v>
      </c>
      <c r="P26" s="10">
        <f t="shared" si="3"/>
        <v>7.0484042831938787</v>
      </c>
      <c r="Q26" s="10">
        <f t="shared" si="3"/>
        <v>10.62</v>
      </c>
      <c r="R26" s="10">
        <f t="shared" si="3"/>
        <v>11.793993256805447</v>
      </c>
      <c r="S26" s="10">
        <f t="shared" si="3"/>
        <v>6</v>
      </c>
    </row>
    <row r="27" spans="1:20" s="9" customFormat="1">
      <c r="A27" s="28" t="s">
        <v>6</v>
      </c>
      <c r="B27" s="10">
        <f t="shared" ref="B27:S29" si="4">+B26+B21</f>
        <v>12.52834183293627</v>
      </c>
      <c r="C27" s="10">
        <f t="shared" si="4"/>
        <v>14.373095399524876</v>
      </c>
      <c r="D27" s="10">
        <f t="shared" si="4"/>
        <v>19.249038390126906</v>
      </c>
      <c r="E27" s="10">
        <f t="shared" si="4"/>
        <v>15.565203431102496</v>
      </c>
      <c r="F27" s="10">
        <f t="shared" si="4"/>
        <v>12.510085791081949</v>
      </c>
      <c r="G27" s="10">
        <f t="shared" si="4"/>
        <v>17.352396400740894</v>
      </c>
      <c r="H27" s="10">
        <f t="shared" si="4"/>
        <v>8.2009317432900737</v>
      </c>
      <c r="I27" s="10">
        <f t="shared" si="4"/>
        <v>14.059999999999999</v>
      </c>
      <c r="J27" s="10">
        <f t="shared" si="4"/>
        <v>12.596455750093131</v>
      </c>
      <c r="K27" s="10">
        <f t="shared" si="4"/>
        <v>14.269614377571559</v>
      </c>
      <c r="L27" s="10">
        <f t="shared" si="4"/>
        <v>12.442179103566193</v>
      </c>
      <c r="M27" s="20">
        <f t="shared" si="4"/>
        <v>21.375007380872717</v>
      </c>
      <c r="N27" s="10">
        <f t="shared" si="4"/>
        <v>17.895015906680804</v>
      </c>
      <c r="O27" s="10">
        <f t="shared" si="4"/>
        <v>12.943820224719101</v>
      </c>
      <c r="P27" s="10">
        <f t="shared" si="4"/>
        <v>9.3804042133212207</v>
      </c>
      <c r="Q27" s="10">
        <f t="shared" si="4"/>
        <v>13.309999999999999</v>
      </c>
      <c r="R27" s="10">
        <f t="shared" si="4"/>
        <v>15.894050998441674</v>
      </c>
      <c r="S27" s="10">
        <f t="shared" si="4"/>
        <v>7.2</v>
      </c>
    </row>
    <row r="28" spans="1:20" s="9" customFormat="1">
      <c r="A28" s="28" t="s">
        <v>7</v>
      </c>
      <c r="B28" s="10">
        <f t="shared" si="4"/>
        <v>15.005611599166169</v>
      </c>
      <c r="C28" s="10">
        <f t="shared" si="4"/>
        <v>16.864138007111244</v>
      </c>
      <c r="D28" s="10">
        <f t="shared" si="4"/>
        <v>20.513296220194501</v>
      </c>
      <c r="E28" s="10">
        <f t="shared" si="4"/>
        <v>18.25389141636677</v>
      </c>
      <c r="F28" s="10">
        <f t="shared" si="4"/>
        <v>14.18474390625037</v>
      </c>
      <c r="G28" s="10">
        <f t="shared" si="4"/>
        <v>19.555353404719369</v>
      </c>
      <c r="H28" s="10">
        <f t="shared" si="4"/>
        <v>12.075222169475069</v>
      </c>
      <c r="I28" s="10">
        <f t="shared" si="4"/>
        <v>18.181249603210517</v>
      </c>
      <c r="J28" s="10">
        <f t="shared" si="4"/>
        <v>14.544196689904744</v>
      </c>
      <c r="K28" s="10">
        <f t="shared" si="4"/>
        <v>17.101668240029923</v>
      </c>
      <c r="L28" s="10">
        <f t="shared" si="4"/>
        <v>13.816007419394234</v>
      </c>
      <c r="M28" s="20">
        <f t="shared" si="4"/>
        <v>24.268309484913498</v>
      </c>
      <c r="N28" s="10">
        <f t="shared" si="4"/>
        <v>20.057330328738068</v>
      </c>
      <c r="O28" s="10">
        <f t="shared" si="4"/>
        <v>15.438202247191011</v>
      </c>
      <c r="P28" s="10">
        <f t="shared" si="4"/>
        <v>13.205932188586299</v>
      </c>
      <c r="Q28" s="10">
        <f t="shared" si="4"/>
        <v>14.229616474703008</v>
      </c>
      <c r="R28" s="10">
        <f t="shared" si="4"/>
        <v>18.323714845337218</v>
      </c>
      <c r="S28" s="10">
        <f t="shared" si="4"/>
        <v>8.3307953260459886</v>
      </c>
      <c r="T28" s="65">
        <f>MEDIAN(B28:S28)</f>
        <v>16.151170127151126</v>
      </c>
    </row>
    <row r="29" spans="1:20" s="9" customFormat="1">
      <c r="A29" s="28" t="s">
        <v>8</v>
      </c>
      <c r="B29" s="10">
        <f t="shared" si="4"/>
        <v>28.428110110184633</v>
      </c>
      <c r="C29" s="10">
        <f t="shared" si="4"/>
        <v>34.058945386910942</v>
      </c>
      <c r="D29" s="10">
        <f t="shared" si="4"/>
        <v>34.477166538760642</v>
      </c>
      <c r="E29" s="10">
        <f t="shared" si="4"/>
        <v>31.159593745635284</v>
      </c>
      <c r="F29" s="10">
        <f t="shared" si="4"/>
        <v>24.886995475584904</v>
      </c>
      <c r="G29" s="10">
        <f t="shared" si="4"/>
        <v>39.135366775901183</v>
      </c>
      <c r="H29" s="10">
        <f t="shared" si="4"/>
        <v>34.341362412651492</v>
      </c>
      <c r="I29" s="10">
        <f t="shared" si="4"/>
        <v>42.471249603210516</v>
      </c>
      <c r="J29" s="10">
        <f t="shared" si="4"/>
        <v>23.213240381033479</v>
      </c>
      <c r="K29" s="10">
        <f t="shared" si="4"/>
        <v>23.887910514222611</v>
      </c>
      <c r="L29" s="10">
        <f t="shared" si="4"/>
        <v>28.499404616511967</v>
      </c>
      <c r="M29" s="20">
        <f t="shared" si="4"/>
        <v>52.404196272167226</v>
      </c>
      <c r="N29" s="10">
        <f t="shared" si="4"/>
        <v>36.659928419936371</v>
      </c>
      <c r="O29" s="10">
        <f t="shared" si="4"/>
        <v>28.651685393258425</v>
      </c>
      <c r="P29" s="10">
        <f t="shared" si="4"/>
        <v>31.180673223050988</v>
      </c>
      <c r="Q29" s="10">
        <f t="shared" si="4"/>
        <v>30.589616474703007</v>
      </c>
      <c r="R29" s="10">
        <f t="shared" si="4"/>
        <v>37.659789626880908</v>
      </c>
      <c r="S29" s="10">
        <f t="shared" si="4"/>
        <v>13.238928230586019</v>
      </c>
      <c r="T29" s="65">
        <f>MEDIAN(B29:S29)</f>
        <v>31.170133484343136</v>
      </c>
    </row>
    <row r="30" spans="1:20" s="9" customFormat="1">
      <c r="A30" s="29"/>
      <c r="B30" s="10"/>
      <c r="C30" s="10"/>
      <c r="D30" s="10"/>
      <c r="E30" s="10"/>
      <c r="F30" s="10"/>
      <c r="G30" s="10"/>
      <c r="H30" s="10"/>
      <c r="I30" s="10"/>
      <c r="J30" s="10"/>
      <c r="K30" s="10"/>
      <c r="L30" s="10"/>
      <c r="M30" s="20"/>
      <c r="N30" s="10"/>
      <c r="O30" s="10"/>
      <c r="P30" s="10"/>
      <c r="Q30" s="10"/>
      <c r="R30" s="10"/>
      <c r="S30" s="10"/>
    </row>
    <row r="31" spans="1:20" s="9" customFormat="1">
      <c r="A31" s="28" t="s">
        <v>14</v>
      </c>
      <c r="B31" s="10"/>
      <c r="C31" s="10"/>
      <c r="D31" s="10"/>
      <c r="E31" s="10"/>
      <c r="F31" s="10"/>
      <c r="G31" s="10"/>
      <c r="H31" s="10"/>
      <c r="I31" s="10"/>
      <c r="J31" s="10"/>
      <c r="K31" s="10"/>
      <c r="L31" s="10"/>
      <c r="M31" s="20"/>
      <c r="N31" s="10"/>
      <c r="O31" s="10"/>
      <c r="P31" s="10"/>
      <c r="Q31" s="10"/>
      <c r="R31" s="10"/>
      <c r="S31" s="10"/>
    </row>
    <row r="32" spans="1:20" s="9" customFormat="1">
      <c r="A32" s="28" t="s">
        <v>67</v>
      </c>
      <c r="B32" s="10">
        <f t="shared" ref="B32:S35" si="5">+B$15-B26</f>
        <v>16.163248213222154</v>
      </c>
      <c r="C32" s="10">
        <f t="shared" si="5"/>
        <v>14.703764772213331</v>
      </c>
      <c r="D32" s="10">
        <f t="shared" si="5"/>
        <v>10.152085432422481</v>
      </c>
      <c r="E32" s="10">
        <f t="shared" si="5"/>
        <v>5.508569717835492</v>
      </c>
      <c r="F32" s="10">
        <f t="shared" si="5"/>
        <v>10.283272789918362</v>
      </c>
      <c r="G32" s="10">
        <f t="shared" si="5"/>
        <v>13.522365603182774</v>
      </c>
      <c r="H32" s="10">
        <f t="shared" si="5"/>
        <v>20.615021115184838</v>
      </c>
      <c r="I32" s="10">
        <f t="shared" si="5"/>
        <v>19.16</v>
      </c>
      <c r="J32" s="10">
        <f t="shared" si="5"/>
        <v>9.1969213985418552</v>
      </c>
      <c r="K32" s="10">
        <f t="shared" si="5"/>
        <v>6.7200000000000006</v>
      </c>
      <c r="L32" s="10">
        <f t="shared" si="5"/>
        <v>15.483329262335129</v>
      </c>
      <c r="M32" s="20">
        <f t="shared" si="5"/>
        <v>13.802569921467512</v>
      </c>
      <c r="N32" s="10">
        <f t="shared" si="5"/>
        <v>11.681468716861081</v>
      </c>
      <c r="O32" s="10">
        <f t="shared" si="5"/>
        <v>15.775280898876407</v>
      </c>
      <c r="P32" s="10">
        <f t="shared" si="5"/>
        <v>14.332628784041084</v>
      </c>
      <c r="Q32" s="10">
        <f t="shared" si="5"/>
        <v>18.008716155098597</v>
      </c>
      <c r="R32" s="10">
        <f t="shared" si="5"/>
        <v>13.926006743194552</v>
      </c>
      <c r="S32" s="10">
        <f t="shared" si="5"/>
        <v>4.7786448099702667</v>
      </c>
    </row>
    <row r="33" spans="1:19" s="9" customFormat="1">
      <c r="A33" s="28" t="s">
        <v>68</v>
      </c>
      <c r="B33" s="10">
        <f t="shared" si="5"/>
        <v>11.760669483323404</v>
      </c>
      <c r="C33" s="10">
        <f t="shared" si="5"/>
        <v>12.54339153731542</v>
      </c>
      <c r="D33" s="10">
        <f t="shared" si="5"/>
        <v>8.7357364348279596</v>
      </c>
      <c r="E33" s="10">
        <f t="shared" si="5"/>
        <v>2.0607227720260113</v>
      </c>
      <c r="F33" s="10">
        <f t="shared" si="5"/>
        <v>7.5005338952707845</v>
      </c>
      <c r="G33" s="10">
        <f t="shared" si="5"/>
        <v>11.19610876689207</v>
      </c>
      <c r="H33" s="10">
        <f t="shared" si="5"/>
        <v>18.369068256709927</v>
      </c>
      <c r="I33" s="10">
        <f t="shared" si="5"/>
        <v>15.32</v>
      </c>
      <c r="J33" s="10">
        <f t="shared" si="5"/>
        <v>5.2535442499068701</v>
      </c>
      <c r="K33" s="10">
        <f t="shared" si="5"/>
        <v>5.1703856224284426</v>
      </c>
      <c r="L33" s="10">
        <f t="shared" si="5"/>
        <v>13.403036455788964</v>
      </c>
      <c r="M33" s="20">
        <f t="shared" si="5"/>
        <v>9.9349926191272822</v>
      </c>
      <c r="N33" s="10">
        <f t="shared" si="5"/>
        <v>8.5498409331919412</v>
      </c>
      <c r="O33" s="10">
        <f t="shared" si="5"/>
        <v>11.460674157303373</v>
      </c>
      <c r="P33" s="10">
        <f t="shared" si="5"/>
        <v>12.000628853913742</v>
      </c>
      <c r="Q33" s="10">
        <f t="shared" si="5"/>
        <v>15.318716155098599</v>
      </c>
      <c r="R33" s="10">
        <f t="shared" si="5"/>
        <v>9.8259490015583246</v>
      </c>
      <c r="S33" s="10">
        <f t="shared" si="5"/>
        <v>3.5786448099702666</v>
      </c>
    </row>
    <row r="34" spans="1:19" s="9" customFormat="1">
      <c r="A34" s="28" t="s">
        <v>69</v>
      </c>
      <c r="B34" s="10">
        <f t="shared" si="5"/>
        <v>9.2833997170935056</v>
      </c>
      <c r="C34" s="10">
        <f t="shared" si="5"/>
        <v>10.052348929729053</v>
      </c>
      <c r="D34" s="10">
        <f t="shared" si="5"/>
        <v>7.4714786047603639</v>
      </c>
      <c r="E34" s="10">
        <f t="shared" si="5"/>
        <v>-0.62796521323826227</v>
      </c>
      <c r="F34" s="10">
        <f t="shared" si="5"/>
        <v>5.8258757801023631</v>
      </c>
      <c r="G34" s="10">
        <f t="shared" si="5"/>
        <v>8.9931517629135946</v>
      </c>
      <c r="H34" s="10">
        <f t="shared" si="5"/>
        <v>14.494777830524932</v>
      </c>
      <c r="I34" s="10">
        <f t="shared" si="5"/>
        <v>11.198750396789482</v>
      </c>
      <c r="J34" s="10">
        <f t="shared" si="5"/>
        <v>3.3058033100952571</v>
      </c>
      <c r="K34" s="10">
        <f t="shared" si="5"/>
        <v>2.3383317599700781</v>
      </c>
      <c r="L34" s="10">
        <f t="shared" si="5"/>
        <v>12.029208139960923</v>
      </c>
      <c r="M34" s="20">
        <f t="shared" si="5"/>
        <v>7.0416905150865006</v>
      </c>
      <c r="N34" s="10">
        <f t="shared" si="5"/>
        <v>6.3875265111346771</v>
      </c>
      <c r="O34" s="10">
        <f t="shared" si="5"/>
        <v>8.9662921348314626</v>
      </c>
      <c r="P34" s="10">
        <f t="shared" si="5"/>
        <v>8.1751008786486636</v>
      </c>
      <c r="Q34" s="10">
        <f t="shared" si="5"/>
        <v>14.39909968039559</v>
      </c>
      <c r="R34" s="10">
        <f t="shared" si="5"/>
        <v>7.396285154662781</v>
      </c>
      <c r="S34" s="10">
        <f t="shared" si="5"/>
        <v>2.4478494839242781</v>
      </c>
    </row>
    <row r="35" spans="1:19" s="9" customFormat="1">
      <c r="A35" s="28" t="s">
        <v>70</v>
      </c>
      <c r="B35" s="10">
        <f t="shared" si="5"/>
        <v>-4.1390987939249584</v>
      </c>
      <c r="C35" s="10">
        <f t="shared" si="5"/>
        <v>-7.1424584500706452</v>
      </c>
      <c r="D35" s="10">
        <f t="shared" si="5"/>
        <v>-6.4923917138057767</v>
      </c>
      <c r="E35" s="10">
        <f t="shared" si="5"/>
        <v>-13.533667542506777</v>
      </c>
      <c r="F35" s="10">
        <f t="shared" si="5"/>
        <v>-4.8763757892321706</v>
      </c>
      <c r="G35" s="10">
        <f t="shared" si="5"/>
        <v>-10.586861608268219</v>
      </c>
      <c r="H35" s="10">
        <f t="shared" si="5"/>
        <v>-7.7713624126514915</v>
      </c>
      <c r="I35" s="10">
        <f t="shared" si="5"/>
        <v>-13.091249603210517</v>
      </c>
      <c r="J35" s="10">
        <f t="shared" si="5"/>
        <v>-5.3632403810334779</v>
      </c>
      <c r="K35" s="10">
        <f t="shared" si="5"/>
        <v>-4.4479105142226096</v>
      </c>
      <c r="L35" s="10">
        <f t="shared" si="5"/>
        <v>-2.6541890571568096</v>
      </c>
      <c r="M35" s="20">
        <f t="shared" si="5"/>
        <v>-21.094196272167228</v>
      </c>
      <c r="N35" s="10">
        <f t="shared" si="5"/>
        <v>-10.215071580063626</v>
      </c>
      <c r="O35" s="10">
        <f t="shared" si="5"/>
        <v>-4.2471910112359517</v>
      </c>
      <c r="P35" s="10">
        <f t="shared" si="5"/>
        <v>-9.7996401558160251</v>
      </c>
      <c r="Q35" s="10">
        <f t="shared" si="5"/>
        <v>-1.9609003196044092</v>
      </c>
      <c r="R35" s="10">
        <f t="shared" si="5"/>
        <v>-11.939789626880909</v>
      </c>
      <c r="S35" s="10">
        <f t="shared" si="5"/>
        <v>-2.4602834206157524</v>
      </c>
    </row>
    <row r="36" spans="1:19" s="9" customFormat="1">
      <c r="A36" s="41" t="s">
        <v>112</v>
      </c>
      <c r="B36" s="10">
        <f>+B15-B18-B19-B20-B21</f>
        <v>11.760669483323404</v>
      </c>
      <c r="C36" s="10">
        <f t="shared" ref="C36:S36" si="6">+C15-C18-C19-C20-C21</f>
        <v>12.54339153731542</v>
      </c>
      <c r="D36" s="10">
        <f t="shared" si="6"/>
        <v>8.7357364348279578</v>
      </c>
      <c r="E36" s="10">
        <f t="shared" si="6"/>
        <v>2.0607227720260108</v>
      </c>
      <c r="F36" s="10">
        <f t="shared" si="6"/>
        <v>7.5005338952707845</v>
      </c>
      <c r="G36" s="10">
        <f t="shared" si="6"/>
        <v>11.19610876689207</v>
      </c>
      <c r="H36" s="10">
        <f t="shared" si="6"/>
        <v>18.36906825670993</v>
      </c>
      <c r="I36" s="10">
        <f t="shared" si="6"/>
        <v>15.32</v>
      </c>
      <c r="J36" s="10">
        <f t="shared" si="6"/>
        <v>5.2535442499068701</v>
      </c>
      <c r="K36" s="10">
        <f t="shared" si="6"/>
        <v>5.1703856224284426</v>
      </c>
      <c r="L36" s="10">
        <f t="shared" si="6"/>
        <v>13.403036455788964</v>
      </c>
      <c r="M36" s="10">
        <f t="shared" si="6"/>
        <v>9.9349926191272857</v>
      </c>
      <c r="N36" s="10">
        <f t="shared" si="6"/>
        <v>8.5498409331919412</v>
      </c>
      <c r="O36" s="10">
        <f t="shared" si="6"/>
        <v>11.460674157303373</v>
      </c>
      <c r="P36" s="10">
        <f t="shared" si="6"/>
        <v>12.000628853913739</v>
      </c>
      <c r="Q36" s="10">
        <f t="shared" si="6"/>
        <v>15.318716155098597</v>
      </c>
      <c r="R36" s="10">
        <f t="shared" si="6"/>
        <v>9.8259490015583246</v>
      </c>
      <c r="S36" s="10">
        <f t="shared" si="6"/>
        <v>3.5786448099702666</v>
      </c>
    </row>
    <row r="37" spans="1:19" s="9" customFormat="1">
      <c r="A37" s="35" t="s">
        <v>105</v>
      </c>
      <c r="B37" s="31">
        <f t="shared" ref="B37:S37" si="7">+(B34+B22)/B22</f>
        <v>4.7474318879779105</v>
      </c>
      <c r="C37" s="31">
        <f t="shared" si="7"/>
        <v>5.0353982300884947</v>
      </c>
      <c r="D37" s="31">
        <f t="shared" si="7"/>
        <v>6.9097744360902214</v>
      </c>
      <c r="E37" s="31">
        <f t="shared" si="7"/>
        <v>0.76644176762796123</v>
      </c>
      <c r="F37" s="31">
        <f t="shared" si="7"/>
        <v>4.4788448623237063</v>
      </c>
      <c r="G37" s="31">
        <f t="shared" si="7"/>
        <v>5.0823092537313403</v>
      </c>
      <c r="H37" s="31">
        <f t="shared" si="7"/>
        <v>4.7412729135017138</v>
      </c>
      <c r="I37" s="31">
        <f t="shared" si="7"/>
        <v>3.7173191325430701</v>
      </c>
      <c r="J37" s="31">
        <f t="shared" si="7"/>
        <v>2.697249999999999</v>
      </c>
      <c r="K37" s="31">
        <f t="shared" si="7"/>
        <v>1.8256664150943402</v>
      </c>
      <c r="L37" s="31">
        <f t="shared" si="7"/>
        <v>9.7559762754712303</v>
      </c>
      <c r="M37" s="31">
        <f t="shared" si="7"/>
        <v>3.4337902721088422</v>
      </c>
      <c r="N37" s="31">
        <f t="shared" si="7"/>
        <v>3.9540229885057472</v>
      </c>
      <c r="O37" s="31">
        <f t="shared" si="7"/>
        <v>4.5945945945945947</v>
      </c>
      <c r="P37" s="31">
        <f t="shared" si="7"/>
        <v>3.1369863013698631</v>
      </c>
      <c r="Q37" s="31">
        <f t="shared" si="7"/>
        <v>16.657722622950821</v>
      </c>
      <c r="R37" s="31">
        <f t="shared" si="7"/>
        <v>4.0441598594444441</v>
      </c>
      <c r="S37" s="31">
        <f t="shared" si="7"/>
        <v>3.1647148936170324</v>
      </c>
    </row>
    <row r="38" spans="1:19" s="9" customFormat="1">
      <c r="A38" s="29"/>
      <c r="B38" s="8"/>
      <c r="C38" s="8"/>
      <c r="D38" s="8"/>
      <c r="E38" s="8"/>
      <c r="F38" s="8"/>
      <c r="G38" s="8"/>
      <c r="H38" s="8"/>
      <c r="I38" s="8"/>
      <c r="J38" s="8"/>
      <c r="K38" s="8"/>
      <c r="L38" s="8"/>
      <c r="M38" s="19"/>
      <c r="N38" s="8"/>
      <c r="O38" s="8"/>
      <c r="P38" s="8"/>
      <c r="Q38" s="8"/>
      <c r="R38" s="8"/>
      <c r="S38" s="8"/>
    </row>
    <row r="39" spans="1:19" s="9" customFormat="1">
      <c r="A39" s="28" t="s">
        <v>53</v>
      </c>
      <c r="B39" s="8"/>
      <c r="C39" s="8"/>
      <c r="D39" s="8"/>
      <c r="E39" s="8"/>
      <c r="F39" s="8"/>
      <c r="G39" s="8"/>
      <c r="H39" s="8"/>
      <c r="I39" s="8"/>
      <c r="J39" s="8"/>
      <c r="K39" s="8"/>
      <c r="L39" s="8"/>
      <c r="M39" s="19"/>
      <c r="N39" s="8"/>
      <c r="O39" s="8"/>
      <c r="P39" s="8"/>
      <c r="Q39" s="8"/>
      <c r="R39" s="8"/>
      <c r="S39" s="8"/>
    </row>
    <row r="40" spans="1:19" s="9" customFormat="1">
      <c r="A40" s="28" t="s">
        <v>54</v>
      </c>
      <c r="B40" s="12">
        <f t="shared" ref="B40:S41" si="8">+B44/B$47*100</f>
        <v>40.582191780821915</v>
      </c>
      <c r="C40" s="12">
        <f t="shared" si="8"/>
        <v>51.455875522997694</v>
      </c>
      <c r="D40" s="12">
        <f t="shared" si="8"/>
        <v>66.835443037974684</v>
      </c>
      <c r="E40" s="12">
        <f t="shared" si="8"/>
        <v>73.120322277384304</v>
      </c>
      <c r="F40" s="12">
        <f t="shared" si="8"/>
        <v>28.687681454926139</v>
      </c>
      <c r="G40" s="12">
        <f t="shared" si="8"/>
        <v>46.58432064532392</v>
      </c>
      <c r="H40" s="12">
        <f t="shared" si="8"/>
        <v>64.718853362734293</v>
      </c>
      <c r="I40" s="12">
        <f t="shared" si="8"/>
        <v>63.538900067845596</v>
      </c>
      <c r="J40" s="12">
        <f t="shared" si="8"/>
        <v>40.832313341493268</v>
      </c>
      <c r="K40" s="12">
        <f t="shared" si="8"/>
        <v>22.269561655059402</v>
      </c>
      <c r="L40" s="12">
        <f t="shared" si="8"/>
        <v>49.332865168539328</v>
      </c>
      <c r="M40" s="21">
        <f t="shared" si="8"/>
        <v>63.286555002263469</v>
      </c>
      <c r="N40" s="12">
        <f t="shared" si="8"/>
        <v>57.164634146341456</v>
      </c>
      <c r="O40" s="12">
        <f t="shared" si="8"/>
        <v>47.191011235955052</v>
      </c>
      <c r="P40" s="12">
        <f t="shared" si="8"/>
        <v>33.02531137002812</v>
      </c>
      <c r="Q40" s="12">
        <f t="shared" si="8"/>
        <v>58.252427184466015</v>
      </c>
      <c r="R40" s="12">
        <f t="shared" si="8"/>
        <v>52.606170489039705</v>
      </c>
      <c r="S40" s="12">
        <f t="shared" si="8"/>
        <v>1.3689841287663127</v>
      </c>
    </row>
    <row r="41" spans="1:19" s="9" customFormat="1">
      <c r="A41" s="28" t="s">
        <v>55</v>
      </c>
      <c r="B41" s="12">
        <f t="shared" si="8"/>
        <v>15.154109589041095</v>
      </c>
      <c r="C41" s="12">
        <f t="shared" si="8"/>
        <v>13.632519454601876</v>
      </c>
      <c r="D41" s="12">
        <f t="shared" si="8"/>
        <v>0</v>
      </c>
      <c r="E41" s="12">
        <f t="shared" si="8"/>
        <v>0.39145152558431606</v>
      </c>
      <c r="F41" s="12">
        <f t="shared" si="8"/>
        <v>23.10693439320255</v>
      </c>
      <c r="G41" s="12">
        <f t="shared" si="8"/>
        <v>11.04108898411898</v>
      </c>
      <c r="H41" s="12">
        <f t="shared" si="8"/>
        <v>0</v>
      </c>
      <c r="I41" s="12">
        <f t="shared" si="8"/>
        <v>0</v>
      </c>
      <c r="J41" s="12">
        <f t="shared" si="8"/>
        <v>20.416156670746634</v>
      </c>
      <c r="K41" s="12">
        <f t="shared" si="8"/>
        <v>13.371569029086441</v>
      </c>
      <c r="L41" s="12">
        <f t="shared" si="8"/>
        <v>13.88693820224719</v>
      </c>
      <c r="M41" s="21">
        <f t="shared" si="8"/>
        <v>10.86464463558171</v>
      </c>
      <c r="N41" s="12">
        <f t="shared" si="8"/>
        <v>11.890243902439025</v>
      </c>
      <c r="O41" s="12">
        <f t="shared" si="8"/>
        <v>16.179775280898877</v>
      </c>
      <c r="P41" s="12">
        <f t="shared" si="8"/>
        <v>12.776215347529126</v>
      </c>
      <c r="Q41" s="12">
        <f t="shared" si="8"/>
        <v>11.373092926490985</v>
      </c>
      <c r="R41" s="12">
        <f t="shared" si="8"/>
        <v>18.924995905847691</v>
      </c>
      <c r="S41" s="12">
        <f t="shared" si="8"/>
        <v>8.0069932874064911</v>
      </c>
    </row>
    <row r="42" spans="1:19" s="9" customFormat="1">
      <c r="A42" s="28" t="s">
        <v>56</v>
      </c>
      <c r="B42" s="12">
        <f t="shared" ref="B42:S42" si="9">+(B46/6)/B$47*100</f>
        <v>44.263698630136986</v>
      </c>
      <c r="C42" s="12">
        <f t="shared" si="9"/>
        <v>34.91160502240043</v>
      </c>
      <c r="D42" s="12">
        <f t="shared" si="9"/>
        <v>33.164556962025316</v>
      </c>
      <c r="E42" s="12">
        <f t="shared" si="9"/>
        <v>26.488226197031384</v>
      </c>
      <c r="F42" s="12">
        <f t="shared" si="9"/>
        <v>48.2053841518713</v>
      </c>
      <c r="G42" s="12">
        <f t="shared" si="9"/>
        <v>42.374590370557094</v>
      </c>
      <c r="H42" s="12">
        <f t="shared" si="9"/>
        <v>35.281146637265714</v>
      </c>
      <c r="I42" s="12">
        <f t="shared" si="9"/>
        <v>36.461099932154411</v>
      </c>
      <c r="J42" s="12">
        <f t="shared" si="9"/>
        <v>38.751529987760094</v>
      </c>
      <c r="K42" s="12">
        <f t="shared" si="9"/>
        <v>64.358869315854164</v>
      </c>
      <c r="L42" s="12">
        <f t="shared" si="9"/>
        <v>36.780196629213478</v>
      </c>
      <c r="M42" s="21">
        <f t="shared" si="9"/>
        <v>25.848800362154822</v>
      </c>
      <c r="N42" s="12">
        <f t="shared" si="9"/>
        <v>30.945121951219512</v>
      </c>
      <c r="O42" s="12">
        <f t="shared" si="9"/>
        <v>36.629213483146067</v>
      </c>
      <c r="P42" s="12">
        <f t="shared" si="9"/>
        <v>54.198473282442748</v>
      </c>
      <c r="Q42" s="12">
        <f t="shared" si="9"/>
        <v>23.416551086454003</v>
      </c>
      <c r="R42" s="12">
        <f t="shared" si="9"/>
        <v>28.468833605112604</v>
      </c>
      <c r="S42" s="12">
        <f t="shared" si="9"/>
        <v>90.624022583827198</v>
      </c>
    </row>
    <row r="43" spans="1:19" s="9" customFormat="1">
      <c r="A43" s="28"/>
      <c r="B43" s="12"/>
      <c r="C43" s="12"/>
      <c r="D43" s="12"/>
      <c r="E43" s="12"/>
      <c r="F43" s="12"/>
      <c r="G43" s="12"/>
      <c r="H43" s="12"/>
      <c r="I43" s="12"/>
      <c r="J43" s="12"/>
      <c r="K43" s="12"/>
      <c r="L43" s="12"/>
      <c r="M43" s="21"/>
      <c r="N43" s="12"/>
      <c r="O43" s="12"/>
      <c r="P43" s="12"/>
      <c r="Q43" s="12"/>
      <c r="R43" s="12"/>
      <c r="S43" s="12"/>
    </row>
    <row r="44" spans="1:19" s="9" customFormat="1">
      <c r="A44" s="28" t="s">
        <v>62</v>
      </c>
      <c r="B44" s="12">
        <v>316</v>
      </c>
      <c r="C44" s="12">
        <v>253.714</v>
      </c>
      <c r="D44" s="12">
        <v>572</v>
      </c>
      <c r="E44" s="12">
        <f>+((1-(1.44/27.62))*(199.556-1.155))</f>
        <v>188.05713902968864</v>
      </c>
      <c r="F44" s="12">
        <v>47.133000000000003</v>
      </c>
      <c r="G44" s="12">
        <f>598+18</f>
        <v>616</v>
      </c>
      <c r="H44" s="12">
        <v>145.57599999999999</v>
      </c>
      <c r="I44" s="12">
        <v>91.466999999999999</v>
      </c>
      <c r="J44" s="12">
        <v>278</v>
      </c>
      <c r="K44" s="12">
        <v>90.6</v>
      </c>
      <c r="L44" s="12">
        <v>281</v>
      </c>
      <c r="M44" s="21">
        <v>233</v>
      </c>
      <c r="N44" s="12">
        <f>159+32+59</f>
        <v>250</v>
      </c>
      <c r="O44" s="12">
        <v>76.086956521739125</v>
      </c>
      <c r="P44" s="12">
        <v>137</v>
      </c>
      <c r="Q44" s="12">
        <f>190+38+192</f>
        <v>420</v>
      </c>
      <c r="R44" s="12">
        <v>112.965</v>
      </c>
      <c r="S44" s="12">
        <v>6.1847826086956523</v>
      </c>
    </row>
    <row r="45" spans="1:19" s="9" customFormat="1">
      <c r="A45" s="28" t="s">
        <v>63</v>
      </c>
      <c r="B45" s="12">
        <v>118</v>
      </c>
      <c r="C45" s="12">
        <f>320.932-C44</f>
        <v>67.218000000000018</v>
      </c>
      <c r="D45" s="12">
        <v>0</v>
      </c>
      <c r="E45" s="12">
        <f>+((1-(3.94/30.7))*1.155)</f>
        <v>1.0067687296416938</v>
      </c>
      <c r="F45" s="12">
        <v>37.963999999999999</v>
      </c>
      <c r="G45" s="12">
        <v>146</v>
      </c>
      <c r="H45" s="12">
        <v>0</v>
      </c>
      <c r="I45" s="12"/>
      <c r="J45" s="12">
        <v>139</v>
      </c>
      <c r="K45" s="12">
        <v>54.4</v>
      </c>
      <c r="L45" s="12">
        <v>79.099999999999994</v>
      </c>
      <c r="M45" s="21">
        <v>40</v>
      </c>
      <c r="N45" s="12">
        <f>41+11</f>
        <v>52</v>
      </c>
      <c r="O45" s="12">
        <v>26.086956521739129</v>
      </c>
      <c r="P45" s="12">
        <v>53</v>
      </c>
      <c r="Q45" s="12">
        <f>56+26</f>
        <v>82</v>
      </c>
      <c r="R45" s="12">
        <v>40.639000000000003</v>
      </c>
      <c r="S45" s="12">
        <f>36.1739130434783</f>
        <v>36.173913043478301</v>
      </c>
    </row>
    <row r="46" spans="1:19" s="9" customFormat="1">
      <c r="A46" s="28" t="s">
        <v>64</v>
      </c>
      <c r="B46" s="12">
        <v>2068</v>
      </c>
      <c r="C46" s="12">
        <v>1032.8340000000001</v>
      </c>
      <c r="D46" s="12">
        <v>1703</v>
      </c>
      <c r="E46" s="12">
        <f>+((1-(0.1/2.78))*424)</f>
        <v>408.74820143884892</v>
      </c>
      <c r="F46" s="12">
        <v>475.2</v>
      </c>
      <c r="G46" s="12">
        <v>3362</v>
      </c>
      <c r="H46" s="12">
        <v>476.16</v>
      </c>
      <c r="I46" s="12">
        <v>314.92399999999998</v>
      </c>
      <c r="J46" s="12">
        <v>1583</v>
      </c>
      <c r="K46" s="12">
        <v>1571</v>
      </c>
      <c r="L46" s="12">
        <v>1257</v>
      </c>
      <c r="M46" s="21">
        <v>571</v>
      </c>
      <c r="N46" s="12">
        <f>345+467</f>
        <v>812</v>
      </c>
      <c r="O46" s="12">
        <v>354.3478260869565</v>
      </c>
      <c r="P46" s="12">
        <v>1349</v>
      </c>
      <c r="Q46" s="12">
        <f>395+8+610</f>
        <v>1013</v>
      </c>
      <c r="R46" s="12">
        <v>366.79899999999998</v>
      </c>
      <c r="S46" s="12">
        <f>2.45652173913043*1000</f>
        <v>2456.52173913043</v>
      </c>
    </row>
    <row r="47" spans="1:19" s="9" customFormat="1">
      <c r="A47" s="28" t="s">
        <v>65</v>
      </c>
      <c r="B47" s="12">
        <f t="shared" ref="B47:S47" si="10">+B44+B45+B46/6</f>
        <v>778.66666666666674</v>
      </c>
      <c r="C47" s="12">
        <f t="shared" si="10"/>
        <v>493.07100000000003</v>
      </c>
      <c r="D47" s="12">
        <f t="shared" si="10"/>
        <v>855.83333333333326</v>
      </c>
      <c r="E47" s="12">
        <f t="shared" si="10"/>
        <v>257.18860799913847</v>
      </c>
      <c r="F47" s="12">
        <f t="shared" si="10"/>
        <v>164.29700000000003</v>
      </c>
      <c r="G47" s="12">
        <f t="shared" si="10"/>
        <v>1322.3333333333335</v>
      </c>
      <c r="H47" s="12">
        <f t="shared" si="10"/>
        <v>224.93599999999998</v>
      </c>
      <c r="I47" s="12">
        <f t="shared" si="10"/>
        <v>143.95433333333332</v>
      </c>
      <c r="J47" s="12">
        <f t="shared" si="10"/>
        <v>680.83333333333326</v>
      </c>
      <c r="K47" s="12">
        <f t="shared" si="10"/>
        <v>406.83333333333331</v>
      </c>
      <c r="L47" s="12">
        <f t="shared" si="10"/>
        <v>569.6</v>
      </c>
      <c r="M47" s="21">
        <f t="shared" si="10"/>
        <v>368.16666666666669</v>
      </c>
      <c r="N47" s="12">
        <f t="shared" si="10"/>
        <v>437.33333333333337</v>
      </c>
      <c r="O47" s="12">
        <f t="shared" si="10"/>
        <v>161.231884057971</v>
      </c>
      <c r="P47" s="12">
        <f t="shared" si="10"/>
        <v>414.83333333333337</v>
      </c>
      <c r="Q47" s="12">
        <v>721</v>
      </c>
      <c r="R47" s="12">
        <f t="shared" si="10"/>
        <v>214.73716666666667</v>
      </c>
      <c r="S47" s="12">
        <f t="shared" si="10"/>
        <v>451.77898550724558</v>
      </c>
    </row>
    <row r="48" spans="1:19" s="9" customFormat="1">
      <c r="A48" s="28" t="s">
        <v>66</v>
      </c>
      <c r="B48" s="12">
        <f t="shared" ref="B48:S48" si="11">+B47*0.092</f>
        <v>71.637333333333345</v>
      </c>
      <c r="C48" s="12">
        <f t="shared" si="11"/>
        <v>45.362532000000002</v>
      </c>
      <c r="D48" s="12">
        <f t="shared" si="11"/>
        <v>78.736666666666665</v>
      </c>
      <c r="E48" s="12">
        <f t="shared" si="11"/>
        <v>23.661351935920738</v>
      </c>
      <c r="F48" s="12">
        <f t="shared" si="11"/>
        <v>15.115324000000003</v>
      </c>
      <c r="G48" s="12">
        <f t="shared" si="11"/>
        <v>121.65466666666669</v>
      </c>
      <c r="H48" s="12">
        <f t="shared" si="11"/>
        <v>20.694111999999997</v>
      </c>
      <c r="I48" s="12">
        <f t="shared" si="11"/>
        <v>13.243798666666665</v>
      </c>
      <c r="J48" s="12">
        <f t="shared" si="11"/>
        <v>62.636666666666656</v>
      </c>
      <c r="K48" s="12">
        <f t="shared" si="11"/>
        <v>37.428666666666665</v>
      </c>
      <c r="L48" s="12">
        <f t="shared" si="11"/>
        <v>52.403199999999998</v>
      </c>
      <c r="M48" s="12">
        <f t="shared" si="11"/>
        <v>33.871333333333332</v>
      </c>
      <c r="N48" s="12">
        <f t="shared" si="11"/>
        <v>40.234666666666669</v>
      </c>
      <c r="O48" s="12">
        <f t="shared" si="11"/>
        <v>14.833333333333332</v>
      </c>
      <c r="P48" s="12">
        <f t="shared" si="11"/>
        <v>38.164666666666669</v>
      </c>
      <c r="Q48" s="12">
        <f t="shared" si="11"/>
        <v>66.331999999999994</v>
      </c>
      <c r="R48" s="12">
        <f t="shared" si="11"/>
        <v>19.755819333333331</v>
      </c>
      <c r="S48" s="12">
        <f t="shared" si="11"/>
        <v>41.563666666666592</v>
      </c>
    </row>
    <row r="49" spans="1:19" s="9" customFormat="1">
      <c r="A49" s="34"/>
      <c r="B49" s="12"/>
      <c r="C49" s="12"/>
      <c r="D49" s="12"/>
      <c r="E49" s="12"/>
      <c r="F49" s="12"/>
      <c r="G49" s="12"/>
      <c r="H49" s="12"/>
      <c r="I49" s="12" t="s">
        <v>131</v>
      </c>
      <c r="J49" s="12"/>
      <c r="K49" s="12"/>
      <c r="L49" s="12"/>
      <c r="M49" s="12"/>
      <c r="N49" s="12"/>
      <c r="O49" s="12"/>
      <c r="P49" s="12"/>
      <c r="Q49" s="12"/>
      <c r="R49" s="12"/>
      <c r="S49" s="12"/>
    </row>
    <row r="50" spans="1:19" s="9" customFormat="1">
      <c r="A50" s="36" t="s">
        <v>106</v>
      </c>
      <c r="B50" s="12">
        <f>+B36*B48*4</f>
        <v>3370.0119999999997</v>
      </c>
      <c r="C50" s="12">
        <f t="shared" ref="C50:S50" si="12">+C36*C48*4</f>
        <v>2276</v>
      </c>
      <c r="D50" s="12">
        <f t="shared" si="12"/>
        <v>2751.291071027616</v>
      </c>
      <c r="E50" s="12">
        <f t="shared" si="12"/>
        <v>195.0379470050944</v>
      </c>
      <c r="F50" s="12">
        <f t="shared" si="12"/>
        <v>453.49199999999996</v>
      </c>
      <c r="G50" s="12">
        <f t="shared" si="12"/>
        <v>5448.2355199999975</v>
      </c>
      <c r="H50" s="12">
        <f t="shared" si="12"/>
        <v>1520.5262233599999</v>
      </c>
      <c r="I50" s="12">
        <f t="shared" si="12"/>
        <v>811.57998229333327</v>
      </c>
      <c r="J50" s="12">
        <f t="shared" si="12"/>
        <v>1316.2579999999998</v>
      </c>
      <c r="K50" s="12">
        <f t="shared" si="12"/>
        <v>774.08256000000006</v>
      </c>
      <c r="L50" s="12">
        <f t="shared" si="12"/>
        <v>2809.4480000000008</v>
      </c>
      <c r="M50" s="12">
        <f t="shared" si="12"/>
        <v>1346.0457866666666</v>
      </c>
      <c r="N50" s="12">
        <f t="shared" si="12"/>
        <v>1376.0000000000002</v>
      </c>
      <c r="O50" s="12">
        <f t="shared" si="12"/>
        <v>680.00000000000011</v>
      </c>
      <c r="P50" s="12">
        <f t="shared" si="12"/>
        <v>1831.9999999999995</v>
      </c>
      <c r="Q50" s="12">
        <f t="shared" si="12"/>
        <v>4064.48432</v>
      </c>
      <c r="R50" s="12">
        <f t="shared" si="12"/>
        <v>776.47869301333321</v>
      </c>
      <c r="S50" s="12">
        <f t="shared" si="12"/>
        <v>594.9664000000023</v>
      </c>
    </row>
    <row r="51" spans="1:19" s="9" customFormat="1">
      <c r="A51" s="29"/>
      <c r="B51" s="8"/>
      <c r="C51" s="8"/>
      <c r="D51" s="8"/>
      <c r="E51" s="8"/>
      <c r="F51" s="8"/>
      <c r="G51" s="8"/>
      <c r="H51" s="8"/>
      <c r="I51" s="8"/>
      <c r="J51" s="8"/>
      <c r="K51" s="8"/>
      <c r="L51" s="8"/>
      <c r="M51" s="19"/>
      <c r="N51" s="8"/>
      <c r="O51" s="8"/>
      <c r="P51" s="8"/>
      <c r="Q51" s="8"/>
      <c r="R51" s="8"/>
      <c r="S51" s="8"/>
    </row>
    <row r="52" spans="1:19" s="9" customFormat="1" ht="24.75" customHeight="1">
      <c r="A52" s="277" t="s">
        <v>83</v>
      </c>
      <c r="B52" s="278"/>
      <c r="C52" s="278"/>
      <c r="D52" s="278"/>
      <c r="E52" s="278"/>
      <c r="F52" s="278"/>
      <c r="G52" s="278"/>
      <c r="H52" s="278"/>
      <c r="I52" s="278"/>
      <c r="J52" s="278"/>
      <c r="K52" s="278"/>
      <c r="L52" s="278"/>
      <c r="M52" s="278"/>
      <c r="N52" s="278"/>
      <c r="O52" s="278"/>
      <c r="P52" s="278"/>
      <c r="Q52" s="278"/>
      <c r="R52" s="278"/>
      <c r="S52" s="278"/>
    </row>
    <row r="53" spans="1:19" s="9" customFormat="1">
      <c r="A53" s="277" t="s">
        <v>76</v>
      </c>
      <c r="B53" s="278"/>
      <c r="C53" s="278"/>
      <c r="D53" s="278"/>
      <c r="E53" s="278"/>
      <c r="F53" s="278"/>
      <c r="G53" s="278"/>
      <c r="H53" s="278"/>
      <c r="I53" s="278"/>
      <c r="J53" s="278"/>
      <c r="K53" s="278"/>
      <c r="L53" s="278"/>
      <c r="M53" s="278"/>
      <c r="N53" s="278"/>
      <c r="O53" s="278"/>
      <c r="P53" s="278"/>
      <c r="Q53" s="278"/>
      <c r="R53" s="278"/>
      <c r="S53" s="278"/>
    </row>
    <row r="54" spans="1:19" s="9" customFormat="1">
      <c r="A54" s="29"/>
      <c r="B54" s="8"/>
      <c r="C54" s="8"/>
      <c r="D54" s="8"/>
      <c r="E54" s="8"/>
      <c r="F54" s="8"/>
      <c r="G54" s="8"/>
      <c r="H54" s="8"/>
      <c r="I54" s="8"/>
      <c r="J54" s="8"/>
      <c r="K54" s="8"/>
      <c r="L54" s="8"/>
      <c r="M54" s="19"/>
      <c r="N54" s="8"/>
      <c r="O54" s="8"/>
      <c r="P54" s="8"/>
      <c r="Q54" s="8"/>
      <c r="R54" s="8"/>
      <c r="S54" s="8"/>
    </row>
    <row r="55" spans="1:19">
      <c r="A55" s="22" t="s">
        <v>94</v>
      </c>
      <c r="B55" s="23"/>
      <c r="C55" s="23"/>
      <c r="D55" s="23">
        <v>1.3361000000000001</v>
      </c>
    </row>
    <row r="56" spans="1:19">
      <c r="A56" s="3"/>
    </row>
    <row r="57" spans="1:19">
      <c r="A57" s="3"/>
    </row>
    <row r="58" spans="1:19" hidden="1">
      <c r="A58" s="3"/>
      <c r="G58" s="2">
        <f>+G44*92/1000</f>
        <v>56.671999999999997</v>
      </c>
    </row>
    <row r="59" spans="1:19" hidden="1">
      <c r="A59" s="3"/>
      <c r="G59" s="2">
        <f>+G45*92/1000</f>
        <v>13.432</v>
      </c>
    </row>
    <row r="60" spans="1:19" hidden="1">
      <c r="A60" s="3"/>
      <c r="G60" s="2">
        <f>+G46*92/1000</f>
        <v>309.30399999999997</v>
      </c>
    </row>
    <row r="61" spans="1:19" hidden="1">
      <c r="A61" s="3"/>
    </row>
    <row r="62" spans="1:19" hidden="1">
      <c r="A62" s="3"/>
      <c r="G62" s="2">
        <f>+G58*G9</f>
        <v>2237.9735999999998</v>
      </c>
    </row>
    <row r="63" spans="1:19" hidden="1">
      <c r="G63" s="2">
        <f>+G59*G11</f>
        <v>208.196</v>
      </c>
    </row>
    <row r="64" spans="1:19" hidden="1">
      <c r="G64" s="2">
        <f>+G13*G60</f>
        <v>1026.8892799999999</v>
      </c>
    </row>
    <row r="65" spans="7:7" hidden="1"/>
    <row r="66" spans="7:7" hidden="1">
      <c r="G66" s="2">
        <f>+SUM(G62:G64)/G48</f>
        <v>28.548505167632964</v>
      </c>
    </row>
    <row r="162" spans="2:17" hidden="1">
      <c r="L162" s="2" t="s">
        <v>58</v>
      </c>
    </row>
    <row r="163" spans="2:17" hidden="1">
      <c r="L163" s="2" t="s">
        <v>54</v>
      </c>
      <c r="M163" s="2">
        <v>52.63</v>
      </c>
      <c r="N163" s="2">
        <v>176</v>
      </c>
      <c r="Q163" s="2">
        <f>+N163*M163</f>
        <v>9262.880000000001</v>
      </c>
    </row>
    <row r="164" spans="2:17" hidden="1">
      <c r="D164" s="2" t="s">
        <v>72</v>
      </c>
      <c r="E164" s="2" t="s">
        <v>73</v>
      </c>
      <c r="L164" s="2" t="s">
        <v>55</v>
      </c>
      <c r="M164" s="2">
        <v>14.77</v>
      </c>
      <c r="N164" s="2">
        <v>37</v>
      </c>
      <c r="Q164" s="2">
        <f>+N164*M164</f>
        <v>546.49</v>
      </c>
    </row>
    <row r="165" spans="2:17" hidden="1">
      <c r="B165" s="2" t="s">
        <v>61</v>
      </c>
      <c r="C165" s="2">
        <v>95.057000000000002</v>
      </c>
      <c r="D165" s="2">
        <f>73.05</f>
        <v>73.05</v>
      </c>
      <c r="F165" s="2">
        <f>+D165*C165</f>
        <v>6943.9138499999999</v>
      </c>
      <c r="L165" s="2" t="s">
        <v>59</v>
      </c>
      <c r="M165" s="2">
        <v>2.76</v>
      </c>
      <c r="N165" s="2">
        <v>361</v>
      </c>
      <c r="P165" s="2">
        <f>+N165/6</f>
        <v>60.166666666666664</v>
      </c>
      <c r="Q165" s="2">
        <f>+N165*M165</f>
        <v>996.3599999999999</v>
      </c>
    </row>
    <row r="166" spans="2:17" hidden="1">
      <c r="B166" s="2" t="s">
        <v>71</v>
      </c>
      <c r="C166" s="2">
        <f>458.144-C165</f>
        <v>363.08699999999999</v>
      </c>
      <c r="D166" s="2">
        <f>53.09</f>
        <v>53.09</v>
      </c>
      <c r="F166" s="2">
        <f>+D166*C166</f>
        <v>19276.288830000001</v>
      </c>
      <c r="G166" s="2">
        <f>+SUM(F165:F166)/(C165+C166)</f>
        <v>57.231356691345958</v>
      </c>
    </row>
    <row r="167" spans="2:17" hidden="1">
      <c r="L167" s="2" t="s">
        <v>60</v>
      </c>
    </row>
    <row r="168" spans="2:17" hidden="1">
      <c r="L168" s="2" t="s">
        <v>54</v>
      </c>
      <c r="M168" s="2">
        <v>56.7</v>
      </c>
      <c r="N168" s="2">
        <v>33</v>
      </c>
      <c r="Q168" s="2">
        <f>+N168*M168</f>
        <v>1871.1000000000001</v>
      </c>
    </row>
    <row r="169" spans="2:17" hidden="1">
      <c r="D169" s="2">
        <v>608</v>
      </c>
      <c r="E169" s="2">
        <v>58</v>
      </c>
      <c r="L169" s="2" t="s">
        <v>55</v>
      </c>
      <c r="M169" s="2">
        <v>3.1</v>
      </c>
      <c r="N169" s="2">
        <v>9</v>
      </c>
      <c r="Q169" s="2">
        <f>+N169*M169</f>
        <v>27.900000000000002</v>
      </c>
    </row>
    <row r="170" spans="2:17" hidden="1">
      <c r="D170" s="2">
        <v>138</v>
      </c>
      <c r="E170" s="2">
        <v>33.299999999999997</v>
      </c>
      <c r="L170" s="2" t="s">
        <v>59</v>
      </c>
      <c r="M170" s="2">
        <v>0.78</v>
      </c>
      <c r="N170" s="2">
        <v>396</v>
      </c>
      <c r="P170" s="2">
        <f>+N170/6</f>
        <v>66</v>
      </c>
      <c r="Q170" s="2">
        <f>+N170*M170</f>
        <v>308.88</v>
      </c>
    </row>
    <row r="171" spans="2:17" hidden="1">
      <c r="E171" s="2">
        <f>+SUMPRODUCT(D169:D170,E169:E170)/SUM(D169:D170)</f>
        <v>53.430831099195714</v>
      </c>
    </row>
    <row r="172" spans="2:17" hidden="1">
      <c r="L172" s="2" t="s">
        <v>61</v>
      </c>
    </row>
    <row r="173" spans="2:17" hidden="1">
      <c r="L173" s="2" t="s">
        <v>54</v>
      </c>
      <c r="M173" s="2">
        <v>52.46</v>
      </c>
      <c r="N173" s="2">
        <v>29</v>
      </c>
      <c r="Q173" s="2">
        <f>+N173*M173</f>
        <v>1521.34</v>
      </c>
    </row>
  </sheetData>
  <mergeCells count="2">
    <mergeCell ref="A53:S53"/>
    <mergeCell ref="A52:S52"/>
  </mergeCells>
  <printOptions horizontalCentered="1"/>
  <pageMargins left="0.4" right="0.4" top="0.5" bottom="0.75" header="0.3" footer="0.3"/>
  <pageSetup orientation="landscape" r:id="rId1"/>
  <headerFooter>
    <oddFooter>&amp;C&amp;"Expert Sans Regular,Regular"&amp;10&amp;K000000 Restricted - External_x000D_&amp;1#&amp;"Calibri"&amp;10 Restricted - External</oddFooter>
    <evenFooter>&amp;C&amp;"Expert Sans Regular,Regular"&amp;10&amp;K000000 Restricted - External</evenFooter>
    <firstFooter>&amp;C&amp;"Expert Sans Regular,Regular"&amp;10&amp;K000000 Restricted - External</firstFooter>
  </headerFooter>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pageSetUpPr autoPageBreaks="0" fitToPage="1"/>
  </sheetPr>
  <dimension ref="A1:S170"/>
  <sheetViews>
    <sheetView workbookViewId="0">
      <pane xSplit="1" topLeftCell="B1" activePane="topRight" state="frozen"/>
      <selection activeCell="B36" sqref="B36:V36"/>
      <selection pane="topRight" activeCell="B36" sqref="B36:V36"/>
    </sheetView>
  </sheetViews>
  <sheetFormatPr defaultRowHeight="14.25"/>
  <cols>
    <col min="1" max="1" width="36.375" style="1" customWidth="1"/>
    <col min="2" max="19" width="9.25" style="2" customWidth="1"/>
    <col min="20" max="16384" width="9" style="1"/>
  </cols>
  <sheetData>
    <row r="1" spans="1:19" s="9" customFormat="1">
      <c r="A1" s="17" t="s">
        <v>93</v>
      </c>
      <c r="B1" s="8"/>
      <c r="C1" s="8"/>
      <c r="D1" s="8"/>
      <c r="E1" s="8"/>
      <c r="F1" s="8"/>
      <c r="G1" s="8"/>
      <c r="H1" s="8"/>
      <c r="I1" s="8"/>
      <c r="J1" s="8"/>
      <c r="K1" s="8"/>
      <c r="L1" s="8"/>
      <c r="M1" s="19"/>
      <c r="N1" s="8"/>
      <c r="O1" s="8"/>
      <c r="P1" s="8"/>
      <c r="Q1" s="8"/>
      <c r="R1" s="8"/>
      <c r="S1" s="8"/>
    </row>
    <row r="2" spans="1:19" s="9" customFormat="1">
      <c r="A2" s="17" t="s">
        <v>1</v>
      </c>
      <c r="B2" s="10">
        <v>46.48</v>
      </c>
      <c r="C2" s="8"/>
      <c r="D2" s="8"/>
      <c r="E2" s="8"/>
      <c r="F2" s="8"/>
      <c r="G2" s="8"/>
      <c r="H2" s="8"/>
      <c r="I2" s="8"/>
      <c r="J2" s="8"/>
      <c r="K2" s="8"/>
      <c r="L2" s="8"/>
      <c r="M2" s="19"/>
      <c r="N2" s="8"/>
      <c r="O2" s="8"/>
      <c r="P2" s="8"/>
      <c r="Q2" s="8"/>
      <c r="R2" s="8"/>
      <c r="S2" s="8"/>
    </row>
    <row r="3" spans="1:19" s="9" customFormat="1">
      <c r="A3" s="17" t="s">
        <v>0</v>
      </c>
      <c r="B3" s="10">
        <v>18.504999999999999</v>
      </c>
      <c r="C3" s="8"/>
      <c r="D3" s="8"/>
      <c r="E3" s="8"/>
      <c r="F3" s="8"/>
      <c r="G3" s="8"/>
      <c r="H3" s="8"/>
      <c r="I3" s="8"/>
      <c r="J3" s="8"/>
      <c r="K3" s="8"/>
      <c r="L3" s="8"/>
      <c r="M3" s="19"/>
      <c r="N3" s="8"/>
      <c r="O3" s="8"/>
      <c r="P3" s="8"/>
      <c r="Q3" s="8"/>
      <c r="R3" s="8"/>
      <c r="S3" s="8"/>
    </row>
    <row r="4" spans="1:19" s="9" customFormat="1">
      <c r="A4" s="17" t="s">
        <v>2</v>
      </c>
      <c r="B4" s="10">
        <v>2.7477</v>
      </c>
      <c r="C4" s="8"/>
      <c r="D4" s="8"/>
      <c r="E4" s="8"/>
      <c r="F4" s="8"/>
      <c r="G4" s="8"/>
      <c r="H4" s="8"/>
      <c r="I4" s="8"/>
      <c r="J4" s="8"/>
      <c r="K4" s="8"/>
      <c r="L4" s="8"/>
      <c r="M4" s="19"/>
      <c r="N4" s="8"/>
      <c r="O4" s="8"/>
      <c r="P4" s="8"/>
      <c r="Q4" s="8"/>
      <c r="R4" s="8"/>
      <c r="S4" s="8"/>
    </row>
    <row r="5" spans="1:19" s="9" customFormat="1" ht="15" thickBot="1">
      <c r="A5" s="17"/>
      <c r="B5" s="8"/>
      <c r="C5" s="8"/>
      <c r="D5" s="8"/>
      <c r="E5" s="8"/>
      <c r="F5" s="8"/>
      <c r="G5" s="8"/>
      <c r="H5" s="8"/>
      <c r="I5" s="8"/>
      <c r="J5" s="8"/>
      <c r="K5" s="8"/>
      <c r="L5" s="8"/>
      <c r="M5" s="19"/>
      <c r="N5" s="8"/>
      <c r="O5" s="8"/>
      <c r="P5" s="8"/>
      <c r="Q5" s="8"/>
      <c r="R5" s="8"/>
      <c r="S5" s="8"/>
    </row>
    <row r="6" spans="1:19" ht="26.25" thickBot="1">
      <c r="A6" s="4" t="s">
        <v>15</v>
      </c>
      <c r="B6" s="5" t="s">
        <v>17</v>
      </c>
      <c r="C6" s="5" t="s">
        <v>18</v>
      </c>
      <c r="D6" s="5" t="s">
        <v>19</v>
      </c>
      <c r="E6" s="5" t="s">
        <v>21</v>
      </c>
      <c r="F6" s="5" t="s">
        <v>22</v>
      </c>
      <c r="G6" s="138" t="s">
        <v>174</v>
      </c>
      <c r="H6" s="5" t="s">
        <v>23</v>
      </c>
      <c r="I6" s="52" t="s">
        <v>139</v>
      </c>
      <c r="J6" s="5" t="s">
        <v>24</v>
      </c>
      <c r="K6" s="5" t="s">
        <v>25</v>
      </c>
      <c r="L6" s="5" t="s">
        <v>26</v>
      </c>
      <c r="M6" s="52" t="s">
        <v>27</v>
      </c>
      <c r="N6" s="52" t="s">
        <v>28</v>
      </c>
      <c r="O6" s="116" t="s">
        <v>162</v>
      </c>
      <c r="P6" s="5" t="s">
        <v>29</v>
      </c>
      <c r="Q6" s="5" t="s">
        <v>30</v>
      </c>
      <c r="R6" s="5" t="s">
        <v>31</v>
      </c>
      <c r="S6" s="138" t="s">
        <v>173</v>
      </c>
    </row>
    <row r="7" spans="1:19" ht="18" customHeight="1" thickBot="1">
      <c r="A7" s="25" t="s">
        <v>16</v>
      </c>
      <c r="B7" s="26" t="s">
        <v>33</v>
      </c>
      <c r="C7" s="26" t="s">
        <v>34</v>
      </c>
      <c r="D7" s="26" t="s">
        <v>35</v>
      </c>
      <c r="E7" s="26" t="s">
        <v>37</v>
      </c>
      <c r="F7" s="26" t="s">
        <v>38</v>
      </c>
      <c r="G7" s="26" t="s">
        <v>36</v>
      </c>
      <c r="H7" s="26" t="s">
        <v>39</v>
      </c>
      <c r="I7" s="69" t="s">
        <v>140</v>
      </c>
      <c r="J7" s="26" t="s">
        <v>40</v>
      </c>
      <c r="K7" s="26" t="s">
        <v>41</v>
      </c>
      <c r="L7" s="26" t="s">
        <v>42</v>
      </c>
      <c r="M7" s="26" t="s">
        <v>43</v>
      </c>
      <c r="N7" s="26" t="s">
        <v>44</v>
      </c>
      <c r="O7" s="69" t="s">
        <v>163</v>
      </c>
      <c r="P7" s="26" t="s">
        <v>45</v>
      </c>
      <c r="Q7" s="26" t="s">
        <v>46</v>
      </c>
      <c r="R7" s="26" t="s">
        <v>47</v>
      </c>
      <c r="S7" s="26" t="s">
        <v>48</v>
      </c>
    </row>
    <row r="8" spans="1:19" s="9" customFormat="1">
      <c r="A8" s="17"/>
      <c r="B8" s="8"/>
      <c r="C8" s="8"/>
      <c r="D8" s="8"/>
      <c r="E8" s="8"/>
      <c r="F8" s="8"/>
      <c r="G8" s="8"/>
      <c r="H8" s="8"/>
      <c r="I8" s="8"/>
      <c r="J8" s="8"/>
      <c r="K8" s="8"/>
      <c r="L8" s="8"/>
      <c r="M8" s="8"/>
      <c r="N8" s="8"/>
      <c r="O8" s="8"/>
      <c r="P8" s="8"/>
      <c r="Q8" s="8"/>
      <c r="R8" s="8"/>
      <c r="S8" s="8"/>
    </row>
    <row r="9" spans="1:19" s="9" customFormat="1">
      <c r="A9" s="17" t="s">
        <v>50</v>
      </c>
      <c r="B9" s="10">
        <v>44.45</v>
      </c>
      <c r="C9" s="10">
        <v>46.34</v>
      </c>
      <c r="D9" s="10">
        <f>45.9439/D52</f>
        <v>35.114567410577806</v>
      </c>
      <c r="E9" s="10">
        <f>+(34.08-1.6)*0.76429</f>
        <v>24.824139199999998</v>
      </c>
      <c r="F9" s="10">
        <v>41.89</v>
      </c>
      <c r="G9" s="10">
        <f>+((46.37*558)+(16.54*12))/(558+12)</f>
        <v>45.741999999999997</v>
      </c>
      <c r="H9" s="10">
        <v>38.950000000000003</v>
      </c>
      <c r="I9" s="10">
        <v>43.82</v>
      </c>
      <c r="J9" s="10">
        <v>34.78</v>
      </c>
      <c r="K9" s="10">
        <v>34.520000000000003</v>
      </c>
      <c r="L9" s="10">
        <v>45.91</v>
      </c>
      <c r="M9" s="10">
        <v>43.43</v>
      </c>
      <c r="N9" s="10">
        <v>41.543500000000002</v>
      </c>
      <c r="O9" s="10">
        <v>39.340000000000003</v>
      </c>
      <c r="P9" s="10">
        <v>43.3</v>
      </c>
      <c r="Q9" s="10">
        <v>47.78</v>
      </c>
      <c r="R9" s="10">
        <v>42.46</v>
      </c>
      <c r="S9" s="10">
        <v>33.5</v>
      </c>
    </row>
    <row r="10" spans="1:19" s="9" customFormat="1">
      <c r="A10" s="17" t="s">
        <v>3</v>
      </c>
      <c r="B10" s="10">
        <f t="shared" ref="B10:S10" si="0">+B9-$B$2</f>
        <v>-2.029999999999994</v>
      </c>
      <c r="C10" s="10">
        <f t="shared" si="0"/>
        <v>-0.13999999999999346</v>
      </c>
      <c r="D10" s="10">
        <f t="shared" si="0"/>
        <v>-11.365432589422191</v>
      </c>
      <c r="E10" s="10">
        <f t="shared" si="0"/>
        <v>-21.655860799999999</v>
      </c>
      <c r="F10" s="10">
        <f t="shared" si="0"/>
        <v>-4.5899999999999963</v>
      </c>
      <c r="G10" s="10">
        <f t="shared" si="0"/>
        <v>-0.73799999999999955</v>
      </c>
      <c r="H10" s="10">
        <f t="shared" si="0"/>
        <v>-7.529999999999994</v>
      </c>
      <c r="I10" s="10">
        <f t="shared" si="0"/>
        <v>-2.6599999999999966</v>
      </c>
      <c r="J10" s="10">
        <f t="shared" si="0"/>
        <v>-11.699999999999996</v>
      </c>
      <c r="K10" s="10">
        <f t="shared" si="0"/>
        <v>-11.959999999999994</v>
      </c>
      <c r="L10" s="10">
        <f t="shared" si="0"/>
        <v>-0.57000000000000028</v>
      </c>
      <c r="M10" s="10">
        <f t="shared" si="0"/>
        <v>-3.0499999999999972</v>
      </c>
      <c r="N10" s="10">
        <f t="shared" si="0"/>
        <v>-4.9364999999999952</v>
      </c>
      <c r="O10" s="10">
        <f t="shared" si="0"/>
        <v>-7.1399999999999935</v>
      </c>
      <c r="P10" s="10">
        <f t="shared" si="0"/>
        <v>-3.1799999999999997</v>
      </c>
      <c r="Q10" s="10">
        <f t="shared" si="0"/>
        <v>1.3000000000000043</v>
      </c>
      <c r="R10" s="10">
        <f t="shared" si="0"/>
        <v>-4.019999999999996</v>
      </c>
      <c r="S10" s="10">
        <f t="shared" si="0"/>
        <v>-12.979999999999997</v>
      </c>
    </row>
    <row r="11" spans="1:19" s="9" customFormat="1">
      <c r="A11" s="17" t="s">
        <v>51</v>
      </c>
      <c r="B11" s="10">
        <v>16.260000000000002</v>
      </c>
      <c r="C11" s="10">
        <v>8.3800000000000008</v>
      </c>
      <c r="D11" s="10"/>
      <c r="E11" s="10">
        <f>+(24.57-1.75)*0.7642923</f>
        <v>17.441150286000003</v>
      </c>
      <c r="F11" s="10">
        <v>12.19</v>
      </c>
      <c r="G11" s="10">
        <v>14.67</v>
      </c>
      <c r="H11" s="10"/>
      <c r="I11" s="10"/>
      <c r="J11" s="10">
        <v>8.8000000000000007</v>
      </c>
      <c r="K11" s="10"/>
      <c r="L11" s="10">
        <v>13.24</v>
      </c>
      <c r="M11" s="10">
        <v>7.17</v>
      </c>
      <c r="N11" s="10">
        <v>9.8582000000000001</v>
      </c>
      <c r="O11" s="10">
        <v>16.79</v>
      </c>
      <c r="P11" s="10">
        <v>7.49</v>
      </c>
      <c r="Q11" s="10">
        <v>14.68</v>
      </c>
      <c r="R11" s="10">
        <v>12.39</v>
      </c>
      <c r="S11" s="10">
        <v>4.72</v>
      </c>
    </row>
    <row r="12" spans="1:19" s="9" customFormat="1">
      <c r="A12" s="17" t="s">
        <v>3</v>
      </c>
      <c r="B12" s="10">
        <f t="shared" ref="B12:S12" si="1">+B11-$B$3</f>
        <v>-2.2449999999999974</v>
      </c>
      <c r="C12" s="10">
        <f t="shared" si="1"/>
        <v>-10.124999999999998</v>
      </c>
      <c r="D12" s="10">
        <f t="shared" si="1"/>
        <v>-18.504999999999999</v>
      </c>
      <c r="E12" s="10">
        <f t="shared" si="1"/>
        <v>-1.0638497139999963</v>
      </c>
      <c r="F12" s="10">
        <f t="shared" si="1"/>
        <v>-6.3149999999999995</v>
      </c>
      <c r="G12" s="10">
        <f t="shared" si="1"/>
        <v>-3.8349999999999991</v>
      </c>
      <c r="H12" s="10">
        <f t="shared" si="1"/>
        <v>-18.504999999999999</v>
      </c>
      <c r="I12" s="10">
        <f t="shared" si="1"/>
        <v>-18.504999999999999</v>
      </c>
      <c r="J12" s="10">
        <f t="shared" si="1"/>
        <v>-9.7049999999999983</v>
      </c>
      <c r="K12" s="10">
        <f t="shared" si="1"/>
        <v>-18.504999999999999</v>
      </c>
      <c r="L12" s="10">
        <f t="shared" si="1"/>
        <v>-5.2649999999999988</v>
      </c>
      <c r="M12" s="10">
        <f t="shared" si="1"/>
        <v>-11.334999999999999</v>
      </c>
      <c r="N12" s="10">
        <f t="shared" si="1"/>
        <v>-8.6467999999999989</v>
      </c>
      <c r="O12" s="10">
        <f t="shared" si="1"/>
        <v>-1.7149999999999999</v>
      </c>
      <c r="P12" s="10">
        <f t="shared" si="1"/>
        <v>-11.014999999999999</v>
      </c>
      <c r="Q12" s="10">
        <f t="shared" si="1"/>
        <v>-3.8249999999999993</v>
      </c>
      <c r="R12" s="10">
        <f t="shared" si="1"/>
        <v>-6.1149999999999984</v>
      </c>
      <c r="S12" s="10">
        <f t="shared" si="1"/>
        <v>-13.785</v>
      </c>
    </row>
    <row r="13" spans="1:19" s="9" customFormat="1">
      <c r="A13" s="17" t="s">
        <v>52</v>
      </c>
      <c r="B13" s="10">
        <v>2.41</v>
      </c>
      <c r="C13" s="10">
        <v>2.89</v>
      </c>
      <c r="D13" s="10">
        <f>3.22/D52</f>
        <v>2.4610210944665241</v>
      </c>
      <c r="E13" s="10">
        <f>+(3-0.11)*0.7642923</f>
        <v>2.2088047470000003</v>
      </c>
      <c r="F13" s="10">
        <v>2.68</v>
      </c>
      <c r="G13" s="10">
        <v>3.78</v>
      </c>
      <c r="H13" s="10">
        <v>2.23</v>
      </c>
      <c r="I13" s="10">
        <v>2.4900000000000002</v>
      </c>
      <c r="J13" s="10">
        <v>2.2400000000000002</v>
      </c>
      <c r="K13" s="10">
        <v>2.6</v>
      </c>
      <c r="L13" s="10">
        <v>2.4</v>
      </c>
      <c r="M13" s="10">
        <v>4.0199999999999996</v>
      </c>
      <c r="N13" s="10">
        <v>1.5269999999999999</v>
      </c>
      <c r="O13" s="10">
        <v>2.5099999999999998</v>
      </c>
      <c r="P13" s="10">
        <v>2.5</v>
      </c>
      <c r="Q13" s="10">
        <v>1.51</v>
      </c>
      <c r="R13" s="10">
        <v>2.5299999999999998</v>
      </c>
      <c r="S13" s="10">
        <v>1.77</v>
      </c>
    </row>
    <row r="14" spans="1:19" s="9" customFormat="1">
      <c r="A14" s="17" t="s">
        <v>3</v>
      </c>
      <c r="B14" s="10">
        <f t="shared" ref="B14:S14" si="2">+B13-$B$4</f>
        <v>-0.33769999999999989</v>
      </c>
      <c r="C14" s="10">
        <f t="shared" si="2"/>
        <v>0.14230000000000009</v>
      </c>
      <c r="D14" s="10">
        <f t="shared" si="2"/>
        <v>-0.28667890553347597</v>
      </c>
      <c r="E14" s="10">
        <f t="shared" si="2"/>
        <v>-0.53889525299999974</v>
      </c>
      <c r="F14" s="10">
        <f t="shared" si="2"/>
        <v>-6.7699999999999871E-2</v>
      </c>
      <c r="G14" s="10">
        <f t="shared" si="2"/>
        <v>1.0322999999999998</v>
      </c>
      <c r="H14" s="10">
        <f t="shared" si="2"/>
        <v>-0.51770000000000005</v>
      </c>
      <c r="I14" s="10">
        <f t="shared" si="2"/>
        <v>-0.25769999999999982</v>
      </c>
      <c r="J14" s="10">
        <f t="shared" si="2"/>
        <v>-0.50769999999999982</v>
      </c>
      <c r="K14" s="10">
        <f t="shared" si="2"/>
        <v>-0.14769999999999994</v>
      </c>
      <c r="L14" s="10">
        <f t="shared" si="2"/>
        <v>-0.34770000000000012</v>
      </c>
      <c r="M14" s="10">
        <f t="shared" si="2"/>
        <v>1.2722999999999995</v>
      </c>
      <c r="N14" s="10">
        <f t="shared" si="2"/>
        <v>-1.2207000000000001</v>
      </c>
      <c r="O14" s="10">
        <f t="shared" si="2"/>
        <v>-0.23770000000000024</v>
      </c>
      <c r="P14" s="10">
        <f t="shared" si="2"/>
        <v>-0.24770000000000003</v>
      </c>
      <c r="Q14" s="10">
        <f t="shared" si="2"/>
        <v>-1.2377</v>
      </c>
      <c r="R14" s="10">
        <f t="shared" si="2"/>
        <v>-0.21770000000000023</v>
      </c>
      <c r="S14" s="10">
        <f t="shared" si="2"/>
        <v>-0.97770000000000001</v>
      </c>
    </row>
    <row r="15" spans="1:19" s="9" customFormat="1">
      <c r="A15" s="17" t="s">
        <v>49</v>
      </c>
      <c r="B15" s="10">
        <f>+(484+1229+183)/B47</f>
        <v>26.175312005301333</v>
      </c>
      <c r="C15" s="10">
        <f>+(1572)/C47</f>
        <v>31.514256833281216</v>
      </c>
      <c r="D15" s="10">
        <f>+((2581+722)/D47)/D52</f>
        <v>32.333987911682115</v>
      </c>
      <c r="E15" s="10">
        <f>+(29.95-1.36)*0.7642923</f>
        <v>21.851116857000001</v>
      </c>
      <c r="F15" s="10">
        <f>+(192.501+114.649+40.159)/F47</f>
        <v>23.138910524224979</v>
      </c>
      <c r="G15" s="10">
        <f>+G63</f>
        <v>32.092271773347328</v>
      </c>
      <c r="H15" s="10">
        <v>29.9</v>
      </c>
      <c r="I15" s="10">
        <v>33.74</v>
      </c>
      <c r="J15" s="10">
        <v>21.37</v>
      </c>
      <c r="K15" s="10">
        <v>22.26</v>
      </c>
      <c r="L15" s="10">
        <f>+(1181.092+95.217+281.837)/L47</f>
        <v>29.732054945082908</v>
      </c>
      <c r="M15" s="10">
        <v>34.43</v>
      </c>
      <c r="N15" s="10">
        <f>1300/N47</f>
        <v>31.694433157253144</v>
      </c>
      <c r="O15" s="10">
        <f>377/O47</f>
        <v>26.271777003484321</v>
      </c>
      <c r="P15" s="10">
        <f>+(438+293+34)/P47</f>
        <v>22.382819357481424</v>
      </c>
      <c r="Q15" s="10">
        <f>2054/Q47</f>
        <v>32.427141549051186</v>
      </c>
      <c r="R15" s="10">
        <v>28.75</v>
      </c>
      <c r="S15" s="10">
        <v>11.845499999999999</v>
      </c>
    </row>
    <row r="16" spans="1:19" s="9" customFormat="1">
      <c r="A16" s="17"/>
      <c r="B16" s="10"/>
      <c r="C16" s="10"/>
      <c r="D16" s="10"/>
      <c r="E16" s="10"/>
      <c r="F16" s="10"/>
      <c r="G16" s="10"/>
      <c r="H16" s="10"/>
      <c r="I16" s="10"/>
      <c r="J16" s="10"/>
      <c r="K16" s="10"/>
      <c r="L16" s="10"/>
      <c r="M16" s="20"/>
      <c r="N16" s="10"/>
      <c r="O16" s="10"/>
      <c r="P16" s="10"/>
      <c r="Q16" s="10"/>
      <c r="R16" s="10"/>
      <c r="S16" s="10"/>
    </row>
    <row r="17" spans="1:19" s="9" customFormat="1">
      <c r="A17" s="17" t="s">
        <v>4</v>
      </c>
      <c r="B17" s="10"/>
      <c r="C17" s="10"/>
      <c r="D17" s="10"/>
      <c r="E17" s="10"/>
      <c r="F17" s="10"/>
      <c r="G17" s="10"/>
      <c r="H17" s="10"/>
      <c r="I17" s="10"/>
      <c r="J17" s="10"/>
      <c r="K17" s="10"/>
      <c r="L17" s="10"/>
      <c r="M17" s="20"/>
      <c r="N17" s="10"/>
      <c r="O17" s="10"/>
      <c r="P17" s="10"/>
      <c r="Q17" s="10"/>
      <c r="R17" s="10"/>
      <c r="S17" s="10"/>
    </row>
    <row r="18" spans="1:19" s="9" customFormat="1">
      <c r="A18" s="16" t="s">
        <v>75</v>
      </c>
      <c r="B18" s="10">
        <f>+(262+271)/B47</f>
        <v>7.3583551154143514</v>
      </c>
      <c r="C18" s="10">
        <f>+(450+58)/C47</f>
        <v>10.18399648301963</v>
      </c>
      <c r="D18" s="20">
        <f>+((840+535+321+22)/D47)/D52</f>
        <v>16.817980996751402</v>
      </c>
      <c r="E18" s="10">
        <f>+(10.27+4.35)*0.7642923</f>
        <v>11.173953426000001</v>
      </c>
      <c r="F18" s="10">
        <f>+(69.334+46.29)/F47</f>
        <v>7.7032653644247322</v>
      </c>
      <c r="G18" s="10">
        <f>+(1834)/G47</f>
        <v>15.688443815867515</v>
      </c>
      <c r="H18" s="10">
        <v>4</v>
      </c>
      <c r="I18" s="10">
        <v>7.23</v>
      </c>
      <c r="J18" s="10">
        <f>510/J47</f>
        <v>8.1481797073046049</v>
      </c>
      <c r="K18" s="10">
        <f>4.93+8.41</f>
        <v>13.34</v>
      </c>
      <c r="L18" s="10">
        <f>+(283.221+203.594+35.497)/L47</f>
        <v>9.9665943258694263</v>
      </c>
      <c r="M18" s="20">
        <f>+(443+117)/M47</f>
        <v>16.032370118715885</v>
      </c>
      <c r="N18" s="10">
        <f>+(406+93)/N47</f>
        <v>12.165786265745631</v>
      </c>
      <c r="O18" s="10">
        <f>+(71+52)/O47</f>
        <v>8.5714285714285712</v>
      </c>
      <c r="P18" s="10">
        <f>+(133+74)/P47</f>
        <v>6.0565275908479146</v>
      </c>
      <c r="Q18" s="10">
        <v>11.15</v>
      </c>
      <c r="R18" s="10">
        <f>+(189+27)/R47</f>
        <v>11.142408056648829</v>
      </c>
      <c r="S18" s="10">
        <f>0.92*6</f>
        <v>5.5200000000000005</v>
      </c>
    </row>
    <row r="19" spans="1:19" s="9" customFormat="1">
      <c r="A19" s="16" t="s">
        <v>74</v>
      </c>
      <c r="B19" s="10"/>
      <c r="C19" s="10"/>
      <c r="D19" s="10">
        <f>+((202/D47)/D52)</f>
        <v>1.977434319757732</v>
      </c>
      <c r="E19" s="10"/>
      <c r="F19" s="10"/>
      <c r="G19" s="10"/>
      <c r="H19" s="10"/>
      <c r="I19" s="10"/>
      <c r="J19" s="10"/>
      <c r="K19" s="10"/>
      <c r="L19" s="10"/>
      <c r="M19" s="20"/>
      <c r="N19" s="10"/>
      <c r="O19" s="10"/>
      <c r="P19" s="10"/>
      <c r="Q19" s="10"/>
      <c r="R19" s="10"/>
      <c r="S19" s="10"/>
    </row>
    <row r="20" spans="1:19" s="9" customFormat="1">
      <c r="A20" s="16" t="s">
        <v>10</v>
      </c>
      <c r="B20" s="10">
        <f>127/B47</f>
        <v>1.7533041269373784</v>
      </c>
      <c r="C20" s="10">
        <f>104/C47</f>
        <v>2.0849126658150423</v>
      </c>
      <c r="D20" s="10"/>
      <c r="E20" s="10">
        <f>0.19*0.7642923</f>
        <v>0.14521553700000001</v>
      </c>
      <c r="F20" s="10">
        <f>19.717/F47</f>
        <v>1.3136138101982497</v>
      </c>
      <c r="G20" s="10">
        <f>206/G47</f>
        <v>1.7621698070167437</v>
      </c>
      <c r="H20" s="10">
        <f>47.682/H47</f>
        <v>2.2704043556413849</v>
      </c>
      <c r="I20" s="10">
        <v>2.83</v>
      </c>
      <c r="J20" s="10">
        <f>84/J47</f>
        <v>1.3420531282619348</v>
      </c>
      <c r="K20" s="10">
        <v>0.74</v>
      </c>
      <c r="L20" s="10">
        <f>105.667/L47</f>
        <v>2.0163046658542108</v>
      </c>
      <c r="M20" s="20">
        <f>29/M47</f>
        <v>0.83024773829064402</v>
      </c>
      <c r="N20" s="10">
        <f>46/N47</f>
        <v>1.1214953271028036</v>
      </c>
      <c r="O20" s="10">
        <f>13/O47</f>
        <v>0.90592334494773519</v>
      </c>
      <c r="P20" s="10">
        <f>28/P47</f>
        <v>0.81924044707121546</v>
      </c>
      <c r="Q20" s="10">
        <v>1.2</v>
      </c>
      <c r="R20" s="10">
        <f>36/R47</f>
        <v>1.8570680094414715</v>
      </c>
      <c r="S20" s="10">
        <f>0.1*6</f>
        <v>0.60000000000000009</v>
      </c>
    </row>
    <row r="21" spans="1:19" s="9" customFormat="1">
      <c r="A21" s="16" t="s">
        <v>11</v>
      </c>
      <c r="B21" s="10">
        <f>+(345-9.318)/B47</f>
        <v>4.6342727239259291</v>
      </c>
      <c r="C21" s="10">
        <f>86/C47</f>
        <v>1.7240623967316695</v>
      </c>
      <c r="D21" s="10">
        <f>+((93)/D47)/D52</f>
        <v>0.91040292939341128</v>
      </c>
      <c r="E21" s="10">
        <f>+(75*0.7642923)/E47</f>
        <v>2.3114725344499689</v>
      </c>
      <c r="F21" s="10">
        <f>(20.413+15.371+7.741)/F47</f>
        <v>2.8997839980158657</v>
      </c>
      <c r="G21" s="10">
        <f>293/G47</f>
        <v>2.5063871526985726</v>
      </c>
      <c r="H21" s="10">
        <f>1.95+0.61</f>
        <v>2.56</v>
      </c>
      <c r="I21" s="10">
        <v>4.37</v>
      </c>
      <c r="J21" s="10">
        <f>(163+92)/J47</f>
        <v>4.0740898536523025</v>
      </c>
      <c r="K21" s="10">
        <f>61/K47</f>
        <v>1.6649622790513172</v>
      </c>
      <c r="L21" s="10">
        <f>90.959/L47</f>
        <v>1.7356512071075469</v>
      </c>
      <c r="M21" s="20">
        <f>(119-4)/M47</f>
        <v>3.292361720807726</v>
      </c>
      <c r="N21" s="10">
        <f>125/N47</f>
        <v>3.0475416497358792</v>
      </c>
      <c r="O21" s="10">
        <f>66/O47</f>
        <v>4.5993031358885021</v>
      </c>
      <c r="P21" s="10">
        <f>109/P47</f>
        <v>3.1891860260986604</v>
      </c>
      <c r="Q21" s="10">
        <v>2.88</v>
      </c>
      <c r="R21" s="10">
        <f>81/R47</f>
        <v>4.1784030212433105</v>
      </c>
      <c r="S21" s="10">
        <f>0.2*6</f>
        <v>1.2000000000000002</v>
      </c>
    </row>
    <row r="22" spans="1:19" s="9" customFormat="1">
      <c r="A22" s="16" t="s">
        <v>12</v>
      </c>
      <c r="B22" s="10">
        <f>+(199-31.773+46)/B47</f>
        <v>2.9437147958620185</v>
      </c>
      <c r="C22" s="10">
        <f>(120)/C47</f>
        <v>2.4056684605558178</v>
      </c>
      <c r="D22" s="10">
        <f>+(142/D47)/D52</f>
        <v>1.3900775911168215</v>
      </c>
      <c r="E22" s="10">
        <f>+(84*0.7642923)/E47</f>
        <v>2.5888492385839652</v>
      </c>
      <c r="F22" s="10">
        <f>(21.416)/F47</f>
        <v>1.4268069868238433</v>
      </c>
      <c r="G22" s="10">
        <f>240/G47</f>
        <v>2.0530133673981479</v>
      </c>
      <c r="H22" s="10">
        <f>79.399/H47</f>
        <v>3.7806265557982117</v>
      </c>
      <c r="I22" s="10">
        <f>53.752/I47</f>
        <v>3.913225481976172</v>
      </c>
      <c r="J22" s="10">
        <f>(106+17)/J47</f>
        <v>1.9651492235264048</v>
      </c>
      <c r="K22" s="10">
        <f>105/K47</f>
        <v>2.865918677055546</v>
      </c>
      <c r="L22" s="10">
        <f>(60.571+(33-23))/L47</f>
        <v>1.3466137637483557</v>
      </c>
      <c r="M22" s="20">
        <v>2.4</v>
      </c>
      <c r="N22" s="10">
        <f>75/N47</f>
        <v>1.8285249898415277</v>
      </c>
      <c r="O22" s="10">
        <f>37/O47</f>
        <v>2.5783972125435541</v>
      </c>
      <c r="P22" s="10">
        <f>110/P47</f>
        <v>3.2184446134940607</v>
      </c>
      <c r="Q22" s="10">
        <f>48/Q47</f>
        <v>0.75779103912096246</v>
      </c>
      <c r="R22" s="10">
        <f>46/R47</f>
        <v>2.3729202342863247</v>
      </c>
      <c r="S22" s="10">
        <f>51/S47</f>
        <v>1.2127524803806387</v>
      </c>
    </row>
    <row r="23" spans="1:19" s="9" customFormat="1">
      <c r="A23" s="16" t="s">
        <v>13</v>
      </c>
      <c r="B23" s="10">
        <f>+(1111-65.688)/B47</f>
        <v>14.431101130213895</v>
      </c>
      <c r="C23" s="10">
        <f>829/C47</f>
        <v>16.619159615006442</v>
      </c>
      <c r="D23" s="10">
        <f>+((165+1208)/D47)/D52</f>
        <v>13.440679807066166</v>
      </c>
      <c r="E23" s="10">
        <f>+((180+224)*0.7642923)/E47</f>
        <v>12.451132052237167</v>
      </c>
      <c r="F23" s="10">
        <f>188.269/F47</f>
        <v>12.543123113669134</v>
      </c>
      <c r="G23" s="10">
        <f>2271/G47</f>
        <v>19.426638989004978</v>
      </c>
      <c r="H23" s="10">
        <v>21.36</v>
      </c>
      <c r="I23" s="10">
        <v>23.99</v>
      </c>
      <c r="J23" s="10">
        <f>644/J47</f>
        <v>10.289073983341501</v>
      </c>
      <c r="K23" s="10">
        <f>+(64+265)/K47</f>
        <v>8.9798785214407104</v>
      </c>
      <c r="L23" s="10">
        <f>722.172/L47</f>
        <v>13.78026037598557</v>
      </c>
      <c r="M23" s="20">
        <f>963/M47</f>
        <v>27.569950757720349</v>
      </c>
      <c r="N23" s="10">
        <f>717/N47</f>
        <v>17.480698902885003</v>
      </c>
      <c r="O23" s="10">
        <f>236/O47</f>
        <v>16.445993031358885</v>
      </c>
      <c r="P23" s="10">
        <f>539/P47</f>
        <v>15.770378606120898</v>
      </c>
      <c r="Q23" s="10">
        <v>15.39</v>
      </c>
      <c r="R23" s="10">
        <f>364/R47</f>
        <v>18.777020984352657</v>
      </c>
      <c r="S23" s="10">
        <f>255/S47</f>
        <v>6.063762401903193</v>
      </c>
    </row>
    <row r="24" spans="1:19" s="9" customFormat="1">
      <c r="A24" s="17"/>
      <c r="B24" s="10"/>
      <c r="C24" s="8"/>
      <c r="D24" s="8"/>
      <c r="E24" s="8"/>
      <c r="F24" s="8"/>
      <c r="G24" s="8"/>
      <c r="H24" s="8"/>
      <c r="I24" s="8"/>
      <c r="J24" s="8"/>
      <c r="K24" s="8"/>
      <c r="L24" s="8"/>
      <c r="M24" s="19"/>
      <c r="N24" s="8"/>
      <c r="O24" s="8"/>
      <c r="P24" s="8"/>
      <c r="Q24" s="8"/>
      <c r="R24" s="8"/>
      <c r="S24" s="8"/>
    </row>
    <row r="25" spans="1:19" s="9" customFormat="1">
      <c r="A25" s="17" t="s">
        <v>9</v>
      </c>
      <c r="B25" s="8"/>
      <c r="C25" s="8"/>
      <c r="D25" s="8"/>
      <c r="E25" s="8"/>
      <c r="F25" s="8"/>
      <c r="G25" s="8"/>
      <c r="H25" s="8"/>
      <c r="I25" s="8"/>
      <c r="J25" s="8"/>
      <c r="K25" s="8"/>
      <c r="L25" s="8"/>
      <c r="M25" s="19"/>
      <c r="N25" s="8"/>
      <c r="O25" s="8"/>
      <c r="P25" s="8"/>
      <c r="Q25" s="8"/>
      <c r="R25" s="8"/>
      <c r="S25" s="8"/>
    </row>
    <row r="26" spans="1:19" s="9" customFormat="1">
      <c r="A26" s="18" t="s">
        <v>5</v>
      </c>
      <c r="B26" s="10">
        <f>+B18+B20</f>
        <v>9.1116592423517293</v>
      </c>
      <c r="C26" s="10">
        <f>+C18+C20</f>
        <v>12.268909148834673</v>
      </c>
      <c r="D26" s="10">
        <f>+D18+D20+D19</f>
        <v>18.795415316509136</v>
      </c>
      <c r="E26" s="10">
        <f>+E18+E20+E19</f>
        <v>11.319168963000001</v>
      </c>
      <c r="F26" s="10">
        <f t="shared" ref="F26:S26" si="3">+F18+F20</f>
        <v>9.0168791746229822</v>
      </c>
      <c r="G26" s="10">
        <f t="shared" si="3"/>
        <v>17.450613622884259</v>
      </c>
      <c r="H26" s="10">
        <f t="shared" si="3"/>
        <v>6.2704043556413849</v>
      </c>
      <c r="I26" s="10">
        <f>+I18+I20</f>
        <v>10.06</v>
      </c>
      <c r="J26" s="10">
        <f t="shared" si="3"/>
        <v>9.4902328355665393</v>
      </c>
      <c r="K26" s="10">
        <f t="shared" si="3"/>
        <v>14.08</v>
      </c>
      <c r="L26" s="10">
        <f t="shared" si="3"/>
        <v>11.982898991723637</v>
      </c>
      <c r="M26" s="20">
        <f t="shared" si="3"/>
        <v>16.86261785700653</v>
      </c>
      <c r="N26" s="10">
        <f t="shared" si="3"/>
        <v>13.287281592848434</v>
      </c>
      <c r="O26" s="10">
        <f>+O18+O20</f>
        <v>9.4773519163763069</v>
      </c>
      <c r="P26" s="10">
        <f t="shared" si="3"/>
        <v>6.8757680379191299</v>
      </c>
      <c r="Q26" s="10">
        <f t="shared" si="3"/>
        <v>12.35</v>
      </c>
      <c r="R26" s="10">
        <f t="shared" si="3"/>
        <v>12.999476066090301</v>
      </c>
      <c r="S26" s="10">
        <f t="shared" si="3"/>
        <v>6.120000000000001</v>
      </c>
    </row>
    <row r="27" spans="1:19" s="9" customFormat="1">
      <c r="A27" s="16" t="s">
        <v>6</v>
      </c>
      <c r="B27" s="10">
        <f t="shared" ref="B27:S29" si="4">+B26+B21</f>
        <v>13.745931966277659</v>
      </c>
      <c r="C27" s="10">
        <f t="shared" si="4"/>
        <v>13.992971545566343</v>
      </c>
      <c r="D27" s="10">
        <f t="shared" si="4"/>
        <v>19.705818245902545</v>
      </c>
      <c r="E27" s="10">
        <f t="shared" si="4"/>
        <v>13.63064149744997</v>
      </c>
      <c r="F27" s="10">
        <f t="shared" si="4"/>
        <v>11.916663172638849</v>
      </c>
      <c r="G27" s="10">
        <f t="shared" si="4"/>
        <v>19.957000775582831</v>
      </c>
      <c r="H27" s="10">
        <f t="shared" si="4"/>
        <v>8.8304043556413845</v>
      </c>
      <c r="I27" s="10">
        <f>+I26+I21</f>
        <v>14.43</v>
      </c>
      <c r="J27" s="10">
        <f t="shared" si="4"/>
        <v>13.564322689218841</v>
      </c>
      <c r="K27" s="10">
        <f t="shared" si="4"/>
        <v>15.744962279051318</v>
      </c>
      <c r="L27" s="10">
        <f t="shared" si="4"/>
        <v>13.718550198831185</v>
      </c>
      <c r="M27" s="20">
        <f t="shared" si="4"/>
        <v>20.154979577814256</v>
      </c>
      <c r="N27" s="10">
        <f t="shared" si="4"/>
        <v>16.334823242584314</v>
      </c>
      <c r="O27" s="10">
        <f>+O26+O21</f>
        <v>14.076655052264808</v>
      </c>
      <c r="P27" s="10">
        <f t="shared" si="4"/>
        <v>10.06495406401779</v>
      </c>
      <c r="Q27" s="10">
        <f t="shared" si="4"/>
        <v>15.23</v>
      </c>
      <c r="R27" s="10">
        <f t="shared" si="4"/>
        <v>17.177879087333611</v>
      </c>
      <c r="S27" s="10">
        <f t="shared" si="4"/>
        <v>7.3200000000000012</v>
      </c>
    </row>
    <row r="28" spans="1:19" s="9" customFormat="1">
      <c r="A28" s="16" t="s">
        <v>7</v>
      </c>
      <c r="B28" s="10">
        <f t="shared" si="4"/>
        <v>16.689646762139677</v>
      </c>
      <c r="C28" s="10">
        <f t="shared" si="4"/>
        <v>16.398640006122161</v>
      </c>
      <c r="D28" s="10">
        <f t="shared" si="4"/>
        <v>21.095895837019366</v>
      </c>
      <c r="E28" s="10">
        <f t="shared" si="4"/>
        <v>16.219490736033936</v>
      </c>
      <c r="F28" s="10">
        <f t="shared" si="4"/>
        <v>13.343470159462692</v>
      </c>
      <c r="G28" s="10">
        <f t="shared" si="4"/>
        <v>22.010014142980978</v>
      </c>
      <c r="H28" s="10">
        <f t="shared" si="4"/>
        <v>12.611030911439595</v>
      </c>
      <c r="I28" s="10">
        <f>+I27+I22</f>
        <v>18.343225481976173</v>
      </c>
      <c r="J28" s="10">
        <f t="shared" si="4"/>
        <v>15.529471912745246</v>
      </c>
      <c r="K28" s="10">
        <f t="shared" si="4"/>
        <v>18.610880956106865</v>
      </c>
      <c r="L28" s="10">
        <f t="shared" si="4"/>
        <v>15.06516396257954</v>
      </c>
      <c r="M28" s="20">
        <f t="shared" si="4"/>
        <v>22.554979577814255</v>
      </c>
      <c r="N28" s="10">
        <f t="shared" si="4"/>
        <v>18.16334823242584</v>
      </c>
      <c r="O28" s="10">
        <f>+O27+O22</f>
        <v>16.655052264808361</v>
      </c>
      <c r="P28" s="10">
        <f t="shared" si="4"/>
        <v>13.283398677511851</v>
      </c>
      <c r="Q28" s="10">
        <f t="shared" si="4"/>
        <v>15.987791039120962</v>
      </c>
      <c r="R28" s="10">
        <f t="shared" si="4"/>
        <v>19.550799321619937</v>
      </c>
      <c r="S28" s="10">
        <f t="shared" si="4"/>
        <v>8.5327524803806405</v>
      </c>
    </row>
    <row r="29" spans="1:19" s="9" customFormat="1">
      <c r="A29" s="16" t="s">
        <v>8</v>
      </c>
      <c r="B29" s="10">
        <f t="shared" si="4"/>
        <v>31.12074789235357</v>
      </c>
      <c r="C29" s="10">
        <f t="shared" si="4"/>
        <v>33.017799621128603</v>
      </c>
      <c r="D29" s="10">
        <f t="shared" si="4"/>
        <v>34.536575644085531</v>
      </c>
      <c r="E29" s="10">
        <f t="shared" si="4"/>
        <v>28.670622788271103</v>
      </c>
      <c r="F29" s="10">
        <f t="shared" si="4"/>
        <v>25.886593273131826</v>
      </c>
      <c r="G29" s="10">
        <f t="shared" si="4"/>
        <v>41.436653131985956</v>
      </c>
      <c r="H29" s="10">
        <f t="shared" si="4"/>
        <v>33.971030911439598</v>
      </c>
      <c r="I29" s="10">
        <f>+I28+I23</f>
        <v>42.333225481976172</v>
      </c>
      <c r="J29" s="10">
        <f t="shared" si="4"/>
        <v>25.818545896086746</v>
      </c>
      <c r="K29" s="10">
        <f t="shared" si="4"/>
        <v>27.590759477547575</v>
      </c>
      <c r="L29" s="10">
        <f t="shared" si="4"/>
        <v>28.84542433856511</v>
      </c>
      <c r="M29" s="20">
        <f t="shared" si="4"/>
        <v>50.1249303355346</v>
      </c>
      <c r="N29" s="10">
        <f t="shared" si="4"/>
        <v>35.644047135310842</v>
      </c>
      <c r="O29" s="10">
        <f>+O28+O23</f>
        <v>33.101045296167243</v>
      </c>
      <c r="P29" s="10">
        <f t="shared" si="4"/>
        <v>29.053777283632748</v>
      </c>
      <c r="Q29" s="10">
        <f t="shared" si="4"/>
        <v>31.377791039120964</v>
      </c>
      <c r="R29" s="10">
        <f t="shared" si="4"/>
        <v>38.327820305972594</v>
      </c>
      <c r="S29" s="10">
        <f t="shared" si="4"/>
        <v>14.596514882283834</v>
      </c>
    </row>
    <row r="30" spans="1:19" s="9" customFormat="1">
      <c r="A30" s="17"/>
      <c r="B30" s="10"/>
      <c r="C30" s="10"/>
      <c r="D30" s="10"/>
      <c r="E30" s="10"/>
      <c r="F30" s="10"/>
      <c r="G30" s="10"/>
      <c r="H30" s="10"/>
      <c r="I30" s="10"/>
      <c r="J30" s="10"/>
      <c r="K30" s="10"/>
      <c r="L30" s="10"/>
      <c r="M30" s="20"/>
      <c r="N30" s="10"/>
      <c r="O30" s="10"/>
      <c r="P30" s="10"/>
      <c r="Q30" s="10"/>
      <c r="R30" s="10"/>
      <c r="S30" s="10"/>
    </row>
    <row r="31" spans="1:19" s="9" customFormat="1">
      <c r="A31" s="16" t="s">
        <v>14</v>
      </c>
      <c r="B31" s="10"/>
      <c r="C31" s="10"/>
      <c r="D31" s="10"/>
      <c r="E31" s="10"/>
      <c r="F31" s="10"/>
      <c r="G31" s="10"/>
      <c r="H31" s="10"/>
      <c r="I31" s="10"/>
      <c r="J31" s="10"/>
      <c r="K31" s="10"/>
      <c r="L31" s="10"/>
      <c r="M31" s="20"/>
      <c r="N31" s="10"/>
      <c r="O31" s="10"/>
      <c r="P31" s="10"/>
      <c r="Q31" s="10"/>
      <c r="R31" s="10"/>
      <c r="S31" s="10"/>
    </row>
    <row r="32" spans="1:19" s="9" customFormat="1">
      <c r="A32" s="16" t="s">
        <v>67</v>
      </c>
      <c r="B32" s="10">
        <f t="shared" ref="B32:S32" si="5">+B$15-B26</f>
        <v>17.063652762949602</v>
      </c>
      <c r="C32" s="10">
        <f t="shared" si="5"/>
        <v>19.245347684446543</v>
      </c>
      <c r="D32" s="10">
        <f t="shared" si="5"/>
        <v>13.53857259517298</v>
      </c>
      <c r="E32" s="10">
        <f t="shared" si="5"/>
        <v>10.531947894</v>
      </c>
      <c r="F32" s="10">
        <f t="shared" si="5"/>
        <v>14.122031349601997</v>
      </c>
      <c r="G32" s="10">
        <f t="shared" si="5"/>
        <v>14.641658150463069</v>
      </c>
      <c r="H32" s="10">
        <f t="shared" si="5"/>
        <v>23.629595644358613</v>
      </c>
      <c r="I32" s="10">
        <f>+I$15-I26</f>
        <v>23.68</v>
      </c>
      <c r="J32" s="10">
        <f t="shared" si="5"/>
        <v>11.879767164433462</v>
      </c>
      <c r="K32" s="10">
        <f t="shared" si="5"/>
        <v>8.1800000000000015</v>
      </c>
      <c r="L32" s="10">
        <f t="shared" si="5"/>
        <v>17.749155953359271</v>
      </c>
      <c r="M32" s="20">
        <f t="shared" si="5"/>
        <v>17.56738214299347</v>
      </c>
      <c r="N32" s="10">
        <f t="shared" si="5"/>
        <v>18.40715156440471</v>
      </c>
      <c r="O32" s="10">
        <f>+O$15-O26</f>
        <v>16.794425087108014</v>
      </c>
      <c r="P32" s="10">
        <f t="shared" si="5"/>
        <v>15.507051319562294</v>
      </c>
      <c r="Q32" s="10">
        <f t="shared" si="5"/>
        <v>20.077141549051184</v>
      </c>
      <c r="R32" s="10">
        <f t="shared" si="5"/>
        <v>15.750523933909699</v>
      </c>
      <c r="S32" s="10">
        <f t="shared" si="5"/>
        <v>5.7254999999999985</v>
      </c>
    </row>
    <row r="33" spans="1:19" s="9" customFormat="1">
      <c r="A33" s="16" t="s">
        <v>68</v>
      </c>
      <c r="B33" s="10">
        <f t="shared" ref="B33:S33" si="6">+B$15-B27</f>
        <v>12.429380039023673</v>
      </c>
      <c r="C33" s="10">
        <f t="shared" si="6"/>
        <v>17.521285287714875</v>
      </c>
      <c r="D33" s="10">
        <f t="shared" si="6"/>
        <v>12.62816966577957</v>
      </c>
      <c r="E33" s="10">
        <f t="shared" si="6"/>
        <v>8.2204753595500311</v>
      </c>
      <c r="F33" s="10">
        <f t="shared" si="6"/>
        <v>11.22224735158613</v>
      </c>
      <c r="G33" s="10">
        <f t="shared" si="6"/>
        <v>12.135270997764497</v>
      </c>
      <c r="H33" s="10">
        <f t="shared" si="6"/>
        <v>21.069595644358614</v>
      </c>
      <c r="I33" s="10">
        <f>+I$15-I27</f>
        <v>19.310000000000002</v>
      </c>
      <c r="J33" s="10">
        <f t="shared" si="6"/>
        <v>7.8056773107811601</v>
      </c>
      <c r="K33" s="10">
        <f t="shared" si="6"/>
        <v>6.5150377209486834</v>
      </c>
      <c r="L33" s="10">
        <f t="shared" si="6"/>
        <v>16.013504746251723</v>
      </c>
      <c r="M33" s="20">
        <f t="shared" si="6"/>
        <v>14.275020422185744</v>
      </c>
      <c r="N33" s="10">
        <f t="shared" si="6"/>
        <v>15.35960991466883</v>
      </c>
      <c r="O33" s="10">
        <f>+O$15-O27</f>
        <v>12.195121951219512</v>
      </c>
      <c r="P33" s="10">
        <f t="shared" si="6"/>
        <v>12.317865293463633</v>
      </c>
      <c r="Q33" s="10">
        <f t="shared" si="6"/>
        <v>17.197141549051185</v>
      </c>
      <c r="R33" s="10">
        <f t="shared" si="6"/>
        <v>11.572120912666389</v>
      </c>
      <c r="S33" s="10">
        <f t="shared" si="6"/>
        <v>4.5254999999999983</v>
      </c>
    </row>
    <row r="34" spans="1:19" s="9" customFormat="1">
      <c r="A34" s="16" t="s">
        <v>69</v>
      </c>
      <c r="B34" s="10">
        <f t="shared" ref="B34:S34" si="7">+B$15-B28</f>
        <v>9.4856652431616553</v>
      </c>
      <c r="C34" s="10">
        <f t="shared" si="7"/>
        <v>15.115616827159055</v>
      </c>
      <c r="D34" s="10">
        <f t="shared" si="7"/>
        <v>11.238092074662749</v>
      </c>
      <c r="E34" s="10">
        <f t="shared" si="7"/>
        <v>5.6316261209660645</v>
      </c>
      <c r="F34" s="10">
        <f t="shared" si="7"/>
        <v>9.7954403647622872</v>
      </c>
      <c r="G34" s="10">
        <f t="shared" si="7"/>
        <v>10.08225763036635</v>
      </c>
      <c r="H34" s="10">
        <f t="shared" si="7"/>
        <v>17.288969088560403</v>
      </c>
      <c r="I34" s="10">
        <f>+I$15-I28</f>
        <v>15.396774518023829</v>
      </c>
      <c r="J34" s="10">
        <f t="shared" si="7"/>
        <v>5.8405280872547554</v>
      </c>
      <c r="K34" s="10">
        <f t="shared" si="7"/>
        <v>3.6491190438931369</v>
      </c>
      <c r="L34" s="10">
        <f t="shared" si="7"/>
        <v>14.666890982503368</v>
      </c>
      <c r="M34" s="20">
        <f t="shared" si="7"/>
        <v>11.875020422185745</v>
      </c>
      <c r="N34" s="10">
        <f t="shared" si="7"/>
        <v>13.531084924827304</v>
      </c>
      <c r="O34" s="10">
        <f>+O$15-O28</f>
        <v>9.6167247386759591</v>
      </c>
      <c r="P34" s="10">
        <f t="shared" si="7"/>
        <v>9.0994206799695725</v>
      </c>
      <c r="Q34" s="10">
        <f t="shared" si="7"/>
        <v>16.439350509930222</v>
      </c>
      <c r="R34" s="10">
        <f t="shared" si="7"/>
        <v>9.1992006783800626</v>
      </c>
      <c r="S34" s="10">
        <f t="shared" si="7"/>
        <v>3.312747519619359</v>
      </c>
    </row>
    <row r="35" spans="1:19" s="9" customFormat="1">
      <c r="A35" s="16" t="s">
        <v>70</v>
      </c>
      <c r="B35" s="10">
        <f t="shared" ref="B35:S35" si="8">+B$15-B29</f>
        <v>-4.9454358870522377</v>
      </c>
      <c r="C35" s="10">
        <f t="shared" si="8"/>
        <v>-1.5035427878473868</v>
      </c>
      <c r="D35" s="10">
        <f t="shared" si="8"/>
        <v>-2.2025877324034155</v>
      </c>
      <c r="E35" s="10">
        <f t="shared" si="8"/>
        <v>-6.8195059312711024</v>
      </c>
      <c r="F35" s="10">
        <f t="shared" si="8"/>
        <v>-2.7476827489068469</v>
      </c>
      <c r="G35" s="10">
        <f t="shared" si="8"/>
        <v>-9.3443813586386284</v>
      </c>
      <c r="H35" s="10">
        <f t="shared" si="8"/>
        <v>-4.0710309114395997</v>
      </c>
      <c r="I35" s="10">
        <f>+I$15-I29</f>
        <v>-8.5932254819761695</v>
      </c>
      <c r="J35" s="10">
        <f t="shared" si="8"/>
        <v>-4.4485458960867454</v>
      </c>
      <c r="K35" s="10">
        <f t="shared" si="8"/>
        <v>-5.3307594775475735</v>
      </c>
      <c r="L35" s="10">
        <f t="shared" si="8"/>
        <v>0.88663060651779801</v>
      </c>
      <c r="M35" s="20">
        <f t="shared" si="8"/>
        <v>-15.6949303355346</v>
      </c>
      <c r="N35" s="10">
        <f t="shared" si="8"/>
        <v>-3.9496139780576982</v>
      </c>
      <c r="O35" s="10">
        <f>+O$15-O29</f>
        <v>-6.8292682926829222</v>
      </c>
      <c r="P35" s="10">
        <f t="shared" si="8"/>
        <v>-6.6709579261513241</v>
      </c>
      <c r="Q35" s="10">
        <f t="shared" si="8"/>
        <v>1.0493505099302212</v>
      </c>
      <c r="R35" s="10">
        <f t="shared" si="8"/>
        <v>-9.5778203059725939</v>
      </c>
      <c r="S35" s="10">
        <f t="shared" si="8"/>
        <v>-2.751014882283835</v>
      </c>
    </row>
    <row r="36" spans="1:19" s="9" customFormat="1">
      <c r="A36" s="75" t="s">
        <v>112</v>
      </c>
      <c r="B36" s="10">
        <f>+B15-B18-B19-B20-B21</f>
        <v>12.429380039023673</v>
      </c>
      <c r="C36" s="10">
        <f t="shared" ref="C36:S36" si="9">+C15-C18-C19-C20-C21</f>
        <v>17.521285287714875</v>
      </c>
      <c r="D36" s="10">
        <f t="shared" si="9"/>
        <v>12.62816966577957</v>
      </c>
      <c r="E36" s="10">
        <f t="shared" si="9"/>
        <v>8.2204753595500311</v>
      </c>
      <c r="F36" s="10">
        <f t="shared" si="9"/>
        <v>11.22224735158613</v>
      </c>
      <c r="G36" s="10">
        <f t="shared" si="9"/>
        <v>12.135270997764497</v>
      </c>
      <c r="H36" s="10">
        <f t="shared" si="9"/>
        <v>21.069595644358614</v>
      </c>
      <c r="I36" s="10">
        <f t="shared" si="9"/>
        <v>19.309999999999999</v>
      </c>
      <c r="J36" s="10">
        <f t="shared" si="9"/>
        <v>7.8056773107811592</v>
      </c>
      <c r="K36" s="10">
        <f t="shared" si="9"/>
        <v>6.5150377209486843</v>
      </c>
      <c r="L36" s="10">
        <f t="shared" si="9"/>
        <v>16.013504746251723</v>
      </c>
      <c r="M36" s="10">
        <f t="shared" si="9"/>
        <v>14.275020422185744</v>
      </c>
      <c r="N36" s="10">
        <f t="shared" si="9"/>
        <v>15.35960991466883</v>
      </c>
      <c r="O36" s="10">
        <f>+O15-O18-O19-O20-O21</f>
        <v>12.195121951219512</v>
      </c>
      <c r="P36" s="10">
        <f t="shared" si="9"/>
        <v>12.317865293463633</v>
      </c>
      <c r="Q36" s="10">
        <f t="shared" si="9"/>
        <v>17.197141549051189</v>
      </c>
      <c r="R36" s="10">
        <f t="shared" si="9"/>
        <v>11.572120912666389</v>
      </c>
      <c r="S36" s="10">
        <f t="shared" si="9"/>
        <v>4.5254999999999983</v>
      </c>
    </row>
    <row r="37" spans="1:19" s="9" customFormat="1">
      <c r="A37" s="17"/>
      <c r="B37" s="8"/>
      <c r="C37" s="8"/>
      <c r="D37" s="8"/>
      <c r="E37" s="8"/>
      <c r="F37" s="8"/>
      <c r="G37" s="8"/>
      <c r="H37" s="8"/>
      <c r="I37" s="8"/>
      <c r="J37" s="8"/>
      <c r="K37" s="8"/>
      <c r="L37" s="8"/>
      <c r="M37" s="19"/>
      <c r="N37" s="8"/>
      <c r="O37" s="8"/>
      <c r="P37" s="8"/>
      <c r="Q37" s="8"/>
      <c r="R37" s="8"/>
      <c r="S37" s="8"/>
    </row>
    <row r="38" spans="1:19" s="9" customFormat="1">
      <c r="A38" s="16" t="s">
        <v>53</v>
      </c>
      <c r="B38" s="8"/>
      <c r="C38" s="8"/>
      <c r="D38" s="8"/>
      <c r="E38" s="8"/>
      <c r="F38" s="8"/>
      <c r="G38" s="8"/>
      <c r="H38" s="8"/>
      <c r="I38" s="8"/>
      <c r="J38" s="8"/>
      <c r="K38" s="8"/>
      <c r="L38" s="8"/>
      <c r="M38" s="19"/>
      <c r="N38" s="8"/>
      <c r="O38" s="8"/>
      <c r="P38" s="8"/>
      <c r="Q38" s="8"/>
      <c r="R38" s="8"/>
      <c r="S38" s="8"/>
    </row>
    <row r="39" spans="1:19" s="9" customFormat="1">
      <c r="A39" s="16" t="s">
        <v>54</v>
      </c>
      <c r="B39" s="12">
        <f t="shared" ref="B39:S39" si="10">+B43/B$46*100</f>
        <v>38.230313293818803</v>
      </c>
      <c r="C39" s="12">
        <f t="shared" si="10"/>
        <v>52.502808016510585</v>
      </c>
      <c r="D39" s="12">
        <f t="shared" si="10"/>
        <v>67.536102093361691</v>
      </c>
      <c r="E39" s="12">
        <f t="shared" si="10"/>
        <v>73.977266920096085</v>
      </c>
      <c r="F39" s="12">
        <f t="shared" si="10"/>
        <v>30.616735587845902</v>
      </c>
      <c r="G39" s="12">
        <f t="shared" si="10"/>
        <v>44.858342077649532</v>
      </c>
      <c r="H39" s="12">
        <f t="shared" si="10"/>
        <v>64.602027063532276</v>
      </c>
      <c r="I39" s="12">
        <f>+I43/I$46*100</f>
        <v>65.12075461167079</v>
      </c>
      <c r="J39" s="12">
        <f t="shared" si="10"/>
        <v>41.450269475747184</v>
      </c>
      <c r="K39" s="12">
        <f t="shared" si="10"/>
        <v>35.2557127312296</v>
      </c>
      <c r="L39" s="12">
        <f t="shared" si="10"/>
        <v>49.066651062086727</v>
      </c>
      <c r="M39" s="21">
        <f t="shared" si="10"/>
        <v>64.266900790166815</v>
      </c>
      <c r="N39" s="12">
        <f t="shared" si="10"/>
        <v>59.66355140186915</v>
      </c>
      <c r="O39" s="12">
        <f>+O43/O$46*100</f>
        <v>46.689895470383277</v>
      </c>
      <c r="P39" s="12">
        <f t="shared" si="10"/>
        <v>29.609690444145357</v>
      </c>
      <c r="Q39" s="12">
        <f t="shared" si="10"/>
        <v>63.326071169208419</v>
      </c>
      <c r="R39" s="12">
        <f t="shared" si="10"/>
        <v>51.777594096174461</v>
      </c>
      <c r="S39" s="12">
        <f t="shared" si="10"/>
        <v>1.3510914511010674</v>
      </c>
    </row>
    <row r="40" spans="1:19" s="9" customFormat="1">
      <c r="A40" s="16" t="s">
        <v>55</v>
      </c>
      <c r="B40" s="12">
        <f t="shared" ref="B40:S40" si="11">+B44/B$46*100</f>
        <v>15.495342929720577</v>
      </c>
      <c r="C40" s="12">
        <f t="shared" si="11"/>
        <v>11.771906063778708</v>
      </c>
      <c r="D40" s="12">
        <f t="shared" si="11"/>
        <v>0</v>
      </c>
      <c r="E40" s="12">
        <f t="shared" si="11"/>
        <v>0.41037232254080136</v>
      </c>
      <c r="F40" s="12">
        <f t="shared" si="11"/>
        <v>21.952280936892169</v>
      </c>
      <c r="G40" s="12">
        <f t="shared" si="11"/>
        <v>11.647429171038826</v>
      </c>
      <c r="H40" s="12">
        <f t="shared" si="11"/>
        <v>0</v>
      </c>
      <c r="I40" s="12">
        <f>+I44/I$46*100</f>
        <v>0</v>
      </c>
      <c r="J40" s="12">
        <f t="shared" si="11"/>
        <v>19.696227339539444</v>
      </c>
      <c r="K40" s="12">
        <f t="shared" si="11"/>
        <v>0</v>
      </c>
      <c r="L40" s="12">
        <f t="shared" si="11"/>
        <v>13.657908596172977</v>
      </c>
      <c r="M40" s="21">
        <f t="shared" si="11"/>
        <v>10.535557506584722</v>
      </c>
      <c r="N40" s="12">
        <f t="shared" si="11"/>
        <v>11.214953271028035</v>
      </c>
      <c r="O40" s="12">
        <f>+O44/O$46*100</f>
        <v>16.027874564459928</v>
      </c>
      <c r="P40" s="12">
        <f t="shared" si="11"/>
        <v>13.189771197846568</v>
      </c>
      <c r="Q40" s="12">
        <f t="shared" si="11"/>
        <v>11.619462599854756</v>
      </c>
      <c r="R40" s="12">
        <f t="shared" si="11"/>
        <v>19.750764278058792</v>
      </c>
      <c r="S40" s="12">
        <f t="shared" si="11"/>
        <v>7.293970574093664</v>
      </c>
    </row>
    <row r="41" spans="1:19" s="9" customFormat="1">
      <c r="A41" s="16" t="s">
        <v>56</v>
      </c>
      <c r="B41" s="12">
        <f t="shared" ref="B41:S41" si="12">+(B45/6)/B$46*100</f>
        <v>46.274343776460633</v>
      </c>
      <c r="C41" s="12">
        <f t="shared" si="12"/>
        <v>35.725285919710707</v>
      </c>
      <c r="D41" s="12">
        <f t="shared" si="12"/>
        <v>32.463897906638309</v>
      </c>
      <c r="E41" s="12">
        <f t="shared" si="12"/>
        <v>25.612360757363124</v>
      </c>
      <c r="F41" s="12">
        <f t="shared" si="12"/>
        <v>47.430983475261925</v>
      </c>
      <c r="G41" s="12">
        <f t="shared" si="12"/>
        <v>43.494228751311645</v>
      </c>
      <c r="H41" s="12">
        <f t="shared" si="12"/>
        <v>35.397972936467717</v>
      </c>
      <c r="I41" s="12">
        <f>+(I45/6)/I$46*100</f>
        <v>34.879245388329188</v>
      </c>
      <c r="J41" s="12">
        <f t="shared" si="12"/>
        <v>38.853503184713375</v>
      </c>
      <c r="K41" s="12">
        <f t="shared" si="12"/>
        <v>64.744287268770393</v>
      </c>
      <c r="L41" s="12">
        <f t="shared" si="12"/>
        <v>37.2754403417403</v>
      </c>
      <c r="M41" s="21">
        <f t="shared" si="12"/>
        <v>25.197541703248465</v>
      </c>
      <c r="N41" s="12">
        <f t="shared" si="12"/>
        <v>29.121495327102803</v>
      </c>
      <c r="O41" s="12">
        <f>+(O45/6)/O$46*100</f>
        <v>37.282229965156795</v>
      </c>
      <c r="P41" s="12">
        <f t="shared" si="12"/>
        <v>57.200538358008082</v>
      </c>
      <c r="Q41" s="12">
        <f t="shared" si="12"/>
        <v>25.054466230936818</v>
      </c>
      <c r="R41" s="12">
        <f t="shared" si="12"/>
        <v>28.471641625766754</v>
      </c>
      <c r="S41" s="12">
        <f t="shared" si="12"/>
        <v>91.354937974805267</v>
      </c>
    </row>
    <row r="42" spans="1:19" s="9" customFormat="1">
      <c r="A42" s="16"/>
      <c r="B42" s="12"/>
      <c r="C42" s="12"/>
      <c r="D42" s="12"/>
      <c r="E42" s="12"/>
      <c r="F42" s="12"/>
      <c r="G42" s="12"/>
      <c r="H42" s="12"/>
      <c r="I42" s="12"/>
      <c r="J42" s="12"/>
      <c r="K42" s="12"/>
      <c r="L42" s="12"/>
      <c r="M42" s="21"/>
      <c r="N42" s="12"/>
      <c r="O42" s="12"/>
      <c r="P42" s="12"/>
      <c r="Q42" s="12"/>
      <c r="R42" s="12"/>
      <c r="S42" s="12"/>
    </row>
    <row r="43" spans="1:19" s="9" customFormat="1">
      <c r="A43" s="16" t="s">
        <v>62</v>
      </c>
      <c r="B43" s="12">
        <v>301</v>
      </c>
      <c r="C43" s="12">
        <v>284.66899999999998</v>
      </c>
      <c r="D43" s="12">
        <v>573.13499999999999</v>
      </c>
      <c r="E43" s="12">
        <f>+((1-(1.6/34.08))*(210.422-1.191))</f>
        <v>199.40794835680751</v>
      </c>
      <c r="F43" s="12">
        <v>49.951000000000001</v>
      </c>
      <c r="G43" s="12">
        <f>558+12</f>
        <v>570</v>
      </c>
      <c r="H43" s="12">
        <v>147.47200000000001</v>
      </c>
      <c r="I43" s="12">
        <v>97.227999999999994</v>
      </c>
      <c r="J43" s="12">
        <v>282</v>
      </c>
      <c r="K43" s="12">
        <v>140.4</v>
      </c>
      <c r="L43" s="12">
        <v>279.5</v>
      </c>
      <c r="M43" s="21">
        <v>244</v>
      </c>
      <c r="N43" s="12">
        <f>166+35+65</f>
        <v>266</v>
      </c>
      <c r="O43" s="12">
        <v>72.826086956521735</v>
      </c>
      <c r="P43" s="12">
        <v>110</v>
      </c>
      <c r="Q43" s="12">
        <f>204+25+207</f>
        <v>436</v>
      </c>
      <c r="R43" s="12">
        <v>109.101</v>
      </c>
      <c r="S43" s="12">
        <v>6.1758241758241761</v>
      </c>
    </row>
    <row r="44" spans="1:19" s="9" customFormat="1">
      <c r="A44" s="16" t="s">
        <v>63</v>
      </c>
      <c r="B44" s="12">
        <v>122</v>
      </c>
      <c r="C44" s="12">
        <f>348.496-C43</f>
        <v>63.826999999999998</v>
      </c>
      <c r="D44" s="12"/>
      <c r="E44" s="12">
        <f>+((1-(1.75/24.57))*1.191)</f>
        <v>1.1061709401709401</v>
      </c>
      <c r="F44" s="12">
        <v>35.814999999999998</v>
      </c>
      <c r="G44" s="12">
        <v>148</v>
      </c>
      <c r="H44" s="12"/>
      <c r="I44" s="12"/>
      <c r="J44" s="12">
        <v>134</v>
      </c>
      <c r="K44" s="12"/>
      <c r="L44" s="12">
        <v>77.8</v>
      </c>
      <c r="M44" s="21">
        <v>40</v>
      </c>
      <c r="N44" s="12">
        <f>39+11</f>
        <v>50</v>
      </c>
      <c r="O44" s="12">
        <v>25</v>
      </c>
      <c r="P44" s="12">
        <v>49</v>
      </c>
      <c r="Q44" s="12">
        <f>58+22</f>
        <v>80</v>
      </c>
      <c r="R44" s="12">
        <v>41.616999999999997</v>
      </c>
      <c r="S44" s="12">
        <v>33.340659340659343</v>
      </c>
    </row>
    <row r="45" spans="1:19" s="9" customFormat="1">
      <c r="A45" s="16" t="s">
        <v>64</v>
      </c>
      <c r="B45" s="12">
        <v>2186</v>
      </c>
      <c r="C45" s="12">
        <v>1162.21</v>
      </c>
      <c r="D45" s="12">
        <v>1653</v>
      </c>
      <c r="E45" s="12">
        <f>+((1-(0.11/3))*430)</f>
        <v>414.23333333333335</v>
      </c>
      <c r="F45" s="12">
        <v>464.3</v>
      </c>
      <c r="G45" s="12">
        <v>3316</v>
      </c>
      <c r="H45" s="12">
        <v>484.834</v>
      </c>
      <c r="I45" s="12">
        <v>312.45699999999999</v>
      </c>
      <c r="J45" s="12">
        <v>1586</v>
      </c>
      <c r="K45" s="12">
        <v>1547</v>
      </c>
      <c r="L45" s="12">
        <v>1274</v>
      </c>
      <c r="M45" s="21">
        <v>574</v>
      </c>
      <c r="N45" s="12">
        <f>338+441</f>
        <v>779</v>
      </c>
      <c r="O45" s="12">
        <v>348.91304347826087</v>
      </c>
      <c r="P45" s="12">
        <v>1275</v>
      </c>
      <c r="Q45" s="12">
        <f>419+9+607</f>
        <v>1035</v>
      </c>
      <c r="R45" s="12">
        <v>359.95699999999999</v>
      </c>
      <c r="S45" s="12">
        <f>228000/91</f>
        <v>2505.4945054945056</v>
      </c>
    </row>
    <row r="46" spans="1:19" s="9" customFormat="1">
      <c r="A46" s="16" t="s">
        <v>65</v>
      </c>
      <c r="B46" s="12">
        <f t="shared" ref="B46:S46" si="13">+B43+B44+B45/6</f>
        <v>787.33333333333326</v>
      </c>
      <c r="C46" s="12">
        <f t="shared" si="13"/>
        <v>542.19766666666669</v>
      </c>
      <c r="D46" s="12">
        <f t="shared" si="13"/>
        <v>848.63499999999999</v>
      </c>
      <c r="E46" s="12">
        <f t="shared" si="13"/>
        <v>269.55300818586733</v>
      </c>
      <c r="F46" s="12">
        <f t="shared" si="13"/>
        <v>163.14933333333335</v>
      </c>
      <c r="G46" s="12">
        <f t="shared" si="13"/>
        <v>1270.6666666666665</v>
      </c>
      <c r="H46" s="12">
        <f t="shared" si="13"/>
        <v>228.27766666666668</v>
      </c>
      <c r="I46" s="12">
        <f>+I43+I44+I45/6</f>
        <v>149.30416666666667</v>
      </c>
      <c r="J46" s="12">
        <f t="shared" si="13"/>
        <v>680.33333333333326</v>
      </c>
      <c r="K46" s="12">
        <f t="shared" si="13"/>
        <v>398.23333333333335</v>
      </c>
      <c r="L46" s="12">
        <f t="shared" si="13"/>
        <v>569.63333333333333</v>
      </c>
      <c r="M46" s="21">
        <f t="shared" si="13"/>
        <v>379.66666666666669</v>
      </c>
      <c r="N46" s="12">
        <f t="shared" si="13"/>
        <v>445.83333333333337</v>
      </c>
      <c r="O46" s="12">
        <f t="shared" si="13"/>
        <v>155.97826086956522</v>
      </c>
      <c r="P46" s="12">
        <f t="shared" si="13"/>
        <v>371.5</v>
      </c>
      <c r="Q46" s="12">
        <f t="shared" si="13"/>
        <v>688.5</v>
      </c>
      <c r="R46" s="12">
        <f t="shared" si="13"/>
        <v>210.71083333333331</v>
      </c>
      <c r="S46" s="12">
        <f t="shared" si="13"/>
        <v>457.09890109890108</v>
      </c>
    </row>
    <row r="47" spans="1:19" s="9" customFormat="1">
      <c r="A47" s="16" t="s">
        <v>66</v>
      </c>
      <c r="B47" s="12">
        <f t="shared" ref="B47:S47" si="14">+B46*0.092</f>
        <v>72.434666666666658</v>
      </c>
      <c r="C47" s="12">
        <f t="shared" si="14"/>
        <v>49.882185333333332</v>
      </c>
      <c r="D47" s="12">
        <f t="shared" si="14"/>
        <v>78.074420000000003</v>
      </c>
      <c r="E47" s="12">
        <f t="shared" si="14"/>
        <v>24.798876753099794</v>
      </c>
      <c r="F47" s="12">
        <f t="shared" si="14"/>
        <v>15.009738666666667</v>
      </c>
      <c r="G47" s="12">
        <f t="shared" si="14"/>
        <v>116.90133333333331</v>
      </c>
      <c r="H47" s="12">
        <f t="shared" si="14"/>
        <v>21.001545333333333</v>
      </c>
      <c r="I47" s="12">
        <f>+I46*0.092</f>
        <v>13.735983333333333</v>
      </c>
      <c r="J47" s="12">
        <f t="shared" si="14"/>
        <v>62.590666666666657</v>
      </c>
      <c r="K47" s="12">
        <f t="shared" si="14"/>
        <v>36.637466666666668</v>
      </c>
      <c r="L47" s="12">
        <f t="shared" si="14"/>
        <v>52.406266666666667</v>
      </c>
      <c r="M47" s="12">
        <f t="shared" si="14"/>
        <v>34.929333333333332</v>
      </c>
      <c r="N47" s="12">
        <f t="shared" si="14"/>
        <v>41.016666666666673</v>
      </c>
      <c r="O47" s="12">
        <f t="shared" si="14"/>
        <v>14.35</v>
      </c>
      <c r="P47" s="12">
        <f t="shared" si="14"/>
        <v>34.177999999999997</v>
      </c>
      <c r="Q47" s="12">
        <f t="shared" si="14"/>
        <v>63.341999999999999</v>
      </c>
      <c r="R47" s="12">
        <f t="shared" si="14"/>
        <v>19.385396666666665</v>
      </c>
      <c r="S47" s="12">
        <f t="shared" si="14"/>
        <v>42.053098901098899</v>
      </c>
    </row>
    <row r="48" spans="1:19" s="9" customFormat="1">
      <c r="A48" s="17"/>
      <c r="B48" s="8"/>
      <c r="C48" s="8"/>
      <c r="D48" s="8"/>
      <c r="E48" s="8"/>
      <c r="F48" s="8"/>
      <c r="G48" s="8"/>
      <c r="H48" s="8"/>
      <c r="I48" s="8"/>
      <c r="J48" s="8"/>
      <c r="K48" s="8"/>
      <c r="L48" s="8"/>
      <c r="M48" s="19"/>
      <c r="N48" s="8"/>
      <c r="O48" s="8"/>
      <c r="P48" s="8"/>
      <c r="Q48" s="8"/>
      <c r="R48" s="8"/>
      <c r="S48" s="8"/>
    </row>
    <row r="49" spans="1:19" s="9" customFormat="1" ht="22.5">
      <c r="A49" s="24" t="s">
        <v>83</v>
      </c>
    </row>
    <row r="50" spans="1:19" s="9" customFormat="1">
      <c r="A50" s="277" t="s">
        <v>76</v>
      </c>
      <c r="B50" s="278"/>
      <c r="C50" s="278"/>
      <c r="D50" s="278"/>
      <c r="E50" s="278"/>
      <c r="F50" s="278"/>
      <c r="G50" s="278"/>
      <c r="H50" s="278"/>
      <c r="I50" s="278"/>
      <c r="J50" s="278"/>
      <c r="K50" s="278"/>
      <c r="L50" s="278"/>
      <c r="M50" s="278"/>
      <c r="N50" s="278"/>
      <c r="O50" s="278"/>
      <c r="P50" s="278"/>
      <c r="Q50" s="278"/>
      <c r="R50" s="278"/>
      <c r="S50" s="278"/>
    </row>
    <row r="51" spans="1:19" s="9" customFormat="1">
      <c r="A51" s="17"/>
      <c r="B51" s="8"/>
      <c r="C51" s="8"/>
      <c r="D51" s="8"/>
      <c r="E51" s="8"/>
      <c r="F51" s="8"/>
      <c r="G51" s="8"/>
      <c r="H51" s="8"/>
      <c r="I51" s="8"/>
      <c r="J51" s="8"/>
      <c r="K51" s="8"/>
      <c r="L51" s="8"/>
      <c r="M51" s="19"/>
      <c r="N51" s="8"/>
      <c r="O51" s="8"/>
      <c r="P51" s="8"/>
      <c r="Q51" s="8"/>
      <c r="R51" s="8"/>
      <c r="S51" s="8"/>
    </row>
    <row r="52" spans="1:19">
      <c r="A52" s="22" t="s">
        <v>94</v>
      </c>
      <c r="B52" s="23"/>
      <c r="C52" s="23"/>
      <c r="D52" s="23">
        <v>1.3084</v>
      </c>
    </row>
    <row r="53" spans="1:19">
      <c r="A53" s="3"/>
    </row>
    <row r="54" spans="1:19">
      <c r="A54" s="3"/>
    </row>
    <row r="55" spans="1:19" hidden="1">
      <c r="A55" s="3"/>
      <c r="G55" s="2">
        <f>+G43*92/1000</f>
        <v>52.44</v>
      </c>
    </row>
    <row r="56" spans="1:19" hidden="1">
      <c r="A56" s="3"/>
      <c r="G56" s="2">
        <f>+G44*92/1000</f>
        <v>13.616</v>
      </c>
    </row>
    <row r="57" spans="1:19" hidden="1">
      <c r="A57" s="3"/>
      <c r="G57" s="2">
        <f>+G45*92/1000</f>
        <v>305.072</v>
      </c>
    </row>
    <row r="58" spans="1:19" hidden="1">
      <c r="A58" s="3"/>
    </row>
    <row r="59" spans="1:19" hidden="1">
      <c r="A59" s="3"/>
      <c r="G59" s="2">
        <f>+G55*G9</f>
        <v>2398.7104799999997</v>
      </c>
    </row>
    <row r="60" spans="1:19" hidden="1">
      <c r="G60" s="2">
        <f>+G56*G11</f>
        <v>199.74671999999998</v>
      </c>
    </row>
    <row r="61" spans="1:19" hidden="1">
      <c r="G61" s="2">
        <f>+G13*G57</f>
        <v>1153.1721599999998</v>
      </c>
    </row>
    <row r="62" spans="1:19" hidden="1"/>
    <row r="63" spans="1:19" hidden="1">
      <c r="G63" s="2">
        <f>+SUM(G59:G61)/G47</f>
        <v>32.092271773347328</v>
      </c>
    </row>
    <row r="159" spans="12:17" hidden="1">
      <c r="L159" s="2" t="s">
        <v>58</v>
      </c>
    </row>
    <row r="160" spans="12:17" hidden="1">
      <c r="L160" s="2" t="s">
        <v>54</v>
      </c>
      <c r="M160" s="2">
        <v>52.63</v>
      </c>
      <c r="N160" s="2">
        <v>176</v>
      </c>
      <c r="Q160" s="2">
        <f>+N160*M160</f>
        <v>9262.880000000001</v>
      </c>
    </row>
    <row r="161" spans="2:17" hidden="1">
      <c r="D161" s="2" t="s">
        <v>72</v>
      </c>
      <c r="E161" s="2" t="s">
        <v>73</v>
      </c>
      <c r="L161" s="2" t="s">
        <v>55</v>
      </c>
      <c r="M161" s="2">
        <v>14.77</v>
      </c>
      <c r="N161" s="2">
        <v>37</v>
      </c>
      <c r="Q161" s="2">
        <f>+N161*M161</f>
        <v>546.49</v>
      </c>
    </row>
    <row r="162" spans="2:17" hidden="1">
      <c r="B162" s="2" t="s">
        <v>61</v>
      </c>
      <c r="C162" s="2">
        <v>95.057000000000002</v>
      </c>
      <c r="D162" s="2">
        <f>73.05</f>
        <v>73.05</v>
      </c>
      <c r="F162" s="2">
        <f>+D162*C162</f>
        <v>6943.9138499999999</v>
      </c>
      <c r="L162" s="2" t="s">
        <v>59</v>
      </c>
      <c r="M162" s="2">
        <v>2.76</v>
      </c>
      <c r="N162" s="2">
        <v>361</v>
      </c>
      <c r="P162" s="2">
        <f>+N162/6</f>
        <v>60.166666666666664</v>
      </c>
      <c r="Q162" s="2">
        <f>+N162*M162</f>
        <v>996.3599999999999</v>
      </c>
    </row>
    <row r="163" spans="2:17" hidden="1">
      <c r="B163" s="2" t="s">
        <v>71</v>
      </c>
      <c r="C163" s="2">
        <f>458.144-C162</f>
        <v>363.08699999999999</v>
      </c>
      <c r="D163" s="2">
        <f>53.09</f>
        <v>53.09</v>
      </c>
      <c r="F163" s="2">
        <f>+D163*C163</f>
        <v>19276.288830000001</v>
      </c>
      <c r="G163" s="2">
        <f>+SUM(F162:F163)/(C162+C163)</f>
        <v>57.231356691345958</v>
      </c>
    </row>
    <row r="164" spans="2:17" hidden="1">
      <c r="L164" s="2" t="s">
        <v>60</v>
      </c>
    </row>
    <row r="165" spans="2:17" hidden="1">
      <c r="L165" s="2" t="s">
        <v>54</v>
      </c>
      <c r="M165" s="2">
        <v>56.7</v>
      </c>
      <c r="N165" s="2">
        <v>33</v>
      </c>
      <c r="Q165" s="2">
        <f>+N165*M165</f>
        <v>1871.1000000000001</v>
      </c>
    </row>
    <row r="166" spans="2:17" hidden="1">
      <c r="D166" s="2">
        <v>608</v>
      </c>
      <c r="E166" s="2">
        <v>58</v>
      </c>
      <c r="L166" s="2" t="s">
        <v>55</v>
      </c>
      <c r="M166" s="2">
        <v>3.1</v>
      </c>
      <c r="N166" s="2">
        <v>9</v>
      </c>
      <c r="Q166" s="2">
        <f>+N166*M166</f>
        <v>27.900000000000002</v>
      </c>
    </row>
    <row r="167" spans="2:17" hidden="1">
      <c r="D167" s="2">
        <v>138</v>
      </c>
      <c r="E167" s="2">
        <v>33.299999999999997</v>
      </c>
      <c r="L167" s="2" t="s">
        <v>59</v>
      </c>
      <c r="M167" s="2">
        <v>0.78</v>
      </c>
      <c r="N167" s="2">
        <v>396</v>
      </c>
      <c r="P167" s="2">
        <f>+N167/6</f>
        <v>66</v>
      </c>
      <c r="Q167" s="2">
        <f>+N167*M167</f>
        <v>308.88</v>
      </c>
    </row>
    <row r="168" spans="2:17" hidden="1">
      <c r="E168" s="2">
        <f>+SUMPRODUCT(D166:D167,E166:E167)/SUM(D166:D167)</f>
        <v>53.430831099195714</v>
      </c>
    </row>
    <row r="169" spans="2:17" hidden="1">
      <c r="L169" s="2" t="s">
        <v>61</v>
      </c>
    </row>
    <row r="170" spans="2:17" hidden="1">
      <c r="L170" s="2" t="s">
        <v>54</v>
      </c>
      <c r="M170" s="2">
        <v>52.46</v>
      </c>
      <c r="N170" s="2">
        <v>29</v>
      </c>
      <c r="Q170" s="2">
        <f>+N170*M170</f>
        <v>1521.34</v>
      </c>
    </row>
  </sheetData>
  <sortState columnSort="1" ref="B6:Q46">
    <sortCondition ref="B6:Q6"/>
  </sortState>
  <mergeCells count="1">
    <mergeCell ref="A50:S50"/>
  </mergeCells>
  <printOptions horizontalCentered="1"/>
  <pageMargins left="0.4" right="0.4" top="0.5" bottom="0.75" header="0.3" footer="0.3"/>
  <pageSetup orientation="landscape" r:id="rId1"/>
  <headerFooter>
    <oddFooter>&amp;C&amp;"Expert Sans Regular,Regular"&amp;10&amp;K000000 Restricted - External_x000D_&amp;1#&amp;"Calibri"&amp;10 Restricted - External</oddFooter>
    <evenFooter>&amp;C&amp;"Expert Sans Regular,Regular"&amp;10&amp;K000000 Restricted - External</evenFooter>
    <firstFooter>&amp;C&amp;"Expert Sans Regular,Regular"&amp;10&amp;K000000 Restricted - External</firstFooter>
  </headerFooter>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pageSetUpPr autoPageBreaks="0" fitToPage="1"/>
  </sheetPr>
  <dimension ref="A1:S170"/>
  <sheetViews>
    <sheetView workbookViewId="0">
      <pane xSplit="1" topLeftCell="B1" activePane="topRight" state="frozen"/>
      <selection activeCell="B36" sqref="B36:V36"/>
      <selection pane="topRight" activeCell="B36" sqref="B36:V36"/>
    </sheetView>
  </sheetViews>
  <sheetFormatPr defaultRowHeight="14.25"/>
  <cols>
    <col min="1" max="1" width="36.375" style="1" customWidth="1"/>
    <col min="2" max="19" width="9.25" style="2" customWidth="1"/>
    <col min="20" max="16384" width="9" style="1"/>
  </cols>
  <sheetData>
    <row r="1" spans="1:19" s="9" customFormat="1">
      <c r="A1" s="7" t="s">
        <v>57</v>
      </c>
      <c r="B1" s="8"/>
      <c r="C1" s="8"/>
      <c r="D1" s="8"/>
      <c r="E1" s="8"/>
      <c r="F1" s="8"/>
      <c r="G1" s="8"/>
      <c r="H1" s="8"/>
      <c r="I1" s="8"/>
      <c r="J1" s="8"/>
      <c r="K1" s="8"/>
      <c r="L1" s="8"/>
      <c r="M1" s="8"/>
      <c r="N1" s="8"/>
      <c r="O1" s="8"/>
      <c r="P1" s="8"/>
      <c r="Q1" s="8"/>
      <c r="R1" s="8"/>
      <c r="S1" s="8"/>
    </row>
    <row r="2" spans="1:19" s="9" customFormat="1">
      <c r="A2" s="7" t="s">
        <v>1</v>
      </c>
      <c r="B2" s="10">
        <v>57.85</v>
      </c>
      <c r="C2" s="8"/>
      <c r="D2" s="8"/>
      <c r="E2" s="8"/>
      <c r="F2" s="8"/>
      <c r="G2" s="8"/>
      <c r="H2" s="8"/>
      <c r="I2" s="8"/>
      <c r="J2" s="8"/>
      <c r="K2" s="8"/>
      <c r="L2" s="8"/>
      <c r="M2" s="8"/>
      <c r="N2" s="8"/>
      <c r="O2" s="8"/>
      <c r="P2" s="8"/>
      <c r="Q2" s="8"/>
      <c r="R2" s="8"/>
      <c r="S2" s="8"/>
    </row>
    <row r="3" spans="1:19" s="9" customFormat="1">
      <c r="A3" s="7" t="s">
        <v>0</v>
      </c>
      <c r="B3" s="10">
        <v>21.007000000000001</v>
      </c>
      <c r="C3" s="8"/>
      <c r="D3" s="8"/>
      <c r="E3" s="8"/>
      <c r="F3" s="8"/>
      <c r="G3" s="8"/>
      <c r="H3" s="8"/>
      <c r="I3" s="8"/>
      <c r="J3" s="8"/>
      <c r="K3" s="8"/>
      <c r="L3" s="8"/>
      <c r="M3" s="8"/>
      <c r="N3" s="8"/>
      <c r="O3" s="8"/>
      <c r="P3" s="8"/>
      <c r="Q3" s="8"/>
      <c r="R3" s="8"/>
      <c r="S3" s="8"/>
    </row>
    <row r="4" spans="1:19" s="9" customFormat="1">
      <c r="A4" s="7" t="s">
        <v>2</v>
      </c>
      <c r="B4" s="10">
        <v>2.7280000000000002</v>
      </c>
      <c r="C4" s="8"/>
      <c r="D4" s="8"/>
      <c r="E4" s="8"/>
      <c r="F4" s="8"/>
      <c r="G4" s="8"/>
      <c r="H4" s="8"/>
      <c r="I4" s="8"/>
      <c r="J4" s="8"/>
      <c r="K4" s="8"/>
      <c r="L4" s="8"/>
      <c r="M4" s="8"/>
      <c r="N4" s="8"/>
      <c r="O4" s="8"/>
      <c r="P4" s="8"/>
      <c r="Q4" s="8"/>
      <c r="R4" s="8"/>
      <c r="S4" s="8"/>
    </row>
    <row r="5" spans="1:19" s="9" customFormat="1" ht="15" thickBot="1">
      <c r="A5" s="7"/>
      <c r="B5" s="8"/>
      <c r="C5" s="8"/>
      <c r="D5" s="8"/>
      <c r="E5" s="8"/>
      <c r="F5" s="8"/>
      <c r="G5" s="8"/>
      <c r="H5" s="8"/>
      <c r="I5" s="8"/>
      <c r="J5" s="8"/>
      <c r="K5" s="8"/>
      <c r="L5" s="8"/>
      <c r="M5" s="8"/>
      <c r="N5" s="8"/>
      <c r="O5" s="8"/>
      <c r="P5" s="8"/>
      <c r="Q5" s="8"/>
      <c r="R5" s="8"/>
      <c r="S5" s="8"/>
    </row>
    <row r="6" spans="1:19" ht="26.25" thickBot="1">
      <c r="A6" s="4" t="s">
        <v>15</v>
      </c>
      <c r="B6" s="5" t="s">
        <v>17</v>
      </c>
      <c r="C6" s="5" t="s">
        <v>18</v>
      </c>
      <c r="D6" s="5" t="s">
        <v>19</v>
      </c>
      <c r="E6" s="5" t="s">
        <v>21</v>
      </c>
      <c r="F6" s="5" t="s">
        <v>22</v>
      </c>
      <c r="G6" s="138" t="s">
        <v>174</v>
      </c>
      <c r="H6" s="5" t="s">
        <v>23</v>
      </c>
      <c r="I6" s="52" t="s">
        <v>139</v>
      </c>
      <c r="J6" s="5" t="s">
        <v>24</v>
      </c>
      <c r="K6" s="5" t="s">
        <v>25</v>
      </c>
      <c r="L6" s="5" t="s">
        <v>26</v>
      </c>
      <c r="M6" s="52" t="s">
        <v>27</v>
      </c>
      <c r="N6" s="52" t="s">
        <v>28</v>
      </c>
      <c r="O6" s="116" t="s">
        <v>162</v>
      </c>
      <c r="P6" s="5" t="s">
        <v>29</v>
      </c>
      <c r="Q6" s="5" t="s">
        <v>30</v>
      </c>
      <c r="R6" s="5" t="s">
        <v>31</v>
      </c>
      <c r="S6" s="138" t="s">
        <v>173</v>
      </c>
    </row>
    <row r="7" spans="1:19" ht="18" customHeight="1" thickBot="1">
      <c r="A7" s="25" t="s">
        <v>16</v>
      </c>
      <c r="B7" s="26" t="s">
        <v>33</v>
      </c>
      <c r="C7" s="26" t="s">
        <v>34</v>
      </c>
      <c r="D7" s="26" t="s">
        <v>35</v>
      </c>
      <c r="E7" s="26" t="s">
        <v>37</v>
      </c>
      <c r="F7" s="26" t="s">
        <v>38</v>
      </c>
      <c r="G7" s="26" t="s">
        <v>36</v>
      </c>
      <c r="H7" s="26" t="s">
        <v>39</v>
      </c>
      <c r="I7" s="69" t="s">
        <v>140</v>
      </c>
      <c r="J7" s="26" t="s">
        <v>40</v>
      </c>
      <c r="K7" s="26" t="s">
        <v>41</v>
      </c>
      <c r="L7" s="26" t="s">
        <v>42</v>
      </c>
      <c r="M7" s="26" t="s">
        <v>43</v>
      </c>
      <c r="N7" s="26" t="s">
        <v>44</v>
      </c>
      <c r="O7" s="69" t="s">
        <v>163</v>
      </c>
      <c r="P7" s="26" t="s">
        <v>45</v>
      </c>
      <c r="Q7" s="26" t="s">
        <v>46</v>
      </c>
      <c r="R7" s="26" t="s">
        <v>47</v>
      </c>
      <c r="S7" s="26" t="s">
        <v>48</v>
      </c>
    </row>
    <row r="8" spans="1:19" s="9" customFormat="1">
      <c r="A8" s="7"/>
      <c r="B8" s="8"/>
      <c r="C8" s="8"/>
      <c r="D8" s="8"/>
      <c r="E8" s="8"/>
      <c r="F8" s="8"/>
      <c r="G8" s="8"/>
      <c r="H8" s="8"/>
      <c r="I8" s="8"/>
      <c r="J8" s="8"/>
      <c r="K8" s="8"/>
      <c r="L8" s="8"/>
      <c r="M8" s="8"/>
      <c r="N8" s="8"/>
      <c r="O8" s="8"/>
      <c r="P8" s="8"/>
      <c r="Q8" s="8"/>
      <c r="R8" s="8"/>
      <c r="S8" s="8"/>
    </row>
    <row r="9" spans="1:19" s="9" customFormat="1">
      <c r="A9" s="7" t="s">
        <v>50</v>
      </c>
      <c r="B9" s="10">
        <v>55.78</v>
      </c>
      <c r="C9" s="10">
        <v>58.09</v>
      </c>
      <c r="D9" s="10">
        <f>(57.231)*0.8132</f>
        <v>46.540249200000005</v>
      </c>
      <c r="E9" s="10">
        <f>(49.55-2.88)*0.8132</f>
        <v>37.952043999999994</v>
      </c>
      <c r="F9" s="10">
        <v>50.66</v>
      </c>
      <c r="G9" s="10">
        <f>+((57.94*589)+(34.6*12))/(589+12)</f>
        <v>57.473976705490834</v>
      </c>
      <c r="H9" s="10">
        <v>49.84</v>
      </c>
      <c r="I9" s="10">
        <v>52.14</v>
      </c>
      <c r="J9" s="10">
        <v>46.69</v>
      </c>
      <c r="K9" s="10">
        <v>43.83</v>
      </c>
      <c r="L9" s="10">
        <v>57.45</v>
      </c>
      <c r="M9" s="10">
        <v>56.4</v>
      </c>
      <c r="N9" s="10">
        <v>53.17</v>
      </c>
      <c r="O9" s="10">
        <v>50.49</v>
      </c>
      <c r="P9" s="10">
        <v>54.91</v>
      </c>
      <c r="Q9" s="10">
        <v>54.55</v>
      </c>
      <c r="R9" s="10">
        <v>51.64</v>
      </c>
      <c r="S9" s="10">
        <v>40.880000000000003</v>
      </c>
    </row>
    <row r="10" spans="1:19" s="9" customFormat="1">
      <c r="A10" s="7" t="s">
        <v>3</v>
      </c>
      <c r="B10" s="10">
        <f t="shared" ref="B10:S10" si="0">+B9-$B$2</f>
        <v>-2.0700000000000003</v>
      </c>
      <c r="C10" s="10">
        <f t="shared" si="0"/>
        <v>0.24000000000000199</v>
      </c>
      <c r="D10" s="10">
        <f t="shared" si="0"/>
        <v>-11.309750799999996</v>
      </c>
      <c r="E10" s="10">
        <f t="shared" si="0"/>
        <v>-19.897956000000008</v>
      </c>
      <c r="F10" s="10">
        <f t="shared" si="0"/>
        <v>-7.1900000000000048</v>
      </c>
      <c r="G10" s="10">
        <f t="shared" si="0"/>
        <v>-0.37602329450916727</v>
      </c>
      <c r="H10" s="10">
        <f t="shared" si="0"/>
        <v>-8.009999999999998</v>
      </c>
      <c r="I10" s="10">
        <f t="shared" si="0"/>
        <v>-5.7100000000000009</v>
      </c>
      <c r="J10" s="10">
        <f t="shared" si="0"/>
        <v>-11.160000000000004</v>
      </c>
      <c r="K10" s="10">
        <f t="shared" si="0"/>
        <v>-14.020000000000003</v>
      </c>
      <c r="L10" s="10">
        <f t="shared" si="0"/>
        <v>-0.39999999999999858</v>
      </c>
      <c r="M10" s="10">
        <f t="shared" si="0"/>
        <v>-1.4500000000000028</v>
      </c>
      <c r="N10" s="10">
        <f t="shared" si="0"/>
        <v>-4.68</v>
      </c>
      <c r="O10" s="10">
        <f t="shared" si="0"/>
        <v>-7.3599999999999994</v>
      </c>
      <c r="P10" s="10">
        <f t="shared" si="0"/>
        <v>-2.9400000000000048</v>
      </c>
      <c r="Q10" s="10">
        <f t="shared" si="0"/>
        <v>-3.3000000000000043</v>
      </c>
      <c r="R10" s="10">
        <f t="shared" si="0"/>
        <v>-6.2100000000000009</v>
      </c>
      <c r="S10" s="10">
        <f t="shared" si="0"/>
        <v>-16.97</v>
      </c>
    </row>
    <row r="11" spans="1:19" s="9" customFormat="1">
      <c r="A11" s="7" t="s">
        <v>51</v>
      </c>
      <c r="B11" s="10">
        <v>18.5</v>
      </c>
      <c r="C11" s="10">
        <v>10.210000000000001</v>
      </c>
      <c r="D11" s="10"/>
      <c r="E11" s="10">
        <f>(39.64-0.87)*0.8132</f>
        <v>31.527764000000005</v>
      </c>
      <c r="F11" s="10">
        <v>14.67</v>
      </c>
      <c r="G11" s="10">
        <v>18.63</v>
      </c>
      <c r="H11" s="10"/>
      <c r="I11" s="10"/>
      <c r="J11" s="10">
        <v>10.31</v>
      </c>
      <c r="K11" s="10"/>
      <c r="L11" s="10">
        <v>15.54</v>
      </c>
      <c r="M11" s="10">
        <v>11.06</v>
      </c>
      <c r="N11" s="10">
        <v>12.49</v>
      </c>
      <c r="O11" s="10">
        <v>19.170000000000002</v>
      </c>
      <c r="P11" s="10">
        <v>9.64</v>
      </c>
      <c r="Q11" s="10">
        <v>18.059999999999999</v>
      </c>
      <c r="R11" s="10">
        <v>14.03</v>
      </c>
      <c r="S11" s="10">
        <v>5.77</v>
      </c>
    </row>
    <row r="12" spans="1:19" s="9" customFormat="1">
      <c r="A12" s="7" t="s">
        <v>3</v>
      </c>
      <c r="B12" s="10">
        <f t="shared" ref="B12:S12" si="1">+B11-$B$3</f>
        <v>-2.5070000000000014</v>
      </c>
      <c r="C12" s="10">
        <f t="shared" si="1"/>
        <v>-10.797000000000001</v>
      </c>
      <c r="D12" s="10">
        <f t="shared" si="1"/>
        <v>-21.007000000000001</v>
      </c>
      <c r="E12" s="10">
        <f t="shared" si="1"/>
        <v>10.520764000000003</v>
      </c>
      <c r="F12" s="10">
        <f t="shared" si="1"/>
        <v>-6.3370000000000015</v>
      </c>
      <c r="G12" s="10">
        <f t="shared" si="1"/>
        <v>-2.3770000000000024</v>
      </c>
      <c r="H12" s="10">
        <f t="shared" si="1"/>
        <v>-21.007000000000001</v>
      </c>
      <c r="I12" s="10">
        <f t="shared" si="1"/>
        <v>-21.007000000000001</v>
      </c>
      <c r="J12" s="10">
        <f t="shared" si="1"/>
        <v>-10.697000000000001</v>
      </c>
      <c r="K12" s="10">
        <f t="shared" si="1"/>
        <v>-21.007000000000001</v>
      </c>
      <c r="L12" s="10">
        <f t="shared" si="1"/>
        <v>-5.4670000000000023</v>
      </c>
      <c r="M12" s="10">
        <f t="shared" si="1"/>
        <v>-9.947000000000001</v>
      </c>
      <c r="N12" s="10">
        <f t="shared" si="1"/>
        <v>-8.5170000000000012</v>
      </c>
      <c r="O12" s="10">
        <f t="shared" si="1"/>
        <v>-1.8369999999999997</v>
      </c>
      <c r="P12" s="10">
        <f t="shared" si="1"/>
        <v>-11.367000000000001</v>
      </c>
      <c r="Q12" s="10">
        <f t="shared" si="1"/>
        <v>-2.9470000000000027</v>
      </c>
      <c r="R12" s="10">
        <f t="shared" si="1"/>
        <v>-6.9770000000000021</v>
      </c>
      <c r="S12" s="10">
        <f t="shared" si="1"/>
        <v>-15.237000000000002</v>
      </c>
    </row>
    <row r="13" spans="1:19" s="9" customFormat="1">
      <c r="A13" s="7" t="s">
        <v>52</v>
      </c>
      <c r="B13" s="10">
        <v>2.2799999999999998</v>
      </c>
      <c r="C13" s="10">
        <v>2.73</v>
      </c>
      <c r="D13" s="10">
        <f>(3.06)*0.8132</f>
        <v>2.4883920000000002</v>
      </c>
      <c r="E13" s="10">
        <f>+(2.82-0.03)*0.8132</f>
        <v>2.2688280000000001</v>
      </c>
      <c r="F13" s="10">
        <v>2.5099999999999998</v>
      </c>
      <c r="G13" s="10">
        <v>3.8</v>
      </c>
      <c r="H13" s="10">
        <v>2.31</v>
      </c>
      <c r="I13" s="10">
        <v>2.5299999999999998</v>
      </c>
      <c r="J13" s="10">
        <v>2.13</v>
      </c>
      <c r="K13" s="10">
        <v>2.37</v>
      </c>
      <c r="L13" s="10">
        <v>2.4</v>
      </c>
      <c r="M13" s="10">
        <v>4.49</v>
      </c>
      <c r="N13" s="10">
        <v>1.724</v>
      </c>
      <c r="O13" s="10">
        <v>2.36</v>
      </c>
      <c r="P13" s="10">
        <v>2.2999999999999998</v>
      </c>
      <c r="Q13" s="10">
        <v>1.48</v>
      </c>
      <c r="R13" s="10">
        <v>2.37</v>
      </c>
      <c r="S13" s="10">
        <v>1.76</v>
      </c>
    </row>
    <row r="14" spans="1:19" s="9" customFormat="1">
      <c r="A14" s="7" t="s">
        <v>3</v>
      </c>
      <c r="B14" s="10">
        <f t="shared" ref="B14:S14" si="2">+B13-$B$4</f>
        <v>-0.4480000000000004</v>
      </c>
      <c r="C14" s="10">
        <f t="shared" si="2"/>
        <v>1.9999999999997797E-3</v>
      </c>
      <c r="D14" s="10">
        <f t="shared" si="2"/>
        <v>-0.23960800000000004</v>
      </c>
      <c r="E14" s="10">
        <f t="shared" si="2"/>
        <v>-0.45917200000000014</v>
      </c>
      <c r="F14" s="10">
        <f t="shared" si="2"/>
        <v>-0.21800000000000042</v>
      </c>
      <c r="G14" s="10">
        <f t="shared" si="2"/>
        <v>1.0719999999999996</v>
      </c>
      <c r="H14" s="10">
        <f t="shared" si="2"/>
        <v>-0.41800000000000015</v>
      </c>
      <c r="I14" s="10">
        <f t="shared" si="2"/>
        <v>-0.1980000000000004</v>
      </c>
      <c r="J14" s="10">
        <f t="shared" si="2"/>
        <v>-0.59800000000000031</v>
      </c>
      <c r="K14" s="10">
        <f t="shared" si="2"/>
        <v>-0.3580000000000001</v>
      </c>
      <c r="L14" s="10">
        <f t="shared" si="2"/>
        <v>-0.32800000000000029</v>
      </c>
      <c r="M14" s="10">
        <f t="shared" si="2"/>
        <v>1.762</v>
      </c>
      <c r="N14" s="10">
        <f t="shared" si="2"/>
        <v>-1.0040000000000002</v>
      </c>
      <c r="O14" s="10">
        <f t="shared" si="2"/>
        <v>-0.36800000000000033</v>
      </c>
      <c r="P14" s="10">
        <f t="shared" si="2"/>
        <v>-0.42800000000000038</v>
      </c>
      <c r="Q14" s="10">
        <f t="shared" si="2"/>
        <v>-1.2480000000000002</v>
      </c>
      <c r="R14" s="10">
        <f t="shared" si="2"/>
        <v>-0.3580000000000001</v>
      </c>
      <c r="S14" s="10">
        <f t="shared" si="2"/>
        <v>-0.96800000000000019</v>
      </c>
    </row>
    <row r="15" spans="1:19" s="9" customFormat="1">
      <c r="A15" s="7" t="s">
        <v>49</v>
      </c>
      <c r="B15" s="10">
        <v>30.28</v>
      </c>
      <c r="C15" s="10">
        <v>38.049999999999997</v>
      </c>
      <c r="D15" s="10">
        <f>+((689+2957)/D47)*0.8132</f>
        <v>40.44657553490682</v>
      </c>
      <c r="E15" s="10">
        <f>+(40.5-2.13)*0.8132</f>
        <v>31.202483999999998</v>
      </c>
      <c r="F15" s="10">
        <v>26.69</v>
      </c>
      <c r="G15" s="10">
        <f>+G63</f>
        <v>37.893540836653393</v>
      </c>
      <c r="H15" s="10">
        <v>37.82</v>
      </c>
      <c r="I15" s="10">
        <v>40.07</v>
      </c>
      <c r="J15" s="10">
        <v>25.86</v>
      </c>
      <c r="K15" s="10">
        <v>23.9</v>
      </c>
      <c r="L15" s="10">
        <v>31.38</v>
      </c>
      <c r="M15" s="10">
        <v>43.76</v>
      </c>
      <c r="N15" s="10">
        <v>39.92</v>
      </c>
      <c r="O15" s="10">
        <f>469/O47</f>
        <v>33.28379316551387</v>
      </c>
      <c r="P15" s="10">
        <f>+(483+215+24)/P47</f>
        <v>26.925563124658151</v>
      </c>
      <c r="Q15" s="10">
        <v>39.14</v>
      </c>
      <c r="R15" s="10">
        <v>33.32</v>
      </c>
      <c r="S15" s="10">
        <v>12.15</v>
      </c>
    </row>
    <row r="16" spans="1:19" s="9" customFormat="1">
      <c r="A16" s="7"/>
      <c r="B16" s="10"/>
      <c r="C16" s="10"/>
      <c r="D16" s="10"/>
      <c r="E16" s="10"/>
      <c r="F16" s="10"/>
      <c r="G16" s="10"/>
      <c r="H16" s="10"/>
      <c r="I16" s="10"/>
      <c r="J16" s="10"/>
      <c r="K16" s="10"/>
      <c r="L16" s="10"/>
      <c r="M16" s="10"/>
      <c r="N16" s="10"/>
      <c r="O16" s="10"/>
      <c r="P16" s="10"/>
      <c r="Q16" s="10"/>
      <c r="R16" s="10"/>
      <c r="S16" s="10"/>
    </row>
    <row r="17" spans="1:19" s="9" customFormat="1">
      <c r="A17" s="7" t="s">
        <v>4</v>
      </c>
      <c r="B17" s="10"/>
      <c r="C17" s="10"/>
      <c r="D17" s="10"/>
      <c r="E17" s="10"/>
      <c r="F17" s="10"/>
      <c r="G17" s="10"/>
      <c r="H17" s="10"/>
      <c r="I17" s="10"/>
      <c r="J17" s="10"/>
      <c r="K17" s="10"/>
      <c r="L17" s="10"/>
      <c r="M17" s="10"/>
      <c r="N17" s="10"/>
      <c r="O17" s="10"/>
      <c r="P17" s="10"/>
      <c r="Q17" s="10"/>
      <c r="R17" s="10"/>
      <c r="S17" s="10"/>
    </row>
    <row r="18" spans="1:19" s="9" customFormat="1">
      <c r="A18" s="11" t="s">
        <v>75</v>
      </c>
      <c r="B18" s="10">
        <v>6.69</v>
      </c>
      <c r="C18" s="10">
        <v>10.06</v>
      </c>
      <c r="D18" s="20">
        <f>+((861+321+19+630)/D47)*0.8132</f>
        <v>20.312035053322649</v>
      </c>
      <c r="E18" s="10">
        <f>(3.95+10.94)*0.8132</f>
        <v>12.108548000000001</v>
      </c>
      <c r="F18" s="10">
        <v>8.07</v>
      </c>
      <c r="G18" s="10">
        <v>14.52</v>
      </c>
      <c r="H18" s="10">
        <v>4.3899999999999997</v>
      </c>
      <c r="I18" s="10">
        <v>7.3</v>
      </c>
      <c r="J18" s="10">
        <v>9.15</v>
      </c>
      <c r="K18" s="10">
        <f>5.5+8.91</f>
        <v>14.41</v>
      </c>
      <c r="L18" s="10">
        <v>9.7899999999999991</v>
      </c>
      <c r="M18" s="10">
        <f>+(435+116)/M47</f>
        <v>15.492396729070505</v>
      </c>
      <c r="N18" s="10">
        <f>(450+81)/N47</f>
        <v>14.226326294591226</v>
      </c>
      <c r="O18" s="10">
        <f>+(73+52)/O47</f>
        <v>8.8709470057339725</v>
      </c>
      <c r="P18" s="10">
        <f>+(129+56)/P47</f>
        <v>6.8992093878971712</v>
      </c>
      <c r="Q18" s="10">
        <v>12.11</v>
      </c>
      <c r="R18" s="10">
        <f>(13+163)/R47</f>
        <v>9.8325670262630087</v>
      </c>
      <c r="S18" s="10">
        <f>0.93*6</f>
        <v>5.58</v>
      </c>
    </row>
    <row r="19" spans="1:19" s="9" customFormat="1">
      <c r="A19" s="11" t="s">
        <v>74</v>
      </c>
      <c r="B19" s="10"/>
      <c r="C19" s="10"/>
      <c r="D19" s="10">
        <f>+(240/D47)*0.8132</f>
        <v>2.6624185760772452</v>
      </c>
      <c r="E19" s="10"/>
      <c r="F19" s="10"/>
      <c r="G19" s="10"/>
      <c r="H19" s="10"/>
      <c r="I19" s="10"/>
      <c r="J19" s="10"/>
      <c r="K19" s="10"/>
      <c r="L19" s="10"/>
      <c r="M19" s="10"/>
      <c r="N19" s="10"/>
      <c r="O19" s="10"/>
      <c r="P19" s="10"/>
      <c r="Q19" s="10"/>
      <c r="R19" s="10"/>
      <c r="S19" s="10"/>
    </row>
    <row r="20" spans="1:19" s="9" customFormat="1">
      <c r="A20" s="11" t="s">
        <v>10</v>
      </c>
      <c r="B20" s="10">
        <v>1.96</v>
      </c>
      <c r="C20" s="10">
        <v>1.07</v>
      </c>
      <c r="D20" s="10"/>
      <c r="E20" s="10">
        <f>0.27*0.8132</f>
        <v>0.21956400000000004</v>
      </c>
      <c r="F20" s="10">
        <v>1.67</v>
      </c>
      <c r="G20" s="10">
        <v>1.55</v>
      </c>
      <c r="H20" s="10">
        <v>2.99</v>
      </c>
      <c r="I20" s="10">
        <v>3.3</v>
      </c>
      <c r="J20" s="10">
        <f>104/J47</f>
        <v>1.6927037415805621</v>
      </c>
      <c r="K20" s="10">
        <v>0.73</v>
      </c>
      <c r="L20" s="10">
        <v>2.39</v>
      </c>
      <c r="M20" s="10">
        <f>45/M47</f>
        <v>1.2652592609948687</v>
      </c>
      <c r="N20" s="10">
        <f>78/N47</f>
        <v>2.0897428455331748</v>
      </c>
      <c r="O20" s="10">
        <f>17/O47</f>
        <v>1.2064487927798204</v>
      </c>
      <c r="P20" s="10">
        <f>28/P47</f>
        <v>1.0442046641141665</v>
      </c>
      <c r="Q20" s="10">
        <v>1.85</v>
      </c>
      <c r="R20" s="10">
        <v>2.08</v>
      </c>
      <c r="S20" s="10">
        <f>0.1*6</f>
        <v>0.60000000000000009</v>
      </c>
    </row>
    <row r="21" spans="1:19" s="9" customFormat="1">
      <c r="A21" s="11" t="s">
        <v>11</v>
      </c>
      <c r="B21" s="10">
        <f>268.6/B47</f>
        <v>3.4875719003328305</v>
      </c>
      <c r="C21" s="10">
        <v>2.16</v>
      </c>
      <c r="D21" s="10">
        <f>+(100)/D47*0.8132</f>
        <v>1.1093410733655189</v>
      </c>
      <c r="E21" s="10">
        <f>+(73/E47)*0.8132</f>
        <v>2.4843597121121039</v>
      </c>
      <c r="F21" s="10">
        <f>(14.054+17.824+9.153)/F47</f>
        <v>2.6349865192759903</v>
      </c>
      <c r="G21" s="10">
        <v>1.5</v>
      </c>
      <c r="H21" s="10">
        <v>1.34</v>
      </c>
      <c r="I21" s="10">
        <v>4.54</v>
      </c>
      <c r="J21" s="10">
        <f>(184+101)/J47</f>
        <v>4.6386592918313481</v>
      </c>
      <c r="K21" s="10">
        <v>2.91</v>
      </c>
      <c r="L21" s="10">
        <v>1.61</v>
      </c>
      <c r="M21" s="10">
        <f>(151-3)/M47</f>
        <v>4.1612971250497903</v>
      </c>
      <c r="N21" s="10">
        <f>168/N47</f>
        <v>4.5009845903791454</v>
      </c>
      <c r="O21" s="10">
        <f>51/O47</f>
        <v>3.6193463783394613</v>
      </c>
      <c r="P21" s="10">
        <f>104/P47</f>
        <v>3.8784744667097613</v>
      </c>
      <c r="Q21" s="10">
        <v>3.57</v>
      </c>
      <c r="R21" s="10">
        <v>4.6399999999999997</v>
      </c>
      <c r="S21" s="10">
        <f>0.21*6</f>
        <v>1.26</v>
      </c>
    </row>
    <row r="22" spans="1:19" s="9" customFormat="1">
      <c r="A22" s="11" t="s">
        <v>12</v>
      </c>
      <c r="B22" s="10">
        <f>(173.4+43)/B47</f>
        <v>2.8097935935667331</v>
      </c>
      <c r="C22" s="10">
        <f>123/C47</f>
        <v>2.3977441710936671</v>
      </c>
      <c r="D22" s="10">
        <f>+(147/D47)*0.8132</f>
        <v>1.6307313778473127</v>
      </c>
      <c r="E22" s="10">
        <f>+(79/E47)*0.8132</f>
        <v>2.6885536610528247</v>
      </c>
      <c r="F22" s="10">
        <f>21.297/F47</f>
        <v>1.367680726792444</v>
      </c>
      <c r="G22" s="10">
        <v>1.45</v>
      </c>
      <c r="H22" s="10">
        <v>3.8</v>
      </c>
      <c r="I22" s="10">
        <f>53.482/I47</f>
        <v>3.9877659399166259</v>
      </c>
      <c r="J22" s="10">
        <f>(99+15)/J47</f>
        <v>1.8554637167325392</v>
      </c>
      <c r="K22" s="10">
        <v>3.2</v>
      </c>
      <c r="L22" s="10">
        <f>(60.484+(23-12))/L47</f>
        <v>1.401495917106979</v>
      </c>
      <c r="M22" s="10">
        <f>(86+11)/M47</f>
        <v>2.727336629255606</v>
      </c>
      <c r="N22" s="10">
        <f>58/N47</f>
        <v>1.5539113466785144</v>
      </c>
      <c r="O22" s="10">
        <f>46/O47</f>
        <v>3.2645084981101022</v>
      </c>
      <c r="P22" s="10">
        <f>92/P47</f>
        <v>3.430958182089404</v>
      </c>
      <c r="Q22" s="10">
        <v>0.13</v>
      </c>
      <c r="R22" s="10">
        <v>2.57</v>
      </c>
      <c r="S22" s="10">
        <f>52/S47</f>
        <v>1.2732365673542143</v>
      </c>
    </row>
    <row r="23" spans="1:19" s="9" customFormat="1">
      <c r="A23" s="11" t="s">
        <v>13</v>
      </c>
      <c r="B23" s="10">
        <f>1148/B47</f>
        <v>14.905929045354018</v>
      </c>
      <c r="C23" s="10">
        <v>17.989999999999998</v>
      </c>
      <c r="D23" s="10">
        <f>+((1158+119)/D47)*0.8132</f>
        <v>14.166285506877676</v>
      </c>
      <c r="E23" s="10">
        <f>+((158+259)/E47)*0.8132</f>
        <v>14.191479451380099</v>
      </c>
      <c r="F23" s="10">
        <v>14.1</v>
      </c>
      <c r="G23" s="10">
        <v>16.04</v>
      </c>
      <c r="H23" s="10">
        <v>21.97</v>
      </c>
      <c r="I23" s="10">
        <v>22.72</v>
      </c>
      <c r="J23" s="10">
        <f>716/J47</f>
        <v>11.653614220881561</v>
      </c>
      <c r="K23" s="10">
        <v>10.43</v>
      </c>
      <c r="L23" s="10">
        <v>17.829999999999998</v>
      </c>
      <c r="M23" s="10">
        <f>1004/M47</f>
        <v>28.229339956418851</v>
      </c>
      <c r="N23" s="10">
        <f>751/N47</f>
        <v>20.12047278199249</v>
      </c>
      <c r="O23" s="10">
        <f>248/O47</f>
        <v>17.599958859376201</v>
      </c>
      <c r="P23" s="10">
        <f>451/P47</f>
        <v>16.819153696981754</v>
      </c>
      <c r="Q23" s="10">
        <v>16.059999999999999</v>
      </c>
      <c r="R23" s="10">
        <v>18.39</v>
      </c>
      <c r="S23" s="10">
        <f>291/S47</f>
        <v>7.1252277134630075</v>
      </c>
    </row>
    <row r="24" spans="1:19" s="9" customFormat="1">
      <c r="A24" s="7"/>
      <c r="B24" s="8"/>
      <c r="C24" s="8"/>
      <c r="D24" s="8"/>
      <c r="E24" s="8"/>
      <c r="F24" s="8"/>
      <c r="G24" s="8"/>
      <c r="H24" s="8"/>
      <c r="I24" s="8"/>
      <c r="J24" s="8"/>
      <c r="K24" s="8"/>
      <c r="L24" s="8"/>
      <c r="M24" s="8"/>
      <c r="N24" s="8"/>
      <c r="O24" s="8"/>
      <c r="P24" s="8"/>
      <c r="Q24" s="8"/>
      <c r="R24" s="8"/>
      <c r="S24" s="8"/>
    </row>
    <row r="25" spans="1:19" s="9" customFormat="1">
      <c r="A25" s="7" t="s">
        <v>9</v>
      </c>
      <c r="B25" s="8"/>
      <c r="C25" s="8"/>
      <c r="D25" s="8"/>
      <c r="E25" s="8"/>
      <c r="F25" s="8"/>
      <c r="G25" s="8"/>
      <c r="H25" s="8"/>
      <c r="I25" s="8"/>
      <c r="J25" s="8"/>
      <c r="K25" s="8"/>
      <c r="L25" s="8"/>
      <c r="M25" s="8"/>
      <c r="N25" s="8"/>
      <c r="O25" s="8"/>
      <c r="P25" s="8"/>
      <c r="Q25" s="8"/>
      <c r="R25" s="8"/>
      <c r="S25" s="8"/>
    </row>
    <row r="26" spans="1:19" s="9" customFormat="1">
      <c r="A26" s="11" t="s">
        <v>5</v>
      </c>
      <c r="B26" s="10">
        <f>+B18+B20</f>
        <v>8.65</v>
      </c>
      <c r="C26" s="10">
        <f>+C18+C20</f>
        <v>11.13</v>
      </c>
      <c r="D26" s="10">
        <f>+D18+D20+D19</f>
        <v>22.974453629399896</v>
      </c>
      <c r="E26" s="10">
        <f>+E18+E20+E19</f>
        <v>12.328112000000001</v>
      </c>
      <c r="F26" s="10">
        <f t="shared" ref="F26:S26" si="3">+F18+F20</f>
        <v>9.74</v>
      </c>
      <c r="G26" s="10">
        <f t="shared" si="3"/>
        <v>16.07</v>
      </c>
      <c r="H26" s="10">
        <f t="shared" si="3"/>
        <v>7.38</v>
      </c>
      <c r="I26" s="10">
        <f>+I18+I20</f>
        <v>10.6</v>
      </c>
      <c r="J26" s="10">
        <f t="shared" si="3"/>
        <v>10.842703741580562</v>
      </c>
      <c r="K26" s="10">
        <f t="shared" si="3"/>
        <v>15.14</v>
      </c>
      <c r="L26" s="10">
        <f t="shared" si="3"/>
        <v>12.18</v>
      </c>
      <c r="M26" s="10">
        <f t="shared" si="3"/>
        <v>16.757655990065373</v>
      </c>
      <c r="N26" s="10">
        <f t="shared" si="3"/>
        <v>16.316069140124402</v>
      </c>
      <c r="O26" s="10">
        <f t="shared" si="3"/>
        <v>10.077395798513793</v>
      </c>
      <c r="P26" s="10">
        <f t="shared" si="3"/>
        <v>7.9434140520113381</v>
      </c>
      <c r="Q26" s="10">
        <f t="shared" si="3"/>
        <v>13.959999999999999</v>
      </c>
      <c r="R26" s="10">
        <f t="shared" si="3"/>
        <v>11.912567026263009</v>
      </c>
      <c r="S26" s="10">
        <f t="shared" si="3"/>
        <v>6.18</v>
      </c>
    </row>
    <row r="27" spans="1:19" s="9" customFormat="1">
      <c r="A27" s="11" t="s">
        <v>6</v>
      </c>
      <c r="B27" s="10">
        <f t="shared" ref="B27:S29" si="4">+B26+B21</f>
        <v>12.13757190033283</v>
      </c>
      <c r="C27" s="10">
        <f t="shared" si="4"/>
        <v>13.290000000000001</v>
      </c>
      <c r="D27" s="10">
        <f t="shared" si="4"/>
        <v>24.083794702765417</v>
      </c>
      <c r="E27" s="10">
        <f t="shared" si="4"/>
        <v>14.812471712112105</v>
      </c>
      <c r="F27" s="10">
        <f t="shared" si="4"/>
        <v>12.374986519275991</v>
      </c>
      <c r="G27" s="10">
        <f t="shared" si="4"/>
        <v>17.57</v>
      </c>
      <c r="H27" s="10">
        <f t="shared" si="4"/>
        <v>8.7200000000000006</v>
      </c>
      <c r="I27" s="10">
        <f>+I26+I21</f>
        <v>15.14</v>
      </c>
      <c r="J27" s="10">
        <f t="shared" si="4"/>
        <v>15.48136303341191</v>
      </c>
      <c r="K27" s="10">
        <f t="shared" si="4"/>
        <v>18.05</v>
      </c>
      <c r="L27" s="10">
        <f t="shared" si="4"/>
        <v>13.79</v>
      </c>
      <c r="M27" s="10">
        <f t="shared" si="4"/>
        <v>20.918953115115166</v>
      </c>
      <c r="N27" s="10">
        <f t="shared" si="4"/>
        <v>20.817053730503545</v>
      </c>
      <c r="O27" s="10">
        <f t="shared" si="4"/>
        <v>13.696742176853254</v>
      </c>
      <c r="P27" s="10">
        <f t="shared" si="4"/>
        <v>11.821888518721099</v>
      </c>
      <c r="Q27" s="10">
        <f t="shared" si="4"/>
        <v>17.529999999999998</v>
      </c>
      <c r="R27" s="10">
        <f t="shared" si="4"/>
        <v>16.552567026263009</v>
      </c>
      <c r="S27" s="10">
        <f t="shared" si="4"/>
        <v>7.4399999999999995</v>
      </c>
    </row>
    <row r="28" spans="1:19" s="9" customFormat="1">
      <c r="A28" s="11" t="s">
        <v>7</v>
      </c>
      <c r="B28" s="10">
        <f t="shared" si="4"/>
        <v>14.947365493899563</v>
      </c>
      <c r="C28" s="10">
        <f t="shared" si="4"/>
        <v>15.687744171093668</v>
      </c>
      <c r="D28" s="10">
        <f t="shared" si="4"/>
        <v>25.714526080612728</v>
      </c>
      <c r="E28" s="10">
        <f t="shared" si="4"/>
        <v>17.501025373164929</v>
      </c>
      <c r="F28" s="10">
        <f t="shared" si="4"/>
        <v>13.742667246068436</v>
      </c>
      <c r="G28" s="10">
        <f t="shared" si="4"/>
        <v>19.02</v>
      </c>
      <c r="H28" s="10">
        <f t="shared" si="4"/>
        <v>12.52</v>
      </c>
      <c r="I28" s="10">
        <f>+I27+I22</f>
        <v>19.127765939916628</v>
      </c>
      <c r="J28" s="10">
        <f t="shared" si="4"/>
        <v>17.33682675014445</v>
      </c>
      <c r="K28" s="10">
        <f t="shared" si="4"/>
        <v>21.25</v>
      </c>
      <c r="L28" s="10">
        <f t="shared" si="4"/>
        <v>15.191495917106979</v>
      </c>
      <c r="M28" s="10">
        <f t="shared" si="4"/>
        <v>23.646289744370772</v>
      </c>
      <c r="N28" s="10">
        <f t="shared" si="4"/>
        <v>22.37096507718206</v>
      </c>
      <c r="O28" s="10">
        <f t="shared" si="4"/>
        <v>16.961250674963356</v>
      </c>
      <c r="P28" s="10">
        <f t="shared" si="4"/>
        <v>15.252846700810503</v>
      </c>
      <c r="Q28" s="10">
        <f t="shared" si="4"/>
        <v>17.659999999999997</v>
      </c>
      <c r="R28" s="10">
        <f t="shared" si="4"/>
        <v>19.12256702626301</v>
      </c>
      <c r="S28" s="10">
        <f t="shared" si="4"/>
        <v>8.7132365673542136</v>
      </c>
    </row>
    <row r="29" spans="1:19" s="9" customFormat="1">
      <c r="A29" s="11" t="s">
        <v>8</v>
      </c>
      <c r="B29" s="10">
        <f t="shared" si="4"/>
        <v>29.853294539253582</v>
      </c>
      <c r="C29" s="10">
        <f t="shared" si="4"/>
        <v>33.677744171093664</v>
      </c>
      <c r="D29" s="10">
        <f t="shared" si="4"/>
        <v>39.880811587490406</v>
      </c>
      <c r="E29" s="10">
        <f t="shared" si="4"/>
        <v>31.692504824545026</v>
      </c>
      <c r="F29" s="10">
        <f t="shared" si="4"/>
        <v>27.842667246068437</v>
      </c>
      <c r="G29" s="10">
        <f t="shared" si="4"/>
        <v>35.06</v>
      </c>
      <c r="H29" s="10">
        <f t="shared" si="4"/>
        <v>34.489999999999995</v>
      </c>
      <c r="I29" s="10">
        <f>+I28+I23</f>
        <v>41.847765939916627</v>
      </c>
      <c r="J29" s="10">
        <f t="shared" si="4"/>
        <v>28.990440971026011</v>
      </c>
      <c r="K29" s="10">
        <f t="shared" si="4"/>
        <v>31.68</v>
      </c>
      <c r="L29" s="10">
        <f t="shared" si="4"/>
        <v>33.021495917106975</v>
      </c>
      <c r="M29" s="10">
        <f t="shared" si="4"/>
        <v>51.875629700789624</v>
      </c>
      <c r="N29" s="10">
        <f t="shared" si="4"/>
        <v>42.491437859174553</v>
      </c>
      <c r="O29" s="10">
        <f t="shared" si="4"/>
        <v>34.561209534339554</v>
      </c>
      <c r="P29" s="10">
        <f t="shared" si="4"/>
        <v>32.072000397792259</v>
      </c>
      <c r="Q29" s="10">
        <f t="shared" si="4"/>
        <v>33.72</v>
      </c>
      <c r="R29" s="10">
        <f t="shared" si="4"/>
        <v>37.512567026263014</v>
      </c>
      <c r="S29" s="10">
        <f t="shared" si="4"/>
        <v>15.83846428081722</v>
      </c>
    </row>
    <row r="30" spans="1:19" s="9" customFormat="1">
      <c r="A30" s="7"/>
      <c r="B30" s="10"/>
      <c r="C30" s="10"/>
      <c r="D30" s="10"/>
      <c r="E30" s="10"/>
      <c r="F30" s="10"/>
      <c r="G30" s="10"/>
      <c r="H30" s="10"/>
      <c r="I30" s="10"/>
      <c r="J30" s="10"/>
      <c r="K30" s="10"/>
      <c r="L30" s="10"/>
      <c r="M30" s="10"/>
      <c r="N30" s="10"/>
      <c r="O30" s="10"/>
      <c r="P30" s="10"/>
      <c r="Q30" s="10"/>
      <c r="R30" s="10"/>
      <c r="S30" s="10"/>
    </row>
    <row r="31" spans="1:19" s="9" customFormat="1">
      <c r="A31" s="11" t="s">
        <v>14</v>
      </c>
      <c r="B31" s="10"/>
      <c r="C31" s="10"/>
      <c r="D31" s="10"/>
      <c r="E31" s="10"/>
      <c r="F31" s="10"/>
      <c r="G31" s="10"/>
      <c r="H31" s="10"/>
      <c r="I31" s="10"/>
      <c r="J31" s="10"/>
      <c r="K31" s="10"/>
      <c r="L31" s="10"/>
      <c r="M31" s="10"/>
      <c r="N31" s="10"/>
      <c r="O31" s="10"/>
      <c r="P31" s="10"/>
      <c r="Q31" s="10"/>
      <c r="R31" s="10"/>
      <c r="S31" s="10"/>
    </row>
    <row r="32" spans="1:19" s="9" customFormat="1">
      <c r="A32" s="11" t="s">
        <v>67</v>
      </c>
      <c r="B32" s="10">
        <f t="shared" ref="B32:S32" si="5">+B$15-B26</f>
        <v>21.630000000000003</v>
      </c>
      <c r="C32" s="10">
        <f t="shared" si="5"/>
        <v>26.919999999999995</v>
      </c>
      <c r="D32" s="10">
        <f t="shared" si="5"/>
        <v>17.472121905506924</v>
      </c>
      <c r="E32" s="10">
        <f t="shared" si="5"/>
        <v>18.874371999999997</v>
      </c>
      <c r="F32" s="10">
        <f t="shared" si="5"/>
        <v>16.950000000000003</v>
      </c>
      <c r="G32" s="10">
        <f t="shared" si="5"/>
        <v>21.823540836653393</v>
      </c>
      <c r="H32" s="10">
        <f t="shared" si="5"/>
        <v>30.44</v>
      </c>
      <c r="I32" s="10">
        <f t="shared" si="5"/>
        <v>29.47</v>
      </c>
      <c r="J32" s="10">
        <f t="shared" si="5"/>
        <v>15.017296258419437</v>
      </c>
      <c r="K32" s="10">
        <f t="shared" si="5"/>
        <v>8.759999999999998</v>
      </c>
      <c r="L32" s="10">
        <f t="shared" si="5"/>
        <v>19.2</v>
      </c>
      <c r="M32" s="10">
        <f t="shared" si="5"/>
        <v>27.002344009934625</v>
      </c>
      <c r="N32" s="10">
        <f t="shared" si="5"/>
        <v>23.6039308598756</v>
      </c>
      <c r="O32" s="10">
        <f t="shared" si="5"/>
        <v>23.206397367000079</v>
      </c>
      <c r="P32" s="10">
        <f t="shared" si="5"/>
        <v>18.982149072646813</v>
      </c>
      <c r="Q32" s="10">
        <f t="shared" si="5"/>
        <v>25.18</v>
      </c>
      <c r="R32" s="10">
        <f t="shared" si="5"/>
        <v>21.407432973736991</v>
      </c>
      <c r="S32" s="10">
        <f t="shared" si="5"/>
        <v>5.9700000000000006</v>
      </c>
    </row>
    <row r="33" spans="1:19" s="9" customFormat="1">
      <c r="A33" s="11" t="s">
        <v>68</v>
      </c>
      <c r="B33" s="10">
        <f t="shared" ref="B33:S33" si="6">+B$15-B27</f>
        <v>18.142428099667171</v>
      </c>
      <c r="C33" s="10">
        <f t="shared" si="6"/>
        <v>24.759999999999998</v>
      </c>
      <c r="D33" s="10">
        <f t="shared" si="6"/>
        <v>16.362780832141404</v>
      </c>
      <c r="E33" s="10">
        <f t="shared" si="6"/>
        <v>16.390012287887892</v>
      </c>
      <c r="F33" s="10">
        <f t="shared" si="6"/>
        <v>14.31501348072401</v>
      </c>
      <c r="G33" s="10">
        <f t="shared" si="6"/>
        <v>20.323540836653393</v>
      </c>
      <c r="H33" s="10">
        <f t="shared" si="6"/>
        <v>29.1</v>
      </c>
      <c r="I33" s="10">
        <f>+I$15-I27</f>
        <v>24.93</v>
      </c>
      <c r="J33" s="10">
        <f t="shared" si="6"/>
        <v>10.37863696658809</v>
      </c>
      <c r="K33" s="10">
        <f t="shared" si="6"/>
        <v>5.8499999999999979</v>
      </c>
      <c r="L33" s="10">
        <f t="shared" si="6"/>
        <v>17.59</v>
      </c>
      <c r="M33" s="10">
        <f t="shared" si="6"/>
        <v>22.841046884884832</v>
      </c>
      <c r="N33" s="10">
        <f t="shared" si="6"/>
        <v>19.102946269496456</v>
      </c>
      <c r="O33" s="10">
        <f>+O$15-O27</f>
        <v>19.587050988660614</v>
      </c>
      <c r="P33" s="10">
        <f t="shared" si="6"/>
        <v>15.103674605937051</v>
      </c>
      <c r="Q33" s="10">
        <f t="shared" si="6"/>
        <v>21.610000000000003</v>
      </c>
      <c r="R33" s="10">
        <f t="shared" si="6"/>
        <v>16.767432973736991</v>
      </c>
      <c r="S33" s="10">
        <f t="shared" si="6"/>
        <v>4.7100000000000009</v>
      </c>
    </row>
    <row r="34" spans="1:19" s="9" customFormat="1">
      <c r="A34" s="11" t="s">
        <v>69</v>
      </c>
      <c r="B34" s="10">
        <f t="shared" ref="B34:S34" si="7">+B$15-B28</f>
        <v>15.332634506100439</v>
      </c>
      <c r="C34" s="10">
        <f t="shared" si="7"/>
        <v>22.362255828906328</v>
      </c>
      <c r="D34" s="10">
        <f t="shared" si="7"/>
        <v>14.732049454294092</v>
      </c>
      <c r="E34" s="10">
        <f t="shared" si="7"/>
        <v>13.70145862683507</v>
      </c>
      <c r="F34" s="10">
        <f t="shared" si="7"/>
        <v>12.947332753931565</v>
      </c>
      <c r="G34" s="10">
        <f t="shared" si="7"/>
        <v>18.873540836653394</v>
      </c>
      <c r="H34" s="10">
        <f t="shared" si="7"/>
        <v>25.3</v>
      </c>
      <c r="I34" s="10">
        <f>+I$15-I28</f>
        <v>20.942234060083372</v>
      </c>
      <c r="J34" s="10">
        <f t="shared" si="7"/>
        <v>8.5231732498555495</v>
      </c>
      <c r="K34" s="10">
        <f t="shared" si="7"/>
        <v>2.6499999999999986</v>
      </c>
      <c r="L34" s="10">
        <f t="shared" si="7"/>
        <v>16.188504082893019</v>
      </c>
      <c r="M34" s="10">
        <f t="shared" si="7"/>
        <v>20.113710255629226</v>
      </c>
      <c r="N34" s="10">
        <f t="shared" si="7"/>
        <v>17.549034922817942</v>
      </c>
      <c r="O34" s="10">
        <f>+O$15-O28</f>
        <v>16.322542490550514</v>
      </c>
      <c r="P34" s="10">
        <f t="shared" si="7"/>
        <v>11.672716423847648</v>
      </c>
      <c r="Q34" s="10">
        <f t="shared" si="7"/>
        <v>21.480000000000004</v>
      </c>
      <c r="R34" s="10">
        <f t="shared" si="7"/>
        <v>14.197432973736991</v>
      </c>
      <c r="S34" s="10">
        <f t="shared" si="7"/>
        <v>3.4367634326457868</v>
      </c>
    </row>
    <row r="35" spans="1:19" s="9" customFormat="1">
      <c r="A35" s="11" t="s">
        <v>70</v>
      </c>
      <c r="B35" s="10">
        <f t="shared" ref="B35:S35" si="8">+B$15-B29</f>
        <v>0.42670546074641891</v>
      </c>
      <c r="C35" s="10">
        <f t="shared" si="8"/>
        <v>4.3722558289063329</v>
      </c>
      <c r="D35" s="10">
        <f t="shared" si="8"/>
        <v>0.56576394741641423</v>
      </c>
      <c r="E35" s="10">
        <f t="shared" si="8"/>
        <v>-0.49002082454502727</v>
      </c>
      <c r="F35" s="10">
        <f t="shared" si="8"/>
        <v>-1.152667246068436</v>
      </c>
      <c r="G35" s="10">
        <f t="shared" si="8"/>
        <v>2.8335408366533912</v>
      </c>
      <c r="H35" s="10">
        <f t="shared" si="8"/>
        <v>3.3300000000000054</v>
      </c>
      <c r="I35" s="10">
        <f>+I$15-I29</f>
        <v>-1.7777659399166268</v>
      </c>
      <c r="J35" s="10">
        <f t="shared" si="8"/>
        <v>-3.1304409710260117</v>
      </c>
      <c r="K35" s="10">
        <f t="shared" si="8"/>
        <v>-7.7800000000000011</v>
      </c>
      <c r="L35" s="10">
        <f t="shared" si="8"/>
        <v>-1.6414959171069761</v>
      </c>
      <c r="M35" s="10">
        <f t="shared" si="8"/>
        <v>-8.1156297007896256</v>
      </c>
      <c r="N35" s="10">
        <f t="shared" si="8"/>
        <v>-2.5714378591745515</v>
      </c>
      <c r="O35" s="10">
        <f>+O$15-O29</f>
        <v>-1.2774163688256834</v>
      </c>
      <c r="P35" s="10">
        <f t="shared" si="8"/>
        <v>-5.1464372731341079</v>
      </c>
      <c r="Q35" s="10">
        <f t="shared" si="8"/>
        <v>5.4200000000000017</v>
      </c>
      <c r="R35" s="10">
        <f t="shared" si="8"/>
        <v>-4.1925670262630135</v>
      </c>
      <c r="S35" s="10">
        <f t="shared" si="8"/>
        <v>-3.6884642808172199</v>
      </c>
    </row>
    <row r="36" spans="1:19" s="9" customFormat="1">
      <c r="A36" s="75" t="s">
        <v>112</v>
      </c>
      <c r="B36" s="10">
        <f>+B15-B18-B19-B20-B21</f>
        <v>18.142428099667168</v>
      </c>
      <c r="C36" s="10">
        <f t="shared" ref="C36:S36" si="9">+C15-C18-C19-C20-C21</f>
        <v>24.759999999999994</v>
      </c>
      <c r="D36" s="10">
        <f t="shared" si="9"/>
        <v>16.362780832141404</v>
      </c>
      <c r="E36" s="10">
        <f t="shared" si="9"/>
        <v>16.390012287887899</v>
      </c>
      <c r="F36" s="10">
        <f t="shared" si="9"/>
        <v>14.315013480724012</v>
      </c>
      <c r="G36" s="10">
        <f t="shared" si="9"/>
        <v>20.323540836653393</v>
      </c>
      <c r="H36" s="10">
        <f t="shared" si="9"/>
        <v>29.099999999999998</v>
      </c>
      <c r="I36" s="10">
        <f t="shared" si="9"/>
        <v>24.930000000000003</v>
      </c>
      <c r="J36" s="10">
        <f t="shared" si="9"/>
        <v>10.37863696658809</v>
      </c>
      <c r="K36" s="10">
        <f t="shared" si="9"/>
        <v>5.8499999999999979</v>
      </c>
      <c r="L36" s="10">
        <f t="shared" si="9"/>
        <v>17.59</v>
      </c>
      <c r="M36" s="10">
        <f t="shared" si="9"/>
        <v>22.841046884884832</v>
      </c>
      <c r="N36" s="10">
        <f t="shared" si="9"/>
        <v>19.102946269496456</v>
      </c>
      <c r="O36" s="10">
        <f t="shared" si="9"/>
        <v>19.587050988660614</v>
      </c>
      <c r="P36" s="10">
        <f t="shared" si="9"/>
        <v>15.103674605937055</v>
      </c>
      <c r="Q36" s="10">
        <f t="shared" si="9"/>
        <v>21.61</v>
      </c>
      <c r="R36" s="10">
        <f t="shared" si="9"/>
        <v>16.767432973736994</v>
      </c>
      <c r="S36" s="10">
        <f t="shared" si="9"/>
        <v>4.7100000000000009</v>
      </c>
    </row>
    <row r="37" spans="1:19" s="9" customFormat="1">
      <c r="A37" s="7"/>
      <c r="B37" s="8"/>
      <c r="C37" s="8"/>
      <c r="D37" s="8"/>
      <c r="E37" s="8"/>
      <c r="F37" s="8"/>
      <c r="G37" s="8"/>
      <c r="H37" s="8"/>
      <c r="I37" s="8"/>
      <c r="J37" s="8"/>
      <c r="K37" s="8"/>
      <c r="L37" s="8"/>
      <c r="M37" s="8"/>
      <c r="N37" s="8"/>
      <c r="O37" s="8"/>
      <c r="P37" s="8"/>
      <c r="Q37" s="8"/>
      <c r="R37" s="8"/>
      <c r="S37" s="8"/>
    </row>
    <row r="38" spans="1:19" s="9" customFormat="1">
      <c r="A38" s="11" t="s">
        <v>53</v>
      </c>
      <c r="B38" s="8"/>
      <c r="C38" s="8"/>
      <c r="D38" s="8"/>
      <c r="E38" s="8"/>
      <c r="F38" s="8"/>
      <c r="G38" s="8"/>
      <c r="H38" s="8"/>
      <c r="I38" s="8"/>
      <c r="J38" s="8"/>
      <c r="K38" s="8"/>
      <c r="L38" s="8"/>
      <c r="M38" s="8"/>
      <c r="N38" s="8"/>
      <c r="O38" s="8"/>
      <c r="P38" s="8"/>
      <c r="Q38" s="8"/>
      <c r="R38" s="8"/>
      <c r="S38" s="8"/>
    </row>
    <row r="39" spans="1:19" s="9" customFormat="1">
      <c r="A39" s="11" t="s">
        <v>54</v>
      </c>
      <c r="B39" s="12">
        <f t="shared" ref="B39:S40" si="10">+B43/B$46*100</f>
        <v>37.57384797164238</v>
      </c>
      <c r="C39" s="12">
        <f t="shared" si="10"/>
        <v>53.626230671436595</v>
      </c>
      <c r="D39" s="12">
        <f t="shared" si="10"/>
        <v>63.192712529498593</v>
      </c>
      <c r="E39" s="12">
        <f t="shared" si="10"/>
        <v>71.252623792544412</v>
      </c>
      <c r="F39" s="12">
        <f t="shared" si="10"/>
        <v>32.901529171130804</v>
      </c>
      <c r="G39" s="12">
        <f t="shared" si="10"/>
        <v>44.895418326693232</v>
      </c>
      <c r="H39" s="12">
        <f t="shared" si="10"/>
        <v>66.210247349823319</v>
      </c>
      <c r="I39" s="12">
        <f>+I43/I$46*100</f>
        <v>67.33779951056006</v>
      </c>
      <c r="J39" s="12">
        <f t="shared" si="10"/>
        <v>39.99012589484078</v>
      </c>
      <c r="K39" s="12">
        <f t="shared" si="10"/>
        <v>32.755810961488976</v>
      </c>
      <c r="L39" s="12">
        <f t="shared" si="10"/>
        <v>49.509366636931311</v>
      </c>
      <c r="M39" s="12">
        <f t="shared" si="10"/>
        <v>62.942430703624744</v>
      </c>
      <c r="N39" s="12">
        <f t="shared" si="10"/>
        <v>58.025193010971144</v>
      </c>
      <c r="O39" s="12">
        <f t="shared" si="10"/>
        <v>51.096654753027693</v>
      </c>
      <c r="P39" s="12">
        <f t="shared" si="10"/>
        <v>32.579185520361996</v>
      </c>
      <c r="Q39" s="12">
        <f t="shared" si="10"/>
        <v>65.855513307984793</v>
      </c>
      <c r="R39" s="12">
        <f t="shared" si="10"/>
        <v>51.143873919674618</v>
      </c>
      <c r="S39" s="12">
        <f t="shared" si="10"/>
        <v>1.4483065953654188</v>
      </c>
    </row>
    <row r="40" spans="1:19" s="9" customFormat="1">
      <c r="A40" s="11" t="s">
        <v>55</v>
      </c>
      <c r="B40" s="12">
        <f t="shared" ref="B40:S40" si="11">+B44/B$46*100</f>
        <v>16.069318629381648</v>
      </c>
      <c r="C40" s="12">
        <f t="shared" si="11"/>
        <v>11.140348283712266</v>
      </c>
      <c r="D40" s="12">
        <f t="shared" si="11"/>
        <v>0</v>
      </c>
      <c r="E40" s="12">
        <f t="shared" si="11"/>
        <v>0.48868794991967968</v>
      </c>
      <c r="F40" s="12">
        <f t="shared" si="11"/>
        <v>21.681114249537352</v>
      </c>
      <c r="G40" s="12">
        <f t="shared" si="11"/>
        <v>11.354581673306773</v>
      </c>
      <c r="H40" s="12">
        <f t="shared" si="11"/>
        <v>0</v>
      </c>
      <c r="I40" s="12">
        <f>+I44/I$46*100</f>
        <v>0</v>
      </c>
      <c r="J40" s="12">
        <f t="shared" si="11"/>
        <v>19.846951370032091</v>
      </c>
      <c r="K40" s="12">
        <f t="shared" si="11"/>
        <v>0</v>
      </c>
      <c r="L40" s="12">
        <f t="shared" si="11"/>
        <v>13.113291703835861</v>
      </c>
      <c r="M40" s="12">
        <f t="shared" si="11"/>
        <v>10.746268656716417</v>
      </c>
      <c r="N40" s="12">
        <f t="shared" si="11"/>
        <v>11.214953271028037</v>
      </c>
      <c r="O40" s="12">
        <f t="shared" si="10"/>
        <v>14.039237869944202</v>
      </c>
      <c r="P40" s="12">
        <f t="shared" si="11"/>
        <v>9.1628959276018112</v>
      </c>
      <c r="Q40" s="12">
        <f t="shared" si="11"/>
        <v>10.190114068441064</v>
      </c>
      <c r="R40" s="12">
        <f t="shared" si="11"/>
        <v>18.657854600915101</v>
      </c>
      <c r="S40" s="12">
        <f t="shared" si="11"/>
        <v>6.3057040998217477</v>
      </c>
    </row>
    <row r="41" spans="1:19" s="9" customFormat="1">
      <c r="A41" s="11" t="s">
        <v>56</v>
      </c>
      <c r="B41" s="12">
        <f t="shared" ref="B41:S41" si="12">+(B45/6)/B$46*100</f>
        <v>46.356833398975979</v>
      </c>
      <c r="C41" s="12">
        <f t="shared" si="12"/>
        <v>35.233421044851134</v>
      </c>
      <c r="D41" s="12">
        <f t="shared" si="12"/>
        <v>36.807287470501407</v>
      </c>
      <c r="E41" s="12">
        <f t="shared" si="12"/>
        <v>28.258688257535908</v>
      </c>
      <c r="F41" s="12">
        <f t="shared" si="12"/>
        <v>45.417356579331845</v>
      </c>
      <c r="G41" s="12">
        <f t="shared" si="12"/>
        <v>43.75</v>
      </c>
      <c r="H41" s="12">
        <f t="shared" si="12"/>
        <v>33.789752650176681</v>
      </c>
      <c r="I41" s="12">
        <f>+(I45/6)/I$46*100</f>
        <v>32.662200489439954</v>
      </c>
      <c r="J41" s="12">
        <f t="shared" si="12"/>
        <v>40.162922735127125</v>
      </c>
      <c r="K41" s="12">
        <f t="shared" si="12"/>
        <v>67.24418903851101</v>
      </c>
      <c r="L41" s="12">
        <f t="shared" si="12"/>
        <v>37.377341659232826</v>
      </c>
      <c r="M41" s="12">
        <f t="shared" si="12"/>
        <v>26.311300639658846</v>
      </c>
      <c r="N41" s="12">
        <f t="shared" si="12"/>
        <v>30.759853718000812</v>
      </c>
      <c r="O41" s="12">
        <f t="shared" si="12"/>
        <v>34.864107377028105</v>
      </c>
      <c r="P41" s="12">
        <f t="shared" si="12"/>
        <v>58.257918552036202</v>
      </c>
      <c r="Q41" s="12">
        <f t="shared" si="12"/>
        <v>23.954372623574145</v>
      </c>
      <c r="R41" s="12">
        <f t="shared" si="12"/>
        <v>30.198271479410266</v>
      </c>
      <c r="S41" s="12">
        <f t="shared" si="12"/>
        <v>92.245989304812838</v>
      </c>
    </row>
    <row r="42" spans="1:19" s="9" customFormat="1">
      <c r="A42" s="11"/>
      <c r="B42" s="12"/>
      <c r="C42" s="12"/>
      <c r="D42" s="12"/>
      <c r="E42" s="12"/>
      <c r="F42" s="12"/>
      <c r="G42" s="12"/>
      <c r="H42" s="12"/>
      <c r="I42" s="12"/>
      <c r="J42" s="12"/>
      <c r="K42" s="12"/>
      <c r="L42" s="12"/>
      <c r="M42" s="12"/>
      <c r="N42" s="12"/>
      <c r="O42" s="12"/>
      <c r="P42" s="12"/>
      <c r="Q42" s="12"/>
      <c r="R42" s="12"/>
      <c r="S42" s="12"/>
    </row>
    <row r="43" spans="1:19" s="9" customFormat="1">
      <c r="A43" s="11" t="s">
        <v>62</v>
      </c>
      <c r="B43" s="12">
        <v>318</v>
      </c>
      <c r="C43" s="12">
        <v>302.3</v>
      </c>
      <c r="D43" s="12">
        <v>509.04700000000003</v>
      </c>
      <c r="E43" s="12">
        <f>+((1-(2.88/49.55))*(199.954-1.312))</f>
        <v>187.09630958627648</v>
      </c>
      <c r="F43" s="12">
        <v>56.3</v>
      </c>
      <c r="G43" s="12">
        <f>589+12</f>
        <v>601</v>
      </c>
      <c r="H43" s="12">
        <v>149.9</v>
      </c>
      <c r="I43" s="12">
        <v>99.242000000000004</v>
      </c>
      <c r="J43" s="12">
        <v>270</v>
      </c>
      <c r="K43" s="12">
        <v>127.3</v>
      </c>
      <c r="L43" s="12">
        <v>277.5</v>
      </c>
      <c r="M43" s="12">
        <v>246</v>
      </c>
      <c r="N43" s="12">
        <f>176+33+29</f>
        <v>238</v>
      </c>
      <c r="O43" s="12">
        <v>79.120879120879124</v>
      </c>
      <c r="P43" s="12">
        <v>96</v>
      </c>
      <c r="Q43" s="12">
        <v>433</v>
      </c>
      <c r="R43" s="12">
        <v>100.6</v>
      </c>
      <c r="S43" s="12">
        <v>6.5</v>
      </c>
    </row>
    <row r="44" spans="1:19" s="9" customFormat="1">
      <c r="A44" s="11" t="s">
        <v>63</v>
      </c>
      <c r="B44" s="12">
        <v>136</v>
      </c>
      <c r="C44" s="12">
        <v>62.8</v>
      </c>
      <c r="D44" s="12"/>
      <c r="E44" s="12">
        <f>+((1-(0.87/39.64))*1.312)</f>
        <v>1.2832048435923311</v>
      </c>
      <c r="F44" s="12">
        <v>37.1</v>
      </c>
      <c r="G44" s="12">
        <v>152</v>
      </c>
      <c r="H44" s="12"/>
      <c r="I44" s="12"/>
      <c r="J44" s="12">
        <v>134</v>
      </c>
      <c r="K44" s="12"/>
      <c r="L44" s="12">
        <v>73.5</v>
      </c>
      <c r="M44" s="12">
        <v>42</v>
      </c>
      <c r="N44" s="12">
        <v>46</v>
      </c>
      <c r="O44" s="12">
        <v>21.739130434782609</v>
      </c>
      <c r="P44" s="12">
        <v>27</v>
      </c>
      <c r="Q44" s="12">
        <v>67</v>
      </c>
      <c r="R44" s="12">
        <v>36.700000000000003</v>
      </c>
      <c r="S44" s="12">
        <v>28.3</v>
      </c>
    </row>
    <row r="45" spans="1:19" s="9" customFormat="1">
      <c r="A45" s="11" t="s">
        <v>64</v>
      </c>
      <c r="B45" s="12">
        <v>2354</v>
      </c>
      <c r="C45" s="12">
        <v>1191.7</v>
      </c>
      <c r="D45" s="12">
        <v>1779</v>
      </c>
      <c r="E45" s="12">
        <f>+((1-(0.03/2.82))*450)</f>
        <v>445.21276595744683</v>
      </c>
      <c r="F45" s="12">
        <v>466.3</v>
      </c>
      <c r="G45" s="12">
        <v>3514</v>
      </c>
      <c r="H45" s="12">
        <v>459</v>
      </c>
      <c r="I45" s="12">
        <v>288.82400000000001</v>
      </c>
      <c r="J45" s="12">
        <v>1627</v>
      </c>
      <c r="K45" s="12">
        <v>1568</v>
      </c>
      <c r="L45" s="12">
        <v>1257</v>
      </c>
      <c r="M45" s="12">
        <v>617</v>
      </c>
      <c r="N45" s="12">
        <v>757</v>
      </c>
      <c r="O45" s="12">
        <v>323.91304347826087</v>
      </c>
      <c r="P45" s="12">
        <v>1030</v>
      </c>
      <c r="Q45" s="12">
        <v>945</v>
      </c>
      <c r="R45" s="12">
        <v>356.4</v>
      </c>
      <c r="S45" s="12">
        <v>2484</v>
      </c>
    </row>
    <row r="46" spans="1:19" s="9" customFormat="1">
      <c r="A46" s="11" t="s">
        <v>65</v>
      </c>
      <c r="B46" s="12">
        <f t="shared" ref="B46:S46" si="13">+B43+B44+B45/6</f>
        <v>846.33333333333326</v>
      </c>
      <c r="C46" s="12">
        <f t="shared" si="13"/>
        <v>563.7166666666667</v>
      </c>
      <c r="D46" s="12">
        <f t="shared" si="13"/>
        <v>805.54700000000003</v>
      </c>
      <c r="E46" s="12">
        <f t="shared" si="13"/>
        <v>262.58164208944328</v>
      </c>
      <c r="F46" s="12">
        <f t="shared" si="13"/>
        <v>171.11666666666667</v>
      </c>
      <c r="G46" s="12">
        <f t="shared" si="13"/>
        <v>1338.6666666666665</v>
      </c>
      <c r="H46" s="12">
        <f t="shared" si="13"/>
        <v>226.4</v>
      </c>
      <c r="I46" s="12">
        <f>+I43+I44+I45/6</f>
        <v>147.37933333333334</v>
      </c>
      <c r="J46" s="12">
        <f t="shared" si="13"/>
        <v>675.16666666666674</v>
      </c>
      <c r="K46" s="12">
        <f t="shared" si="13"/>
        <v>388.63333333333333</v>
      </c>
      <c r="L46" s="12">
        <f t="shared" si="13"/>
        <v>560.5</v>
      </c>
      <c r="M46" s="12">
        <f t="shared" si="13"/>
        <v>390.83333333333331</v>
      </c>
      <c r="N46" s="12">
        <f t="shared" si="13"/>
        <v>410.16666666666669</v>
      </c>
      <c r="O46" s="12">
        <f t="shared" si="13"/>
        <v>154.84551680203856</v>
      </c>
      <c r="P46" s="12">
        <f t="shared" si="13"/>
        <v>294.66666666666663</v>
      </c>
      <c r="Q46" s="12">
        <f t="shared" si="13"/>
        <v>657.5</v>
      </c>
      <c r="R46" s="12">
        <f t="shared" si="13"/>
        <v>196.70000000000002</v>
      </c>
      <c r="S46" s="12">
        <f t="shared" si="13"/>
        <v>448.8</v>
      </c>
    </row>
    <row r="47" spans="1:19" s="9" customFormat="1">
      <c r="A47" s="11" t="s">
        <v>66</v>
      </c>
      <c r="B47" s="12">
        <f t="shared" ref="B47:S47" si="14">+B46*0.091</f>
        <v>77.016333333333321</v>
      </c>
      <c r="C47" s="12">
        <f t="shared" si="14"/>
        <v>51.298216666666669</v>
      </c>
      <c r="D47" s="12">
        <f t="shared" si="14"/>
        <v>73.304777000000001</v>
      </c>
      <c r="E47" s="12">
        <f t="shared" si="14"/>
        <v>23.894929430139339</v>
      </c>
      <c r="F47" s="12">
        <f t="shared" si="14"/>
        <v>15.571616666666667</v>
      </c>
      <c r="G47" s="12">
        <f t="shared" si="14"/>
        <v>121.81866666666664</v>
      </c>
      <c r="H47" s="12">
        <f t="shared" si="14"/>
        <v>20.602399999999999</v>
      </c>
      <c r="I47" s="12">
        <f>+I46*0.091</f>
        <v>13.411519333333333</v>
      </c>
      <c r="J47" s="12">
        <f t="shared" si="14"/>
        <v>61.44016666666667</v>
      </c>
      <c r="K47" s="12">
        <f t="shared" si="14"/>
        <v>35.365633333333335</v>
      </c>
      <c r="L47" s="12">
        <f t="shared" si="14"/>
        <v>51.005499999999998</v>
      </c>
      <c r="M47" s="12">
        <f t="shared" si="14"/>
        <v>35.56583333333333</v>
      </c>
      <c r="N47" s="12">
        <f t="shared" si="14"/>
        <v>37.325166666666668</v>
      </c>
      <c r="O47" s="12">
        <f t="shared" si="14"/>
        <v>14.090942028985509</v>
      </c>
      <c r="P47" s="12">
        <f t="shared" si="14"/>
        <v>26.814666666666664</v>
      </c>
      <c r="Q47" s="12">
        <f t="shared" si="14"/>
        <v>59.832499999999996</v>
      </c>
      <c r="R47" s="12">
        <f t="shared" si="14"/>
        <v>17.899700000000003</v>
      </c>
      <c r="S47" s="12">
        <f t="shared" si="14"/>
        <v>40.840800000000002</v>
      </c>
    </row>
    <row r="48" spans="1:19" s="9" customFormat="1">
      <c r="A48" s="7"/>
      <c r="B48" s="8"/>
      <c r="C48" s="8"/>
      <c r="D48" s="8"/>
      <c r="E48" s="8"/>
      <c r="F48" s="8"/>
      <c r="G48" s="8"/>
      <c r="H48" s="8"/>
      <c r="I48" s="8"/>
      <c r="J48" s="8"/>
      <c r="K48" s="8"/>
      <c r="L48" s="8"/>
      <c r="M48" s="8"/>
      <c r="N48" s="8"/>
      <c r="O48" s="8"/>
      <c r="P48" s="8"/>
      <c r="Q48" s="8"/>
      <c r="R48" s="8"/>
      <c r="S48" s="8"/>
    </row>
    <row r="49" spans="1:19" s="9" customFormat="1" ht="22.5">
      <c r="A49" s="24" t="s">
        <v>83</v>
      </c>
    </row>
    <row r="50" spans="1:19" s="9" customFormat="1">
      <c r="A50" s="277" t="s">
        <v>76</v>
      </c>
      <c r="B50" s="278"/>
      <c r="C50" s="278"/>
      <c r="D50" s="278"/>
      <c r="E50" s="278"/>
      <c r="F50" s="278"/>
      <c r="G50" s="278"/>
      <c r="H50" s="278"/>
      <c r="I50" s="278"/>
      <c r="J50" s="278"/>
      <c r="K50" s="278"/>
      <c r="L50" s="278"/>
      <c r="M50" s="278"/>
      <c r="N50" s="278"/>
      <c r="O50" s="278"/>
      <c r="P50" s="278"/>
      <c r="Q50" s="278"/>
      <c r="R50" s="278"/>
      <c r="S50" s="278"/>
    </row>
    <row r="51" spans="1:19" s="9" customFormat="1">
      <c r="A51" s="7"/>
      <c r="B51" s="8"/>
      <c r="C51" s="8"/>
      <c r="D51" s="8"/>
      <c r="E51" s="8"/>
      <c r="F51" s="8"/>
      <c r="G51" s="8"/>
      <c r="H51" s="8"/>
      <c r="I51" s="8"/>
      <c r="J51" s="8"/>
      <c r="K51" s="8"/>
      <c r="L51" s="8"/>
      <c r="M51" s="8"/>
      <c r="N51" s="8"/>
      <c r="O51" s="8"/>
      <c r="P51" s="8"/>
      <c r="Q51" s="8"/>
      <c r="R51" s="8"/>
      <c r="S51" s="8"/>
    </row>
    <row r="52" spans="1:19">
      <c r="A52" s="3"/>
    </row>
    <row r="53" spans="1:19">
      <c r="A53" s="3"/>
    </row>
    <row r="54" spans="1:19">
      <c r="A54" s="3"/>
    </row>
    <row r="55" spans="1:19" hidden="1">
      <c r="A55" s="3"/>
      <c r="G55" s="2">
        <f>+G43*91/1000</f>
        <v>54.691000000000003</v>
      </c>
    </row>
    <row r="56" spans="1:19" hidden="1">
      <c r="A56" s="3"/>
      <c r="G56" s="2">
        <f>+G44*91/1000</f>
        <v>13.832000000000001</v>
      </c>
    </row>
    <row r="57" spans="1:19" hidden="1">
      <c r="A57" s="3"/>
      <c r="G57" s="2">
        <f>+G45*91/1000</f>
        <v>319.774</v>
      </c>
    </row>
    <row r="58" spans="1:19" hidden="1">
      <c r="A58" s="3"/>
    </row>
    <row r="59" spans="1:19" hidden="1">
      <c r="A59" s="3"/>
      <c r="G59" s="2">
        <f>+G55*G9</f>
        <v>3143.3092599999995</v>
      </c>
    </row>
    <row r="60" spans="1:19" hidden="1">
      <c r="G60" s="2">
        <f>+G56*G11</f>
        <v>257.69015999999999</v>
      </c>
    </row>
    <row r="61" spans="1:19" hidden="1">
      <c r="G61" s="2">
        <f>+G13*G57</f>
        <v>1215.1412</v>
      </c>
    </row>
    <row r="62" spans="1:19" hidden="1"/>
    <row r="63" spans="1:19" hidden="1">
      <c r="G63" s="2">
        <f>+SUM(G59:G61)/G47</f>
        <v>37.893540836653393</v>
      </c>
    </row>
    <row r="159" spans="12:17" hidden="1">
      <c r="L159" s="2" t="s">
        <v>58</v>
      </c>
    </row>
    <row r="160" spans="12:17" hidden="1">
      <c r="L160" s="2" t="s">
        <v>54</v>
      </c>
      <c r="M160" s="2">
        <v>52.63</v>
      </c>
      <c r="N160" s="2">
        <v>176</v>
      </c>
      <c r="Q160" s="2">
        <f>+N160*M160</f>
        <v>9262.880000000001</v>
      </c>
    </row>
    <row r="161" spans="2:17" hidden="1">
      <c r="D161" s="2" t="s">
        <v>72</v>
      </c>
      <c r="E161" s="2" t="s">
        <v>73</v>
      </c>
      <c r="L161" s="2" t="s">
        <v>55</v>
      </c>
      <c r="M161" s="2">
        <v>14.77</v>
      </c>
      <c r="N161" s="2">
        <v>37</v>
      </c>
      <c r="Q161" s="2">
        <f>+N161*M161</f>
        <v>546.49</v>
      </c>
    </row>
    <row r="162" spans="2:17" hidden="1">
      <c r="B162" s="2" t="s">
        <v>61</v>
      </c>
      <c r="C162" s="2">
        <v>95.057000000000002</v>
      </c>
      <c r="D162" s="2">
        <f>73.05</f>
        <v>73.05</v>
      </c>
      <c r="F162" s="2">
        <f>+D162*C162</f>
        <v>6943.9138499999999</v>
      </c>
      <c r="L162" s="2" t="s">
        <v>59</v>
      </c>
      <c r="M162" s="2">
        <v>2.76</v>
      </c>
      <c r="N162" s="2">
        <v>361</v>
      </c>
      <c r="P162" s="2">
        <f>+N162/6</f>
        <v>60.166666666666664</v>
      </c>
      <c r="Q162" s="2">
        <f>+N162*M162</f>
        <v>996.3599999999999</v>
      </c>
    </row>
    <row r="163" spans="2:17" hidden="1">
      <c r="B163" s="2" t="s">
        <v>71</v>
      </c>
      <c r="C163" s="2">
        <f>458.144-C162</f>
        <v>363.08699999999999</v>
      </c>
      <c r="D163" s="2">
        <f>53.09</f>
        <v>53.09</v>
      </c>
      <c r="F163" s="2">
        <f>+D163*C163</f>
        <v>19276.288830000001</v>
      </c>
      <c r="G163" s="2">
        <f>+SUM(F162:F163)/(C162+C163)</f>
        <v>57.231356691345958</v>
      </c>
    </row>
    <row r="164" spans="2:17" hidden="1">
      <c r="L164" s="2" t="s">
        <v>60</v>
      </c>
    </row>
    <row r="165" spans="2:17" hidden="1">
      <c r="L165" s="2" t="s">
        <v>54</v>
      </c>
      <c r="M165" s="2">
        <v>56.7</v>
      </c>
      <c r="N165" s="2">
        <v>33</v>
      </c>
      <c r="Q165" s="2">
        <f>+N165*M165</f>
        <v>1871.1000000000001</v>
      </c>
    </row>
    <row r="166" spans="2:17" hidden="1">
      <c r="D166" s="2">
        <v>608</v>
      </c>
      <c r="E166" s="2">
        <v>58</v>
      </c>
      <c r="L166" s="2" t="s">
        <v>55</v>
      </c>
      <c r="M166" s="2">
        <v>3.1</v>
      </c>
      <c r="N166" s="2">
        <v>9</v>
      </c>
      <c r="Q166" s="2">
        <f>+N166*M166</f>
        <v>27.900000000000002</v>
      </c>
    </row>
    <row r="167" spans="2:17" hidden="1">
      <c r="D167" s="2">
        <v>138</v>
      </c>
      <c r="E167" s="2">
        <v>33.299999999999997</v>
      </c>
      <c r="L167" s="2" t="s">
        <v>59</v>
      </c>
      <c r="M167" s="2">
        <v>0.78</v>
      </c>
      <c r="N167" s="2">
        <v>396</v>
      </c>
      <c r="P167" s="2">
        <f>+N167/6</f>
        <v>66</v>
      </c>
      <c r="Q167" s="2">
        <f>+N167*M167</f>
        <v>308.88</v>
      </c>
    </row>
    <row r="168" spans="2:17" hidden="1">
      <c r="E168" s="2">
        <f>+SUMPRODUCT(D166:D167,E166:E167)/SUM(D166:D167)</f>
        <v>53.430831099195714</v>
      </c>
    </row>
    <row r="169" spans="2:17" hidden="1">
      <c r="L169" s="2" t="s">
        <v>61</v>
      </c>
    </row>
    <row r="170" spans="2:17" hidden="1">
      <c r="L170" s="2" t="s">
        <v>54</v>
      </c>
      <c r="M170" s="2">
        <v>52.46</v>
      </c>
      <c r="N170" s="2">
        <v>29</v>
      </c>
      <c r="Q170" s="2">
        <f>+N170*M170</f>
        <v>1521.34</v>
      </c>
    </row>
  </sheetData>
  <sortState columnSort="1" ref="B6:Q46">
    <sortCondition ref="B6:Q6"/>
  </sortState>
  <mergeCells count="1">
    <mergeCell ref="A50:S50"/>
  </mergeCells>
  <printOptions horizontalCentered="1"/>
  <pageMargins left="0.4" right="0.4" top="0.5" bottom="0.75" header="0.3" footer="0.3"/>
  <pageSetup orientation="landscape" r:id="rId1"/>
  <headerFooter>
    <oddFooter>&amp;C&amp;"Expert Sans Regular,Regular"&amp;10&amp;K000000 Restricted - External_x000D_&amp;1#&amp;"Calibri"&amp;10 Restricted - External</oddFooter>
    <evenFooter>&amp;C&amp;"Expert Sans Regular,Regular"&amp;10&amp;K000000 Restricted - External</evenFooter>
    <firstFooter>&amp;C&amp;"Expert Sans Regular,Regular"&amp;10&amp;K000000 Restricted - External</firstFooter>
  </headerFooter>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autoPageBreaks="0"/>
  </sheetPr>
  <dimension ref="A2:B24"/>
  <sheetViews>
    <sheetView workbookViewId="0">
      <selection activeCell="B24" sqref="B24"/>
    </sheetView>
  </sheetViews>
  <sheetFormatPr defaultRowHeight="14.25"/>
  <sheetData>
    <row r="2" spans="1:2">
      <c r="A2" t="s">
        <v>46</v>
      </c>
      <c r="B2" t="s">
        <v>101</v>
      </c>
    </row>
    <row r="3" spans="1:2">
      <c r="A3" t="s">
        <v>42</v>
      </c>
      <c r="B3" t="s">
        <v>26</v>
      </c>
    </row>
    <row r="4" spans="1:2">
      <c r="A4" t="s">
        <v>48</v>
      </c>
      <c r="B4" t="s">
        <v>90</v>
      </c>
    </row>
    <row r="5" spans="1:2">
      <c r="A5" t="s">
        <v>33</v>
      </c>
      <c r="B5" t="s">
        <v>17</v>
      </c>
    </row>
    <row r="6" spans="1:2">
      <c r="A6" t="s">
        <v>38</v>
      </c>
      <c r="B6" t="s">
        <v>22</v>
      </c>
    </row>
    <row r="7" spans="1:2">
      <c r="A7" t="s">
        <v>40</v>
      </c>
      <c r="B7" t="s">
        <v>99</v>
      </c>
    </row>
    <row r="8" spans="1:2">
      <c r="A8" t="s">
        <v>41</v>
      </c>
      <c r="B8" t="s">
        <v>25</v>
      </c>
    </row>
    <row r="9" spans="1:2">
      <c r="A9" t="s">
        <v>34</v>
      </c>
      <c r="B9" t="s">
        <v>18</v>
      </c>
    </row>
    <row r="10" spans="1:2">
      <c r="A10" t="s">
        <v>35</v>
      </c>
      <c r="B10" t="s">
        <v>88</v>
      </c>
    </row>
    <row r="11" spans="1:2">
      <c r="A11" t="s">
        <v>39</v>
      </c>
      <c r="B11" t="s">
        <v>87</v>
      </c>
    </row>
    <row r="12" spans="1:2">
      <c r="A12" t="s">
        <v>45</v>
      </c>
      <c r="B12" t="s">
        <v>29</v>
      </c>
    </row>
    <row r="13" spans="1:2">
      <c r="A13" t="s">
        <v>44</v>
      </c>
      <c r="B13" t="s">
        <v>100</v>
      </c>
    </row>
    <row r="14" spans="1:2">
      <c r="A14" t="s">
        <v>140</v>
      </c>
      <c r="B14" t="s">
        <v>139</v>
      </c>
    </row>
    <row r="15" spans="1:2">
      <c r="A15" t="s">
        <v>36</v>
      </c>
      <c r="B15" t="s">
        <v>20</v>
      </c>
    </row>
    <row r="16" spans="1:2">
      <c r="A16" t="s">
        <v>47</v>
      </c>
      <c r="B16" t="s">
        <v>89</v>
      </c>
    </row>
    <row r="17" spans="1:2">
      <c r="A17" t="s">
        <v>37</v>
      </c>
      <c r="B17" t="s">
        <v>21</v>
      </c>
    </row>
    <row r="18" spans="1:2">
      <c r="A18" t="s">
        <v>190</v>
      </c>
      <c r="B18" t="s">
        <v>189</v>
      </c>
    </row>
    <row r="19" spans="1:2">
      <c r="A19" t="s">
        <v>194</v>
      </c>
      <c r="B19" t="s">
        <v>193</v>
      </c>
    </row>
    <row r="20" spans="1:2">
      <c r="A20" t="s">
        <v>192</v>
      </c>
      <c r="B20" t="s">
        <v>191</v>
      </c>
    </row>
    <row r="21" spans="1:2">
      <c r="A21" t="s">
        <v>188</v>
      </c>
      <c r="B21" t="s">
        <v>187</v>
      </c>
    </row>
    <row r="22" spans="1:2">
      <c r="A22" t="s">
        <v>43</v>
      </c>
      <c r="B22" t="s">
        <v>91</v>
      </c>
    </row>
    <row r="23" spans="1:2">
      <c r="A23" t="s">
        <v>163</v>
      </c>
      <c r="B23" t="s">
        <v>168</v>
      </c>
    </row>
    <row r="24" spans="1:2">
      <c r="A24" t="s">
        <v>226</v>
      </c>
      <c r="B24" t="s">
        <v>228</v>
      </c>
    </row>
  </sheetData>
  <pageMargins left="0.7" right="0.7" top="0.75" bottom="0.75" header="0.3" footer="0.3"/>
  <pageSetup orientation="portrait" r:id="rId1"/>
  <headerFooter>
    <oddFooter>&amp;C&amp;"Expert Sans Regular,Regular"&amp;10&amp;K000000 Restricted - External_x000D_&amp;1#&amp;"Calibri"&amp;10 Restricted - External</oddFooter>
    <evenFooter>&amp;C&amp;"Expert Sans Regular,Regular"&amp;10&amp;K000000 Restricted - External</evenFooter>
    <firstFooter>&amp;C&amp;"Expert Sans Regular,Regular"&amp;10&amp;K000000 Restricted - External</first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AEEF"/>
    <pageSetUpPr autoPageBreaks="0" fitToPage="1"/>
  </sheetPr>
  <dimension ref="A1"/>
  <sheetViews>
    <sheetView zoomScale="90" zoomScaleNormal="90" workbookViewId="0">
      <selection activeCell="K85" sqref="K85"/>
    </sheetView>
  </sheetViews>
  <sheetFormatPr defaultRowHeight="14.25"/>
  <cols>
    <col min="1" max="16384" width="9" style="114"/>
  </cols>
  <sheetData/>
  <printOptions horizontalCentered="1"/>
  <pageMargins left="0.4" right="0.4" top="0.5" bottom="0.75" header="0.3" footer="0.3"/>
  <pageSetup orientation="portrait" r:id="rId1"/>
  <headerFooter>
    <oddFooter>&amp;C&amp;"Expert Sans Regular,Regular"&amp;10&amp;K000000 Restricted - External_x000D_&amp;1#&amp;"Calibri"&amp;10 Restricted - External</oddFooter>
    <evenFooter>&amp;C&amp;"Expert Sans Regular,Regular"&amp;10&amp;K000000 Restricted - External</evenFooter>
    <firstFooter>&amp;C&amp;"Expert Sans Regular,Regular"&amp;10&amp;K000000 Restricted - External</first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autoPageBreaks="0"/>
  </sheetPr>
  <dimension ref="A1:V176"/>
  <sheetViews>
    <sheetView workbookViewId="0">
      <pane xSplit="1" topLeftCell="B1" activePane="topRight" state="frozen"/>
      <selection pane="topRight"/>
    </sheetView>
  </sheetViews>
  <sheetFormatPr defaultRowHeight="14.25"/>
  <cols>
    <col min="1" max="1" width="36.375" style="1" customWidth="1"/>
    <col min="2" max="22" width="9.25" style="2" customWidth="1"/>
    <col min="23" max="16384" width="9" style="1"/>
  </cols>
  <sheetData>
    <row r="1" spans="1:22" s="9" customFormat="1">
      <c r="A1" s="7" t="s">
        <v>77</v>
      </c>
      <c r="B1" s="8"/>
      <c r="C1" s="8"/>
      <c r="D1" s="8"/>
      <c r="E1" s="8"/>
      <c r="F1" s="8"/>
      <c r="G1" s="8"/>
      <c r="H1" s="8"/>
      <c r="I1" s="8"/>
      <c r="J1" s="8"/>
      <c r="K1" s="8"/>
      <c r="L1" s="8"/>
      <c r="M1" s="8"/>
      <c r="N1" s="8"/>
      <c r="O1" s="8"/>
      <c r="P1" s="8"/>
      <c r="Q1" s="8"/>
      <c r="R1" s="8"/>
      <c r="S1" s="8"/>
      <c r="T1" s="8"/>
      <c r="U1" s="8"/>
      <c r="V1" s="8"/>
    </row>
    <row r="2" spans="1:22" s="9" customFormat="1">
      <c r="A2" s="7" t="s">
        <v>1</v>
      </c>
      <c r="B2" s="13">
        <f>+'Sensitivity flex'!B14</f>
        <v>55.58</v>
      </c>
      <c r="C2" s="8"/>
      <c r="D2" s="8"/>
      <c r="E2" s="8"/>
      <c r="F2" s="8"/>
      <c r="G2" s="8"/>
      <c r="H2" s="8"/>
      <c r="I2" s="8"/>
      <c r="J2" s="8"/>
      <c r="K2" s="8"/>
      <c r="L2" s="8"/>
      <c r="M2" s="8"/>
      <c r="N2" s="8"/>
      <c r="O2" s="8"/>
      <c r="P2" s="8"/>
      <c r="Q2" s="8"/>
      <c r="R2" s="8"/>
      <c r="S2" s="8"/>
      <c r="T2" s="8"/>
      <c r="U2" s="8"/>
      <c r="V2" s="8"/>
    </row>
    <row r="3" spans="1:22" s="9" customFormat="1">
      <c r="A3" s="7" t="s">
        <v>0</v>
      </c>
      <c r="B3" s="13">
        <f>+'Sensitivity flex'!B15</f>
        <v>25.010999999999999</v>
      </c>
      <c r="C3" s="8"/>
      <c r="D3" s="8"/>
      <c r="E3" s="8"/>
      <c r="F3" s="8"/>
      <c r="G3" s="8"/>
      <c r="H3" s="8"/>
      <c r="I3" s="8"/>
      <c r="J3" s="8"/>
      <c r="K3" s="8"/>
      <c r="L3" s="8"/>
      <c r="M3" s="8"/>
      <c r="N3" s="8"/>
      <c r="O3" s="8"/>
      <c r="P3" s="8"/>
      <c r="Q3" s="8"/>
      <c r="R3" s="8"/>
      <c r="S3" s="8"/>
      <c r="T3" s="8"/>
      <c r="U3" s="8"/>
      <c r="V3" s="8"/>
    </row>
    <row r="4" spans="1:22" s="9" customFormat="1">
      <c r="A4" s="7" t="s">
        <v>2</v>
      </c>
      <c r="B4" s="13">
        <f>+'Sensitivity flex'!B16</f>
        <v>2.5099999999999998</v>
      </c>
      <c r="C4" s="8"/>
      <c r="D4" s="8"/>
      <c r="E4" s="8"/>
      <c r="F4" s="8"/>
      <c r="G4" s="8"/>
      <c r="H4" s="8"/>
      <c r="I4" s="8"/>
      <c r="J4" s="8"/>
      <c r="K4" s="8"/>
      <c r="L4" s="8"/>
      <c r="M4" s="8"/>
      <c r="N4" s="8"/>
      <c r="O4" s="8"/>
      <c r="P4" s="8"/>
      <c r="Q4" s="8"/>
      <c r="R4" s="8"/>
      <c r="S4" s="8"/>
      <c r="T4" s="8"/>
      <c r="U4" s="8"/>
      <c r="V4" s="8"/>
    </row>
    <row r="5" spans="1:22" s="9" customFormat="1" ht="15" thickBot="1">
      <c r="A5" s="37"/>
      <c r="B5" s="8"/>
      <c r="C5" s="8"/>
      <c r="D5" s="8"/>
      <c r="E5" s="8"/>
      <c r="F5" s="8"/>
      <c r="G5" s="8"/>
      <c r="H5" s="8"/>
      <c r="I5" s="8"/>
      <c r="J5" s="8"/>
      <c r="K5" s="8"/>
      <c r="L5" s="8"/>
      <c r="M5" s="8"/>
      <c r="N5" s="8"/>
      <c r="O5" s="8"/>
      <c r="P5" s="8"/>
      <c r="Q5" s="8"/>
      <c r="R5" s="8"/>
      <c r="S5" s="8"/>
      <c r="T5" s="8"/>
      <c r="U5" s="8"/>
      <c r="V5" s="8"/>
    </row>
    <row r="6" spans="1:22" ht="26.25" thickBot="1">
      <c r="A6" s="4" t="s">
        <v>15</v>
      </c>
      <c r="B6" s="152" t="s">
        <v>189</v>
      </c>
      <c r="C6" s="5" t="s">
        <v>18</v>
      </c>
      <c r="D6" s="5" t="s">
        <v>19</v>
      </c>
      <c r="E6" s="5" t="s">
        <v>21</v>
      </c>
      <c r="F6" s="152" t="s">
        <v>191</v>
      </c>
      <c r="G6" s="5" t="s">
        <v>22</v>
      </c>
      <c r="H6" s="5" t="s">
        <v>20</v>
      </c>
      <c r="I6" s="5" t="s">
        <v>23</v>
      </c>
      <c r="J6" s="52" t="s">
        <v>139</v>
      </c>
      <c r="K6" s="5" t="s">
        <v>24</v>
      </c>
      <c r="L6" s="253" t="s">
        <v>227</v>
      </c>
      <c r="M6" s="5" t="s">
        <v>25</v>
      </c>
      <c r="N6" s="5" t="s">
        <v>26</v>
      </c>
      <c r="O6" s="152" t="s">
        <v>187</v>
      </c>
      <c r="P6" s="52" t="s">
        <v>27</v>
      </c>
      <c r="Q6" s="52" t="s">
        <v>28</v>
      </c>
      <c r="R6" s="152" t="s">
        <v>193</v>
      </c>
      <c r="S6" s="5" t="s">
        <v>29</v>
      </c>
      <c r="T6" s="5" t="s">
        <v>30</v>
      </c>
      <c r="U6" s="5" t="s">
        <v>31</v>
      </c>
      <c r="V6" s="5" t="s">
        <v>32</v>
      </c>
    </row>
    <row r="7" spans="1:22" ht="18" customHeight="1" thickBot="1">
      <c r="A7" s="25" t="s">
        <v>16</v>
      </c>
      <c r="B7" s="69" t="s">
        <v>190</v>
      </c>
      <c r="C7" s="26" t="s">
        <v>34</v>
      </c>
      <c r="D7" s="26" t="s">
        <v>35</v>
      </c>
      <c r="E7" s="26" t="s">
        <v>37</v>
      </c>
      <c r="F7" s="69" t="s">
        <v>192</v>
      </c>
      <c r="G7" s="26" t="s">
        <v>38</v>
      </c>
      <c r="H7" s="26" t="s">
        <v>36</v>
      </c>
      <c r="I7" s="26" t="s">
        <v>39</v>
      </c>
      <c r="J7" s="69" t="s">
        <v>140</v>
      </c>
      <c r="K7" s="26" t="s">
        <v>40</v>
      </c>
      <c r="L7" s="179" t="s">
        <v>226</v>
      </c>
      <c r="M7" s="26" t="s">
        <v>41</v>
      </c>
      <c r="N7" s="26" t="s">
        <v>42</v>
      </c>
      <c r="O7" s="69" t="s">
        <v>188</v>
      </c>
      <c r="P7" s="26" t="s">
        <v>43</v>
      </c>
      <c r="Q7" s="26" t="s">
        <v>44</v>
      </c>
      <c r="R7" s="69" t="s">
        <v>194</v>
      </c>
      <c r="S7" s="26" t="s">
        <v>45</v>
      </c>
      <c r="T7" s="26" t="s">
        <v>46</v>
      </c>
      <c r="U7" s="26" t="s">
        <v>47</v>
      </c>
      <c r="V7" s="26" t="s">
        <v>48</v>
      </c>
    </row>
    <row r="8" spans="1:22" s="9" customFormat="1">
      <c r="A8" s="7"/>
      <c r="B8" s="8"/>
      <c r="C8" s="8"/>
      <c r="D8" s="8"/>
      <c r="E8" s="8"/>
      <c r="F8" s="8"/>
      <c r="G8" s="8"/>
      <c r="H8" s="8"/>
      <c r="I8" s="8"/>
      <c r="J8" s="8"/>
      <c r="K8" s="8"/>
      <c r="L8" s="8"/>
      <c r="M8" s="8"/>
      <c r="N8" s="8"/>
      <c r="O8" s="8"/>
      <c r="P8" s="8"/>
      <c r="Q8" s="8"/>
      <c r="R8" s="8"/>
      <c r="S8" s="8"/>
      <c r="T8" s="8"/>
      <c r="U8" s="8"/>
      <c r="V8" s="8"/>
    </row>
    <row r="9" spans="1:22" s="9" customFormat="1">
      <c r="A9" s="7" t="s">
        <v>50</v>
      </c>
      <c r="B9" s="10">
        <f t="shared" ref="B9:V9" si="0">+$B2+B10</f>
        <v>46.03</v>
      </c>
      <c r="C9" s="10">
        <f t="shared" si="0"/>
        <v>57.77</v>
      </c>
      <c r="D9" s="10">
        <f t="shared" si="0"/>
        <v>51.78317753042532</v>
      </c>
      <c r="E9" s="10">
        <f t="shared" si="0"/>
        <v>40.791212121212119</v>
      </c>
      <c r="F9" s="10">
        <f t="shared" si="0"/>
        <v>57.109508506616258</v>
      </c>
      <c r="G9" s="10">
        <f t="shared" si="0"/>
        <v>51.88</v>
      </c>
      <c r="H9" s="10">
        <f t="shared" si="0"/>
        <v>56.537037516170756</v>
      </c>
      <c r="I9" s="10">
        <f t="shared" si="0"/>
        <v>53.458943833464083</v>
      </c>
      <c r="J9" s="10">
        <f t="shared" si="0"/>
        <v>53.18</v>
      </c>
      <c r="K9" s="10">
        <f t="shared" si="0"/>
        <v>53.56</v>
      </c>
      <c r="L9" s="10">
        <f t="shared" si="0"/>
        <v>50.88</v>
      </c>
      <c r="M9" s="10">
        <f t="shared" si="0"/>
        <v>54.46</v>
      </c>
      <c r="N9" s="10">
        <f t="shared" si="0"/>
        <v>55.83</v>
      </c>
      <c r="O9" s="10">
        <f t="shared" si="0"/>
        <v>38.18</v>
      </c>
      <c r="P9" s="10">
        <f t="shared" si="0"/>
        <v>55.08</v>
      </c>
      <c r="Q9" s="10">
        <f t="shared" si="0"/>
        <v>53.592718894009217</v>
      </c>
      <c r="R9" s="10">
        <f t="shared" si="0"/>
        <v>58.620914680764542</v>
      </c>
      <c r="S9" s="10">
        <f t="shared" si="0"/>
        <v>54.690489510489513</v>
      </c>
      <c r="T9" s="10">
        <f t="shared" si="0"/>
        <v>55.43</v>
      </c>
      <c r="U9" s="10">
        <f t="shared" si="0"/>
        <v>53.1</v>
      </c>
      <c r="V9" s="10">
        <f t="shared" si="0"/>
        <v>45.71</v>
      </c>
    </row>
    <row r="10" spans="1:22" s="9" customFormat="1">
      <c r="A10" s="7" t="s">
        <v>3</v>
      </c>
      <c r="B10" s="10">
        <f>+'3Q19 Actual'!B11</f>
        <v>-9.5499999999999972</v>
      </c>
      <c r="C10" s="10">
        <f>+'3Q19 Actual'!C11</f>
        <v>2.1900000000000048</v>
      </c>
      <c r="D10" s="10">
        <f>+'3Q19 Actual'!D11</f>
        <v>-3.7968224695746784</v>
      </c>
      <c r="E10" s="10">
        <f>+'3Q19 Actual'!E11</f>
        <v>-14.788787878787879</v>
      </c>
      <c r="F10" s="10">
        <f>+'3Q19 Actual'!F11</f>
        <v>1.5295085066162599</v>
      </c>
      <c r="G10" s="10">
        <f>+'3Q19 Actual'!G11</f>
        <v>-3.6999999999999957</v>
      </c>
      <c r="H10" s="10">
        <f>+'3Q19 Actual'!H11</f>
        <v>0.95703751617075739</v>
      </c>
      <c r="I10" s="10">
        <f>+'3Q19 Actual'!I11</f>
        <v>-2.1210561665359151</v>
      </c>
      <c r="J10" s="10">
        <f>+'3Q19 Actual'!J11</f>
        <v>-2.3999999999999986</v>
      </c>
      <c r="K10" s="10">
        <f>+'3Q19 Actual'!K11</f>
        <v>-2.019999999999996</v>
      </c>
      <c r="L10" s="10">
        <f>+'3Q19 Actual'!L11</f>
        <v>-4.6999999999999957</v>
      </c>
      <c r="M10" s="10">
        <f>+'3Q19 Actual'!M11</f>
        <v>-1.1199999999999974</v>
      </c>
      <c r="N10" s="10">
        <f>+'3Q19 Actual'!N11</f>
        <v>0.25</v>
      </c>
      <c r="O10" s="10">
        <f>+'3Q19 Actual'!O11</f>
        <v>-17.399999999999999</v>
      </c>
      <c r="P10" s="10">
        <f>+'3Q19 Actual'!P11</f>
        <v>-0.5</v>
      </c>
      <c r="Q10" s="10">
        <f>+'3Q19 Actual'!Q11</f>
        <v>-1.9872811059907818</v>
      </c>
      <c r="R10" s="10">
        <f>+'3Q19 Actual'!R11</f>
        <v>3.0409146807645442</v>
      </c>
      <c r="S10" s="10">
        <f>+'3Q19 Actual'!S11</f>
        <v>-0.88951048951048506</v>
      </c>
      <c r="T10" s="10">
        <f>+'3Q19 Actual'!T11</f>
        <v>-0.14999999999999858</v>
      </c>
      <c r="U10" s="10">
        <f>+'3Q19 Actual'!U11</f>
        <v>-2.4799999999999969</v>
      </c>
      <c r="V10" s="10">
        <f>+'3Q19 Actual'!V11</f>
        <v>-9.8699999999999974</v>
      </c>
    </row>
    <row r="11" spans="1:22" s="9" customFormat="1">
      <c r="A11" s="7" t="s">
        <v>51</v>
      </c>
      <c r="B11" s="10">
        <f t="shared" ref="B11:V11" si="1">+B12+$B3</f>
        <v>24.090176340261788</v>
      </c>
      <c r="C11" s="10">
        <f t="shared" si="1"/>
        <v>19.741</v>
      </c>
      <c r="D11" s="10">
        <f t="shared" si="1"/>
        <v>25.010999999999999</v>
      </c>
      <c r="E11" s="10">
        <f t="shared" si="1"/>
        <v>22.818878787878788</v>
      </c>
      <c r="F11" s="10">
        <f t="shared" si="1"/>
        <v>18.598934782608694</v>
      </c>
      <c r="G11" s="10">
        <f t="shared" si="1"/>
        <v>16.831</v>
      </c>
      <c r="H11" s="10">
        <f t="shared" si="1"/>
        <v>21.620999999999999</v>
      </c>
      <c r="I11" s="10">
        <f t="shared" si="1"/>
        <v>25.010999999999999</v>
      </c>
      <c r="J11" s="10">
        <f t="shared" si="1"/>
        <v>25.010999999999999</v>
      </c>
      <c r="K11" s="10">
        <f t="shared" si="1"/>
        <v>18.120999999999999</v>
      </c>
      <c r="L11" s="10">
        <f t="shared" si="1"/>
        <v>17.640999999999998</v>
      </c>
      <c r="M11" s="10">
        <f t="shared" si="1"/>
        <v>29.331</v>
      </c>
      <c r="N11" s="10">
        <f t="shared" si="1"/>
        <v>18.701000000000001</v>
      </c>
      <c r="O11" s="10">
        <f t="shared" si="1"/>
        <v>18.749847556528081</v>
      </c>
      <c r="P11" s="10">
        <f t="shared" si="1"/>
        <v>15.440999999999999</v>
      </c>
      <c r="Q11" s="10">
        <f t="shared" si="1"/>
        <v>15.940436619718307</v>
      </c>
      <c r="R11" s="10">
        <f t="shared" si="1"/>
        <v>19.392982207190649</v>
      </c>
      <c r="S11" s="10">
        <f t="shared" si="1"/>
        <v>17.210999999999999</v>
      </c>
      <c r="T11" s="10">
        <f t="shared" si="1"/>
        <v>20.991</v>
      </c>
      <c r="U11" s="10">
        <f t="shared" si="1"/>
        <v>22.840999999999998</v>
      </c>
      <c r="V11" s="10">
        <f t="shared" si="1"/>
        <v>14.920999999999999</v>
      </c>
    </row>
    <row r="12" spans="1:22" s="9" customFormat="1">
      <c r="A12" s="7" t="s">
        <v>3</v>
      </c>
      <c r="B12" s="10">
        <f>+'3Q19 Actual'!B13</f>
        <v>-0.92082365973821112</v>
      </c>
      <c r="C12" s="10">
        <f>+'3Q19 Actual'!C13</f>
        <v>-5.27</v>
      </c>
      <c r="D12" s="10">
        <f>+'3Q19 Actual'!D13</f>
        <v>0</v>
      </c>
      <c r="E12" s="10">
        <f>+'3Q19 Actual'!E13</f>
        <v>-2.1921212121212115</v>
      </c>
      <c r="F12" s="10">
        <f>+'3Q19 Actual'!F13</f>
        <v>-6.4120652173913051</v>
      </c>
      <c r="G12" s="10">
        <f>+'3Q19 Actual'!G13</f>
        <v>-8.18</v>
      </c>
      <c r="H12" s="10">
        <f>+'3Q19 Actual'!H13</f>
        <v>-3.3900000000000006</v>
      </c>
      <c r="I12" s="10">
        <f>+'3Q19 Actual'!I13</f>
        <v>0</v>
      </c>
      <c r="J12" s="10">
        <f>+'3Q19 Actual'!J13</f>
        <v>0</v>
      </c>
      <c r="K12" s="10">
        <f>+'3Q19 Actual'!K13</f>
        <v>-6.8900000000000006</v>
      </c>
      <c r="L12" s="10">
        <f>+'3Q19 Actual'!L13</f>
        <v>-7.370000000000001</v>
      </c>
      <c r="M12" s="10">
        <f>+'3Q19 Actual'!M13</f>
        <v>4.32</v>
      </c>
      <c r="N12" s="10">
        <f>+'3Q19 Actual'!N13</f>
        <v>-6.3100000000000005</v>
      </c>
      <c r="O12" s="10">
        <f>+'3Q19 Actual'!O13</f>
        <v>-6.2611524434719179</v>
      </c>
      <c r="P12" s="10">
        <f>+'3Q19 Actual'!P13</f>
        <v>-9.57</v>
      </c>
      <c r="Q12" s="10">
        <f>+'3Q19 Actual'!Q13</f>
        <v>-9.0705633802816923</v>
      </c>
      <c r="R12" s="10">
        <f>+'3Q19 Actual'!R13</f>
        <v>-5.6180177928093524</v>
      </c>
      <c r="S12" s="10">
        <f>+'3Q19 Actual'!S13</f>
        <v>-7.8000000000000007</v>
      </c>
      <c r="T12" s="10">
        <f>+'3Q19 Actual'!T13</f>
        <v>-4.0199999999999996</v>
      </c>
      <c r="U12" s="10">
        <f>+'3Q19 Actual'!U13</f>
        <v>-2.1700000000000017</v>
      </c>
      <c r="V12" s="10">
        <f>+'3Q19 Actual'!V13</f>
        <v>-10.09</v>
      </c>
    </row>
    <row r="13" spans="1:22" s="9" customFormat="1">
      <c r="A13" s="7" t="s">
        <v>52</v>
      </c>
      <c r="B13" s="10">
        <f t="shared" ref="B13:V13" si="2">+B14+$B4</f>
        <v>2.63</v>
      </c>
      <c r="C13" s="10">
        <f t="shared" si="2"/>
        <v>1.7899999999999998</v>
      </c>
      <c r="D13" s="10">
        <f t="shared" si="2"/>
        <v>1.3724242424242421</v>
      </c>
      <c r="E13" s="10">
        <f t="shared" si="2"/>
        <v>1.0466666666666664</v>
      </c>
      <c r="F13" s="10">
        <f t="shared" si="2"/>
        <v>2.0600586125448341</v>
      </c>
      <c r="G13" s="10">
        <f t="shared" si="2"/>
        <v>1.0099999999999998</v>
      </c>
      <c r="H13" s="10">
        <f t="shared" si="2"/>
        <v>4.87</v>
      </c>
      <c r="I13" s="10">
        <f t="shared" si="2"/>
        <v>1.3729381550313629</v>
      </c>
      <c r="J13" s="10">
        <f t="shared" si="2"/>
        <v>1.47</v>
      </c>
      <c r="K13" s="10">
        <f t="shared" si="2"/>
        <v>1.69</v>
      </c>
      <c r="L13" s="10">
        <f t="shared" si="2"/>
        <v>0.75</v>
      </c>
      <c r="M13" s="10">
        <f t="shared" si="2"/>
        <v>1.72</v>
      </c>
      <c r="N13" s="10">
        <f t="shared" si="2"/>
        <v>2.2599999999999998</v>
      </c>
      <c r="O13" s="10">
        <f t="shared" si="2"/>
        <v>2.1199999999999997</v>
      </c>
      <c r="P13" s="10">
        <f t="shared" si="2"/>
        <v>3.94</v>
      </c>
      <c r="Q13" s="10">
        <f t="shared" si="2"/>
        <v>1.2995329341317363</v>
      </c>
      <c r="R13" s="10">
        <f t="shared" si="2"/>
        <v>1.5855859083183337</v>
      </c>
      <c r="S13" s="10">
        <f t="shared" si="2"/>
        <v>2.3982139148494288</v>
      </c>
      <c r="T13" s="10">
        <f t="shared" si="2"/>
        <v>1.5099999999999998</v>
      </c>
      <c r="U13" s="10">
        <f t="shared" si="2"/>
        <v>1.67</v>
      </c>
      <c r="V13" s="10">
        <f t="shared" si="2"/>
        <v>1.5799999999999998</v>
      </c>
    </row>
    <row r="14" spans="1:22" s="9" customFormat="1">
      <c r="A14" s="7" t="s">
        <v>3</v>
      </c>
      <c r="B14" s="10">
        <f>+'3Q19 Actual'!B15</f>
        <v>0.12000000000000011</v>
      </c>
      <c r="C14" s="10">
        <f>+'3Q19 Actual'!C15</f>
        <v>-0.72</v>
      </c>
      <c r="D14" s="10">
        <f>+'3Q19 Actual'!D15</f>
        <v>-1.1375757575757577</v>
      </c>
      <c r="E14" s="10">
        <f>+'3Q19 Actual'!E15</f>
        <v>-1.4633333333333334</v>
      </c>
      <c r="F14" s="10">
        <f>+'3Q19 Actual'!F15</f>
        <v>-0.44994138745516543</v>
      </c>
      <c r="G14" s="10">
        <f>+'3Q19 Actual'!G15</f>
        <v>-1.5</v>
      </c>
      <c r="H14" s="10">
        <f>+'3Q19 Actual'!H15</f>
        <v>2.3600000000000003</v>
      </c>
      <c r="I14" s="10">
        <f>+'3Q19 Actual'!I15</f>
        <v>-1.1370618449686369</v>
      </c>
      <c r="J14" s="10">
        <f>+'3Q19 Actual'!J15</f>
        <v>-1.0399999999999998</v>
      </c>
      <c r="K14" s="10">
        <f>+'3Q19 Actual'!K15</f>
        <v>-0.81999999999999984</v>
      </c>
      <c r="L14" s="10">
        <f>+'3Q19 Actual'!L15</f>
        <v>-1.7599999999999998</v>
      </c>
      <c r="M14" s="10">
        <f>+'3Q19 Actual'!M15</f>
        <v>-0.78999999999999981</v>
      </c>
      <c r="N14" s="10">
        <f>+'3Q19 Actual'!N15</f>
        <v>-0.25</v>
      </c>
      <c r="O14" s="10">
        <f>+'3Q19 Actual'!O15</f>
        <v>-0.39000000000000012</v>
      </c>
      <c r="P14" s="10">
        <f>+'3Q19 Actual'!P15</f>
        <v>1.4300000000000002</v>
      </c>
      <c r="Q14" s="10">
        <f>+'3Q19 Actual'!Q15</f>
        <v>-1.2104670658682635</v>
      </c>
      <c r="R14" s="10">
        <f>+'3Q19 Actual'!R15</f>
        <v>-0.92441409168166611</v>
      </c>
      <c r="S14" s="10">
        <f>+'3Q19 Actual'!S15</f>
        <v>-0.11178608515057098</v>
      </c>
      <c r="T14" s="10">
        <f>+'3Q19 Actual'!T15</f>
        <v>-1</v>
      </c>
      <c r="U14" s="10">
        <f>+'3Q19 Actual'!U15</f>
        <v>-0.83999999999999986</v>
      </c>
      <c r="V14" s="10">
        <f>+'3Q19 Actual'!V15</f>
        <v>-0.92999999999999994</v>
      </c>
    </row>
    <row r="15" spans="1:22" s="9" customFormat="1">
      <c r="A15" s="7" t="s">
        <v>49</v>
      </c>
      <c r="B15" s="10">
        <f t="shared" ref="B15:V15" si="3">+(B9*B41/100)+(B11*B42/100)+(B13*6*B43/100)</f>
        <v>18.827484201871478</v>
      </c>
      <c r="C15" s="10">
        <f t="shared" si="3"/>
        <v>35.523928250407359</v>
      </c>
      <c r="D15" s="10">
        <f>+(D9*D41/100)+(D11*D42/100)+(D13*6*D43/100)</f>
        <v>42.719641261870855</v>
      </c>
      <c r="E15" s="10">
        <f t="shared" si="3"/>
        <v>34.723478511768377</v>
      </c>
      <c r="F15" s="10">
        <f t="shared" si="3"/>
        <v>23.536214452355701</v>
      </c>
      <c r="G15" s="10">
        <f t="shared" si="3"/>
        <v>23.296038288717153</v>
      </c>
      <c r="H15" s="10">
        <f t="shared" si="3"/>
        <v>44.049574514829729</v>
      </c>
      <c r="I15" s="10">
        <f t="shared" si="3"/>
        <v>35.19147310860766</v>
      </c>
      <c r="J15" s="10">
        <f t="shared" si="3"/>
        <v>36.510449146914979</v>
      </c>
      <c r="K15" s="10">
        <f t="shared" si="3"/>
        <v>27.511576608187138</v>
      </c>
      <c r="L15" s="10">
        <f t="shared" ref="L15" si="4">+(L9*L41/100)+(L11*L42/100)+(L13*6*L43/100)</f>
        <v>36.933765007574742</v>
      </c>
      <c r="M15" s="10">
        <f t="shared" si="3"/>
        <v>28.090072833452709</v>
      </c>
      <c r="N15" s="10">
        <f t="shared" si="3"/>
        <v>37.94637907060374</v>
      </c>
      <c r="O15" s="10">
        <f t="shared" si="3"/>
        <v>13.069552206040678</v>
      </c>
      <c r="P15" s="10">
        <f t="shared" si="3"/>
        <v>39.009402458578307</v>
      </c>
      <c r="Q15" s="10">
        <f t="shared" si="3"/>
        <v>32.414750682793596</v>
      </c>
      <c r="R15" s="10">
        <f t="shared" si="3"/>
        <v>39.912882534017179</v>
      </c>
      <c r="S15" s="10">
        <f t="shared" si="3"/>
        <v>29.972200260078022</v>
      </c>
      <c r="T15" s="10">
        <f t="shared" si="3"/>
        <v>37.846826885735631</v>
      </c>
      <c r="U15" s="10">
        <f t="shared" si="3"/>
        <v>39.256149158553121</v>
      </c>
      <c r="V15" s="10">
        <f t="shared" si="3"/>
        <v>11.962586028319635</v>
      </c>
    </row>
    <row r="16" spans="1:22" s="9" customFormat="1">
      <c r="A16" s="7"/>
      <c r="B16" s="10"/>
      <c r="C16" s="10"/>
      <c r="D16" s="10"/>
      <c r="E16" s="10"/>
      <c r="F16" s="10"/>
      <c r="G16" s="10"/>
      <c r="H16" s="10"/>
      <c r="I16" s="10"/>
      <c r="J16" s="10"/>
      <c r="K16" s="10"/>
      <c r="L16" s="10"/>
      <c r="M16" s="10"/>
      <c r="N16" s="10"/>
      <c r="O16" s="10"/>
      <c r="P16" s="10"/>
      <c r="Q16" s="10"/>
      <c r="R16" s="10"/>
      <c r="S16" s="10"/>
      <c r="T16" s="10"/>
      <c r="U16" s="10"/>
      <c r="V16" s="10"/>
    </row>
    <row r="17" spans="1:22" s="9" customFormat="1">
      <c r="A17" s="7" t="s">
        <v>4</v>
      </c>
      <c r="B17" s="10"/>
      <c r="C17" s="10"/>
      <c r="D17" s="10"/>
      <c r="E17" s="10"/>
      <c r="F17" s="10"/>
      <c r="G17" s="10"/>
      <c r="H17" s="10"/>
      <c r="I17" s="10"/>
      <c r="J17" s="10"/>
      <c r="K17" s="10"/>
      <c r="L17" s="10"/>
      <c r="M17" s="10"/>
      <c r="N17" s="10"/>
      <c r="O17" s="10"/>
      <c r="P17" s="10"/>
      <c r="Q17" s="10"/>
      <c r="R17" s="10"/>
      <c r="S17" s="10"/>
      <c r="T17" s="10"/>
      <c r="U17" s="10"/>
      <c r="V17" s="10"/>
    </row>
    <row r="18" spans="1:22" s="9" customFormat="1">
      <c r="A18" s="11" t="s">
        <v>75</v>
      </c>
      <c r="B18" s="10">
        <f>+'3Q19 Actual'!B19</f>
        <v>12.419999999999998</v>
      </c>
      <c r="C18" s="10">
        <f>+'3Q19 Actual'!C19</f>
        <v>10.583476381284864</v>
      </c>
      <c r="D18" s="10">
        <f>+'3Q19 Actual'!D19</f>
        <v>18.920686982209187</v>
      </c>
      <c r="E18" s="10">
        <f>+'3Q19 Actual'!E19</f>
        <v>12.666666666666666</v>
      </c>
      <c r="F18" s="10">
        <f>+'3Q19 Actual'!F19</f>
        <v>9.6576276321769434</v>
      </c>
      <c r="G18" s="10">
        <f>+'3Q19 Actual'!G19</f>
        <v>5.3382999341318023</v>
      </c>
      <c r="H18" s="10">
        <f>+'3Q19 Actual'!H19</f>
        <v>10.594940537786764</v>
      </c>
      <c r="I18" s="10">
        <f>+'3Q19 Actual'!I19</f>
        <v>5.7595955644493921</v>
      </c>
      <c r="J18" s="10">
        <f>+'3Q19 Actual'!J19</f>
        <v>7.0859165069424188</v>
      </c>
      <c r="K18" s="10">
        <f>+'3Q19 Actual'!K19</f>
        <v>7.6277650648360034</v>
      </c>
      <c r="L18" s="10">
        <f>+'3Q19 Actual'!L19</f>
        <v>4.8499999999999996</v>
      </c>
      <c r="M18" s="10">
        <f>+'3Q19 Actual'!M19</f>
        <v>9.4</v>
      </c>
      <c r="N18" s="10">
        <f>+'3Q19 Actual'!N19</f>
        <v>8.805233825729081</v>
      </c>
      <c r="O18" s="10">
        <f>+'3Q19 Actual'!O19</f>
        <v>7.2522359762406179</v>
      </c>
      <c r="P18" s="10">
        <f>+'3Q19 Actual'!P19</f>
        <v>15.093068110519836</v>
      </c>
      <c r="Q18" s="10">
        <f>+'3Q19 Actual'!Q19</f>
        <v>7.6591630053096749</v>
      </c>
      <c r="R18" s="10">
        <f>+'3Q19 Actual'!R19</f>
        <v>7.901841850095991</v>
      </c>
      <c r="S18" s="10">
        <f>+'3Q19 Actual'!S19</f>
        <v>8.8765760162831455</v>
      </c>
      <c r="T18" s="10">
        <f>+'3Q19 Actual'!T19</f>
        <v>11.67</v>
      </c>
      <c r="U18" s="10">
        <f>+'3Q19 Actual'!U19</f>
        <v>7.03</v>
      </c>
      <c r="V18" s="10">
        <f>+'3Q19 Actual'!V19</f>
        <v>5.6144172690365393</v>
      </c>
    </row>
    <row r="19" spans="1:22" s="9" customFormat="1">
      <c r="A19" s="11" t="s">
        <v>74</v>
      </c>
      <c r="B19" s="10">
        <f>+'3Q19 Actual'!B20</f>
        <v>0</v>
      </c>
      <c r="C19" s="10">
        <f>+'3Q19 Actual'!C20</f>
        <v>0</v>
      </c>
      <c r="D19" s="10">
        <f>+'3Q19 Actual'!D20</f>
        <v>2.9889505517585362</v>
      </c>
      <c r="E19" s="10">
        <f>+'3Q19 Actual'!E20</f>
        <v>6.8712121212121211</v>
      </c>
      <c r="F19" s="10">
        <f>+'3Q19 Actual'!F20</f>
        <v>0</v>
      </c>
      <c r="G19" s="10">
        <f>+'3Q19 Actual'!G20</f>
        <v>0</v>
      </c>
      <c r="H19" s="10">
        <f>+'3Q19 Actual'!H20</f>
        <v>0</v>
      </c>
      <c r="I19" s="10">
        <f>+'3Q19 Actual'!I20</f>
        <v>0</v>
      </c>
      <c r="J19" s="10">
        <f>+'3Q19 Actual'!J20</f>
        <v>0</v>
      </c>
      <c r="K19" s="10">
        <f>+'3Q19 Actual'!K20</f>
        <v>0</v>
      </c>
      <c r="L19" s="10">
        <f>+'3Q19 Actual'!L20</f>
        <v>0</v>
      </c>
      <c r="M19" s="10">
        <f>+'3Q19 Actual'!M20</f>
        <v>0</v>
      </c>
      <c r="N19" s="10">
        <f>+'3Q19 Actual'!N20</f>
        <v>0</v>
      </c>
      <c r="O19" s="10">
        <f>+'3Q19 Actual'!O20</f>
        <v>0</v>
      </c>
      <c r="P19" s="10">
        <f>+'3Q19 Actual'!P20</f>
        <v>0</v>
      </c>
      <c r="Q19" s="10">
        <f>+'3Q19 Actual'!Q20</f>
        <v>0</v>
      </c>
      <c r="R19" s="10">
        <f>+'3Q19 Actual'!R20</f>
        <v>0</v>
      </c>
      <c r="S19" s="10">
        <f>+'3Q19 Actual'!S20</f>
        <v>0.14134675185164244</v>
      </c>
      <c r="T19" s="10">
        <f>+'3Q19 Actual'!T20</f>
        <v>0</v>
      </c>
      <c r="U19" s="10">
        <f>+'3Q19 Actual'!U20</f>
        <v>0</v>
      </c>
      <c r="V19" s="10">
        <f>+'3Q19 Actual'!V20</f>
        <v>0</v>
      </c>
    </row>
    <row r="20" spans="1:22" s="9" customFormat="1">
      <c r="A20" s="11" t="s">
        <v>10</v>
      </c>
      <c r="B20" s="10">
        <f>+'3Q19 Actual'!B21</f>
        <v>0.54</v>
      </c>
      <c r="C20" s="10">
        <f>+'3Q19 Actual'!C21</f>
        <v>1.1194061557128223</v>
      </c>
      <c r="D20" s="10">
        <f>+'3Q19 Actual'!D21</f>
        <v>0</v>
      </c>
      <c r="E20" s="10">
        <f>+'3Q19 Actual'!E21</f>
        <v>7.575757575757576E-3</v>
      </c>
      <c r="F20" s="10">
        <f>+'3Q19 Actual'!F21</f>
        <v>0.79533404029692467</v>
      </c>
      <c r="G20" s="10">
        <f>+'3Q19 Actual'!G21</f>
        <v>1.1688853937775352</v>
      </c>
      <c r="H20" s="10">
        <f>+'3Q19 Actual'!H21</f>
        <v>1.8865521468485822</v>
      </c>
      <c r="I20" s="10">
        <f>+'3Q19 Actual'!I21</f>
        <v>2.8433930876218145</v>
      </c>
      <c r="J20" s="10">
        <f>+'3Q19 Actual'!J21</f>
        <v>2.8014088515818862</v>
      </c>
      <c r="K20" s="10">
        <f>+'3Q19 Actual'!K21</f>
        <v>1.7289600813628274</v>
      </c>
      <c r="L20" s="10">
        <f>+'3Q19 Actual'!L21</f>
        <v>2.31</v>
      </c>
      <c r="M20" s="10">
        <f>+'3Q19 Actual'!M21</f>
        <v>1.18</v>
      </c>
      <c r="N20" s="10">
        <f>+'3Q19 Actual'!N21</f>
        <v>2.6462464017122374</v>
      </c>
      <c r="O20" s="10">
        <f>+'3Q19 Actual'!O21</f>
        <v>0.24367545651728645</v>
      </c>
      <c r="P20" s="10">
        <f>+'3Q19 Actual'!P21</f>
        <v>1.638277600910929</v>
      </c>
      <c r="Q20" s="10">
        <f>+'3Q19 Actual'!Q21</f>
        <v>2.0611036658806765</v>
      </c>
      <c r="R20" s="10">
        <f>+'3Q19 Actual'!R21</f>
        <v>0.73879009167564147</v>
      </c>
      <c r="S20" s="10">
        <f>+'3Q19 Actual'!S21</f>
        <v>1.4417368688867529</v>
      </c>
      <c r="T20" s="10">
        <f>+'3Q19 Actual'!T21</f>
        <v>1.82</v>
      </c>
      <c r="U20" s="10">
        <f>+'3Q19 Actual'!U21</f>
        <v>2.67</v>
      </c>
      <c r="V20" s="10">
        <f>+'3Q19 Actual'!V21</f>
        <v>0.44558867214575709</v>
      </c>
    </row>
    <row r="21" spans="1:22" s="9" customFormat="1">
      <c r="A21" s="11" t="s">
        <v>11</v>
      </c>
      <c r="B21" s="10">
        <f>+'3Q19 Actual'!B22</f>
        <v>0.67506744058862489</v>
      </c>
      <c r="C21" s="10">
        <f>+'3Q19 Actual'!C22</f>
        <v>2.493222801360377</v>
      </c>
      <c r="D21" s="10">
        <f>+'3Q19 Actual'!D22</f>
        <v>0.71398818800789376</v>
      </c>
      <c r="E21" s="10">
        <f>+'3Q19 Actual'!E22</f>
        <v>1.3218341944001164</v>
      </c>
      <c r="F21" s="10">
        <f>+'3Q19 Actual'!F22</f>
        <v>1.4997727617027723</v>
      </c>
      <c r="G21" s="10">
        <f>+'3Q19 Actual'!G22</f>
        <v>1.5895220900774869</v>
      </c>
      <c r="H21" s="10">
        <f>+'3Q19 Actual'!H22</f>
        <v>0.69253180074188458</v>
      </c>
      <c r="I21" s="10">
        <f>+'3Q19 Actual'!I22</f>
        <v>1.537076202581495</v>
      </c>
      <c r="J21" s="10">
        <f>+'3Q19 Actual'!J22</f>
        <v>2.4718313396310765</v>
      </c>
      <c r="K21" s="10">
        <f>+'3Q19 Actual'!K22</f>
        <v>2.7205695397915077</v>
      </c>
      <c r="L21" s="10">
        <f>+'3Q19 Actual'!L22</f>
        <v>0.75</v>
      </c>
      <c r="M21" s="10">
        <f>+'3Q19 Actual'!M22</f>
        <v>1.46</v>
      </c>
      <c r="N21" s="10">
        <f>+'3Q19 Actual'!N22</f>
        <v>1.7688461678778222</v>
      </c>
      <c r="O21" s="10">
        <f>+'3Q19 Actual'!O22</f>
        <v>0.67381793927808042</v>
      </c>
      <c r="P21" s="10">
        <f>+'3Q19 Actual'!P22</f>
        <v>1.7777054818395188</v>
      </c>
      <c r="Q21" s="10">
        <f>+'3Q19 Actual'!Q22</f>
        <v>2.0865493901508083</v>
      </c>
      <c r="R21" s="10">
        <f>+'3Q19 Actual'!R22</f>
        <v>1.9219249486344585</v>
      </c>
      <c r="S21" s="10">
        <f>+'3Q19 Actual'!S22</f>
        <v>2.5725108836998922</v>
      </c>
      <c r="T21" s="10">
        <f>+'3Q19 Actual'!T22</f>
        <v>3.77</v>
      </c>
      <c r="U21" s="10">
        <f>+'3Q19 Actual'!U22</f>
        <v>2.3051496980221877</v>
      </c>
      <c r="V21" s="10">
        <f>+'3Q19 Actual'!V22</f>
        <v>1.2476482820081198</v>
      </c>
    </row>
    <row r="22" spans="1:22" s="9" customFormat="1">
      <c r="A22" s="11" t="s">
        <v>12</v>
      </c>
      <c r="B22" s="10">
        <f>+'3Q19 Actual'!B23</f>
        <v>0.92510207945011347</v>
      </c>
      <c r="C22" s="10">
        <f>+'3Q19 Actual'!C23</f>
        <v>2.7221922423016358</v>
      </c>
      <c r="D22" s="10">
        <f>+'3Q19 Actual'!D23</f>
        <v>1.6169732493119948</v>
      </c>
      <c r="E22" s="10">
        <f>+'3Q19 Actual'!E23</f>
        <v>1.7808044007890453</v>
      </c>
      <c r="F22" s="10">
        <f>+'3Q19 Actual'!F23</f>
        <v>4.0221178609301624</v>
      </c>
      <c r="G22" s="10">
        <f>+'3Q19 Actual'!G23</f>
        <v>0.9308527286436199</v>
      </c>
      <c r="H22" s="10">
        <f>+'3Q19 Actual'!H23</f>
        <v>1.4646649578908824</v>
      </c>
      <c r="I22" s="10">
        <f>+'3Q19 Actual'!I23</f>
        <v>2.2271299690118527</v>
      </c>
      <c r="J22" s="10">
        <f>+'3Q19 Actual'!J23</f>
        <v>1.5160565549737268</v>
      </c>
      <c r="K22" s="10">
        <f>+'3Q19 Actual'!K23</f>
        <v>1.5255530129672006</v>
      </c>
      <c r="L22" s="10">
        <f>+'3Q19 Actual'!L23</f>
        <v>1.4384825372005465</v>
      </c>
      <c r="M22" s="10">
        <f>+'3Q19 Actual'!M23</f>
        <v>1.7785581342985055</v>
      </c>
      <c r="N22" s="10">
        <f>+'3Q19 Actual'!N23</f>
        <v>0.51622508560320057</v>
      </c>
      <c r="O22" s="10">
        <f>+'3Q19 Actual'!O23</f>
        <v>0.75168190579226823</v>
      </c>
      <c r="P22" s="10">
        <f>+'3Q19 Actual'!P23</f>
        <v>2.6142727674110571</v>
      </c>
      <c r="Q22" s="10">
        <f>+'3Q19 Actual'!Q23</f>
        <v>1.628526353288436</v>
      </c>
      <c r="R22" s="10">
        <f>+'3Q19 Actual'!R23</f>
        <v>1.5885057681304096</v>
      </c>
      <c r="S22" s="10">
        <f>+'3Q19 Actual'!S23</f>
        <v>2.3518120653587378</v>
      </c>
      <c r="T22" s="10">
        <f>+'3Q19 Actual'!T23</f>
        <v>3.7114004610838722</v>
      </c>
      <c r="U22" s="10">
        <f>+'3Q19 Actual'!U23</f>
        <v>0.92846307281449236</v>
      </c>
      <c r="V22" s="10">
        <f>+'3Q19 Actual'!V23</f>
        <v>0.50500049509852474</v>
      </c>
    </row>
    <row r="23" spans="1:22" s="9" customFormat="1">
      <c r="A23" s="11" t="s">
        <v>13</v>
      </c>
      <c r="B23" s="10">
        <f>+'3Q19 Actual'!B24</f>
        <v>4.68</v>
      </c>
      <c r="C23" s="10">
        <f>+'3Q19 Actual'!C24</f>
        <v>18.088585834359471</v>
      </c>
      <c r="D23" s="10">
        <f>+'3Q19 Actual'!D24</f>
        <v>9.9538353269335786</v>
      </c>
      <c r="E23" s="10">
        <f>+'3Q19 Actual'!E24</f>
        <v>8.6102810718563134</v>
      </c>
      <c r="F23" s="10">
        <f>+'3Q19 Actual'!F24</f>
        <v>13.020754431146795</v>
      </c>
      <c r="G23" s="10">
        <f>+'3Q19 Actual'!G24</f>
        <v>8.6314952969460332</v>
      </c>
      <c r="H23" s="10">
        <f>+'3Q19 Actual'!H24</f>
        <v>12.465572413353923</v>
      </c>
      <c r="I23" s="10">
        <f>+'3Q19 Actual'!I24</f>
        <v>15.83198628331291</v>
      </c>
      <c r="J23" s="10">
        <f>+'3Q19 Actual'!J24</f>
        <v>16.083382583199537</v>
      </c>
      <c r="K23" s="10">
        <f>+'3Q19 Actual'!K24</f>
        <v>10.221205186880244</v>
      </c>
      <c r="L23" s="10">
        <f>+'3Q19 Actual'!L24</f>
        <v>13.33</v>
      </c>
      <c r="M23" s="10">
        <f>+'3Q19 Actual'!M24</f>
        <v>9.6652957197231917</v>
      </c>
      <c r="N23" s="10">
        <f>+'3Q19 Actual'!N24</f>
        <v>12.424802951942334</v>
      </c>
      <c r="O23" s="10">
        <f>+'3Q19 Actual'!O24</f>
        <v>6.1603128003403196</v>
      </c>
      <c r="P23" s="10">
        <f>+'3Q19 Actual'!P24</f>
        <v>17.672483907698744</v>
      </c>
      <c r="Q23" s="10">
        <f>+'3Q19 Actual'!Q24</f>
        <v>15.827240496021986</v>
      </c>
      <c r="R23" s="10">
        <f>+'3Q19 Actual'!R24</f>
        <v>17.09924313631883</v>
      </c>
      <c r="S23" s="10">
        <f>+'3Q19 Actual'!S24</f>
        <v>15.378526601458697</v>
      </c>
      <c r="T23" s="10">
        <f>+'3Q19 Actual'!T24</f>
        <v>14.12</v>
      </c>
      <c r="U23" s="10">
        <f>+'3Q19 Actual'!U24</f>
        <v>14.022993996301643</v>
      </c>
      <c r="V23" s="10">
        <f>+'3Q19 Actual'!V24</f>
        <v>3.6538271115952083</v>
      </c>
    </row>
    <row r="24" spans="1:22" s="9" customFormat="1">
      <c r="A24" s="44" t="s">
        <v>119</v>
      </c>
      <c r="B24" s="168">
        <v>4.5599999999999996</v>
      </c>
      <c r="C24" s="168">
        <v>27.48</v>
      </c>
      <c r="D24" s="168">
        <v>8.48</v>
      </c>
      <c r="E24" s="168">
        <v>16.7</v>
      </c>
      <c r="F24" s="168">
        <v>9.01</v>
      </c>
      <c r="G24" s="168">
        <v>11.01</v>
      </c>
      <c r="H24" s="168">
        <v>27.61</v>
      </c>
      <c r="I24" s="168">
        <v>8.67</v>
      </c>
      <c r="J24" s="168">
        <v>17.649999999999999</v>
      </c>
      <c r="K24" s="168">
        <v>28.21</v>
      </c>
      <c r="L24" s="168">
        <v>28.21</v>
      </c>
      <c r="M24" s="168">
        <v>27.07</v>
      </c>
      <c r="N24" s="168">
        <v>12.68</v>
      </c>
      <c r="O24" s="168">
        <v>7.11</v>
      </c>
      <c r="P24" s="168">
        <v>21.81</v>
      </c>
      <c r="Q24" s="168">
        <v>18.84</v>
      </c>
      <c r="R24" s="168">
        <v>20.61</v>
      </c>
      <c r="S24" s="168">
        <v>4.29</v>
      </c>
      <c r="T24" s="168">
        <v>19.07</v>
      </c>
      <c r="U24" s="168">
        <v>19.850000000000001</v>
      </c>
      <c r="V24" s="168">
        <v>4.0599999999999996</v>
      </c>
    </row>
    <row r="25" spans="1:22" s="9" customFormat="1">
      <c r="A25" s="7"/>
      <c r="B25" s="8"/>
      <c r="C25" s="8"/>
      <c r="D25" s="8"/>
      <c r="E25" s="8"/>
      <c r="F25" s="8"/>
      <c r="G25" s="8"/>
      <c r="H25" s="8"/>
      <c r="I25" s="8"/>
      <c r="J25" s="8"/>
      <c r="K25" s="8"/>
      <c r="L25" s="8"/>
      <c r="M25" s="8"/>
      <c r="N25" s="8"/>
      <c r="O25" s="8"/>
      <c r="P25" s="8"/>
      <c r="Q25" s="8"/>
      <c r="R25" s="8"/>
      <c r="S25" s="8"/>
      <c r="T25" s="8"/>
      <c r="U25" s="8"/>
      <c r="V25" s="8"/>
    </row>
    <row r="26" spans="1:22" s="9" customFormat="1">
      <c r="A26" s="7" t="s">
        <v>9</v>
      </c>
      <c r="B26" s="8"/>
      <c r="C26" s="8"/>
      <c r="D26" s="8"/>
      <c r="E26" s="8"/>
      <c r="F26" s="8"/>
      <c r="G26" s="8"/>
      <c r="H26" s="8"/>
      <c r="I26" s="8"/>
      <c r="J26" s="8"/>
      <c r="K26" s="8"/>
      <c r="L26" s="8"/>
      <c r="M26" s="8"/>
      <c r="N26" s="8"/>
      <c r="O26" s="8"/>
      <c r="P26" s="8"/>
      <c r="Q26" s="8"/>
      <c r="R26" s="8"/>
      <c r="S26" s="8"/>
      <c r="T26" s="8"/>
      <c r="U26" s="8"/>
      <c r="V26" s="8"/>
    </row>
    <row r="27" spans="1:22" s="9" customFormat="1">
      <c r="A27" s="11" t="s">
        <v>5</v>
      </c>
      <c r="B27" s="10">
        <f t="shared" ref="B27:V27" si="5">+B18+B20</f>
        <v>12.959999999999997</v>
      </c>
      <c r="C27" s="10">
        <f t="shared" si="5"/>
        <v>11.702882536997686</v>
      </c>
      <c r="D27" s="10">
        <f t="shared" si="5"/>
        <v>18.920686982209187</v>
      </c>
      <c r="E27" s="10">
        <f t="shared" si="5"/>
        <v>12.674242424242424</v>
      </c>
      <c r="F27" s="10">
        <f t="shared" si="5"/>
        <v>10.452961672473869</v>
      </c>
      <c r="G27" s="10">
        <f t="shared" si="5"/>
        <v>6.5071853279093377</v>
      </c>
      <c r="H27" s="10">
        <f t="shared" si="5"/>
        <v>12.481492684635345</v>
      </c>
      <c r="I27" s="10">
        <f t="shared" si="5"/>
        <v>8.6029886520712076</v>
      </c>
      <c r="J27" s="10">
        <f t="shared" si="5"/>
        <v>9.8873253585243042</v>
      </c>
      <c r="K27" s="10">
        <f t="shared" si="5"/>
        <v>9.3567251461988299</v>
      </c>
      <c r="L27" s="10">
        <f t="shared" ref="L27" si="6">+L18+L20</f>
        <v>7.16</v>
      </c>
      <c r="M27" s="10">
        <f t="shared" si="5"/>
        <v>10.58</v>
      </c>
      <c r="N27" s="10">
        <f t="shared" si="5"/>
        <v>11.451480227441319</v>
      </c>
      <c r="O27" s="10">
        <f t="shared" si="5"/>
        <v>7.4959114327579046</v>
      </c>
      <c r="P27" s="10">
        <f t="shared" si="5"/>
        <v>16.731345711430766</v>
      </c>
      <c r="Q27" s="10">
        <f t="shared" si="5"/>
        <v>9.7202666711903518</v>
      </c>
      <c r="R27" s="10">
        <f t="shared" si="5"/>
        <v>8.6406319417716322</v>
      </c>
      <c r="S27" s="10">
        <f t="shared" si="5"/>
        <v>10.318312885169899</v>
      </c>
      <c r="T27" s="10">
        <f t="shared" si="5"/>
        <v>13.49</v>
      </c>
      <c r="U27" s="10">
        <f t="shared" si="5"/>
        <v>9.6999999999999993</v>
      </c>
      <c r="V27" s="10">
        <f t="shared" si="5"/>
        <v>6.060005941182296</v>
      </c>
    </row>
    <row r="28" spans="1:22" s="9" customFormat="1">
      <c r="A28" s="11" t="s">
        <v>6</v>
      </c>
      <c r="B28" s="10">
        <f t="shared" ref="B28:V28" si="7">+B27+B21</f>
        <v>13.635067440588623</v>
      </c>
      <c r="C28" s="10">
        <f t="shared" si="7"/>
        <v>14.196105338358063</v>
      </c>
      <c r="D28" s="10">
        <f t="shared" si="7"/>
        <v>19.634675170217079</v>
      </c>
      <c r="E28" s="10">
        <f t="shared" si="7"/>
        <v>13.99607661864254</v>
      </c>
      <c r="F28" s="10">
        <f t="shared" si="7"/>
        <v>11.952734434176641</v>
      </c>
      <c r="G28" s="10">
        <f t="shared" si="7"/>
        <v>8.0967074179868241</v>
      </c>
      <c r="H28" s="10">
        <f t="shared" si="7"/>
        <v>13.174024485377229</v>
      </c>
      <c r="I28" s="10">
        <f t="shared" si="7"/>
        <v>10.140064854652703</v>
      </c>
      <c r="J28" s="10">
        <f t="shared" si="7"/>
        <v>12.359156698155381</v>
      </c>
      <c r="K28" s="10">
        <f t="shared" si="7"/>
        <v>12.077294685990339</v>
      </c>
      <c r="L28" s="10">
        <f t="shared" ref="L28" si="8">+L27+L21</f>
        <v>7.91</v>
      </c>
      <c r="M28" s="10">
        <f t="shared" si="7"/>
        <v>12.04</v>
      </c>
      <c r="N28" s="10">
        <f t="shared" si="7"/>
        <v>13.220326395319141</v>
      </c>
      <c r="O28" s="10">
        <f t="shared" si="7"/>
        <v>8.1697293720359845</v>
      </c>
      <c r="P28" s="10">
        <f t="shared" si="7"/>
        <v>18.509051193270285</v>
      </c>
      <c r="Q28" s="10">
        <f t="shared" si="7"/>
        <v>11.806816061341159</v>
      </c>
      <c r="R28" s="10">
        <f t="shared" si="7"/>
        <v>10.562556890406091</v>
      </c>
      <c r="S28" s="10">
        <f t="shared" si="7"/>
        <v>12.89082376886979</v>
      </c>
      <c r="T28" s="10">
        <f t="shared" si="7"/>
        <v>17.260000000000002</v>
      </c>
      <c r="U28" s="10">
        <f t="shared" si="7"/>
        <v>12.005149698022187</v>
      </c>
      <c r="V28" s="10">
        <f t="shared" si="7"/>
        <v>7.3076542231904158</v>
      </c>
    </row>
    <row r="29" spans="1:22" s="9" customFormat="1">
      <c r="A29" s="11" t="s">
        <v>7</v>
      </c>
      <c r="B29" s="10">
        <f t="shared" ref="B29:V29" si="9">+B28+B22</f>
        <v>14.560169520038736</v>
      </c>
      <c r="C29" s="10">
        <f t="shared" si="9"/>
        <v>16.918297580659697</v>
      </c>
      <c r="D29" s="10">
        <f t="shared" si="9"/>
        <v>21.251648419529076</v>
      </c>
      <c r="E29" s="10">
        <f t="shared" si="9"/>
        <v>15.776881019431585</v>
      </c>
      <c r="F29" s="10">
        <f t="shared" si="9"/>
        <v>15.974852295106803</v>
      </c>
      <c r="G29" s="10">
        <f t="shared" si="9"/>
        <v>9.027560146630444</v>
      </c>
      <c r="H29" s="10">
        <f t="shared" si="9"/>
        <v>14.638689443268111</v>
      </c>
      <c r="I29" s="10">
        <f t="shared" si="9"/>
        <v>12.367194823664555</v>
      </c>
      <c r="J29" s="10">
        <f t="shared" si="9"/>
        <v>13.875213253129107</v>
      </c>
      <c r="K29" s="10">
        <f t="shared" si="9"/>
        <v>13.60284769895754</v>
      </c>
      <c r="L29" s="10">
        <f t="shared" ref="L29" si="10">+L28+L22</f>
        <v>9.348482537200546</v>
      </c>
      <c r="M29" s="10">
        <f t="shared" si="9"/>
        <v>13.818558134298504</v>
      </c>
      <c r="N29" s="10">
        <f t="shared" si="9"/>
        <v>13.736551480922342</v>
      </c>
      <c r="O29" s="10">
        <f t="shared" si="9"/>
        <v>8.9214112778282519</v>
      </c>
      <c r="P29" s="10">
        <f t="shared" si="9"/>
        <v>21.12332396068134</v>
      </c>
      <c r="Q29" s="10">
        <f t="shared" si="9"/>
        <v>13.435342414629595</v>
      </c>
      <c r="R29" s="10">
        <f t="shared" si="9"/>
        <v>12.1510626585365</v>
      </c>
      <c r="S29" s="10">
        <f t="shared" si="9"/>
        <v>15.242635834228528</v>
      </c>
      <c r="T29" s="10">
        <f t="shared" si="9"/>
        <v>20.971400461083874</v>
      </c>
      <c r="U29" s="10">
        <f t="shared" si="9"/>
        <v>12.93361277083668</v>
      </c>
      <c r="V29" s="10">
        <f t="shared" si="9"/>
        <v>7.8126547182889405</v>
      </c>
    </row>
    <row r="30" spans="1:22" s="9" customFormat="1">
      <c r="A30" s="11" t="s">
        <v>8</v>
      </c>
      <c r="B30" s="10">
        <f t="shared" ref="B30:V30" si="11">+B29+B23</f>
        <v>19.240169520038734</v>
      </c>
      <c r="C30" s="10">
        <f t="shared" si="11"/>
        <v>35.006883415019168</v>
      </c>
      <c r="D30" s="10">
        <f t="shared" si="11"/>
        <v>31.205483746462654</v>
      </c>
      <c r="E30" s="10">
        <f t="shared" si="11"/>
        <v>24.387162091287898</v>
      </c>
      <c r="F30" s="10">
        <f t="shared" si="11"/>
        <v>28.995606726253598</v>
      </c>
      <c r="G30" s="10">
        <f t="shared" si="11"/>
        <v>17.659055443576477</v>
      </c>
      <c r="H30" s="10">
        <f t="shared" si="11"/>
        <v>27.104261856622035</v>
      </c>
      <c r="I30" s="10">
        <f t="shared" si="11"/>
        <v>28.199181106977463</v>
      </c>
      <c r="J30" s="10">
        <f t="shared" si="11"/>
        <v>29.958595836328644</v>
      </c>
      <c r="K30" s="10">
        <f t="shared" si="11"/>
        <v>23.824052885837784</v>
      </c>
      <c r="L30" s="10">
        <f t="shared" ref="L30" si="12">+L29+L23</f>
        <v>22.678482537200544</v>
      </c>
      <c r="M30" s="10">
        <f t="shared" si="11"/>
        <v>23.483853854021696</v>
      </c>
      <c r="N30" s="10">
        <f t="shared" si="11"/>
        <v>26.161354432864677</v>
      </c>
      <c r="O30" s="10">
        <f t="shared" si="11"/>
        <v>15.081724078168572</v>
      </c>
      <c r="P30" s="10">
        <f t="shared" si="11"/>
        <v>38.795807868380081</v>
      </c>
      <c r="Q30" s="10">
        <f t="shared" si="11"/>
        <v>29.262582910651581</v>
      </c>
      <c r="R30" s="10">
        <f t="shared" si="11"/>
        <v>29.250305794855329</v>
      </c>
      <c r="S30" s="10">
        <f t="shared" si="11"/>
        <v>30.621162435687225</v>
      </c>
      <c r="T30" s="10">
        <f t="shared" si="11"/>
        <v>35.091400461083872</v>
      </c>
      <c r="U30" s="10">
        <f t="shared" si="11"/>
        <v>26.956606767138325</v>
      </c>
      <c r="V30" s="10">
        <f t="shared" si="11"/>
        <v>11.466481829884149</v>
      </c>
    </row>
    <row r="31" spans="1:22" s="9" customFormat="1">
      <c r="A31" s="7"/>
      <c r="B31" s="10"/>
      <c r="C31" s="10"/>
      <c r="D31" s="10"/>
      <c r="E31" s="10"/>
      <c r="F31" s="10"/>
      <c r="G31" s="10"/>
      <c r="H31" s="10"/>
      <c r="I31" s="10"/>
      <c r="J31" s="10"/>
      <c r="K31" s="10"/>
      <c r="L31" s="10"/>
      <c r="M31" s="10"/>
      <c r="N31" s="10"/>
      <c r="O31" s="10"/>
      <c r="P31" s="10"/>
      <c r="Q31" s="10"/>
      <c r="R31" s="10"/>
      <c r="S31" s="10"/>
      <c r="T31" s="10"/>
      <c r="U31" s="10"/>
      <c r="V31" s="10"/>
    </row>
    <row r="32" spans="1:22" s="9" customFormat="1">
      <c r="A32" s="11" t="s">
        <v>14</v>
      </c>
      <c r="B32" s="10"/>
      <c r="C32" s="10"/>
      <c r="D32" s="10"/>
      <c r="E32" s="10"/>
      <c r="F32" s="10"/>
      <c r="G32" s="10"/>
      <c r="H32" s="10"/>
      <c r="I32" s="10"/>
      <c r="J32" s="10"/>
      <c r="K32" s="10"/>
      <c r="L32" s="10"/>
      <c r="M32" s="10"/>
      <c r="N32" s="10"/>
      <c r="O32" s="10"/>
      <c r="P32" s="10"/>
      <c r="Q32" s="10"/>
      <c r="R32" s="10"/>
      <c r="S32" s="10"/>
      <c r="T32" s="10"/>
      <c r="U32" s="10"/>
      <c r="V32" s="10"/>
    </row>
    <row r="33" spans="1:22" s="9" customFormat="1">
      <c r="A33" s="11" t="s">
        <v>67</v>
      </c>
      <c r="B33" s="10">
        <f t="shared" ref="B33:V33" si="13">+B$15-B27</f>
        <v>5.8674842018714806</v>
      </c>
      <c r="C33" s="10">
        <f t="shared" si="13"/>
        <v>23.821045713409674</v>
      </c>
      <c r="D33" s="10">
        <f t="shared" si="13"/>
        <v>23.798954279661668</v>
      </c>
      <c r="E33" s="10">
        <f t="shared" si="13"/>
        <v>22.049236087525955</v>
      </c>
      <c r="F33" s="10">
        <f t="shared" si="13"/>
        <v>13.083252779881832</v>
      </c>
      <c r="G33" s="10">
        <f t="shared" si="13"/>
        <v>16.788852960807816</v>
      </c>
      <c r="H33" s="10">
        <f t="shared" si="13"/>
        <v>31.568081830194384</v>
      </c>
      <c r="I33" s="10">
        <f t="shared" si="13"/>
        <v>26.588484456536452</v>
      </c>
      <c r="J33" s="10">
        <f t="shared" si="13"/>
        <v>26.623123788390675</v>
      </c>
      <c r="K33" s="10">
        <f t="shared" si="13"/>
        <v>18.154851461988308</v>
      </c>
      <c r="L33" s="10">
        <f t="shared" ref="L33" si="14">+L$15-L27</f>
        <v>29.773765007574742</v>
      </c>
      <c r="M33" s="10">
        <f t="shared" si="13"/>
        <v>17.51007283345271</v>
      </c>
      <c r="N33" s="10">
        <f t="shared" si="13"/>
        <v>26.494898843162421</v>
      </c>
      <c r="O33" s="10">
        <f t="shared" si="13"/>
        <v>5.5736407732827731</v>
      </c>
      <c r="P33" s="10">
        <f t="shared" si="13"/>
        <v>22.278056747147541</v>
      </c>
      <c r="Q33" s="10">
        <f t="shared" si="13"/>
        <v>22.694484011603244</v>
      </c>
      <c r="R33" s="10">
        <f t="shared" si="13"/>
        <v>31.272250592245548</v>
      </c>
      <c r="S33" s="10">
        <f t="shared" si="13"/>
        <v>19.653887374908123</v>
      </c>
      <c r="T33" s="10">
        <f t="shared" si="13"/>
        <v>24.356826885735629</v>
      </c>
      <c r="U33" s="10">
        <f t="shared" si="13"/>
        <v>29.556149158553122</v>
      </c>
      <c r="V33" s="10">
        <f t="shared" si="13"/>
        <v>5.9025800871373386</v>
      </c>
    </row>
    <row r="34" spans="1:22" s="9" customFormat="1">
      <c r="A34" s="11" t="s">
        <v>68</v>
      </c>
      <c r="B34" s="10">
        <f t="shared" ref="B34:V34" si="15">+B$15-B28</f>
        <v>5.1924167612828551</v>
      </c>
      <c r="C34" s="10">
        <f t="shared" si="15"/>
        <v>21.327822912049296</v>
      </c>
      <c r="D34" s="10">
        <f t="shared" si="15"/>
        <v>23.084966091653776</v>
      </c>
      <c r="E34" s="10">
        <f t="shared" si="15"/>
        <v>20.727401893125837</v>
      </c>
      <c r="F34" s="10">
        <f t="shared" si="15"/>
        <v>11.58348001817906</v>
      </c>
      <c r="G34" s="10">
        <f t="shared" si="15"/>
        <v>15.199330870730329</v>
      </c>
      <c r="H34" s="10">
        <f t="shared" si="15"/>
        <v>30.875550029452498</v>
      </c>
      <c r="I34" s="10">
        <f t="shared" si="15"/>
        <v>25.051408253954957</v>
      </c>
      <c r="J34" s="10">
        <f t="shared" si="15"/>
        <v>24.151292448759598</v>
      </c>
      <c r="K34" s="10">
        <f t="shared" si="15"/>
        <v>15.434281922196799</v>
      </c>
      <c r="L34" s="10">
        <f t="shared" ref="L34" si="16">+L$15-L28</f>
        <v>29.023765007574742</v>
      </c>
      <c r="M34" s="10">
        <f t="shared" si="15"/>
        <v>16.05007283345271</v>
      </c>
      <c r="N34" s="10">
        <f t="shared" si="15"/>
        <v>24.726052675284599</v>
      </c>
      <c r="O34" s="10">
        <f t="shared" si="15"/>
        <v>4.8998228340046932</v>
      </c>
      <c r="P34" s="10">
        <f t="shared" si="15"/>
        <v>20.500351265308023</v>
      </c>
      <c r="Q34" s="10">
        <f t="shared" si="15"/>
        <v>20.607934621452436</v>
      </c>
      <c r="R34" s="10">
        <f t="shared" si="15"/>
        <v>29.350325643611086</v>
      </c>
      <c r="S34" s="10">
        <f t="shared" si="15"/>
        <v>17.081376491208232</v>
      </c>
      <c r="T34" s="10">
        <f t="shared" si="15"/>
        <v>20.586826885735629</v>
      </c>
      <c r="U34" s="10">
        <f t="shared" si="15"/>
        <v>27.250999460530934</v>
      </c>
      <c r="V34" s="10">
        <f t="shared" si="15"/>
        <v>4.6549318051292188</v>
      </c>
    </row>
    <row r="35" spans="1:22" s="9" customFormat="1">
      <c r="A35" s="11" t="s">
        <v>69</v>
      </c>
      <c r="B35" s="10">
        <f t="shared" ref="B35:V35" si="17">+B$15-B29</f>
        <v>4.2673146818327421</v>
      </c>
      <c r="C35" s="10">
        <f t="shared" si="17"/>
        <v>18.605630669747661</v>
      </c>
      <c r="D35" s="10">
        <f t="shared" si="17"/>
        <v>21.467992842341779</v>
      </c>
      <c r="E35" s="10">
        <f t="shared" si="17"/>
        <v>18.946597492336792</v>
      </c>
      <c r="F35" s="10">
        <f t="shared" si="17"/>
        <v>7.5613621572488974</v>
      </c>
      <c r="G35" s="10">
        <f t="shared" si="17"/>
        <v>14.268478142086709</v>
      </c>
      <c r="H35" s="10">
        <f t="shared" si="17"/>
        <v>29.410885071561616</v>
      </c>
      <c r="I35" s="10">
        <f t="shared" si="17"/>
        <v>22.824278284943105</v>
      </c>
      <c r="J35" s="10">
        <f t="shared" si="17"/>
        <v>22.635235893785872</v>
      </c>
      <c r="K35" s="10">
        <f t="shared" si="17"/>
        <v>13.908728909229598</v>
      </c>
      <c r="L35" s="10">
        <f t="shared" ref="L35" si="18">+L$15-L29</f>
        <v>27.585282470374196</v>
      </c>
      <c r="M35" s="10">
        <f t="shared" si="17"/>
        <v>14.271514699154205</v>
      </c>
      <c r="N35" s="10">
        <f t="shared" si="17"/>
        <v>24.209827589681396</v>
      </c>
      <c r="O35" s="10">
        <f t="shared" si="17"/>
        <v>4.1481409282124257</v>
      </c>
      <c r="P35" s="10">
        <f t="shared" si="17"/>
        <v>17.886078497896968</v>
      </c>
      <c r="Q35" s="10">
        <f t="shared" si="17"/>
        <v>18.979408268164001</v>
      </c>
      <c r="R35" s="10">
        <f t="shared" si="17"/>
        <v>27.761819875480679</v>
      </c>
      <c r="S35" s="10">
        <f t="shared" si="17"/>
        <v>14.729564425849494</v>
      </c>
      <c r="T35" s="10">
        <f t="shared" si="17"/>
        <v>16.875426424651756</v>
      </c>
      <c r="U35" s="10">
        <f t="shared" si="17"/>
        <v>26.32253638771644</v>
      </c>
      <c r="V35" s="10">
        <f t="shared" si="17"/>
        <v>4.149931310030694</v>
      </c>
    </row>
    <row r="36" spans="1:22" s="9" customFormat="1">
      <c r="A36" s="11" t="s">
        <v>70</v>
      </c>
      <c r="B36" s="10">
        <f t="shared" ref="B36:V36" si="19">+B$15-B30</f>
        <v>-0.41268531816725584</v>
      </c>
      <c r="C36" s="10">
        <f t="shared" si="19"/>
        <v>0.5170448353881909</v>
      </c>
      <c r="D36" s="10">
        <f t="shared" si="19"/>
        <v>11.514157515408201</v>
      </c>
      <c r="E36" s="10">
        <f t="shared" si="19"/>
        <v>10.336316420480479</v>
      </c>
      <c r="F36" s="10">
        <f t="shared" si="19"/>
        <v>-5.4593922738978975</v>
      </c>
      <c r="G36" s="10">
        <f t="shared" si="19"/>
        <v>5.6369828451406754</v>
      </c>
      <c r="H36" s="10">
        <f t="shared" si="19"/>
        <v>16.945312658207694</v>
      </c>
      <c r="I36" s="10">
        <f t="shared" si="19"/>
        <v>6.9922920016301973</v>
      </c>
      <c r="J36" s="10">
        <f t="shared" si="19"/>
        <v>6.5518533105863348</v>
      </c>
      <c r="K36" s="10">
        <f t="shared" si="19"/>
        <v>3.6875237223493542</v>
      </c>
      <c r="L36" s="10">
        <f t="shared" ref="L36" si="20">+L$15-L30</f>
        <v>14.255282470374198</v>
      </c>
      <c r="M36" s="10">
        <f t="shared" si="19"/>
        <v>4.6062189794310129</v>
      </c>
      <c r="N36" s="10">
        <f t="shared" si="19"/>
        <v>11.785024637739063</v>
      </c>
      <c r="O36" s="10">
        <f t="shared" si="19"/>
        <v>-2.0121718721278938</v>
      </c>
      <c r="P36" s="10">
        <f t="shared" si="19"/>
        <v>0.2135945901982268</v>
      </c>
      <c r="Q36" s="10">
        <f t="shared" si="19"/>
        <v>3.1521677721420147</v>
      </c>
      <c r="R36" s="10">
        <f t="shared" si="19"/>
        <v>10.66257673916185</v>
      </c>
      <c r="S36" s="10">
        <f t="shared" si="19"/>
        <v>-0.64896217560920277</v>
      </c>
      <c r="T36" s="10">
        <f t="shared" si="19"/>
        <v>2.755426424651759</v>
      </c>
      <c r="U36" s="10">
        <f t="shared" si="19"/>
        <v>12.299542391414796</v>
      </c>
      <c r="V36" s="10">
        <f t="shared" si="19"/>
        <v>0.4961041984354857</v>
      </c>
    </row>
    <row r="37" spans="1:22" s="9" customFormat="1">
      <c r="A37" s="34" t="s">
        <v>104</v>
      </c>
      <c r="B37" s="10">
        <f t="shared" ref="B37:V37" si="21">+B15-B18-B19-B20-B21</f>
        <v>5.1924167612828551</v>
      </c>
      <c r="C37" s="10">
        <f t="shared" si="21"/>
        <v>21.327822912049292</v>
      </c>
      <c r="D37" s="10">
        <f t="shared" si="21"/>
        <v>20.096015539895241</v>
      </c>
      <c r="E37" s="10">
        <f t="shared" si="21"/>
        <v>13.856189771913717</v>
      </c>
      <c r="F37" s="10">
        <f t="shared" si="21"/>
        <v>11.58348001817906</v>
      </c>
      <c r="G37" s="10">
        <f t="shared" si="21"/>
        <v>15.199330870730329</v>
      </c>
      <c r="H37" s="10">
        <f t="shared" si="21"/>
        <v>30.875550029452498</v>
      </c>
      <c r="I37" s="10">
        <f t="shared" si="21"/>
        <v>25.051408253954961</v>
      </c>
      <c r="J37" s="10">
        <f t="shared" si="21"/>
        <v>24.151292448759598</v>
      </c>
      <c r="K37" s="10">
        <f t="shared" si="21"/>
        <v>15.434281922196799</v>
      </c>
      <c r="L37" s="10">
        <f t="shared" ref="L37" si="22">+L15-L18-L19-L20-L21</f>
        <v>29.023765007574742</v>
      </c>
      <c r="M37" s="10">
        <f t="shared" si="21"/>
        <v>16.05007283345271</v>
      </c>
      <c r="N37" s="10">
        <f t="shared" si="21"/>
        <v>24.726052675284599</v>
      </c>
      <c r="O37" s="10">
        <f t="shared" si="21"/>
        <v>4.8998228340046923</v>
      </c>
      <c r="P37" s="10">
        <f t="shared" si="21"/>
        <v>20.500351265308023</v>
      </c>
      <c r="Q37" s="10">
        <f t="shared" si="21"/>
        <v>20.607934621452436</v>
      </c>
      <c r="R37" s="10">
        <f t="shared" si="21"/>
        <v>29.350325643611086</v>
      </c>
      <c r="S37" s="10">
        <f t="shared" si="21"/>
        <v>16.940029739356589</v>
      </c>
      <c r="T37" s="10">
        <f t="shared" si="21"/>
        <v>20.586826885735629</v>
      </c>
      <c r="U37" s="10">
        <f t="shared" si="21"/>
        <v>27.250999460530931</v>
      </c>
      <c r="V37" s="10">
        <f t="shared" si="21"/>
        <v>4.6549318051292188</v>
      </c>
    </row>
    <row r="38" spans="1:22" s="9" customFormat="1">
      <c r="A38" s="36" t="s">
        <v>105</v>
      </c>
      <c r="B38" s="31">
        <f t="shared" ref="B38:V38" si="23">+(B35+B22)/B22</f>
        <v>5.6128041181890547</v>
      </c>
      <c r="C38" s="31">
        <f t="shared" si="23"/>
        <v>7.8347967423551417</v>
      </c>
      <c r="D38" s="31">
        <f t="shared" si="23"/>
        <v>14.276653062427711</v>
      </c>
      <c r="E38" s="31">
        <f t="shared" si="23"/>
        <v>11.639347860967698</v>
      </c>
      <c r="F38" s="31">
        <f t="shared" si="23"/>
        <v>2.8799454463276826</v>
      </c>
      <c r="G38" s="31">
        <f t="shared" si="23"/>
        <v>16.328394818026521</v>
      </c>
      <c r="H38" s="31">
        <f t="shared" si="23"/>
        <v>21.080281782608694</v>
      </c>
      <c r="I38" s="31">
        <f t="shared" si="23"/>
        <v>11.24829201821119</v>
      </c>
      <c r="J38" s="31">
        <f t="shared" si="23"/>
        <v>15.930337406956523</v>
      </c>
      <c r="K38" s="31">
        <f t="shared" si="23"/>
        <v>10.117171800000001</v>
      </c>
      <c r="L38" s="31">
        <f t="shared" ref="L38" si="24">+(L35+L22)/L22</f>
        <v>20.176654395859643</v>
      </c>
      <c r="M38" s="31">
        <f t="shared" si="23"/>
        <v>9.0242047892255943</v>
      </c>
      <c r="N38" s="31">
        <f t="shared" si="23"/>
        <v>47.897813114588587</v>
      </c>
      <c r="O38" s="31">
        <f t="shared" si="23"/>
        <v>6.5184791548764371</v>
      </c>
      <c r="P38" s="31">
        <f t="shared" si="23"/>
        <v>7.8417032533333346</v>
      </c>
      <c r="Q38" s="31">
        <f t="shared" si="23"/>
        <v>12.654345187499995</v>
      </c>
      <c r="R38" s="31">
        <f t="shared" si="23"/>
        <v>18.476688113103254</v>
      </c>
      <c r="S38" s="31">
        <f t="shared" si="23"/>
        <v>7.2630703544769402</v>
      </c>
      <c r="T38" s="31">
        <f t="shared" si="23"/>
        <v>5.5469160769903771</v>
      </c>
      <c r="U38" s="31">
        <f t="shared" si="23"/>
        <v>29.350655140137924</v>
      </c>
      <c r="V38" s="31">
        <f t="shared" si="23"/>
        <v>9.2176777058823465</v>
      </c>
    </row>
    <row r="39" spans="1:22" s="9" customFormat="1">
      <c r="A39" s="7"/>
      <c r="B39" s="8"/>
      <c r="C39" s="8"/>
      <c r="D39" s="8"/>
      <c r="E39" s="8"/>
      <c r="F39" s="8"/>
      <c r="G39" s="8"/>
      <c r="H39" s="8"/>
      <c r="I39" s="8"/>
      <c r="J39" s="8"/>
      <c r="K39" s="8"/>
      <c r="L39" s="8"/>
      <c r="M39" s="8"/>
      <c r="N39" s="8"/>
      <c r="O39" s="8"/>
      <c r="P39" s="8"/>
      <c r="Q39" s="8"/>
      <c r="R39" s="8"/>
      <c r="S39" s="8"/>
      <c r="T39" s="8"/>
      <c r="U39" s="8"/>
      <c r="V39" s="8"/>
    </row>
    <row r="40" spans="1:22" s="9" customFormat="1">
      <c r="A40" s="11" t="s">
        <v>53</v>
      </c>
      <c r="B40" s="8"/>
      <c r="C40" s="8"/>
      <c r="D40" s="8"/>
      <c r="E40" s="8"/>
      <c r="F40" s="8"/>
      <c r="G40" s="8"/>
      <c r="H40" s="8"/>
      <c r="I40" s="8"/>
      <c r="J40" s="8"/>
      <c r="K40" s="8"/>
      <c r="L40" s="8"/>
      <c r="M40" s="8"/>
      <c r="N40" s="8"/>
      <c r="O40" s="8"/>
      <c r="P40" s="8"/>
      <c r="Q40" s="8"/>
      <c r="R40" s="8"/>
      <c r="S40" s="8"/>
      <c r="T40" s="8"/>
      <c r="U40" s="8"/>
      <c r="V40" s="8"/>
    </row>
    <row r="41" spans="1:22" s="9" customFormat="1">
      <c r="A41" s="11" t="s">
        <v>54</v>
      </c>
      <c r="B41" s="12">
        <f t="shared" ref="B41:V41" si="25">+B45/B$48*100</f>
        <v>1.6767373485758958</v>
      </c>
      <c r="C41" s="12">
        <f t="shared" si="25"/>
        <v>49.363694771659198</v>
      </c>
      <c r="D41" s="12">
        <f t="shared" si="25"/>
        <v>79.187552314474516</v>
      </c>
      <c r="E41" s="12">
        <f t="shared" si="25"/>
        <v>80.155648385066257</v>
      </c>
      <c r="F41" s="12">
        <f t="shared" si="25"/>
        <v>24.041811846689896</v>
      </c>
      <c r="G41" s="12">
        <f t="shared" si="25"/>
        <v>31.255282883920525</v>
      </c>
      <c r="H41" s="12">
        <f t="shared" si="25"/>
        <v>56.609300622482607</v>
      </c>
      <c r="I41" s="12">
        <f t="shared" si="25"/>
        <v>59.604291109339023</v>
      </c>
      <c r="J41" s="12">
        <f t="shared" si="25"/>
        <v>62.422112594488219</v>
      </c>
      <c r="K41" s="12">
        <f t="shared" si="25"/>
        <v>35.321637426900587</v>
      </c>
      <c r="L41" s="12">
        <f t="shared" ref="L41" si="26">+L45/L$48*100</f>
        <v>64.595346029497975</v>
      </c>
      <c r="M41" s="12">
        <f t="shared" si="25"/>
        <v>29.552090793895658</v>
      </c>
      <c r="N41" s="12">
        <f t="shared" si="25"/>
        <v>55.631917529068595</v>
      </c>
      <c r="O41" s="12">
        <f t="shared" si="25"/>
        <v>0.34977338256069823</v>
      </c>
      <c r="P41" s="12">
        <f t="shared" si="25"/>
        <v>53.233564938535551</v>
      </c>
      <c r="Q41" s="12">
        <f t="shared" si="25"/>
        <v>50.799843932891143</v>
      </c>
      <c r="R41" s="12">
        <f t="shared" si="25"/>
        <v>60.556161181013422</v>
      </c>
      <c r="S41" s="12">
        <f t="shared" si="25"/>
        <v>37.191157347204161</v>
      </c>
      <c r="T41" s="12">
        <f t="shared" si="25"/>
        <v>57.445855115758036</v>
      </c>
      <c r="U41" s="12">
        <f t="shared" si="25"/>
        <v>61.75647156370534</v>
      </c>
      <c r="V41" s="12">
        <f t="shared" si="25"/>
        <v>4.2152688384988615</v>
      </c>
    </row>
    <row r="42" spans="1:22" s="9" customFormat="1">
      <c r="A42" s="11" t="s">
        <v>55</v>
      </c>
      <c r="B42" s="12">
        <f t="shared" ref="B42:V42" si="27">+B46/B$48*100</f>
        <v>30.568197952911863</v>
      </c>
      <c r="C42" s="12">
        <f t="shared" si="27"/>
        <v>17.422315290479197</v>
      </c>
      <c r="D42" s="12">
        <f t="shared" si="27"/>
        <v>0</v>
      </c>
      <c r="E42" s="12">
        <f t="shared" si="27"/>
        <v>4.720952855869923</v>
      </c>
      <c r="F42" s="12">
        <f t="shared" si="27"/>
        <v>6.6898954703832754</v>
      </c>
      <c r="G42" s="12">
        <f t="shared" si="27"/>
        <v>27.062182446428075</v>
      </c>
      <c r="H42" s="12">
        <f t="shared" si="27"/>
        <v>8.3485902599780299</v>
      </c>
      <c r="I42" s="12">
        <f t="shared" si="27"/>
        <v>0</v>
      </c>
      <c r="J42" s="12">
        <f t="shared" si="27"/>
        <v>0</v>
      </c>
      <c r="K42" s="12">
        <f t="shared" si="27"/>
        <v>25.497076023391813</v>
      </c>
      <c r="L42" s="12">
        <f t="shared" ref="L42" si="28">+L46/L$48*100</f>
        <v>18.829948398855372</v>
      </c>
      <c r="M42" s="12">
        <f t="shared" si="27"/>
        <v>24.858134538041984</v>
      </c>
      <c r="N42" s="12">
        <f t="shared" si="27"/>
        <v>16.937707276141765</v>
      </c>
      <c r="O42" s="12">
        <f t="shared" si="27"/>
        <v>4.3201739413578135</v>
      </c>
      <c r="P42" s="12">
        <f t="shared" si="27"/>
        <v>16.675574559059328</v>
      </c>
      <c r="Q42" s="12">
        <f t="shared" si="27"/>
        <v>16.621147093250098</v>
      </c>
      <c r="R42" s="12">
        <f t="shared" si="27"/>
        <v>6.6988560245869344</v>
      </c>
      <c r="S42" s="12">
        <f t="shared" si="27"/>
        <v>21.066319895968793</v>
      </c>
      <c r="T42" s="12">
        <f t="shared" si="27"/>
        <v>18.013442867811801</v>
      </c>
      <c r="U42" s="12">
        <f t="shared" si="27"/>
        <v>20.52461749402438</v>
      </c>
      <c r="V42" s="12">
        <f t="shared" si="27"/>
        <v>17.559164273690467</v>
      </c>
    </row>
    <row r="43" spans="1:22" s="9" customFormat="1">
      <c r="A43" s="11" t="s">
        <v>56</v>
      </c>
      <c r="B43" s="12">
        <f t="shared" ref="B43:V43" si="29">+(B47/6)/B$48*100</f>
        <v>67.755064698512243</v>
      </c>
      <c r="C43" s="12">
        <f t="shared" si="29"/>
        <v>33.213989937861591</v>
      </c>
      <c r="D43" s="12">
        <f t="shared" si="29"/>
        <v>20.812447685525477</v>
      </c>
      <c r="E43" s="12">
        <f t="shared" si="29"/>
        <v>15.12339875906382</v>
      </c>
      <c r="F43" s="12">
        <f t="shared" si="29"/>
        <v>69.268292682926827</v>
      </c>
      <c r="G43" s="12">
        <f t="shared" si="29"/>
        <v>41.682534669651403</v>
      </c>
      <c r="H43" s="12">
        <f t="shared" si="29"/>
        <v>35.042109117539361</v>
      </c>
      <c r="I43" s="12">
        <f t="shared" si="29"/>
        <v>40.395708890660963</v>
      </c>
      <c r="J43" s="12">
        <f t="shared" si="29"/>
        <v>37.577887405511774</v>
      </c>
      <c r="K43" s="12">
        <f t="shared" si="29"/>
        <v>39.1812865497076</v>
      </c>
      <c r="L43" s="12">
        <f t="shared" ref="L43" si="30">+(L47/6)/L$48*100</f>
        <v>16.57470557164665</v>
      </c>
      <c r="M43" s="12">
        <f t="shared" si="29"/>
        <v>45.589774668062368</v>
      </c>
      <c r="N43" s="12">
        <f t="shared" si="29"/>
        <v>27.430375194789626</v>
      </c>
      <c r="O43" s="12">
        <f t="shared" si="29"/>
        <v>95.330052676081479</v>
      </c>
      <c r="P43" s="12">
        <f t="shared" si="29"/>
        <v>30.090860502405132</v>
      </c>
      <c r="Q43" s="12">
        <f t="shared" si="29"/>
        <v>32.579008973858755</v>
      </c>
      <c r="R43" s="12">
        <f t="shared" si="29"/>
        <v>32.74498279439964</v>
      </c>
      <c r="S43" s="12">
        <f t="shared" si="29"/>
        <v>41.74252275682705</v>
      </c>
      <c r="T43" s="12">
        <f t="shared" si="29"/>
        <v>24.540702016430171</v>
      </c>
      <c r="U43" s="12">
        <f t="shared" si="29"/>
        <v>17.718910942270281</v>
      </c>
      <c r="V43" s="12">
        <f t="shared" si="29"/>
        <v>78.225566887810672</v>
      </c>
    </row>
    <row r="44" spans="1:22" s="9" customFormat="1">
      <c r="A44" s="11"/>
      <c r="B44" s="12"/>
      <c r="C44" s="12"/>
      <c r="D44" s="12"/>
      <c r="E44" s="12"/>
      <c r="F44" s="12"/>
      <c r="G44" s="12"/>
      <c r="H44" s="12"/>
      <c r="I44" s="12"/>
      <c r="J44" s="12"/>
      <c r="K44" s="12"/>
      <c r="L44" s="12"/>
      <c r="M44" s="12"/>
      <c r="N44" s="12"/>
      <c r="O44" s="12"/>
      <c r="P44" s="12"/>
      <c r="Q44" s="12"/>
      <c r="R44" s="12"/>
      <c r="S44" s="12"/>
      <c r="T44" s="12"/>
      <c r="U44" s="12"/>
      <c r="V44" s="12"/>
    </row>
    <row r="45" spans="1:22" s="9" customFormat="1">
      <c r="A45" s="11" t="s">
        <v>62</v>
      </c>
      <c r="B45" s="12">
        <f>+'3Q19 Actual'!B45</f>
        <v>9.4079999999999995</v>
      </c>
      <c r="C45" s="12">
        <f>+'3Q19 Actual'!C45</f>
        <v>210.904</v>
      </c>
      <c r="D45" s="12">
        <f>+'3Q19 Actual'!D45</f>
        <v>931.54599999999994</v>
      </c>
      <c r="E45" s="12">
        <f>+'3Q19 Actual'!E45</f>
        <v>359.524</v>
      </c>
      <c r="F45" s="12">
        <f>+'3Q19 Actual'!F45</f>
        <v>115</v>
      </c>
      <c r="G45" s="12">
        <f>+'3Q19 Actual'!G45</f>
        <v>89.730999999999995</v>
      </c>
      <c r="H45" s="12">
        <f>+'3Q19 Actual'!H45</f>
        <v>773</v>
      </c>
      <c r="I45" s="12">
        <f>+'3Q19 Actual'!I45</f>
        <v>198.07400000000001</v>
      </c>
      <c r="J45" s="12">
        <f>+'3Q19 Actual'!J45</f>
        <v>205.87</v>
      </c>
      <c r="K45" s="12">
        <f>+'3Q19 Actual'!K45</f>
        <v>151</v>
      </c>
      <c r="L45" s="12">
        <f>+'3Q19 Actual'!L45</f>
        <v>185.47800000000001</v>
      </c>
      <c r="M45" s="12">
        <f>+'3Q19 Actual'!M45</f>
        <v>178.8</v>
      </c>
      <c r="N45" s="12">
        <f>+'3Q19 Actual'!N45</f>
        <v>464.1</v>
      </c>
      <c r="O45" s="12">
        <f>+'3Q19 Actual'!O45</f>
        <v>2.4130434782608696</v>
      </c>
      <c r="P45" s="12">
        <f>+'3Q19 Actual'!P45</f>
        <v>166</v>
      </c>
      <c r="Q45" s="12">
        <f>+'3Q19 Actual'!Q45</f>
        <v>217</v>
      </c>
      <c r="R45" s="12">
        <f>+'3Q19 Actual'!R45</f>
        <v>122.95</v>
      </c>
      <c r="S45" s="12">
        <f>+'3Q19 Actual'!S45</f>
        <v>143</v>
      </c>
      <c r="T45" s="12">
        <f>+'3Q19 Actual'!T45</f>
        <v>641</v>
      </c>
      <c r="U45" s="12">
        <f>+'3Q19 Actual'!U45</f>
        <v>209.666</v>
      </c>
      <c r="V45" s="12">
        <f>+'3Q19 Actual'!V45</f>
        <v>15.423913043478262</v>
      </c>
    </row>
    <row r="46" spans="1:22" s="9" customFormat="1">
      <c r="A46" s="11" t="s">
        <v>63</v>
      </c>
      <c r="B46" s="12">
        <f>+'3Q19 Actual'!B46</f>
        <v>171.51499999999999</v>
      </c>
      <c r="C46" s="12">
        <f>+'3Q19 Actual'!C46</f>
        <v>74.436000000000007</v>
      </c>
      <c r="D46" s="12">
        <f>+'3Q19 Actual'!D46</f>
        <v>0</v>
      </c>
      <c r="E46" s="12">
        <f>+'3Q19 Actual'!E46</f>
        <v>21.175000000000001</v>
      </c>
      <c r="F46" s="12">
        <f>+'3Q19 Actual'!F46</f>
        <v>32</v>
      </c>
      <c r="G46" s="12">
        <f>+'3Q19 Actual'!G46</f>
        <v>77.692999999999998</v>
      </c>
      <c r="H46" s="12">
        <f>+'3Q19 Actual'!H46</f>
        <v>114</v>
      </c>
      <c r="I46" s="12">
        <f>+'3Q19 Actual'!I46</f>
        <v>0</v>
      </c>
      <c r="J46" s="12">
        <f>+'3Q19 Actual'!J46</f>
        <v>0</v>
      </c>
      <c r="K46" s="12">
        <f>+'3Q19 Actual'!K46</f>
        <v>109</v>
      </c>
      <c r="L46" s="12">
        <f>+'3Q19 Actual'!L46</f>
        <v>54.067999999999998</v>
      </c>
      <c r="M46" s="12">
        <f>+'3Q19 Actual'!M46</f>
        <v>150.4</v>
      </c>
      <c r="N46" s="12">
        <f>+'3Q19 Actual'!N46</f>
        <v>141.30000000000001</v>
      </c>
      <c r="O46" s="12">
        <f>+'3Q19 Actual'!O46</f>
        <v>29.804347826086957</v>
      </c>
      <c r="P46" s="12">
        <f>+'3Q19 Actual'!P46</f>
        <v>52</v>
      </c>
      <c r="Q46" s="12">
        <f>+'3Q19 Actual'!Q46</f>
        <v>71</v>
      </c>
      <c r="R46" s="12">
        <f>+'3Q19 Actual'!R46</f>
        <v>13.601000000000001</v>
      </c>
      <c r="S46" s="12">
        <f>+'3Q19 Actual'!S46</f>
        <v>81</v>
      </c>
      <c r="T46" s="12">
        <f>+'3Q19 Actual'!T46</f>
        <v>201</v>
      </c>
      <c r="U46" s="12">
        <f>+'3Q19 Actual'!U46</f>
        <v>69.682000000000002</v>
      </c>
      <c r="V46" s="12">
        <f>+'3Q19 Actual'!V46</f>
        <v>64.25</v>
      </c>
    </row>
    <row r="47" spans="1:22" s="9" customFormat="1">
      <c r="A47" s="11" t="s">
        <v>64</v>
      </c>
      <c r="B47" s="12">
        <f>+'3Q19 Actual'!B47</f>
        <v>2281</v>
      </c>
      <c r="C47" s="12">
        <f>+'3Q19 Actual'!C47</f>
        <v>851.43100000000004</v>
      </c>
      <c r="D47" s="12">
        <f>+'3Q19 Actual'!D47</f>
        <v>1469</v>
      </c>
      <c r="E47" s="12">
        <f>+'3Q19 Actual'!E47</f>
        <v>407</v>
      </c>
      <c r="F47" s="12">
        <f>+'3Q19 Actual'!F47</f>
        <v>1988</v>
      </c>
      <c r="G47" s="12">
        <f>+'3Q19 Actual'!G47</f>
        <v>718</v>
      </c>
      <c r="H47" s="12">
        <f>+'3Q19 Actual'!H47</f>
        <v>2871</v>
      </c>
      <c r="I47" s="12">
        <f>+'3Q19 Actual'!I47</f>
        <v>805.44600000000003</v>
      </c>
      <c r="J47" s="12">
        <f>+'3Q19 Actual'!J47</f>
        <v>743.59799999999996</v>
      </c>
      <c r="K47" s="12">
        <f>+'3Q19 Actual'!K47</f>
        <v>1005</v>
      </c>
      <c r="L47" s="12">
        <f>+'3Q19 Actual'!L47</f>
        <v>285.55399999999997</v>
      </c>
      <c r="M47" s="12">
        <f>+'3Q19 Actual'!M47</f>
        <v>1655</v>
      </c>
      <c r="N47" s="12">
        <f>+'3Q19 Actual'!N47</f>
        <v>1373</v>
      </c>
      <c r="O47" s="12">
        <f>+'3Q19 Actual'!O47</f>
        <v>3946.021739130435</v>
      </c>
      <c r="P47" s="12">
        <f>+'3Q19 Actual'!P47</f>
        <v>563</v>
      </c>
      <c r="Q47" s="12">
        <f>+'3Q19 Actual'!Q47</f>
        <v>835</v>
      </c>
      <c r="R47" s="12">
        <f>+'3Q19 Actual'!R47</f>
        <v>398.90199999999999</v>
      </c>
      <c r="S47" s="12">
        <f>+'3Q19 Actual'!S47</f>
        <v>963</v>
      </c>
      <c r="T47" s="12">
        <f>+'3Q19 Actual'!T47</f>
        <v>1643</v>
      </c>
      <c r="U47" s="12">
        <f>+'3Q19 Actual'!U47</f>
        <v>360.93900000000002</v>
      </c>
      <c r="V47" s="12">
        <f>+'3Q19 Actual'!V47</f>
        <v>1717.391304347826</v>
      </c>
    </row>
    <row r="48" spans="1:22" s="9" customFormat="1">
      <c r="A48" s="11" t="s">
        <v>65</v>
      </c>
      <c r="B48" s="12">
        <f t="shared" ref="B48:V48" si="31">+B45+B46+B47/6</f>
        <v>561.08966666666663</v>
      </c>
      <c r="C48" s="12">
        <f t="shared" si="31"/>
        <v>427.24516666666671</v>
      </c>
      <c r="D48" s="12">
        <f t="shared" si="31"/>
        <v>1176.3793333333333</v>
      </c>
      <c r="E48" s="12">
        <f t="shared" si="31"/>
        <v>448.53233333333333</v>
      </c>
      <c r="F48" s="12">
        <f t="shared" si="31"/>
        <v>478.33333333333331</v>
      </c>
      <c r="G48" s="12">
        <f t="shared" si="31"/>
        <v>287.09066666666666</v>
      </c>
      <c r="H48" s="12">
        <f t="shared" si="31"/>
        <v>1365.5</v>
      </c>
      <c r="I48" s="12">
        <f t="shared" si="31"/>
        <v>332.31500000000005</v>
      </c>
      <c r="J48" s="12">
        <f t="shared" si="31"/>
        <v>329.803</v>
      </c>
      <c r="K48" s="12">
        <f t="shared" si="31"/>
        <v>427.5</v>
      </c>
      <c r="L48" s="12">
        <f t="shared" ref="L48" si="32">+L45+L46+L47/6</f>
        <v>287.13833333333332</v>
      </c>
      <c r="M48" s="12">
        <f t="shared" si="31"/>
        <v>605.0333333333333</v>
      </c>
      <c r="N48" s="12">
        <f t="shared" si="31"/>
        <v>834.23333333333346</v>
      </c>
      <c r="O48" s="12">
        <f t="shared" si="31"/>
        <v>689.88768115942037</v>
      </c>
      <c r="P48" s="12">
        <f t="shared" si="31"/>
        <v>311.83333333333331</v>
      </c>
      <c r="Q48" s="12">
        <f t="shared" si="31"/>
        <v>427.16666666666663</v>
      </c>
      <c r="R48" s="12">
        <f t="shared" si="31"/>
        <v>203.03466666666668</v>
      </c>
      <c r="S48" s="12">
        <f t="shared" si="31"/>
        <v>384.5</v>
      </c>
      <c r="T48" s="12">
        <f t="shared" si="31"/>
        <v>1115.8333333333333</v>
      </c>
      <c r="U48" s="12">
        <f t="shared" si="31"/>
        <v>339.50450000000001</v>
      </c>
      <c r="V48" s="12">
        <f t="shared" si="31"/>
        <v>365.90579710144925</v>
      </c>
    </row>
    <row r="49" spans="1:22" s="9" customFormat="1">
      <c r="A49" s="11" t="s">
        <v>66</v>
      </c>
      <c r="B49" s="12">
        <f>+B48*'3Q19 Actual'!$D$2/1000</f>
        <v>51.620249333333334</v>
      </c>
      <c r="C49" s="12">
        <f>+C48*'3Q19 Actual'!$D$2/1000</f>
        <v>39.306555333333336</v>
      </c>
      <c r="D49" s="12">
        <f>+D48*'3Q19 Actual'!$D$2/1000</f>
        <v>108.22689866666666</v>
      </c>
      <c r="E49" s="12">
        <f>+E48*'3Q19 Actual'!$D$2/1000</f>
        <v>41.264974666666667</v>
      </c>
      <c r="F49" s="12">
        <f>+F48*'3Q19 Actual'!$D$2/1000</f>
        <v>44.006666666666668</v>
      </c>
      <c r="G49" s="12">
        <f>+G48*'3Q19 Actual'!$D$2/1000</f>
        <v>26.412341333333334</v>
      </c>
      <c r="H49" s="12">
        <f>+H48*'3Q19 Actual'!$D$2/1000</f>
        <v>125.626</v>
      </c>
      <c r="I49" s="12">
        <f>+I48*'3Q19 Actual'!$D$2/1000</f>
        <v>30.572980000000005</v>
      </c>
      <c r="J49" s="12">
        <f>+J48*'3Q19 Actual'!$D$2/1000</f>
        <v>30.341875999999999</v>
      </c>
      <c r="K49" s="12">
        <f>+K48*'3Q19 Actual'!$D$2/1000</f>
        <v>39.33</v>
      </c>
      <c r="L49" s="12">
        <f>+L48*'3Q19 Actual'!$D$2/1000</f>
        <v>26.416726666666666</v>
      </c>
      <c r="M49" s="12">
        <f>+M48*'3Q19 Actual'!$D$2/1000</f>
        <v>55.663066666666666</v>
      </c>
      <c r="N49" s="12">
        <f>+N48*'3Q19 Actual'!$D$2/1000</f>
        <v>76.749466666666677</v>
      </c>
      <c r="O49" s="12">
        <f>+O48*'3Q19 Actual'!$D$2/1000</f>
        <v>63.469666666666669</v>
      </c>
      <c r="P49" s="12">
        <f>+P48*'3Q19 Actual'!$D$2/1000</f>
        <v>28.688666666666663</v>
      </c>
      <c r="Q49" s="12">
        <f>+Q48*'3Q19 Actual'!$D$2/1000</f>
        <v>39.29933333333333</v>
      </c>
      <c r="R49" s="12">
        <f>+R48*'3Q19 Actual'!$D$2/1000</f>
        <v>18.679189333333337</v>
      </c>
      <c r="S49" s="12">
        <f>+S48*'3Q19 Actual'!$D$2/1000</f>
        <v>35.374000000000002</v>
      </c>
      <c r="T49" s="12">
        <f>+T48*'3Q19 Actual'!$D$2/1000</f>
        <v>102.65666666666665</v>
      </c>
      <c r="U49" s="12">
        <f>+U48*'3Q19 Actual'!$D$2/1000</f>
        <v>31.234414000000001</v>
      </c>
      <c r="V49" s="12">
        <f>+V48*'3Q19 Actual'!$D$2/1000</f>
        <v>33.663333333333327</v>
      </c>
    </row>
    <row r="50" spans="1:22" s="9" customFormat="1">
      <c r="A50" s="34"/>
      <c r="B50" s="12"/>
      <c r="C50" s="12"/>
      <c r="D50" s="12"/>
      <c r="E50" s="12"/>
      <c r="F50" s="12"/>
      <c r="G50" s="12"/>
      <c r="H50" s="12"/>
      <c r="I50" s="12"/>
      <c r="J50" s="12"/>
      <c r="K50" s="12"/>
      <c r="L50" s="12"/>
      <c r="M50" s="12"/>
      <c r="N50" s="12"/>
      <c r="O50" s="12"/>
      <c r="P50" s="12"/>
      <c r="Q50" s="12"/>
      <c r="R50" s="12"/>
      <c r="S50" s="12"/>
      <c r="T50" s="12"/>
      <c r="U50" s="12"/>
      <c r="V50" s="12"/>
    </row>
    <row r="51" spans="1:22" s="9" customFormat="1">
      <c r="A51" s="36" t="s">
        <v>106</v>
      </c>
      <c r="B51" s="12">
        <f t="shared" ref="B51:V51" si="33">+B37*B49*4</f>
        <v>1072.1353914400006</v>
      </c>
      <c r="C51" s="12">
        <f t="shared" si="33"/>
        <v>3353.293005728</v>
      </c>
      <c r="D51" s="12">
        <f t="shared" si="33"/>
        <v>8699.7177497600023</v>
      </c>
      <c r="E51" s="12">
        <f t="shared" si="33"/>
        <v>2287.1012796581813</v>
      </c>
      <c r="F51" s="12">
        <f t="shared" si="33"/>
        <v>2039.0013759999993</v>
      </c>
      <c r="G51" s="12">
        <f t="shared" si="33"/>
        <v>1605.7996599839998</v>
      </c>
      <c r="H51" s="12">
        <f t="shared" si="33"/>
        <v>15515.087391999999</v>
      </c>
      <c r="I51" s="12">
        <f t="shared" si="33"/>
        <v>3063.5848140800003</v>
      </c>
      <c r="J51" s="12">
        <f t="shared" si="33"/>
        <v>2931.1820828800001</v>
      </c>
      <c r="K51" s="12">
        <f t="shared" si="33"/>
        <v>2428.1212320000004</v>
      </c>
      <c r="L51" s="12">
        <f t="shared" ref="L51" si="34">+L37*L49*4</f>
        <v>3066.8514681706661</v>
      </c>
      <c r="M51" s="12">
        <f t="shared" si="33"/>
        <v>3573.5850965333348</v>
      </c>
      <c r="N51" s="12">
        <f t="shared" si="33"/>
        <v>7590.8454223999988</v>
      </c>
      <c r="O51" s="12">
        <f t="shared" si="33"/>
        <v>1243.9604879999993</v>
      </c>
      <c r="P51" s="12">
        <f t="shared" si="33"/>
        <v>2352.510976</v>
      </c>
      <c r="Q51" s="12">
        <f t="shared" si="33"/>
        <v>3239.5123679999988</v>
      </c>
      <c r="R51" s="12">
        <f t="shared" si="33"/>
        <v>2192.9611587680006</v>
      </c>
      <c r="S51" s="12">
        <f t="shared" si="33"/>
        <v>2396.9464480000001</v>
      </c>
      <c r="T51" s="12">
        <f t="shared" si="33"/>
        <v>8453.5001013333349</v>
      </c>
      <c r="U51" s="12">
        <f t="shared" si="33"/>
        <v>3404.6759962559991</v>
      </c>
      <c r="V51" s="12">
        <f t="shared" si="33"/>
        <v>626.80208399999958</v>
      </c>
    </row>
    <row r="52" spans="1:22" s="9" customFormat="1">
      <c r="A52" s="83" t="s">
        <v>143</v>
      </c>
      <c r="B52" s="12">
        <f>+'3Q19 Actual'!B52</f>
        <v>3703.828</v>
      </c>
      <c r="C52" s="12">
        <f>+'3Q19 Actual'!C52</f>
        <v>8159</v>
      </c>
      <c r="D52" s="12">
        <f>+'3Q19 Actual'!D52</f>
        <v>17037.121212121212</v>
      </c>
      <c r="E52" s="12">
        <f>+'3Q19 Actual'!E52</f>
        <v>5415.030303030303</v>
      </c>
      <c r="F52" s="12">
        <f>+'3Q19 Actual'!F52</f>
        <v>9341</v>
      </c>
      <c r="G52" s="12">
        <f>+'3Q19 Actual'!G52</f>
        <v>2000</v>
      </c>
      <c r="H52" s="12">
        <f>+'3Q19 Actual'!H52</f>
        <v>14920</v>
      </c>
      <c r="I52" s="12">
        <f>+'3Q19 Actual'!I52</f>
        <v>5570.8289999999997</v>
      </c>
      <c r="J52" s="12">
        <f>+'3Q19 Actual'!J52</f>
        <v>4404</v>
      </c>
      <c r="K52" s="12">
        <f>+'3Q19 Actual'!K52</f>
        <v>4295</v>
      </c>
      <c r="L52" s="12">
        <f>+'3Q19 Actual'!L52</f>
        <v>3679</v>
      </c>
      <c r="M52" s="12">
        <f>+'3Q19 Actual'!M52</f>
        <v>7217</v>
      </c>
      <c r="N52" s="12">
        <f>+'3Q19 Actual'!N52</f>
        <v>4163.1149999999998</v>
      </c>
      <c r="O52" s="12">
        <f>+'3Q19 Actual'!O52</f>
        <v>5053.0619999999999</v>
      </c>
      <c r="P52" s="12">
        <f>+'3Q19 Actual'!P52</f>
        <v>5427</v>
      </c>
      <c r="Q52" s="12">
        <f>+'3Q19 Actual'!Q52</f>
        <v>5503</v>
      </c>
      <c r="R52" s="12">
        <f>+'3Q19 Actual'!R52</f>
        <v>2779.2280000000001</v>
      </c>
      <c r="S52" s="12">
        <f>+'3Q19 Actual'!S52</f>
        <v>6601</v>
      </c>
      <c r="T52" s="12">
        <f>+'3Q19 Actual'!T52</f>
        <v>47477</v>
      </c>
      <c r="U52" s="12">
        <f>+'3Q19 Actual'!U52</f>
        <v>2288</v>
      </c>
      <c r="V52" s="12">
        <f>+'3Q19 Actual'!V52</f>
        <v>2271</v>
      </c>
    </row>
    <row r="53" spans="1:22" s="9" customFormat="1">
      <c r="A53" s="83" t="s">
        <v>142</v>
      </c>
      <c r="B53" s="31">
        <f t="shared" ref="B53:V53" si="35">+B52/B51</f>
        <v>3.4546271203913292</v>
      </c>
      <c r="C53" s="31">
        <f t="shared" si="35"/>
        <v>2.4331306527831082</v>
      </c>
      <c r="D53" s="31">
        <f t="shared" si="35"/>
        <v>1.958353328484848</v>
      </c>
      <c r="E53" s="31">
        <f t="shared" si="35"/>
        <v>2.367639050877365</v>
      </c>
      <c r="F53" s="31">
        <f t="shared" si="35"/>
        <v>4.5811641472869722</v>
      </c>
      <c r="G53" s="31">
        <f t="shared" si="35"/>
        <v>1.2454853801749639</v>
      </c>
      <c r="H53" s="31">
        <f t="shared" si="35"/>
        <v>0.96164459941702662</v>
      </c>
      <c r="I53" s="31">
        <f t="shared" si="35"/>
        <v>1.8184020805942429</v>
      </c>
      <c r="J53" s="31">
        <f t="shared" si="35"/>
        <v>1.5024655157802067</v>
      </c>
      <c r="K53" s="31">
        <f t="shared" si="35"/>
        <v>1.7688573137933004</v>
      </c>
      <c r="L53" s="31">
        <f t="shared" ref="L53" si="36">+L52/L51</f>
        <v>1.1996016234181932</v>
      </c>
      <c r="M53" s="31">
        <f t="shared" si="35"/>
        <v>2.0195405468309882</v>
      </c>
      <c r="N53" s="31">
        <f t="shared" si="35"/>
        <v>0.54843891139120926</v>
      </c>
      <c r="O53" s="31">
        <f t="shared" si="35"/>
        <v>4.0620759652295346</v>
      </c>
      <c r="P53" s="31">
        <f t="shared" si="35"/>
        <v>2.3068967819345043</v>
      </c>
      <c r="Q53" s="31">
        <f t="shared" si="35"/>
        <v>1.6987124526391073</v>
      </c>
      <c r="R53" s="31">
        <f t="shared" si="35"/>
        <v>1.2673402759040941</v>
      </c>
      <c r="S53" s="31">
        <f t="shared" si="35"/>
        <v>2.7539205164586971</v>
      </c>
      <c r="T53" s="31">
        <f t="shared" si="35"/>
        <v>5.6162535554369546</v>
      </c>
      <c r="U53" s="31">
        <f t="shared" si="35"/>
        <v>0.6720169562437166</v>
      </c>
      <c r="V53" s="31">
        <f t="shared" si="35"/>
        <v>3.6231532376334625</v>
      </c>
    </row>
    <row r="54" spans="1:22" s="9" customFormat="1">
      <c r="A54" s="83"/>
      <c r="B54" s="8"/>
      <c r="C54" s="8"/>
      <c r="D54" s="8"/>
      <c r="E54" s="8"/>
      <c r="F54" s="8"/>
      <c r="G54" s="8"/>
      <c r="H54" s="8"/>
      <c r="I54" s="8"/>
      <c r="J54" s="8"/>
      <c r="K54" s="8"/>
      <c r="L54" s="8"/>
      <c r="M54" s="8"/>
      <c r="N54" s="8"/>
      <c r="O54" s="8"/>
      <c r="P54" s="8"/>
      <c r="Q54" s="8"/>
      <c r="R54" s="8"/>
      <c r="S54" s="8"/>
      <c r="T54" s="8"/>
      <c r="U54" s="8"/>
      <c r="V54" s="8"/>
    </row>
    <row r="55" spans="1:22" s="9" customFormat="1">
      <c r="A55" s="277" t="s">
        <v>83</v>
      </c>
      <c r="B55" s="278"/>
      <c r="C55" s="278"/>
      <c r="D55" s="278"/>
      <c r="E55" s="278"/>
      <c r="F55" s="278"/>
      <c r="G55" s="278"/>
      <c r="H55" s="278"/>
      <c r="I55" s="278"/>
      <c r="J55" s="278"/>
      <c r="K55" s="278"/>
      <c r="L55" s="278"/>
      <c r="M55" s="278"/>
      <c r="N55" s="278"/>
      <c r="O55" s="278"/>
      <c r="P55" s="278"/>
      <c r="Q55" s="278"/>
      <c r="R55" s="278"/>
      <c r="S55" s="278"/>
      <c r="T55" s="278"/>
      <c r="U55" s="278"/>
      <c r="V55" s="278"/>
    </row>
    <row r="56" spans="1:22" s="9" customFormat="1">
      <c r="A56" s="277" t="s">
        <v>76</v>
      </c>
      <c r="B56" s="278"/>
      <c r="C56" s="278"/>
      <c r="D56" s="278"/>
      <c r="E56" s="278"/>
      <c r="F56" s="278"/>
      <c r="G56" s="278"/>
      <c r="H56" s="278"/>
      <c r="I56" s="278"/>
      <c r="J56" s="278"/>
      <c r="K56" s="278"/>
      <c r="L56" s="278"/>
      <c r="M56" s="278"/>
      <c r="N56" s="278"/>
      <c r="O56" s="278"/>
      <c r="P56" s="278"/>
      <c r="Q56" s="278"/>
      <c r="R56" s="278"/>
      <c r="S56" s="278"/>
      <c r="T56" s="278"/>
      <c r="U56" s="278"/>
      <c r="V56" s="278"/>
    </row>
    <row r="57" spans="1:22" s="9" customFormat="1">
      <c r="A57" s="7"/>
      <c r="B57" s="8"/>
      <c r="C57" s="8"/>
      <c r="D57" s="8"/>
      <c r="E57" s="8"/>
      <c r="F57" s="8"/>
      <c r="G57" s="8"/>
      <c r="H57" s="8"/>
      <c r="I57" s="8"/>
      <c r="J57" s="8"/>
      <c r="K57" s="8"/>
      <c r="L57" s="8"/>
      <c r="M57" s="8"/>
      <c r="N57" s="8"/>
      <c r="O57" s="8"/>
      <c r="P57" s="8"/>
      <c r="Q57" s="8"/>
      <c r="R57" s="8"/>
      <c r="S57" s="8"/>
      <c r="T57" s="8"/>
      <c r="U57" s="8"/>
      <c r="V57" s="8"/>
    </row>
    <row r="58" spans="1:22">
      <c r="A58" s="3"/>
    </row>
    <row r="59" spans="1:22">
      <c r="A59" s="3"/>
    </row>
    <row r="60" spans="1:22">
      <c r="A60" s="3"/>
    </row>
    <row r="61" spans="1:22">
      <c r="A61" s="3"/>
    </row>
    <row r="62" spans="1:22">
      <c r="A62" s="3"/>
    </row>
    <row r="63" spans="1:22">
      <c r="A63" s="3"/>
    </row>
    <row r="64" spans="1:22">
      <c r="A64" s="3"/>
    </row>
    <row r="65" spans="1:1">
      <c r="A65" s="3"/>
    </row>
    <row r="165" spans="3:20" hidden="1">
      <c r="N165" s="2" t="s">
        <v>58</v>
      </c>
    </row>
    <row r="166" spans="3:20" hidden="1">
      <c r="N166" s="2" t="s">
        <v>54</v>
      </c>
      <c r="P166" s="2">
        <v>52.63</v>
      </c>
      <c r="Q166" s="2">
        <v>176</v>
      </c>
      <c r="T166" s="2">
        <f>+Q166*P166</f>
        <v>9262.880000000001</v>
      </c>
    </row>
    <row r="167" spans="3:20" hidden="1">
      <c r="D167" s="2" t="s">
        <v>72</v>
      </c>
      <c r="E167" s="2" t="s">
        <v>73</v>
      </c>
      <c r="N167" s="2" t="s">
        <v>55</v>
      </c>
      <c r="P167" s="2">
        <v>14.77</v>
      </c>
      <c r="Q167" s="2">
        <v>37</v>
      </c>
      <c r="T167" s="2">
        <f>+Q167*P167</f>
        <v>546.49</v>
      </c>
    </row>
    <row r="168" spans="3:20" hidden="1">
      <c r="C168" s="2">
        <v>95.057000000000002</v>
      </c>
      <c r="D168" s="2">
        <f>73.05</f>
        <v>73.05</v>
      </c>
      <c r="G168" s="2">
        <f>+D168*C168</f>
        <v>6943.9138499999999</v>
      </c>
      <c r="N168" s="2" t="s">
        <v>59</v>
      </c>
      <c r="P168" s="2">
        <v>2.76</v>
      </c>
      <c r="Q168" s="2">
        <v>361</v>
      </c>
      <c r="S168" s="2">
        <f>+Q168/6</f>
        <v>60.166666666666664</v>
      </c>
      <c r="T168" s="2">
        <f>+Q168*P168</f>
        <v>996.3599999999999</v>
      </c>
    </row>
    <row r="169" spans="3:20" hidden="1">
      <c r="C169" s="2">
        <f>458.144-C168</f>
        <v>363.08699999999999</v>
      </c>
      <c r="D169" s="2">
        <f>53.09</f>
        <v>53.09</v>
      </c>
      <c r="G169" s="2">
        <f>+D169*C169</f>
        <v>19276.288830000001</v>
      </c>
      <c r="H169" s="2">
        <f>+SUM(G168:G169)/(C168+C169)</f>
        <v>57.231356691345958</v>
      </c>
    </row>
    <row r="170" spans="3:20" hidden="1">
      <c r="N170" s="2" t="s">
        <v>60</v>
      </c>
    </row>
    <row r="171" spans="3:20" hidden="1">
      <c r="N171" s="2" t="s">
        <v>54</v>
      </c>
      <c r="P171" s="2">
        <v>56.7</v>
      </c>
      <c r="Q171" s="2">
        <v>33</v>
      </c>
      <c r="T171" s="2">
        <f>+Q171*P171</f>
        <v>1871.1000000000001</v>
      </c>
    </row>
    <row r="172" spans="3:20" hidden="1">
      <c r="D172" s="2">
        <v>608</v>
      </c>
      <c r="E172" s="2">
        <v>58</v>
      </c>
      <c r="N172" s="2" t="s">
        <v>55</v>
      </c>
      <c r="P172" s="2">
        <v>3.1</v>
      </c>
      <c r="Q172" s="2">
        <v>9</v>
      </c>
      <c r="T172" s="2">
        <f>+Q172*P172</f>
        <v>27.900000000000002</v>
      </c>
    </row>
    <row r="173" spans="3:20" hidden="1">
      <c r="D173" s="2">
        <v>138</v>
      </c>
      <c r="E173" s="2">
        <v>33.299999999999997</v>
      </c>
      <c r="N173" s="2" t="s">
        <v>59</v>
      </c>
      <c r="P173" s="2">
        <v>0.78</v>
      </c>
      <c r="Q173" s="2">
        <v>396</v>
      </c>
      <c r="S173" s="2">
        <f>+Q173/6</f>
        <v>66</v>
      </c>
      <c r="T173" s="2">
        <f>+Q173*P173</f>
        <v>308.88</v>
      </c>
    </row>
    <row r="174" spans="3:20" hidden="1">
      <c r="E174" s="2">
        <f>+SUMPRODUCT(D172:D173,E172:E173)/SUM(D172:D173)</f>
        <v>53.430831099195714</v>
      </c>
    </row>
    <row r="175" spans="3:20" hidden="1">
      <c r="N175" s="2" t="s">
        <v>61</v>
      </c>
    </row>
    <row r="176" spans="3:20" hidden="1">
      <c r="N176" s="2" t="s">
        <v>54</v>
      </c>
      <c r="P176" s="2">
        <v>52.46</v>
      </c>
      <c r="Q176" s="2">
        <v>29</v>
      </c>
      <c r="T176" s="2">
        <f>+Q176*P176</f>
        <v>1521.34</v>
      </c>
    </row>
  </sheetData>
  <sortState columnSort="1" ref="B6:Q46">
    <sortCondition ref="B6:Q6"/>
  </sortState>
  <mergeCells count="2">
    <mergeCell ref="A55:V55"/>
    <mergeCell ref="A56:V56"/>
  </mergeCells>
  <pageMargins left="0.7" right="0.7" top="0.75" bottom="0.75" header="0.3" footer="0.3"/>
  <pageSetup orientation="portrait" r:id="rId1"/>
  <headerFooter>
    <oddFooter>&amp;C&amp;"Expert Sans Regular,Regular"&amp;10&amp;K000000 Restricted - External_x000D_&amp;1#&amp;"Calibri"&amp;10 Restricted - External</oddFooter>
    <evenFooter>&amp;C&amp;"Expert Sans Regular,Regular"&amp;10&amp;K000000 Restricted - External</evenFooter>
    <firstFooter>&amp;C&amp;"Expert Sans Regular,Regular"&amp;10&amp;K000000 Restricted - External</first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autoPageBreaks="0"/>
  </sheetPr>
  <dimension ref="A1:V103"/>
  <sheetViews>
    <sheetView workbookViewId="0"/>
  </sheetViews>
  <sheetFormatPr defaultRowHeight="14.25"/>
  <cols>
    <col min="1" max="1" width="32.375" style="46" customWidth="1"/>
    <col min="2" max="2" width="9.875" style="154" customWidth="1"/>
    <col min="3" max="5" width="9" style="45"/>
    <col min="6" max="6" width="9" style="154"/>
    <col min="7" max="9" width="9" style="45"/>
    <col min="10" max="10" width="9" style="72"/>
    <col min="11" max="11" width="9" style="45"/>
    <col min="12" max="12" width="9" style="255"/>
    <col min="13" max="14" width="9" style="45"/>
    <col min="15" max="15" width="9" style="154"/>
    <col min="16" max="17" width="9" style="45"/>
    <col min="18" max="18" width="9" style="154"/>
    <col min="19" max="16384" width="9" style="45"/>
  </cols>
  <sheetData>
    <row r="1" spans="1:22" ht="26.25" thickBot="1">
      <c r="A1" s="48" t="str">
        <f>"Using "&amp;'3Q19 Actual'!$B$1&amp;" costs and realizations"</f>
        <v>Using 3Q19 costs and realizations</v>
      </c>
      <c r="B1" s="152" t="s">
        <v>189</v>
      </c>
      <c r="C1" s="43" t="s">
        <v>18</v>
      </c>
      <c r="D1" s="43" t="s">
        <v>19</v>
      </c>
      <c r="E1" s="43" t="s">
        <v>21</v>
      </c>
      <c r="F1" s="152" t="s">
        <v>191</v>
      </c>
      <c r="G1" s="43" t="s">
        <v>22</v>
      </c>
      <c r="H1" s="138" t="s">
        <v>174</v>
      </c>
      <c r="I1" s="43" t="s">
        <v>23</v>
      </c>
      <c r="J1" s="52" t="s">
        <v>139</v>
      </c>
      <c r="K1" s="43" t="s">
        <v>24</v>
      </c>
      <c r="L1" s="253" t="s">
        <v>227</v>
      </c>
      <c r="M1" s="43" t="s">
        <v>25</v>
      </c>
      <c r="N1" s="43" t="s">
        <v>26</v>
      </c>
      <c r="O1" s="152" t="s">
        <v>187</v>
      </c>
      <c r="P1" s="52" t="s">
        <v>27</v>
      </c>
      <c r="Q1" s="52" t="s">
        <v>28</v>
      </c>
      <c r="R1" s="152" t="s">
        <v>193</v>
      </c>
      <c r="S1" s="116" t="s">
        <v>164</v>
      </c>
      <c r="T1" s="43" t="s">
        <v>30</v>
      </c>
      <c r="U1" s="43" t="s">
        <v>31</v>
      </c>
      <c r="V1" s="138" t="s">
        <v>173</v>
      </c>
    </row>
    <row r="2" spans="1:22" ht="15" thickBot="1">
      <c r="A2" s="47"/>
      <c r="B2" s="69" t="s">
        <v>190</v>
      </c>
      <c r="C2" s="26" t="s">
        <v>34</v>
      </c>
      <c r="D2" s="26" t="s">
        <v>35</v>
      </c>
      <c r="E2" s="26" t="s">
        <v>37</v>
      </c>
      <c r="F2" s="69" t="s">
        <v>192</v>
      </c>
      <c r="G2" s="26" t="s">
        <v>38</v>
      </c>
      <c r="H2" s="26" t="s">
        <v>36</v>
      </c>
      <c r="I2" s="26" t="s">
        <v>39</v>
      </c>
      <c r="J2" s="69" t="s">
        <v>140</v>
      </c>
      <c r="K2" s="26" t="s">
        <v>40</v>
      </c>
      <c r="L2" s="179" t="s">
        <v>226</v>
      </c>
      <c r="M2" s="26" t="s">
        <v>41</v>
      </c>
      <c r="N2" s="26" t="s">
        <v>42</v>
      </c>
      <c r="O2" s="69" t="s">
        <v>188</v>
      </c>
      <c r="P2" s="26" t="s">
        <v>43</v>
      </c>
      <c r="Q2" s="26" t="s">
        <v>44</v>
      </c>
      <c r="R2" s="69" t="s">
        <v>194</v>
      </c>
      <c r="S2" s="26" t="s">
        <v>45</v>
      </c>
      <c r="T2" s="26" t="s">
        <v>46</v>
      </c>
      <c r="U2" s="26" t="s">
        <v>47</v>
      </c>
      <c r="V2" s="26" t="s">
        <v>48</v>
      </c>
    </row>
    <row r="3" spans="1:22">
      <c r="A3" s="46" t="s">
        <v>122</v>
      </c>
      <c r="B3" s="10">
        <f>+Sensitivity!B$15</f>
        <v>18.827484201871478</v>
      </c>
      <c r="C3" s="10">
        <f>+Sensitivity!C$15</f>
        <v>35.523928250407359</v>
      </c>
      <c r="D3" s="10">
        <f>+Sensitivity!D$15</f>
        <v>42.719641261870855</v>
      </c>
      <c r="E3" s="10">
        <f>+Sensitivity!E$15</f>
        <v>34.723478511768377</v>
      </c>
      <c r="F3" s="10">
        <f>+Sensitivity!F$15</f>
        <v>23.536214452355701</v>
      </c>
      <c r="G3" s="10">
        <f>+Sensitivity!G$15</f>
        <v>23.296038288717153</v>
      </c>
      <c r="H3" s="10">
        <f>+Sensitivity!H$15</f>
        <v>44.049574514829729</v>
      </c>
      <c r="I3" s="10">
        <f>+Sensitivity!I$15</f>
        <v>35.19147310860766</v>
      </c>
      <c r="J3" s="10">
        <f>+Sensitivity!J$15</f>
        <v>36.510449146914979</v>
      </c>
      <c r="K3" s="10">
        <f>+Sensitivity!K$15</f>
        <v>27.511576608187138</v>
      </c>
      <c r="L3" s="10">
        <f>+Sensitivity!L$15</f>
        <v>36.933765007574742</v>
      </c>
      <c r="M3" s="10">
        <f>+Sensitivity!M$15</f>
        <v>28.090072833452709</v>
      </c>
      <c r="N3" s="10">
        <f>+Sensitivity!N$15</f>
        <v>37.94637907060374</v>
      </c>
      <c r="O3" s="10">
        <f>+Sensitivity!O$15</f>
        <v>13.069552206040678</v>
      </c>
      <c r="P3" s="10">
        <f>+Sensitivity!P$15</f>
        <v>39.009402458578307</v>
      </c>
      <c r="Q3" s="10">
        <f>+Sensitivity!Q$15</f>
        <v>32.414750682793596</v>
      </c>
      <c r="R3" s="10">
        <f>+Sensitivity!R$15</f>
        <v>39.912882534017179</v>
      </c>
      <c r="S3" s="10">
        <f>+Sensitivity!S$15</f>
        <v>29.972200260078022</v>
      </c>
      <c r="T3" s="10">
        <f>+Sensitivity!T$15</f>
        <v>37.846826885735631</v>
      </c>
      <c r="U3" s="10">
        <f>+Sensitivity!U$15</f>
        <v>39.256149158553121</v>
      </c>
      <c r="V3" s="10">
        <f>+Sensitivity!V$15</f>
        <v>11.962586028319635</v>
      </c>
    </row>
    <row r="4" spans="1:22">
      <c r="A4" s="46" t="s">
        <v>7</v>
      </c>
      <c r="B4" s="10">
        <f>+Sensitivity!B$29</f>
        <v>14.560169520038736</v>
      </c>
      <c r="C4" s="10">
        <f>+Sensitivity!C$29</f>
        <v>16.918297580659697</v>
      </c>
      <c r="D4" s="10">
        <f>+Sensitivity!D$29</f>
        <v>21.251648419529076</v>
      </c>
      <c r="E4" s="10">
        <f>+Sensitivity!E$29</f>
        <v>15.776881019431585</v>
      </c>
      <c r="F4" s="10">
        <f>+Sensitivity!F$29</f>
        <v>15.974852295106803</v>
      </c>
      <c r="G4" s="10">
        <f>+Sensitivity!G$29</f>
        <v>9.027560146630444</v>
      </c>
      <c r="H4" s="10">
        <f>+Sensitivity!H$29</f>
        <v>14.638689443268111</v>
      </c>
      <c r="I4" s="10">
        <f>+Sensitivity!I$29</f>
        <v>12.367194823664555</v>
      </c>
      <c r="J4" s="10">
        <f>+Sensitivity!J$29</f>
        <v>13.875213253129107</v>
      </c>
      <c r="K4" s="10">
        <f>+Sensitivity!K$29</f>
        <v>13.60284769895754</v>
      </c>
      <c r="L4" s="10">
        <f>+Sensitivity!L$29</f>
        <v>9.348482537200546</v>
      </c>
      <c r="M4" s="10">
        <f>+Sensitivity!M$29</f>
        <v>13.818558134298504</v>
      </c>
      <c r="N4" s="10">
        <f>+Sensitivity!N$29</f>
        <v>13.736551480922342</v>
      </c>
      <c r="O4" s="10">
        <f>+Sensitivity!O$29</f>
        <v>8.9214112778282519</v>
      </c>
      <c r="P4" s="10">
        <f>+Sensitivity!P$29</f>
        <v>21.12332396068134</v>
      </c>
      <c r="Q4" s="10">
        <f>+Sensitivity!Q$29</f>
        <v>13.435342414629595</v>
      </c>
      <c r="R4" s="10">
        <f>+Sensitivity!R$29</f>
        <v>12.1510626585365</v>
      </c>
      <c r="S4" s="10">
        <f>+Sensitivity!S$29</f>
        <v>15.242635834228528</v>
      </c>
      <c r="T4" s="10">
        <f>+Sensitivity!T$29</f>
        <v>20.971400461083874</v>
      </c>
      <c r="U4" s="10">
        <f>+Sensitivity!U$29</f>
        <v>12.93361277083668</v>
      </c>
      <c r="V4" s="10">
        <f>+Sensitivity!V$29</f>
        <v>7.8126547182889405</v>
      </c>
    </row>
    <row r="5" spans="1:22">
      <c r="A5" s="46" t="s">
        <v>125</v>
      </c>
      <c r="B5" s="10">
        <f t="shared" ref="B5:V5" si="0">+B11</f>
        <v>4.68</v>
      </c>
      <c r="C5" s="10">
        <f t="shared" si="0"/>
        <v>18.088585834359471</v>
      </c>
      <c r="D5" s="10">
        <f t="shared" si="0"/>
        <v>9.9538353269335786</v>
      </c>
      <c r="E5" s="10">
        <f t="shared" si="0"/>
        <v>8.6102810718563134</v>
      </c>
      <c r="F5" s="10">
        <f t="shared" si="0"/>
        <v>13.020754431146795</v>
      </c>
      <c r="G5" s="10">
        <f t="shared" si="0"/>
        <v>8.6314952969460332</v>
      </c>
      <c r="H5" s="10">
        <f t="shared" si="0"/>
        <v>12.465572413353923</v>
      </c>
      <c r="I5" s="10">
        <f t="shared" si="0"/>
        <v>15.83198628331291</v>
      </c>
      <c r="J5" s="10">
        <f t="shared" si="0"/>
        <v>16.083382583199537</v>
      </c>
      <c r="K5" s="10">
        <f t="shared" si="0"/>
        <v>10.221205186880244</v>
      </c>
      <c r="L5" s="10">
        <f t="shared" ref="L5" si="1">+L11</f>
        <v>13.33</v>
      </c>
      <c r="M5" s="10">
        <f t="shared" si="0"/>
        <v>9.6652957197231917</v>
      </c>
      <c r="N5" s="10">
        <f t="shared" si="0"/>
        <v>12.424802951942334</v>
      </c>
      <c r="O5" s="10">
        <f t="shared" si="0"/>
        <v>6.1603128003403196</v>
      </c>
      <c r="P5" s="10">
        <f t="shared" si="0"/>
        <v>17.672483907698744</v>
      </c>
      <c r="Q5" s="10">
        <f t="shared" si="0"/>
        <v>15.827240496021986</v>
      </c>
      <c r="R5" s="10">
        <f t="shared" si="0"/>
        <v>17.09924313631883</v>
      </c>
      <c r="S5" s="10">
        <f t="shared" si="0"/>
        <v>15.378526601458697</v>
      </c>
      <c r="T5" s="10">
        <f t="shared" si="0"/>
        <v>14.12</v>
      </c>
      <c r="U5" s="10">
        <f t="shared" si="0"/>
        <v>14.022993996301643</v>
      </c>
      <c r="V5" s="10">
        <f t="shared" si="0"/>
        <v>3.6538271115952083</v>
      </c>
    </row>
    <row r="6" spans="1:22">
      <c r="A6" s="46" t="s">
        <v>120</v>
      </c>
      <c r="B6" s="10">
        <f>+B3-B4-B5</f>
        <v>-0.41268531816725762</v>
      </c>
      <c r="C6" s="10">
        <f t="shared" ref="C6:V6" si="2">+C3-C4-C5</f>
        <v>0.5170448353881909</v>
      </c>
      <c r="D6" s="10">
        <f t="shared" si="2"/>
        <v>11.514157515408201</v>
      </c>
      <c r="E6" s="10">
        <f>+E3-E4-E5</f>
        <v>10.336316420480479</v>
      </c>
      <c r="F6" s="10">
        <f>+F3-F4-F5</f>
        <v>-5.4593922738978975</v>
      </c>
      <c r="G6" s="10">
        <f t="shared" si="2"/>
        <v>5.6369828451406754</v>
      </c>
      <c r="H6" s="10">
        <f t="shared" si="2"/>
        <v>16.945312658207691</v>
      </c>
      <c r="I6" s="10">
        <f t="shared" si="2"/>
        <v>6.9922920016301955</v>
      </c>
      <c r="J6" s="10">
        <f>+J3-J4-J5</f>
        <v>6.5518533105863348</v>
      </c>
      <c r="K6" s="10">
        <f t="shared" si="2"/>
        <v>3.6875237223493542</v>
      </c>
      <c r="L6" s="10">
        <f t="shared" ref="L6" si="3">+L3-L4-L5</f>
        <v>14.255282470374196</v>
      </c>
      <c r="M6" s="10">
        <f t="shared" si="2"/>
        <v>4.6062189794310129</v>
      </c>
      <c r="N6" s="10">
        <f t="shared" si="2"/>
        <v>11.785024637739062</v>
      </c>
      <c r="O6" s="10">
        <f>+O3-O4-O5</f>
        <v>-2.0121718721278938</v>
      </c>
      <c r="P6" s="10">
        <f t="shared" si="2"/>
        <v>0.21359459019822324</v>
      </c>
      <c r="Q6" s="10">
        <f t="shared" si="2"/>
        <v>3.1521677721420147</v>
      </c>
      <c r="R6" s="10">
        <f>+R3-R4-R5</f>
        <v>10.66257673916185</v>
      </c>
      <c r="S6" s="10">
        <f t="shared" si="2"/>
        <v>-0.64896217560920277</v>
      </c>
      <c r="T6" s="10">
        <f t="shared" si="2"/>
        <v>2.7554264246517572</v>
      </c>
      <c r="U6" s="10">
        <f t="shared" si="2"/>
        <v>12.299542391414796</v>
      </c>
      <c r="V6" s="10">
        <f t="shared" si="2"/>
        <v>0.4961041984354857</v>
      </c>
    </row>
    <row r="7" spans="1:22">
      <c r="B7" s="156"/>
      <c r="C7" s="46"/>
      <c r="D7" s="46"/>
      <c r="E7" s="46"/>
      <c r="F7" s="156"/>
      <c r="G7" s="46"/>
      <c r="H7" s="46"/>
      <c r="I7" s="46"/>
      <c r="J7" s="73"/>
      <c r="K7" s="46"/>
      <c r="L7" s="257"/>
      <c r="M7" s="46"/>
      <c r="N7" s="46"/>
      <c r="O7" s="156"/>
      <c r="P7" s="46"/>
      <c r="Q7" s="46"/>
      <c r="R7" s="156"/>
      <c r="S7" s="46"/>
      <c r="T7" s="46"/>
      <c r="U7" s="46"/>
      <c r="V7" s="46"/>
    </row>
    <row r="8" spans="1:22" s="82" customFormat="1">
      <c r="A8" s="83" t="s">
        <v>152</v>
      </c>
      <c r="B8" s="31">
        <f>+Sensitivity!B53</f>
        <v>3.4546271203913292</v>
      </c>
      <c r="C8" s="31">
        <f>+Sensitivity!C53</f>
        <v>2.4331306527831082</v>
      </c>
      <c r="D8" s="31">
        <f>+Sensitivity!D53</f>
        <v>1.958353328484848</v>
      </c>
      <c r="E8" s="31">
        <f>+Sensitivity!E53</f>
        <v>2.367639050877365</v>
      </c>
      <c r="F8" s="31">
        <f>+Sensitivity!F53</f>
        <v>4.5811641472869722</v>
      </c>
      <c r="G8" s="31">
        <f>+Sensitivity!G53</f>
        <v>1.2454853801749639</v>
      </c>
      <c r="H8" s="31">
        <f>+Sensitivity!H53</f>
        <v>0.96164459941702662</v>
      </c>
      <c r="I8" s="31">
        <f>+Sensitivity!I53</f>
        <v>1.8184020805942429</v>
      </c>
      <c r="J8" s="31">
        <f>+Sensitivity!J53</f>
        <v>1.5024655157802067</v>
      </c>
      <c r="K8" s="31">
        <f>+Sensitivity!K53</f>
        <v>1.7688573137933004</v>
      </c>
      <c r="L8" s="31">
        <f>+Sensitivity!L53</f>
        <v>1.1996016234181932</v>
      </c>
      <c r="M8" s="31">
        <f>+Sensitivity!M53</f>
        <v>2.0195405468309882</v>
      </c>
      <c r="N8" s="31">
        <f>+Sensitivity!N53</f>
        <v>0.54843891139120926</v>
      </c>
      <c r="O8" s="31">
        <f>+Sensitivity!O53</f>
        <v>4.0620759652295346</v>
      </c>
      <c r="P8" s="31">
        <f>+Sensitivity!P53</f>
        <v>2.3068967819345043</v>
      </c>
      <c r="Q8" s="31">
        <f>+Sensitivity!Q53</f>
        <v>1.6987124526391073</v>
      </c>
      <c r="R8" s="31">
        <f>+Sensitivity!R53</f>
        <v>1.2673402759040941</v>
      </c>
      <c r="S8" s="31">
        <f>+Sensitivity!S53</f>
        <v>2.7539205164586971</v>
      </c>
      <c r="T8" s="31">
        <f>+Sensitivity!T53</f>
        <v>5.6162535554369546</v>
      </c>
      <c r="U8" s="31">
        <f>+Sensitivity!U53</f>
        <v>0.6720169562437166</v>
      </c>
      <c r="V8" s="31">
        <f>+Sensitivity!V53</f>
        <v>3.6231532376334625</v>
      </c>
    </row>
    <row r="9" spans="1:22" s="53" customFormat="1">
      <c r="A9" s="54" t="s">
        <v>105</v>
      </c>
      <c r="B9" s="31">
        <f>+Sensitivity!B38</f>
        <v>5.6128041181890547</v>
      </c>
      <c r="C9" s="31">
        <f>+Sensitivity!C38</f>
        <v>7.8347967423551417</v>
      </c>
      <c r="D9" s="31">
        <f>+Sensitivity!D38</f>
        <v>14.276653062427711</v>
      </c>
      <c r="E9" s="31">
        <f>+Sensitivity!E38</f>
        <v>11.639347860967698</v>
      </c>
      <c r="F9" s="31">
        <f>+Sensitivity!F38</f>
        <v>2.8799454463276826</v>
      </c>
      <c r="G9" s="31">
        <f>+Sensitivity!G38</f>
        <v>16.328394818026521</v>
      </c>
      <c r="H9" s="31">
        <f>+Sensitivity!H38</f>
        <v>21.080281782608694</v>
      </c>
      <c r="I9" s="31">
        <f>+Sensitivity!I38</f>
        <v>11.24829201821119</v>
      </c>
      <c r="J9" s="31">
        <f>+Sensitivity!J38</f>
        <v>15.930337406956523</v>
      </c>
      <c r="K9" s="31">
        <f>+Sensitivity!K38</f>
        <v>10.117171800000001</v>
      </c>
      <c r="L9" s="31">
        <f>+Sensitivity!L38</f>
        <v>20.176654395859643</v>
      </c>
      <c r="M9" s="31">
        <f>+Sensitivity!M38</f>
        <v>9.0242047892255943</v>
      </c>
      <c r="N9" s="31">
        <f>+Sensitivity!N38</f>
        <v>47.897813114588587</v>
      </c>
      <c r="O9" s="31">
        <f>+Sensitivity!O38</f>
        <v>6.5184791548764371</v>
      </c>
      <c r="P9" s="31">
        <f>+Sensitivity!P38</f>
        <v>7.8417032533333346</v>
      </c>
      <c r="Q9" s="31">
        <f>+Sensitivity!Q38</f>
        <v>12.654345187499995</v>
      </c>
      <c r="R9" s="31">
        <f>+Sensitivity!R38</f>
        <v>18.476688113103254</v>
      </c>
      <c r="S9" s="31">
        <f>+Sensitivity!S38</f>
        <v>7.2630703544769402</v>
      </c>
      <c r="T9" s="31">
        <f>+Sensitivity!T38</f>
        <v>5.5469160769903771</v>
      </c>
      <c r="U9" s="31">
        <f>+Sensitivity!U38</f>
        <v>29.350655140137924</v>
      </c>
      <c r="V9" s="31">
        <f>+Sensitivity!V38</f>
        <v>9.2176777058823465</v>
      </c>
    </row>
    <row r="10" spans="1:22" s="53" customFormat="1">
      <c r="A10" s="54"/>
      <c r="B10" s="156"/>
      <c r="C10" s="54"/>
      <c r="D10" s="54"/>
      <c r="E10" s="54"/>
      <c r="F10" s="156"/>
      <c r="G10" s="54"/>
      <c r="H10" s="54"/>
      <c r="I10" s="54"/>
      <c r="J10" s="73"/>
      <c r="K10" s="54"/>
      <c r="L10" s="257"/>
      <c r="M10" s="54"/>
      <c r="N10" s="54"/>
      <c r="O10" s="156"/>
      <c r="P10" s="54"/>
      <c r="Q10" s="54"/>
      <c r="R10" s="156"/>
      <c r="S10" s="54"/>
      <c r="T10" s="54"/>
      <c r="U10" s="54"/>
      <c r="V10" s="54"/>
    </row>
    <row r="11" spans="1:22">
      <c r="A11" s="174" t="str">
        <f>"Alternative for F&amp;D: "&amp;'3Q19 Actual'!$B$1&amp;" DD&amp;A"</f>
        <v>Alternative for F&amp;D: 3Q19 DD&amp;A</v>
      </c>
      <c r="B11" s="10">
        <f>+'3Q19 Actual'!B24</f>
        <v>4.68</v>
      </c>
      <c r="C11" s="10">
        <f>+'3Q19 Actual'!C24</f>
        <v>18.088585834359471</v>
      </c>
      <c r="D11" s="10">
        <f>+'3Q19 Actual'!D24</f>
        <v>9.9538353269335786</v>
      </c>
      <c r="E11" s="10">
        <f>+'3Q19 Actual'!E24</f>
        <v>8.6102810718563134</v>
      </c>
      <c r="F11" s="10">
        <f>+'3Q19 Actual'!F24</f>
        <v>13.020754431146795</v>
      </c>
      <c r="G11" s="10">
        <f>+'3Q19 Actual'!G24</f>
        <v>8.6314952969460332</v>
      </c>
      <c r="H11" s="10">
        <f>+'3Q19 Actual'!H24</f>
        <v>12.465572413353923</v>
      </c>
      <c r="I11" s="10">
        <f>+'3Q19 Actual'!I24</f>
        <v>15.83198628331291</v>
      </c>
      <c r="J11" s="10">
        <f>+'3Q19 Actual'!J24</f>
        <v>16.083382583199537</v>
      </c>
      <c r="K11" s="10">
        <f>+'3Q19 Actual'!K24</f>
        <v>10.221205186880244</v>
      </c>
      <c r="L11" s="10">
        <f>+'3Q19 Actual'!L24</f>
        <v>13.33</v>
      </c>
      <c r="M11" s="10">
        <f>+'3Q19 Actual'!M24</f>
        <v>9.6652957197231917</v>
      </c>
      <c r="N11" s="10">
        <f>+'3Q19 Actual'!N24</f>
        <v>12.424802951942334</v>
      </c>
      <c r="O11" s="10">
        <f>+'3Q19 Actual'!O24</f>
        <v>6.1603128003403196</v>
      </c>
      <c r="P11" s="10">
        <f>+'3Q19 Actual'!P24</f>
        <v>17.672483907698744</v>
      </c>
      <c r="Q11" s="10">
        <f>+'3Q19 Actual'!Q24</f>
        <v>15.827240496021986</v>
      </c>
      <c r="R11" s="10">
        <f>+'3Q19 Actual'!R24</f>
        <v>17.09924313631883</v>
      </c>
      <c r="S11" s="10">
        <f>+'3Q19 Actual'!S24</f>
        <v>15.378526601458697</v>
      </c>
      <c r="T11" s="10">
        <f>+'3Q19 Actual'!T24</f>
        <v>14.12</v>
      </c>
      <c r="U11" s="10">
        <f>+'3Q19 Actual'!U24</f>
        <v>14.022993996301643</v>
      </c>
      <c r="V11" s="10">
        <f>+'3Q19 Actual'!V24</f>
        <v>3.6538271115952083</v>
      </c>
    </row>
    <row r="12" spans="1:22">
      <c r="A12" s="46" t="s">
        <v>121</v>
      </c>
      <c r="B12" s="10">
        <f>+Sensitivity!B24</f>
        <v>4.5599999999999996</v>
      </c>
      <c r="C12" s="10">
        <f>+Sensitivity!C24</f>
        <v>27.48</v>
      </c>
      <c r="D12" s="10">
        <f>+Sensitivity!D24</f>
        <v>8.48</v>
      </c>
      <c r="E12" s="10">
        <f>+Sensitivity!E24</f>
        <v>16.7</v>
      </c>
      <c r="F12" s="10">
        <f>+Sensitivity!F24</f>
        <v>9.01</v>
      </c>
      <c r="G12" s="10">
        <f>+Sensitivity!G24</f>
        <v>11.01</v>
      </c>
      <c r="H12" s="10">
        <f>+Sensitivity!H24</f>
        <v>27.61</v>
      </c>
      <c r="I12" s="10">
        <f>+Sensitivity!I24</f>
        <v>8.67</v>
      </c>
      <c r="J12" s="10">
        <f>+Sensitivity!J24</f>
        <v>17.649999999999999</v>
      </c>
      <c r="K12" s="10">
        <f>+Sensitivity!K24</f>
        <v>28.21</v>
      </c>
      <c r="L12" s="10">
        <f>+Sensitivity!L24</f>
        <v>28.21</v>
      </c>
      <c r="M12" s="10">
        <f>+Sensitivity!M24</f>
        <v>27.07</v>
      </c>
      <c r="N12" s="10">
        <f>+Sensitivity!N24</f>
        <v>12.68</v>
      </c>
      <c r="O12" s="10">
        <f>+Sensitivity!O24</f>
        <v>7.11</v>
      </c>
      <c r="P12" s="10">
        <f>+Sensitivity!P24</f>
        <v>21.81</v>
      </c>
      <c r="Q12" s="10">
        <f>+Sensitivity!Q24</f>
        <v>18.84</v>
      </c>
      <c r="R12" s="10">
        <f>+Sensitivity!R24</f>
        <v>20.61</v>
      </c>
      <c r="S12" s="10">
        <f>+Sensitivity!S24</f>
        <v>4.29</v>
      </c>
      <c r="T12" s="10">
        <f>+Sensitivity!T24</f>
        <v>19.07</v>
      </c>
      <c r="U12" s="10">
        <f>+Sensitivity!U24</f>
        <v>19.850000000000001</v>
      </c>
      <c r="V12" s="10">
        <f>+Sensitivity!V24</f>
        <v>4.0599999999999996</v>
      </c>
    </row>
    <row r="13" spans="1:22">
      <c r="B13" s="46"/>
      <c r="C13" s="46"/>
      <c r="D13" s="46"/>
      <c r="E13" s="46"/>
      <c r="F13" s="156"/>
      <c r="G13" s="46"/>
      <c r="H13" s="46"/>
      <c r="I13" s="46"/>
      <c r="J13" s="73"/>
      <c r="K13" s="46"/>
      <c r="L13" s="257"/>
      <c r="M13" s="46"/>
      <c r="N13" s="46"/>
      <c r="O13" s="156"/>
      <c r="P13" s="46"/>
      <c r="Q13" s="46"/>
      <c r="R13" s="156"/>
      <c r="S13" s="46"/>
      <c r="T13" s="46"/>
      <c r="U13" s="46"/>
      <c r="V13" s="46"/>
    </row>
    <row r="14" spans="1:22">
      <c r="A14" s="46" t="s">
        <v>123</v>
      </c>
      <c r="B14" s="13">
        <v>55.58</v>
      </c>
      <c r="C14" s="46"/>
      <c r="D14" s="46"/>
      <c r="E14" s="46"/>
      <c r="F14" s="156"/>
      <c r="G14" s="46"/>
      <c r="H14" s="46"/>
      <c r="I14" s="46"/>
      <c r="J14" s="73"/>
      <c r="K14" s="46"/>
      <c r="L14" s="257"/>
      <c r="M14" s="46"/>
      <c r="N14" s="46"/>
      <c r="O14" s="156"/>
      <c r="P14" s="46"/>
      <c r="Q14" s="46"/>
      <c r="R14" s="156"/>
      <c r="S14" s="46"/>
      <c r="T14" s="46"/>
      <c r="U14" s="46"/>
      <c r="V14" s="46"/>
    </row>
    <row r="15" spans="1:22">
      <c r="A15" s="46" t="s">
        <v>0</v>
      </c>
      <c r="B15" s="74">
        <f>+B14*0.45</f>
        <v>25.010999999999999</v>
      </c>
      <c r="C15" s="46"/>
      <c r="D15" s="46"/>
      <c r="E15" s="46"/>
      <c r="F15" s="156"/>
      <c r="G15" s="46"/>
      <c r="H15" s="46"/>
      <c r="I15" s="46"/>
      <c r="J15" s="73"/>
      <c r="K15" s="46"/>
      <c r="L15" s="257"/>
      <c r="M15" s="46"/>
      <c r="N15" s="46"/>
      <c r="O15" s="156"/>
      <c r="P15" s="46"/>
      <c r="Q15" s="46"/>
      <c r="R15" s="156"/>
      <c r="S15" s="46"/>
      <c r="T15" s="46"/>
      <c r="U15" s="46"/>
      <c r="V15" s="46"/>
    </row>
    <row r="16" spans="1:22">
      <c r="A16" s="46" t="s">
        <v>124</v>
      </c>
      <c r="B16" s="13">
        <v>2.5099999999999998</v>
      </c>
      <c r="C16" s="46"/>
      <c r="D16" s="46"/>
      <c r="E16" s="46"/>
      <c r="F16" s="156"/>
      <c r="G16" s="46"/>
      <c r="H16" s="46"/>
      <c r="I16" s="46"/>
      <c r="J16" s="73"/>
      <c r="K16" s="46"/>
      <c r="L16" s="257"/>
      <c r="M16" s="46"/>
      <c r="N16" s="46"/>
      <c r="O16" s="156"/>
      <c r="P16" s="46"/>
      <c r="Q16" s="46"/>
      <c r="R16" s="156"/>
      <c r="S16" s="46"/>
      <c r="T16" s="46"/>
      <c r="U16" s="46"/>
      <c r="V16" s="46"/>
    </row>
    <row r="17" spans="1:22">
      <c r="B17" s="155"/>
      <c r="C17" s="46"/>
      <c r="D17" s="46"/>
      <c r="E17" s="46"/>
      <c r="F17" s="156"/>
      <c r="G17" s="46"/>
      <c r="H17" s="46"/>
      <c r="I17" s="46"/>
      <c r="J17" s="73"/>
      <c r="K17" s="46"/>
      <c r="L17" s="257"/>
      <c r="M17" s="46"/>
      <c r="N17" s="46"/>
      <c r="O17" s="156"/>
      <c r="P17" s="46"/>
      <c r="Q17" s="46"/>
      <c r="R17" s="156"/>
      <c r="S17" s="46"/>
      <c r="T17" s="46"/>
      <c r="U17" s="46"/>
      <c r="V17" s="46"/>
    </row>
    <row r="18" spans="1:22">
      <c r="A18" s="84"/>
      <c r="B18" s="156"/>
      <c r="C18" s="156"/>
      <c r="D18" s="156"/>
      <c r="E18" s="156"/>
      <c r="F18" s="156"/>
      <c r="G18" s="156"/>
      <c r="H18" s="156"/>
      <c r="I18" s="156"/>
      <c r="J18" s="156"/>
      <c r="K18" s="156"/>
      <c r="L18" s="257"/>
      <c r="M18" s="156"/>
      <c r="N18" s="156"/>
      <c r="O18" s="156"/>
      <c r="P18" s="156"/>
      <c r="Q18" s="156"/>
      <c r="R18" s="156"/>
      <c r="S18" s="156"/>
      <c r="T18" s="156"/>
      <c r="U18" s="156"/>
      <c r="V18" s="156"/>
    </row>
    <row r="19" spans="1:22">
      <c r="B19" s="156"/>
      <c r="C19" s="46"/>
      <c r="D19" s="46"/>
      <c r="E19" s="46"/>
      <c r="F19" s="156"/>
      <c r="G19" s="46"/>
      <c r="H19" s="46"/>
      <c r="I19" s="46"/>
      <c r="J19" s="73"/>
      <c r="K19" s="46"/>
      <c r="L19" s="257"/>
      <c r="M19" s="46"/>
      <c r="N19" s="46"/>
      <c r="O19" s="156"/>
      <c r="P19" s="46"/>
      <c r="Q19" s="46"/>
      <c r="R19" s="156"/>
      <c r="S19" s="46"/>
      <c r="T19" s="46"/>
      <c r="U19" s="46"/>
      <c r="V19" s="46"/>
    </row>
    <row r="20" spans="1:22">
      <c r="B20" s="8" t="str">
        <f>+B2</f>
        <v>AR</v>
      </c>
      <c r="C20" s="8" t="str">
        <f t="shared" ref="C20:V20" si="4">+C2</f>
        <v>APA</v>
      </c>
      <c r="D20" s="8" t="str">
        <f t="shared" si="4"/>
        <v>CNQCN</v>
      </c>
      <c r="E20" s="8" t="str">
        <f t="shared" si="4"/>
        <v>CVECN</v>
      </c>
      <c r="F20" s="8" t="str">
        <f>+F2</f>
        <v>CHK</v>
      </c>
      <c r="G20" s="8" t="str">
        <f t="shared" si="4"/>
        <v>XEC</v>
      </c>
      <c r="H20" s="8" t="str">
        <f t="shared" si="4"/>
        <v>COP</v>
      </c>
      <c r="I20" s="8" t="str">
        <f t="shared" si="4"/>
        <v>CLR</v>
      </c>
      <c r="J20" s="8" t="str">
        <f t="shared" si="4"/>
        <v>CXO</v>
      </c>
      <c r="K20" s="8" t="str">
        <f t="shared" si="4"/>
        <v>DVN</v>
      </c>
      <c r="L20" s="8" t="str">
        <f t="shared" ref="L20" si="5">+L2</f>
        <v>FANG</v>
      </c>
      <c r="M20" s="8" t="str">
        <f t="shared" si="4"/>
        <v>ECACN</v>
      </c>
      <c r="N20" s="8" t="str">
        <f t="shared" si="4"/>
        <v>EOG</v>
      </c>
      <c r="O20" s="8" t="str">
        <f>+O2</f>
        <v>EQT</v>
      </c>
      <c r="P20" s="8" t="str">
        <f t="shared" si="4"/>
        <v>HES</v>
      </c>
      <c r="Q20" s="8" t="str">
        <f t="shared" si="4"/>
        <v>MRO</v>
      </c>
      <c r="R20" s="8" t="str">
        <f>+R2</f>
        <v>MUR</v>
      </c>
      <c r="S20" s="8" t="str">
        <f t="shared" si="4"/>
        <v>NBL</v>
      </c>
      <c r="T20" s="8" t="str">
        <f t="shared" si="4"/>
        <v>OXY</v>
      </c>
      <c r="U20" s="8" t="str">
        <f t="shared" si="4"/>
        <v>PXD</v>
      </c>
      <c r="V20" s="8" t="str">
        <f t="shared" si="4"/>
        <v>SWN</v>
      </c>
    </row>
    <row r="21" spans="1:22">
      <c r="B21" s="10">
        <f>+B6</f>
        <v>-0.41268531816725762</v>
      </c>
      <c r="C21" s="10">
        <f t="shared" ref="C21:V21" si="6">+C6</f>
        <v>0.5170448353881909</v>
      </c>
      <c r="D21" s="10">
        <f t="shared" si="6"/>
        <v>11.514157515408201</v>
      </c>
      <c r="E21" s="10">
        <f t="shared" si="6"/>
        <v>10.336316420480479</v>
      </c>
      <c r="F21" s="10">
        <f>+F6</f>
        <v>-5.4593922738978975</v>
      </c>
      <c r="G21" s="10">
        <f t="shared" si="6"/>
        <v>5.6369828451406754</v>
      </c>
      <c r="H21" s="10">
        <f t="shared" si="6"/>
        <v>16.945312658207691</v>
      </c>
      <c r="I21" s="10">
        <f t="shared" si="6"/>
        <v>6.9922920016301955</v>
      </c>
      <c r="J21" s="10">
        <f t="shared" si="6"/>
        <v>6.5518533105863348</v>
      </c>
      <c r="K21" s="10">
        <f t="shared" si="6"/>
        <v>3.6875237223493542</v>
      </c>
      <c r="L21" s="10">
        <f t="shared" ref="L21" si="7">+L6</f>
        <v>14.255282470374196</v>
      </c>
      <c r="M21" s="10">
        <f t="shared" si="6"/>
        <v>4.6062189794310129</v>
      </c>
      <c r="N21" s="10">
        <f t="shared" si="6"/>
        <v>11.785024637739062</v>
      </c>
      <c r="O21" s="10">
        <f>+O6</f>
        <v>-2.0121718721278938</v>
      </c>
      <c r="P21" s="10">
        <f t="shared" si="6"/>
        <v>0.21359459019822324</v>
      </c>
      <c r="Q21" s="10">
        <f t="shared" si="6"/>
        <v>3.1521677721420147</v>
      </c>
      <c r="R21" s="10">
        <f>+R6</f>
        <v>10.66257673916185</v>
      </c>
      <c r="S21" s="10">
        <f t="shared" si="6"/>
        <v>-0.64896217560920277</v>
      </c>
      <c r="T21" s="10">
        <f t="shared" si="6"/>
        <v>2.7554264246517572</v>
      </c>
      <c r="U21" s="10">
        <f t="shared" si="6"/>
        <v>12.299542391414796</v>
      </c>
      <c r="V21" s="10">
        <f t="shared" si="6"/>
        <v>0.4961041984354857</v>
      </c>
    </row>
    <row r="22" spans="1:22">
      <c r="B22" s="156"/>
      <c r="C22" s="46"/>
      <c r="D22" s="46"/>
      <c r="E22" s="46"/>
      <c r="F22" s="156"/>
      <c r="G22" s="46"/>
      <c r="H22" s="46"/>
      <c r="I22" s="46"/>
      <c r="J22" s="73"/>
      <c r="K22" s="46"/>
      <c r="L22" s="257"/>
      <c r="M22" s="46"/>
      <c r="N22" s="46"/>
      <c r="O22" s="156"/>
      <c r="P22" s="46"/>
      <c r="Q22" s="46"/>
      <c r="R22" s="156"/>
      <c r="S22" s="46"/>
      <c r="T22" s="46"/>
      <c r="U22" s="46"/>
      <c r="V22" s="46"/>
    </row>
    <row r="23" spans="1:22">
      <c r="B23" s="8" t="str">
        <f>+B2</f>
        <v>AR</v>
      </c>
      <c r="C23" s="8" t="str">
        <f t="shared" ref="C23:V23" si="8">+C2</f>
        <v>APA</v>
      </c>
      <c r="D23" s="8" t="str">
        <f t="shared" si="8"/>
        <v>CNQCN</v>
      </c>
      <c r="E23" s="8" t="str">
        <f t="shared" si="8"/>
        <v>CVECN</v>
      </c>
      <c r="F23" s="8" t="str">
        <f>+F2</f>
        <v>CHK</v>
      </c>
      <c r="G23" s="8" t="str">
        <f t="shared" si="8"/>
        <v>XEC</v>
      </c>
      <c r="H23" s="8" t="str">
        <f t="shared" si="8"/>
        <v>COP</v>
      </c>
      <c r="I23" s="8" t="str">
        <f t="shared" si="8"/>
        <v>CLR</v>
      </c>
      <c r="J23" s="8" t="str">
        <f t="shared" si="8"/>
        <v>CXO</v>
      </c>
      <c r="K23" s="8" t="str">
        <f t="shared" si="8"/>
        <v>DVN</v>
      </c>
      <c r="L23" s="8" t="str">
        <f t="shared" ref="L23" si="9">+L2</f>
        <v>FANG</v>
      </c>
      <c r="M23" s="8" t="str">
        <f t="shared" si="8"/>
        <v>ECACN</v>
      </c>
      <c r="N23" s="8" t="str">
        <f t="shared" si="8"/>
        <v>EOG</v>
      </c>
      <c r="O23" s="8" t="str">
        <f>+O2</f>
        <v>EQT</v>
      </c>
      <c r="P23" s="8" t="str">
        <f t="shared" si="8"/>
        <v>HES</v>
      </c>
      <c r="Q23" s="8" t="str">
        <f t="shared" si="8"/>
        <v>MRO</v>
      </c>
      <c r="R23" s="8" t="str">
        <f>+R2</f>
        <v>MUR</v>
      </c>
      <c r="S23" s="8" t="str">
        <f t="shared" si="8"/>
        <v>NBL</v>
      </c>
      <c r="T23" s="8" t="str">
        <f t="shared" si="8"/>
        <v>OXY</v>
      </c>
      <c r="U23" s="8" t="str">
        <f t="shared" si="8"/>
        <v>PXD</v>
      </c>
      <c r="V23" s="8" t="str">
        <f t="shared" si="8"/>
        <v>SWN</v>
      </c>
    </row>
    <row r="24" spans="1:22">
      <c r="B24" s="31">
        <f>+B9</f>
        <v>5.6128041181890547</v>
      </c>
      <c r="C24" s="31">
        <f t="shared" ref="C24:V24" si="10">+C9</f>
        <v>7.8347967423551417</v>
      </c>
      <c r="D24" s="31">
        <f t="shared" si="10"/>
        <v>14.276653062427711</v>
      </c>
      <c r="E24" s="31">
        <f t="shared" si="10"/>
        <v>11.639347860967698</v>
      </c>
      <c r="F24" s="31">
        <f>+F9</f>
        <v>2.8799454463276826</v>
      </c>
      <c r="G24" s="31">
        <f t="shared" si="10"/>
        <v>16.328394818026521</v>
      </c>
      <c r="H24" s="31">
        <f t="shared" si="10"/>
        <v>21.080281782608694</v>
      </c>
      <c r="I24" s="31">
        <f t="shared" si="10"/>
        <v>11.24829201821119</v>
      </c>
      <c r="J24" s="31">
        <f t="shared" si="10"/>
        <v>15.930337406956523</v>
      </c>
      <c r="K24" s="31">
        <f t="shared" si="10"/>
        <v>10.117171800000001</v>
      </c>
      <c r="L24" s="31">
        <f t="shared" ref="L24" si="11">+L9</f>
        <v>20.176654395859643</v>
      </c>
      <c r="M24" s="31">
        <f t="shared" si="10"/>
        <v>9.0242047892255943</v>
      </c>
      <c r="N24" s="31">
        <f t="shared" si="10"/>
        <v>47.897813114588587</v>
      </c>
      <c r="O24" s="31">
        <f>+O9</f>
        <v>6.5184791548764371</v>
      </c>
      <c r="P24" s="31">
        <f t="shared" si="10"/>
        <v>7.8417032533333346</v>
      </c>
      <c r="Q24" s="31">
        <f t="shared" si="10"/>
        <v>12.654345187499995</v>
      </c>
      <c r="R24" s="31">
        <f>+R9</f>
        <v>18.476688113103254</v>
      </c>
      <c r="S24" s="31">
        <f t="shared" si="10"/>
        <v>7.2630703544769402</v>
      </c>
      <c r="T24" s="31">
        <f t="shared" si="10"/>
        <v>5.5469160769903771</v>
      </c>
      <c r="U24" s="31">
        <f t="shared" si="10"/>
        <v>29.350655140137924</v>
      </c>
      <c r="V24" s="31">
        <f t="shared" si="10"/>
        <v>9.2176777058823465</v>
      </c>
    </row>
    <row r="25" spans="1:22">
      <c r="B25" s="156"/>
      <c r="C25" s="46"/>
      <c r="D25" s="46"/>
      <c r="E25" s="46"/>
      <c r="F25" s="156"/>
      <c r="G25" s="46"/>
      <c r="H25" s="46"/>
      <c r="I25" s="46"/>
      <c r="J25" s="73"/>
      <c r="K25" s="46"/>
      <c r="L25" s="257"/>
      <c r="M25" s="46"/>
      <c r="N25" s="46"/>
      <c r="O25" s="156"/>
      <c r="P25" s="46"/>
      <c r="Q25" s="46"/>
      <c r="R25" s="156"/>
      <c r="S25" s="46"/>
      <c r="T25" s="46"/>
      <c r="U25" s="46"/>
      <c r="V25" s="46"/>
    </row>
    <row r="26" spans="1:22">
      <c r="A26" s="45"/>
      <c r="B26" s="156"/>
      <c r="C26" s="279" t="s">
        <v>79</v>
      </c>
      <c r="D26" s="279"/>
      <c r="E26" s="279"/>
      <c r="F26" s="279"/>
      <c r="G26" s="279"/>
      <c r="H26" s="279"/>
      <c r="I26" s="279"/>
      <c r="J26" s="279"/>
      <c r="K26" s="279"/>
      <c r="L26" s="279"/>
      <c r="M26" s="279"/>
      <c r="N26" s="279"/>
      <c r="O26" s="279"/>
      <c r="P26" s="279"/>
      <c r="Q26" s="46"/>
      <c r="R26" s="156"/>
      <c r="S26" s="46"/>
      <c r="T26" s="46"/>
      <c r="U26" s="46"/>
      <c r="V26" s="46"/>
    </row>
    <row r="27" spans="1:22">
      <c r="A27" s="9"/>
      <c r="B27" s="155"/>
      <c r="C27" s="32"/>
      <c r="D27" s="32"/>
      <c r="E27" s="32"/>
      <c r="F27" s="155"/>
      <c r="G27" s="32"/>
      <c r="H27" s="32"/>
      <c r="I27" s="32"/>
      <c r="J27" s="32"/>
      <c r="K27" s="32"/>
      <c r="L27" s="256"/>
      <c r="M27" s="32"/>
      <c r="N27" s="32"/>
      <c r="O27" s="155"/>
      <c r="P27" s="32"/>
      <c r="Q27" s="32"/>
      <c r="R27" s="155"/>
      <c r="S27" s="32"/>
      <c r="T27" s="32"/>
      <c r="U27" s="32"/>
      <c r="V27" s="32"/>
    </row>
    <row r="28" spans="1:22">
      <c r="A28" s="9"/>
      <c r="B28" s="155"/>
      <c r="C28" s="32"/>
      <c r="D28" s="32"/>
      <c r="E28" s="32"/>
      <c r="F28" s="155"/>
      <c r="G28" s="32"/>
      <c r="H28" s="32"/>
      <c r="I28" s="32"/>
      <c r="J28" s="32"/>
      <c r="K28" s="32"/>
      <c r="L28" s="256"/>
      <c r="M28" s="32"/>
      <c r="N28" s="32"/>
      <c r="O28" s="155"/>
      <c r="P28" s="32"/>
      <c r="Q28" s="32"/>
      <c r="R28" s="155"/>
      <c r="S28" s="32"/>
      <c r="T28" s="32"/>
      <c r="U28" s="32"/>
      <c r="V28" s="32"/>
    </row>
    <row r="29" spans="1:22">
      <c r="A29" s="9"/>
      <c r="B29" s="155"/>
      <c r="C29" s="32"/>
      <c r="D29" s="32"/>
      <c r="E29" s="32"/>
      <c r="F29" s="155"/>
      <c r="G29" s="32"/>
      <c r="H29" s="32"/>
      <c r="I29" s="32"/>
      <c r="J29" s="32"/>
      <c r="K29" s="32"/>
      <c r="L29" s="256"/>
      <c r="M29" s="32"/>
      <c r="N29" s="32"/>
      <c r="O29" s="155"/>
      <c r="P29" s="32"/>
      <c r="Q29" s="32"/>
      <c r="R29" s="155"/>
      <c r="S29" s="32"/>
      <c r="T29" s="32"/>
      <c r="U29" s="32"/>
      <c r="V29" s="32"/>
    </row>
    <row r="30" spans="1:22">
      <c r="A30" s="9"/>
      <c r="B30" s="155"/>
      <c r="C30" s="32"/>
      <c r="D30" s="32"/>
      <c r="E30" s="32"/>
      <c r="F30" s="155"/>
      <c r="G30" s="32"/>
      <c r="H30" s="32"/>
      <c r="I30" s="32"/>
      <c r="J30" s="32"/>
      <c r="K30" s="32"/>
      <c r="L30" s="256"/>
      <c r="M30" s="32"/>
      <c r="N30" s="32"/>
      <c r="O30" s="155"/>
      <c r="P30" s="32"/>
      <c r="Q30" s="32"/>
      <c r="R30" s="155"/>
      <c r="S30" s="32"/>
      <c r="T30" s="32"/>
      <c r="U30" s="32"/>
      <c r="V30" s="32"/>
    </row>
    <row r="31" spans="1:22">
      <c r="A31" s="9"/>
      <c r="B31" s="155"/>
      <c r="C31" s="32"/>
      <c r="D31" s="32"/>
      <c r="E31" s="32"/>
      <c r="F31" s="155"/>
      <c r="G31" s="32"/>
      <c r="H31" s="32"/>
      <c r="I31" s="32"/>
      <c r="J31" s="32"/>
      <c r="K31" s="32"/>
      <c r="L31" s="256"/>
      <c r="M31" s="32"/>
      <c r="N31" s="32"/>
      <c r="O31" s="155"/>
      <c r="P31" s="32"/>
      <c r="Q31" s="32"/>
      <c r="R31" s="155"/>
      <c r="S31" s="32"/>
      <c r="T31" s="32"/>
      <c r="U31" s="32"/>
      <c r="V31" s="32"/>
    </row>
    <row r="32" spans="1:22">
      <c r="A32" s="9"/>
      <c r="B32" s="155"/>
      <c r="C32" s="32"/>
      <c r="D32" s="32"/>
      <c r="E32" s="32"/>
      <c r="F32" s="155"/>
      <c r="G32" s="32"/>
      <c r="H32" s="32"/>
      <c r="I32" s="32"/>
      <c r="J32" s="32"/>
      <c r="K32" s="32"/>
      <c r="L32" s="256"/>
      <c r="M32" s="32"/>
      <c r="N32" s="32"/>
      <c r="O32" s="155"/>
      <c r="P32" s="32"/>
      <c r="Q32" s="32"/>
      <c r="R32" s="155"/>
      <c r="S32" s="32"/>
      <c r="T32" s="32"/>
      <c r="U32" s="32"/>
      <c r="V32" s="32"/>
    </row>
    <row r="33" spans="1:22">
      <c r="A33" s="9"/>
      <c r="B33" s="155"/>
      <c r="C33" s="32"/>
      <c r="D33" s="32"/>
      <c r="E33" s="32"/>
      <c r="F33" s="155"/>
      <c r="G33" s="32"/>
      <c r="H33" s="32"/>
      <c r="I33" s="32"/>
      <c r="J33" s="32"/>
      <c r="K33" s="32"/>
      <c r="L33" s="256"/>
      <c r="M33" s="32"/>
      <c r="N33" s="32"/>
      <c r="O33" s="155"/>
      <c r="P33" s="32"/>
      <c r="Q33" s="32"/>
      <c r="R33" s="155"/>
      <c r="S33" s="32"/>
      <c r="T33" s="32"/>
      <c r="U33" s="32"/>
      <c r="V33" s="32"/>
    </row>
    <row r="34" spans="1:22">
      <c r="A34" s="9"/>
      <c r="B34" s="155"/>
      <c r="C34" s="32"/>
      <c r="D34" s="32"/>
      <c r="E34" s="32"/>
      <c r="F34" s="155"/>
      <c r="G34" s="32"/>
      <c r="H34" s="32"/>
      <c r="I34" s="32"/>
      <c r="J34" s="32"/>
      <c r="K34" s="32"/>
      <c r="L34" s="256"/>
      <c r="M34" s="32"/>
      <c r="N34" s="32"/>
      <c r="O34" s="155"/>
      <c r="P34" s="32"/>
      <c r="Q34" s="32"/>
      <c r="R34" s="155"/>
      <c r="S34" s="32"/>
      <c r="T34" s="32"/>
      <c r="U34" s="32"/>
      <c r="V34" s="32"/>
    </row>
    <row r="35" spans="1:22">
      <c r="A35" s="9"/>
      <c r="B35" s="155"/>
      <c r="C35" s="32"/>
      <c r="D35" s="32"/>
      <c r="E35" s="32"/>
      <c r="F35" s="155"/>
      <c r="G35" s="32"/>
      <c r="H35" s="32"/>
      <c r="I35" s="32"/>
      <c r="J35" s="32"/>
      <c r="K35" s="32"/>
      <c r="L35" s="256"/>
      <c r="M35" s="32"/>
      <c r="N35" s="32"/>
      <c r="O35" s="155"/>
      <c r="P35" s="32"/>
      <c r="Q35" s="32"/>
      <c r="R35" s="155"/>
      <c r="S35" s="32"/>
      <c r="T35" s="32"/>
      <c r="U35" s="32"/>
      <c r="V35" s="32"/>
    </row>
    <row r="36" spans="1:22">
      <c r="A36" s="9"/>
      <c r="B36" s="155"/>
      <c r="C36" s="32"/>
      <c r="D36" s="32"/>
      <c r="E36" s="32"/>
      <c r="F36" s="155"/>
      <c r="G36" s="32"/>
      <c r="H36" s="32"/>
      <c r="I36" s="32"/>
      <c r="J36" s="32"/>
      <c r="K36" s="32"/>
      <c r="L36" s="256"/>
      <c r="M36" s="32"/>
      <c r="N36" s="32"/>
      <c r="O36" s="155"/>
      <c r="P36" s="32"/>
      <c r="Q36" s="32"/>
      <c r="R36" s="155"/>
      <c r="S36" s="32"/>
      <c r="T36" s="32"/>
      <c r="U36" s="32"/>
      <c r="V36" s="32"/>
    </row>
    <row r="37" spans="1:22">
      <c r="A37" s="9"/>
      <c r="B37" s="155"/>
      <c r="C37" s="32"/>
      <c r="D37" s="32"/>
      <c r="E37" s="32"/>
      <c r="F37" s="155"/>
      <c r="G37" s="32"/>
      <c r="H37" s="32"/>
      <c r="I37" s="32"/>
      <c r="J37" s="32"/>
      <c r="K37" s="32"/>
      <c r="L37" s="256"/>
      <c r="M37" s="32"/>
      <c r="N37" s="32"/>
      <c r="O37" s="155"/>
      <c r="P37" s="32"/>
      <c r="Q37" s="32"/>
      <c r="R37" s="155"/>
      <c r="S37" s="32"/>
      <c r="T37" s="32"/>
      <c r="U37" s="32"/>
      <c r="V37" s="32"/>
    </row>
    <row r="38" spans="1:22">
      <c r="A38" s="9"/>
      <c r="B38" s="155"/>
      <c r="C38" s="32"/>
      <c r="D38" s="32"/>
      <c r="E38" s="32"/>
      <c r="F38" s="155"/>
      <c r="G38" s="32"/>
      <c r="H38" s="32"/>
      <c r="I38" s="32"/>
      <c r="J38" s="32"/>
      <c r="K38" s="32"/>
      <c r="L38" s="256"/>
      <c r="M38" s="32"/>
      <c r="N38" s="32"/>
      <c r="O38" s="155"/>
      <c r="P38" s="32"/>
      <c r="Q38" s="32"/>
      <c r="R38" s="155"/>
      <c r="S38" s="32"/>
      <c r="T38" s="32"/>
      <c r="U38" s="32"/>
      <c r="V38" s="32"/>
    </row>
    <row r="39" spans="1:22">
      <c r="A39" s="9"/>
      <c r="B39" s="155"/>
      <c r="C39" s="32"/>
      <c r="D39" s="32"/>
      <c r="E39" s="32"/>
      <c r="F39" s="155"/>
      <c r="G39" s="32"/>
      <c r="H39" s="32"/>
      <c r="I39" s="32"/>
      <c r="J39" s="32"/>
      <c r="K39" s="32"/>
      <c r="L39" s="256"/>
      <c r="M39" s="32"/>
      <c r="N39" s="32"/>
      <c r="O39" s="155"/>
      <c r="P39" s="32"/>
      <c r="Q39" s="32"/>
      <c r="R39" s="155"/>
      <c r="S39" s="32"/>
      <c r="T39" s="32"/>
      <c r="U39" s="32"/>
      <c r="V39" s="32"/>
    </row>
    <row r="40" spans="1:22">
      <c r="A40" s="9"/>
      <c r="B40" s="155"/>
      <c r="C40" s="32"/>
      <c r="D40" s="32"/>
      <c r="E40" s="32"/>
      <c r="F40" s="155"/>
      <c r="G40" s="32"/>
      <c r="H40" s="32"/>
      <c r="I40" s="32"/>
      <c r="J40" s="32"/>
      <c r="K40" s="32"/>
      <c r="L40" s="256"/>
      <c r="M40" s="32"/>
      <c r="N40" s="32"/>
      <c r="O40" s="155"/>
      <c r="P40" s="32"/>
      <c r="Q40" s="32"/>
      <c r="R40" s="155"/>
      <c r="S40" s="32"/>
      <c r="T40" s="32"/>
      <c r="U40" s="32"/>
      <c r="V40" s="32"/>
    </row>
    <row r="41" spans="1:22" s="68" customFormat="1">
      <c r="A41" s="9"/>
      <c r="B41" s="155"/>
      <c r="C41" s="32"/>
      <c r="D41" s="32"/>
      <c r="E41" s="32"/>
      <c r="F41" s="155"/>
      <c r="G41" s="32"/>
      <c r="H41" s="32"/>
      <c r="I41" s="32"/>
      <c r="J41" s="32"/>
      <c r="K41" s="32"/>
      <c r="L41" s="256"/>
      <c r="M41" s="32"/>
      <c r="N41" s="32"/>
      <c r="O41" s="155"/>
      <c r="P41" s="32"/>
      <c r="Q41" s="32"/>
      <c r="R41" s="155"/>
      <c r="S41" s="32"/>
      <c r="T41" s="32"/>
      <c r="U41" s="32"/>
      <c r="V41" s="32"/>
    </row>
    <row r="42" spans="1:22" s="68" customFormat="1">
      <c r="A42" s="9"/>
      <c r="B42" s="155"/>
      <c r="C42" s="279" t="s">
        <v>141</v>
      </c>
      <c r="D42" s="279"/>
      <c r="E42" s="279"/>
      <c r="F42" s="279"/>
      <c r="G42" s="279"/>
      <c r="H42" s="279"/>
      <c r="I42" s="279"/>
      <c r="J42" s="279"/>
      <c r="K42" s="279"/>
      <c r="L42" s="279"/>
      <c r="M42" s="279"/>
      <c r="N42" s="279"/>
      <c r="O42" s="279"/>
      <c r="P42" s="279"/>
      <c r="Q42" s="32"/>
      <c r="R42" s="155"/>
      <c r="S42" s="32"/>
      <c r="T42" s="32"/>
      <c r="U42" s="32"/>
      <c r="V42" s="32"/>
    </row>
    <row r="43" spans="1:22" s="68" customFormat="1">
      <c r="A43" s="9"/>
      <c r="B43" s="155"/>
      <c r="C43" s="32"/>
      <c r="D43" s="32"/>
      <c r="E43" s="32"/>
      <c r="F43" s="155"/>
      <c r="G43" s="32"/>
      <c r="H43" s="32"/>
      <c r="I43" s="32"/>
      <c r="J43" s="32"/>
      <c r="K43" s="32"/>
      <c r="L43" s="256"/>
      <c r="M43" s="32"/>
      <c r="N43" s="32"/>
      <c r="O43" s="155"/>
      <c r="P43" s="32"/>
      <c r="Q43" s="32"/>
      <c r="R43" s="155"/>
      <c r="S43" s="32"/>
      <c r="T43" s="32"/>
      <c r="U43" s="32"/>
      <c r="V43" s="32"/>
    </row>
    <row r="44" spans="1:22" s="68" customFormat="1">
      <c r="A44" s="9"/>
      <c r="B44" s="155"/>
      <c r="C44" s="32"/>
      <c r="D44" s="32"/>
      <c r="E44" s="32"/>
      <c r="F44" s="155"/>
      <c r="G44" s="32"/>
      <c r="H44" s="32"/>
      <c r="I44" s="32"/>
      <c r="J44" s="32"/>
      <c r="K44" s="32"/>
      <c r="L44" s="256"/>
      <c r="M44" s="32"/>
      <c r="N44" s="32"/>
      <c r="O44" s="155"/>
      <c r="P44" s="32"/>
      <c r="Q44" s="32"/>
      <c r="R44" s="155"/>
      <c r="S44" s="32"/>
      <c r="T44" s="32"/>
      <c r="U44" s="32"/>
      <c r="V44" s="32"/>
    </row>
    <row r="45" spans="1:22" s="68" customFormat="1">
      <c r="A45" s="9"/>
      <c r="B45" s="155"/>
      <c r="C45" s="32"/>
      <c r="D45" s="32"/>
      <c r="E45" s="32"/>
      <c r="F45" s="155"/>
      <c r="G45" s="32"/>
      <c r="H45" s="32"/>
      <c r="I45" s="32"/>
      <c r="J45" s="32"/>
      <c r="K45" s="32"/>
      <c r="L45" s="256"/>
      <c r="M45" s="32"/>
      <c r="N45" s="32"/>
      <c r="O45" s="155"/>
      <c r="P45" s="32"/>
      <c r="Q45" s="32"/>
      <c r="R45" s="155"/>
      <c r="S45" s="32"/>
      <c r="T45" s="32"/>
      <c r="U45" s="32"/>
      <c r="V45" s="32"/>
    </row>
    <row r="46" spans="1:22" s="68" customFormat="1">
      <c r="A46" s="9"/>
      <c r="B46" s="155"/>
      <c r="C46" s="32"/>
      <c r="D46" s="32"/>
      <c r="E46" s="32"/>
      <c r="F46" s="155"/>
      <c r="G46" s="32"/>
      <c r="H46" s="32"/>
      <c r="I46" s="32"/>
      <c r="J46" s="32"/>
      <c r="K46" s="32"/>
      <c r="L46" s="256"/>
      <c r="M46" s="32"/>
      <c r="N46" s="32"/>
      <c r="O46" s="155"/>
      <c r="P46" s="32"/>
      <c r="Q46" s="32"/>
      <c r="R46" s="155"/>
      <c r="S46" s="32"/>
      <c r="T46" s="32"/>
      <c r="U46" s="32"/>
      <c r="V46" s="32"/>
    </row>
    <row r="47" spans="1:22" s="68" customFormat="1">
      <c r="A47" s="9"/>
      <c r="B47" s="155"/>
      <c r="C47" s="32"/>
      <c r="D47" s="32"/>
      <c r="E47" s="32"/>
      <c r="F47" s="155"/>
      <c r="G47" s="32"/>
      <c r="H47" s="32"/>
      <c r="I47" s="32"/>
      <c r="J47" s="32"/>
      <c r="K47" s="32"/>
      <c r="L47" s="256"/>
      <c r="M47" s="32"/>
      <c r="N47" s="32"/>
      <c r="O47" s="155"/>
      <c r="P47" s="32"/>
      <c r="Q47" s="32"/>
      <c r="R47" s="155"/>
      <c r="S47" s="32"/>
      <c r="T47" s="32"/>
      <c r="U47" s="32"/>
      <c r="V47" s="32"/>
    </row>
    <row r="48" spans="1:22" s="68" customFormat="1">
      <c r="A48" s="9"/>
      <c r="B48" s="155"/>
      <c r="C48" s="32"/>
      <c r="D48" s="32"/>
      <c r="E48" s="32"/>
      <c r="F48" s="155"/>
      <c r="G48" s="32"/>
      <c r="H48" s="32"/>
      <c r="I48" s="32"/>
      <c r="J48" s="32"/>
      <c r="K48" s="32"/>
      <c r="L48" s="256"/>
      <c r="M48" s="32"/>
      <c r="N48" s="32"/>
      <c r="O48" s="155"/>
      <c r="P48" s="32"/>
      <c r="Q48" s="32"/>
      <c r="R48" s="155"/>
      <c r="S48" s="32"/>
      <c r="T48" s="32"/>
      <c r="U48" s="32"/>
      <c r="V48" s="32"/>
    </row>
    <row r="49" spans="1:22" s="68" customFormat="1">
      <c r="A49" s="9"/>
      <c r="B49" s="155"/>
      <c r="C49" s="32"/>
      <c r="D49" s="32"/>
      <c r="E49" s="32"/>
      <c r="F49" s="155"/>
      <c r="G49" s="32"/>
      <c r="H49" s="32"/>
      <c r="I49" s="32"/>
      <c r="J49" s="32"/>
      <c r="K49" s="32"/>
      <c r="L49" s="256"/>
      <c r="M49" s="32"/>
      <c r="N49" s="32"/>
      <c r="O49" s="155"/>
      <c r="P49" s="32"/>
      <c r="Q49" s="32"/>
      <c r="R49" s="155"/>
      <c r="S49" s="32"/>
      <c r="T49" s="32"/>
      <c r="U49" s="32"/>
      <c r="V49" s="32"/>
    </row>
    <row r="50" spans="1:22" s="68" customFormat="1">
      <c r="A50" s="9"/>
      <c r="B50" s="155"/>
      <c r="C50" s="32"/>
      <c r="D50" s="32"/>
      <c r="E50" s="32"/>
      <c r="F50" s="155"/>
      <c r="G50" s="32"/>
      <c r="H50" s="32"/>
      <c r="I50" s="32"/>
      <c r="J50" s="32"/>
      <c r="K50" s="32"/>
      <c r="L50" s="256"/>
      <c r="M50" s="32"/>
      <c r="N50" s="32"/>
      <c r="O50" s="155"/>
      <c r="P50" s="32"/>
      <c r="Q50" s="32"/>
      <c r="R50" s="155"/>
      <c r="S50" s="32"/>
      <c r="T50" s="32"/>
      <c r="U50" s="32"/>
      <c r="V50" s="32"/>
    </row>
    <row r="51" spans="1:22" s="68" customFormat="1">
      <c r="A51" s="9"/>
      <c r="B51" s="155"/>
      <c r="C51" s="32"/>
      <c r="D51" s="32"/>
      <c r="E51" s="32"/>
      <c r="F51" s="155"/>
      <c r="G51" s="32"/>
      <c r="H51" s="32"/>
      <c r="I51" s="32"/>
      <c r="J51" s="32"/>
      <c r="K51" s="32"/>
      <c r="L51" s="256"/>
      <c r="M51" s="32"/>
      <c r="N51" s="32"/>
      <c r="O51" s="155"/>
      <c r="P51" s="32"/>
      <c r="Q51" s="32"/>
      <c r="R51" s="155"/>
      <c r="S51" s="32"/>
      <c r="T51" s="32"/>
      <c r="U51" s="32"/>
      <c r="V51" s="32"/>
    </row>
    <row r="52" spans="1:22" s="68" customFormat="1">
      <c r="A52" s="9"/>
      <c r="B52" s="155"/>
      <c r="C52" s="32"/>
      <c r="D52" s="32"/>
      <c r="E52" s="32"/>
      <c r="F52" s="155"/>
      <c r="G52" s="32"/>
      <c r="H52" s="32"/>
      <c r="I52" s="32"/>
      <c r="J52" s="32"/>
      <c r="K52" s="32"/>
      <c r="L52" s="256"/>
      <c r="M52" s="32"/>
      <c r="N52" s="32"/>
      <c r="O52" s="155"/>
      <c r="P52" s="32"/>
      <c r="Q52" s="32"/>
      <c r="R52" s="155"/>
      <c r="S52" s="32"/>
      <c r="T52" s="32"/>
      <c r="U52" s="32"/>
      <c r="V52" s="32"/>
    </row>
    <row r="53" spans="1:22" s="68" customFormat="1">
      <c r="A53" s="9"/>
      <c r="B53" s="155"/>
      <c r="C53" s="32"/>
      <c r="D53" s="32"/>
      <c r="E53" s="32"/>
      <c r="F53" s="155"/>
      <c r="G53" s="32"/>
      <c r="H53" s="32"/>
      <c r="I53" s="32"/>
      <c r="J53" s="32"/>
      <c r="K53" s="32"/>
      <c r="L53" s="256"/>
      <c r="M53" s="32"/>
      <c r="N53" s="32"/>
      <c r="O53" s="155"/>
      <c r="P53" s="32"/>
      <c r="Q53" s="32"/>
      <c r="R53" s="155"/>
      <c r="S53" s="32"/>
      <c r="T53" s="32"/>
      <c r="U53" s="32"/>
      <c r="V53" s="32"/>
    </row>
    <row r="54" spans="1:22">
      <c r="A54" s="9"/>
      <c r="B54" s="155"/>
      <c r="C54" s="32"/>
      <c r="D54" s="32"/>
      <c r="E54" s="32"/>
      <c r="F54" s="155"/>
      <c r="G54" s="32"/>
      <c r="H54" s="32"/>
      <c r="I54" s="32"/>
      <c r="J54" s="32"/>
      <c r="K54" s="32"/>
      <c r="L54" s="256"/>
      <c r="M54" s="32"/>
      <c r="N54" s="32"/>
      <c r="O54" s="155"/>
      <c r="P54" s="32"/>
      <c r="Q54" s="32"/>
      <c r="R54" s="155"/>
      <c r="S54" s="32"/>
      <c r="T54" s="32"/>
      <c r="U54" s="32"/>
      <c r="V54" s="32"/>
    </row>
    <row r="55" spans="1:22">
      <c r="A55" s="9"/>
      <c r="B55" s="155"/>
      <c r="C55" s="32"/>
      <c r="D55" s="32"/>
      <c r="E55" s="32"/>
      <c r="F55" s="155"/>
      <c r="G55" s="32"/>
      <c r="H55" s="32"/>
      <c r="I55" s="32"/>
      <c r="J55" s="32"/>
      <c r="K55" s="32"/>
      <c r="L55" s="256"/>
      <c r="M55" s="32"/>
      <c r="N55" s="32"/>
      <c r="O55" s="155"/>
      <c r="P55" s="32"/>
      <c r="Q55" s="32"/>
      <c r="R55" s="155"/>
      <c r="S55" s="32"/>
      <c r="T55" s="32"/>
      <c r="U55" s="32"/>
      <c r="V55" s="32"/>
    </row>
    <row r="56" spans="1:22">
      <c r="A56" s="9"/>
      <c r="B56" s="155"/>
      <c r="C56" s="32"/>
      <c r="D56" s="32"/>
      <c r="E56" s="32"/>
      <c r="F56" s="155"/>
      <c r="G56" s="32"/>
      <c r="H56" s="32"/>
      <c r="I56" s="32"/>
      <c r="J56" s="32"/>
      <c r="K56" s="32"/>
      <c r="L56" s="256"/>
      <c r="M56" s="32"/>
      <c r="N56" s="32"/>
      <c r="O56" s="155"/>
      <c r="P56" s="32"/>
      <c r="Q56" s="32"/>
      <c r="R56" s="155"/>
      <c r="S56" s="32"/>
      <c r="T56" s="32"/>
      <c r="U56" s="32"/>
      <c r="V56" s="32"/>
    </row>
    <row r="57" spans="1:22">
      <c r="A57" s="9"/>
      <c r="B57" s="155"/>
      <c r="C57" s="32"/>
      <c r="D57" s="32"/>
      <c r="E57" s="32"/>
      <c r="F57" s="155"/>
      <c r="G57" s="32"/>
      <c r="H57" s="32"/>
      <c r="I57" s="32"/>
      <c r="J57" s="32"/>
      <c r="K57" s="32"/>
      <c r="L57" s="256"/>
      <c r="M57" s="32"/>
      <c r="N57" s="32"/>
      <c r="O57" s="155"/>
      <c r="P57" s="32"/>
      <c r="Q57" s="32"/>
      <c r="R57" s="155"/>
      <c r="S57" s="32"/>
      <c r="T57" s="32"/>
      <c r="U57" s="32"/>
      <c r="V57" s="32"/>
    </row>
    <row r="58" spans="1:22">
      <c r="A58" s="9"/>
      <c r="B58" s="155"/>
      <c r="C58" s="32"/>
      <c r="D58" s="32"/>
      <c r="E58" s="32"/>
      <c r="F58" s="155"/>
      <c r="G58" s="32"/>
      <c r="H58" s="32"/>
      <c r="I58" s="32"/>
      <c r="J58" s="32"/>
      <c r="K58" s="32"/>
      <c r="L58" s="256"/>
      <c r="M58" s="32"/>
      <c r="N58" s="32"/>
      <c r="O58" s="155"/>
      <c r="P58" s="32"/>
      <c r="Q58" s="32"/>
      <c r="R58" s="155"/>
      <c r="S58" s="32"/>
      <c r="T58" s="32"/>
      <c r="U58" s="32"/>
      <c r="V58" s="32"/>
    </row>
    <row r="59" spans="1:22">
      <c r="A59" s="6" t="s">
        <v>76</v>
      </c>
      <c r="B59" s="155"/>
      <c r="C59" s="32"/>
      <c r="D59" s="32"/>
      <c r="E59" s="32"/>
      <c r="F59" s="155"/>
      <c r="G59" s="32"/>
      <c r="H59" s="32"/>
      <c r="I59" s="32"/>
      <c r="J59" s="32"/>
      <c r="K59" s="32"/>
      <c r="L59" s="256"/>
      <c r="M59" s="32"/>
      <c r="N59" s="32"/>
      <c r="O59" s="155"/>
      <c r="P59" s="32"/>
      <c r="Q59" s="32"/>
      <c r="R59" s="155"/>
      <c r="S59" s="32"/>
      <c r="T59" s="32"/>
      <c r="U59" s="32"/>
      <c r="V59" s="32"/>
    </row>
    <row r="60" spans="1:22">
      <c r="A60" s="32"/>
      <c r="B60" s="9"/>
      <c r="C60" s="9"/>
      <c r="D60" s="9"/>
      <c r="E60" s="9"/>
      <c r="F60" s="9"/>
      <c r="G60" s="9"/>
      <c r="H60" s="9"/>
      <c r="I60" s="9"/>
      <c r="J60" s="9"/>
      <c r="K60" s="9"/>
      <c r="L60" s="9"/>
      <c r="M60" s="9"/>
      <c r="N60" s="9"/>
      <c r="O60" s="9"/>
      <c r="P60" s="9"/>
      <c r="Q60" s="9"/>
      <c r="R60" s="9"/>
      <c r="S60" s="9"/>
      <c r="T60" s="9"/>
      <c r="U60" s="9"/>
      <c r="V60" s="9"/>
    </row>
    <row r="61" spans="1:22">
      <c r="A61" s="32"/>
      <c r="B61" s="9"/>
      <c r="C61" s="9"/>
      <c r="D61" s="9"/>
      <c r="E61" s="9"/>
      <c r="F61" s="9"/>
      <c r="G61" s="9"/>
      <c r="H61" s="9"/>
      <c r="I61" s="9"/>
      <c r="J61" s="9"/>
      <c r="K61" s="9"/>
      <c r="L61" s="9"/>
      <c r="M61" s="9"/>
      <c r="N61" s="9"/>
      <c r="O61" s="9"/>
      <c r="P61" s="9"/>
      <c r="Q61" s="9"/>
      <c r="R61" s="9"/>
      <c r="S61" s="9"/>
      <c r="T61" s="9"/>
      <c r="U61" s="9"/>
      <c r="V61" s="9"/>
    </row>
    <row r="62" spans="1:22">
      <c r="A62" s="32"/>
      <c r="B62" s="9"/>
      <c r="C62" s="9"/>
      <c r="D62" s="9"/>
      <c r="E62" s="9"/>
      <c r="F62" s="9"/>
      <c r="G62" s="9"/>
      <c r="H62" s="9"/>
      <c r="I62" s="9"/>
      <c r="J62" s="9"/>
      <c r="K62" s="9"/>
      <c r="L62" s="9"/>
      <c r="M62" s="9"/>
      <c r="N62" s="9"/>
      <c r="O62" s="9"/>
      <c r="P62" s="9"/>
      <c r="Q62" s="9"/>
      <c r="R62" s="9"/>
      <c r="S62" s="9"/>
      <c r="T62" s="9"/>
      <c r="U62" s="9"/>
      <c r="V62" s="9"/>
    </row>
    <row r="63" spans="1:22">
      <c r="A63" s="32"/>
      <c r="B63" s="9"/>
      <c r="C63" s="9"/>
      <c r="D63" s="9"/>
      <c r="E63" s="9"/>
      <c r="F63" s="9"/>
      <c r="G63" s="9"/>
      <c r="H63" s="9"/>
      <c r="I63" s="9"/>
      <c r="J63" s="9"/>
      <c r="K63" s="9"/>
      <c r="L63" s="9"/>
      <c r="M63" s="9"/>
      <c r="N63" s="9"/>
      <c r="O63" s="9"/>
      <c r="P63" s="9"/>
      <c r="Q63" s="9"/>
      <c r="R63" s="9"/>
      <c r="S63" s="9"/>
      <c r="T63" s="9"/>
      <c r="U63" s="9"/>
      <c r="V63" s="9"/>
    </row>
    <row r="64" spans="1:22">
      <c r="A64" s="32"/>
      <c r="B64" s="9"/>
      <c r="C64" s="9"/>
      <c r="D64" s="9"/>
      <c r="E64" s="9"/>
      <c r="F64" s="9"/>
      <c r="G64" s="9"/>
      <c r="H64" s="9"/>
      <c r="I64" s="9"/>
      <c r="J64" s="9"/>
      <c r="K64" s="9"/>
      <c r="L64" s="9"/>
      <c r="M64" s="9"/>
      <c r="N64" s="9"/>
      <c r="O64" s="9"/>
      <c r="P64" s="9"/>
      <c r="Q64" s="9"/>
      <c r="R64" s="9"/>
      <c r="S64" s="9"/>
      <c r="T64" s="9"/>
      <c r="U64" s="9"/>
      <c r="V64" s="9"/>
    </row>
    <row r="65" spans="1:22">
      <c r="A65" s="32"/>
      <c r="B65" s="9"/>
      <c r="C65" s="9"/>
      <c r="D65" s="9"/>
      <c r="E65" s="9"/>
      <c r="F65" s="9"/>
      <c r="G65" s="9"/>
      <c r="H65" s="9"/>
      <c r="I65" s="9"/>
      <c r="J65" s="9"/>
      <c r="K65" s="9"/>
      <c r="L65" s="9"/>
      <c r="M65" s="9"/>
      <c r="N65" s="9"/>
      <c r="O65" s="9"/>
      <c r="P65" s="9"/>
      <c r="Q65" s="9"/>
      <c r="R65" s="9"/>
      <c r="S65" s="9"/>
      <c r="T65" s="9"/>
      <c r="U65" s="9"/>
      <c r="V65" s="9"/>
    </row>
    <row r="66" spans="1:22">
      <c r="A66" s="32"/>
      <c r="B66" s="9"/>
      <c r="C66" s="9"/>
      <c r="D66" s="9"/>
      <c r="E66" s="9"/>
      <c r="F66" s="9"/>
      <c r="G66" s="9"/>
      <c r="H66" s="9"/>
      <c r="I66" s="9"/>
      <c r="J66" s="9"/>
      <c r="K66" s="9"/>
      <c r="L66" s="9"/>
      <c r="M66" s="9"/>
      <c r="N66" s="9"/>
      <c r="O66" s="9"/>
      <c r="P66" s="9"/>
      <c r="Q66" s="9"/>
      <c r="R66" s="9"/>
      <c r="S66" s="9"/>
      <c r="T66" s="9"/>
      <c r="U66" s="9"/>
      <c r="V66" s="9"/>
    </row>
    <row r="67" spans="1:22">
      <c r="A67" s="32"/>
      <c r="B67" s="9"/>
      <c r="C67" s="9"/>
      <c r="D67" s="9"/>
      <c r="E67" s="9"/>
      <c r="F67" s="9"/>
      <c r="G67" s="9"/>
      <c r="H67" s="9"/>
      <c r="I67" s="9"/>
      <c r="J67" s="9"/>
      <c r="K67" s="9"/>
      <c r="L67" s="9"/>
      <c r="M67" s="9"/>
      <c r="N67" s="9"/>
      <c r="O67" s="9"/>
      <c r="P67" s="9"/>
      <c r="Q67" s="9"/>
      <c r="R67" s="9"/>
      <c r="S67" s="9"/>
      <c r="T67" s="9"/>
      <c r="U67" s="9"/>
      <c r="V67" s="9"/>
    </row>
    <row r="68" spans="1:22">
      <c r="A68" s="32"/>
      <c r="B68" s="9"/>
      <c r="C68" s="9"/>
      <c r="D68" s="9"/>
      <c r="E68" s="9"/>
      <c r="F68" s="9"/>
      <c r="G68" s="9"/>
      <c r="H68" s="9"/>
      <c r="I68" s="9"/>
      <c r="J68" s="9"/>
      <c r="K68" s="9"/>
      <c r="L68" s="9"/>
      <c r="M68" s="9"/>
      <c r="N68" s="9"/>
      <c r="O68" s="9"/>
      <c r="P68" s="9"/>
      <c r="Q68" s="9"/>
      <c r="R68" s="9"/>
      <c r="S68" s="9"/>
      <c r="T68" s="9"/>
      <c r="U68" s="9"/>
      <c r="V68" s="9"/>
    </row>
    <row r="69" spans="1:22">
      <c r="A69" s="32"/>
      <c r="B69" s="9"/>
      <c r="C69" s="9"/>
      <c r="D69" s="9"/>
      <c r="E69" s="9"/>
      <c r="F69" s="9"/>
      <c r="G69" s="9"/>
      <c r="H69" s="9"/>
      <c r="I69" s="9"/>
      <c r="J69" s="9"/>
      <c r="K69" s="9"/>
      <c r="L69" s="9"/>
      <c r="M69" s="9"/>
      <c r="N69" s="9"/>
      <c r="O69" s="9"/>
      <c r="P69" s="9"/>
      <c r="Q69" s="9"/>
      <c r="R69" s="9"/>
      <c r="S69" s="9"/>
      <c r="T69" s="9"/>
      <c r="U69" s="9"/>
      <c r="V69" s="9"/>
    </row>
    <row r="70" spans="1:22">
      <c r="A70" s="32"/>
      <c r="B70" s="9"/>
      <c r="C70" s="9"/>
      <c r="D70" s="9"/>
      <c r="E70" s="9"/>
      <c r="F70" s="9"/>
      <c r="G70" s="9"/>
      <c r="H70" s="9"/>
      <c r="I70" s="9"/>
      <c r="J70" s="9"/>
      <c r="K70" s="9"/>
      <c r="L70" s="9"/>
      <c r="M70" s="9"/>
      <c r="N70" s="9"/>
      <c r="O70" s="9"/>
      <c r="P70" s="9"/>
      <c r="Q70" s="9"/>
      <c r="R70" s="9"/>
      <c r="S70" s="9"/>
      <c r="T70" s="9"/>
      <c r="U70" s="9"/>
      <c r="V70" s="9"/>
    </row>
    <row r="71" spans="1:22">
      <c r="A71" s="32"/>
      <c r="B71" s="9"/>
      <c r="C71" s="9"/>
      <c r="D71" s="9"/>
      <c r="E71" s="9"/>
      <c r="F71" s="9"/>
      <c r="G71" s="9"/>
      <c r="H71" s="9"/>
      <c r="I71" s="9"/>
      <c r="J71" s="9"/>
      <c r="K71" s="9"/>
      <c r="L71" s="9"/>
      <c r="M71" s="9"/>
      <c r="N71" s="9"/>
      <c r="O71" s="9"/>
      <c r="P71" s="9"/>
      <c r="Q71" s="9"/>
      <c r="R71" s="9"/>
      <c r="S71" s="9"/>
      <c r="T71" s="9"/>
      <c r="U71" s="9"/>
      <c r="V71" s="9"/>
    </row>
    <row r="72" spans="1:22">
      <c r="A72" s="32"/>
      <c r="B72" s="9"/>
      <c r="C72" s="9"/>
      <c r="D72" s="9"/>
      <c r="E72" s="9"/>
      <c r="F72" s="9"/>
      <c r="G72" s="9"/>
      <c r="H72" s="9"/>
      <c r="I72" s="9"/>
      <c r="J72" s="9"/>
      <c r="K72" s="9"/>
      <c r="L72" s="9"/>
      <c r="M72" s="9"/>
      <c r="N72" s="9"/>
      <c r="O72" s="9"/>
      <c r="P72" s="9"/>
      <c r="Q72" s="9"/>
      <c r="R72" s="9"/>
      <c r="S72" s="9"/>
      <c r="T72" s="9"/>
      <c r="U72" s="9"/>
      <c r="V72" s="9"/>
    </row>
    <row r="73" spans="1:22">
      <c r="A73" s="32"/>
      <c r="B73" s="9"/>
      <c r="C73" s="9"/>
      <c r="D73" s="9"/>
      <c r="E73" s="9"/>
      <c r="F73" s="9"/>
      <c r="G73" s="9"/>
      <c r="H73" s="9"/>
      <c r="I73" s="9"/>
      <c r="J73" s="9"/>
      <c r="K73" s="9"/>
      <c r="L73" s="9"/>
      <c r="M73" s="9"/>
      <c r="N73" s="9"/>
      <c r="O73" s="9"/>
      <c r="P73" s="9"/>
      <c r="Q73" s="9"/>
      <c r="R73" s="9"/>
      <c r="S73" s="9"/>
      <c r="T73" s="9"/>
      <c r="U73" s="9"/>
      <c r="V73" s="9"/>
    </row>
    <row r="74" spans="1:22">
      <c r="A74" s="32"/>
      <c r="B74" s="9"/>
      <c r="C74" s="9"/>
      <c r="D74" s="9"/>
      <c r="E74" s="9"/>
      <c r="F74" s="9"/>
      <c r="G74" s="9"/>
      <c r="H74" s="9"/>
      <c r="I74" s="9"/>
      <c r="J74" s="9"/>
      <c r="K74" s="9"/>
      <c r="L74" s="9"/>
      <c r="M74" s="9"/>
      <c r="N74" s="9"/>
      <c r="O74" s="9"/>
      <c r="P74" s="9"/>
      <c r="Q74" s="9"/>
      <c r="R74" s="9"/>
      <c r="S74" s="9"/>
      <c r="T74" s="9"/>
      <c r="U74" s="9"/>
      <c r="V74" s="9"/>
    </row>
    <row r="75" spans="1:22">
      <c r="A75" s="32"/>
      <c r="B75" s="9"/>
      <c r="C75" s="9"/>
      <c r="D75" s="9"/>
      <c r="E75" s="9"/>
      <c r="F75" s="9"/>
      <c r="G75" s="9"/>
      <c r="H75" s="9"/>
      <c r="I75" s="9"/>
      <c r="J75" s="9"/>
      <c r="K75" s="9"/>
      <c r="L75" s="9"/>
      <c r="M75" s="9"/>
      <c r="N75" s="9"/>
      <c r="O75" s="9"/>
      <c r="P75" s="9"/>
      <c r="Q75" s="9"/>
      <c r="R75" s="9"/>
      <c r="S75" s="9"/>
      <c r="T75" s="9"/>
      <c r="U75" s="9"/>
      <c r="V75" s="9"/>
    </row>
    <row r="76" spans="1:22">
      <c r="A76" s="32"/>
      <c r="B76" s="9"/>
      <c r="C76" s="9"/>
      <c r="D76" s="9"/>
      <c r="E76" s="9"/>
      <c r="F76" s="9"/>
      <c r="G76" s="9"/>
      <c r="H76" s="9"/>
      <c r="I76" s="9"/>
      <c r="J76" s="9"/>
      <c r="K76" s="9"/>
      <c r="L76" s="9"/>
      <c r="M76" s="9"/>
      <c r="N76" s="9"/>
      <c r="O76" s="9"/>
      <c r="P76" s="9"/>
      <c r="Q76" s="9"/>
      <c r="R76" s="9"/>
      <c r="S76" s="9"/>
      <c r="T76" s="9"/>
      <c r="U76" s="9"/>
      <c r="V76" s="9"/>
    </row>
    <row r="77" spans="1:22">
      <c r="A77" s="32"/>
      <c r="B77" s="9"/>
      <c r="C77" s="9"/>
      <c r="D77" s="9"/>
      <c r="E77" s="9"/>
      <c r="F77" s="9"/>
      <c r="G77" s="9"/>
      <c r="H77" s="9"/>
      <c r="I77" s="9"/>
      <c r="J77" s="9"/>
      <c r="K77" s="9"/>
      <c r="L77" s="9"/>
      <c r="M77" s="9"/>
      <c r="N77" s="9"/>
      <c r="O77" s="9"/>
      <c r="P77" s="9"/>
      <c r="Q77" s="9"/>
      <c r="R77" s="9"/>
      <c r="S77" s="9"/>
      <c r="T77" s="9"/>
      <c r="U77" s="9"/>
      <c r="V77" s="9"/>
    </row>
    <row r="78" spans="1:22">
      <c r="A78" s="32"/>
      <c r="B78" s="9"/>
      <c r="C78" s="9"/>
      <c r="D78" s="9"/>
      <c r="E78" s="9"/>
      <c r="F78" s="9"/>
      <c r="G78" s="9"/>
      <c r="H78" s="9"/>
      <c r="I78" s="9"/>
      <c r="J78" s="9"/>
      <c r="K78" s="9"/>
      <c r="L78" s="9"/>
      <c r="M78" s="9"/>
      <c r="N78" s="9"/>
      <c r="O78" s="9"/>
      <c r="P78" s="9"/>
      <c r="Q78" s="9"/>
      <c r="R78" s="9"/>
      <c r="S78" s="9"/>
      <c r="T78" s="9"/>
      <c r="U78" s="9"/>
      <c r="V78" s="9"/>
    </row>
    <row r="79" spans="1:22">
      <c r="A79" s="32"/>
      <c r="B79" s="9"/>
      <c r="C79" s="9"/>
      <c r="D79" s="9"/>
      <c r="E79" s="9"/>
      <c r="F79" s="9"/>
      <c r="G79" s="9"/>
      <c r="H79" s="9"/>
      <c r="I79" s="9"/>
      <c r="J79" s="9"/>
      <c r="K79" s="9"/>
      <c r="L79" s="9"/>
      <c r="M79" s="9"/>
      <c r="N79" s="9"/>
      <c r="O79" s="9"/>
      <c r="P79" s="9"/>
      <c r="Q79" s="9"/>
      <c r="R79" s="9"/>
      <c r="S79" s="9"/>
      <c r="T79" s="9"/>
      <c r="U79" s="9"/>
      <c r="V79" s="9"/>
    </row>
    <row r="80" spans="1:22">
      <c r="A80" s="32"/>
      <c r="B80" s="9"/>
      <c r="C80" s="9"/>
      <c r="D80" s="9"/>
      <c r="E80" s="9"/>
      <c r="F80" s="9"/>
      <c r="G80" s="9"/>
      <c r="H80" s="9"/>
      <c r="I80" s="9"/>
      <c r="J80" s="9"/>
      <c r="K80" s="9"/>
      <c r="L80" s="9"/>
      <c r="M80" s="9"/>
      <c r="N80" s="9"/>
      <c r="O80" s="9"/>
      <c r="P80" s="9"/>
      <c r="Q80" s="9"/>
      <c r="R80" s="9"/>
      <c r="S80" s="9"/>
      <c r="T80" s="9"/>
      <c r="U80" s="9"/>
      <c r="V80" s="9"/>
    </row>
    <row r="81" spans="1:22">
      <c r="A81" s="32"/>
      <c r="B81" s="9"/>
      <c r="C81" s="9"/>
      <c r="D81" s="9"/>
      <c r="E81" s="9"/>
      <c r="F81" s="9"/>
      <c r="G81" s="9"/>
      <c r="H81" s="9"/>
      <c r="I81" s="9"/>
      <c r="J81" s="9"/>
      <c r="K81" s="9"/>
      <c r="L81" s="9"/>
      <c r="M81" s="9"/>
      <c r="N81" s="9"/>
      <c r="O81" s="9"/>
      <c r="P81" s="9"/>
      <c r="Q81" s="9"/>
      <c r="R81" s="9"/>
      <c r="S81" s="9"/>
      <c r="T81" s="9"/>
      <c r="U81" s="9"/>
      <c r="V81" s="9"/>
    </row>
    <row r="82" spans="1:22">
      <c r="A82" s="32"/>
      <c r="B82" s="9"/>
      <c r="C82" s="9"/>
      <c r="D82" s="9"/>
      <c r="E82" s="9"/>
      <c r="F82" s="9"/>
      <c r="G82" s="9"/>
      <c r="H82" s="9"/>
      <c r="I82" s="9"/>
      <c r="J82" s="9"/>
      <c r="K82" s="9"/>
      <c r="L82" s="9"/>
      <c r="M82" s="9"/>
      <c r="N82" s="9"/>
      <c r="O82" s="9"/>
      <c r="P82" s="9"/>
      <c r="Q82" s="9"/>
      <c r="R82" s="9"/>
      <c r="S82" s="9"/>
      <c r="T82" s="9"/>
      <c r="U82" s="9"/>
      <c r="V82" s="9"/>
    </row>
    <row r="83" spans="1:22">
      <c r="A83" s="32"/>
      <c r="B83" s="9"/>
      <c r="C83" s="9"/>
      <c r="D83" s="9"/>
      <c r="E83" s="9"/>
      <c r="F83" s="9"/>
      <c r="G83" s="9"/>
      <c r="H83" s="9"/>
      <c r="I83" s="9"/>
      <c r="J83" s="9"/>
      <c r="K83" s="9"/>
      <c r="L83" s="9"/>
      <c r="M83" s="9"/>
      <c r="N83" s="9"/>
      <c r="O83" s="9"/>
      <c r="P83" s="9"/>
      <c r="Q83" s="9"/>
      <c r="R83" s="9"/>
      <c r="S83" s="9"/>
      <c r="T83" s="9"/>
      <c r="U83" s="9"/>
      <c r="V83" s="9"/>
    </row>
    <row r="84" spans="1:22">
      <c r="A84" s="32"/>
      <c r="B84" s="9"/>
      <c r="C84" s="9"/>
      <c r="D84" s="9"/>
      <c r="E84" s="9"/>
      <c r="F84" s="9"/>
      <c r="G84" s="9"/>
      <c r="H84" s="9"/>
      <c r="I84" s="9"/>
      <c r="J84" s="9"/>
      <c r="K84" s="9"/>
      <c r="L84" s="9"/>
      <c r="M84" s="9"/>
      <c r="N84" s="9"/>
      <c r="O84" s="9"/>
      <c r="P84" s="9"/>
      <c r="Q84" s="9"/>
      <c r="R84" s="9"/>
      <c r="S84" s="9"/>
      <c r="T84" s="9"/>
      <c r="U84" s="9"/>
      <c r="V84" s="9"/>
    </row>
    <row r="85" spans="1:22">
      <c r="A85" s="32"/>
      <c r="B85" s="9"/>
      <c r="C85" s="9"/>
      <c r="D85" s="9"/>
      <c r="E85" s="9"/>
      <c r="F85" s="9"/>
      <c r="G85" s="9"/>
      <c r="H85" s="9"/>
      <c r="I85" s="9"/>
      <c r="J85" s="9"/>
      <c r="K85" s="9"/>
      <c r="L85" s="9"/>
      <c r="M85" s="9"/>
      <c r="N85" s="9"/>
      <c r="O85" s="9"/>
      <c r="P85" s="9"/>
      <c r="Q85" s="9"/>
      <c r="R85" s="9"/>
      <c r="S85" s="9"/>
      <c r="T85" s="9"/>
      <c r="U85" s="9"/>
      <c r="V85" s="9"/>
    </row>
    <row r="86" spans="1:22">
      <c r="A86" s="32"/>
      <c r="B86" s="9"/>
      <c r="C86" s="9"/>
      <c r="D86" s="9"/>
      <c r="E86" s="9"/>
      <c r="F86" s="9"/>
      <c r="G86" s="9"/>
      <c r="H86" s="9"/>
      <c r="I86" s="9"/>
      <c r="J86" s="9"/>
      <c r="K86" s="9"/>
      <c r="L86" s="9"/>
      <c r="M86" s="9"/>
      <c r="N86" s="9"/>
      <c r="O86" s="9"/>
      <c r="P86" s="9"/>
      <c r="Q86" s="9"/>
      <c r="R86" s="9"/>
      <c r="S86" s="9"/>
      <c r="T86" s="9"/>
      <c r="U86" s="9"/>
      <c r="V86" s="9"/>
    </row>
    <row r="87" spans="1:22">
      <c r="A87" s="32"/>
      <c r="B87" s="9"/>
      <c r="C87" s="9"/>
      <c r="D87" s="9"/>
      <c r="E87" s="9"/>
      <c r="F87" s="9"/>
      <c r="G87" s="9"/>
      <c r="H87" s="9"/>
      <c r="I87" s="9"/>
      <c r="J87" s="9"/>
      <c r="K87" s="9"/>
      <c r="L87" s="9"/>
      <c r="M87" s="9"/>
      <c r="N87" s="9"/>
      <c r="O87" s="9"/>
      <c r="P87" s="9"/>
      <c r="Q87" s="9"/>
      <c r="R87" s="9"/>
      <c r="S87" s="9"/>
      <c r="T87" s="9"/>
      <c r="U87" s="9"/>
      <c r="V87" s="9"/>
    </row>
    <row r="88" spans="1:22">
      <c r="A88" s="32"/>
      <c r="B88" s="9"/>
      <c r="C88" s="9"/>
      <c r="D88" s="9"/>
      <c r="E88" s="9"/>
      <c r="F88" s="9"/>
      <c r="G88" s="9"/>
      <c r="H88" s="9"/>
      <c r="I88" s="9"/>
      <c r="J88" s="9"/>
      <c r="K88" s="9"/>
      <c r="L88" s="9"/>
      <c r="M88" s="9"/>
      <c r="N88" s="9"/>
      <c r="O88" s="9"/>
      <c r="P88" s="9"/>
      <c r="Q88" s="9"/>
      <c r="R88" s="9"/>
      <c r="S88" s="9"/>
      <c r="T88" s="9"/>
      <c r="U88" s="9"/>
      <c r="V88" s="9"/>
    </row>
    <row r="89" spans="1:22">
      <c r="A89" s="32"/>
      <c r="B89" s="9"/>
      <c r="C89" s="9"/>
      <c r="D89" s="9"/>
      <c r="E89" s="9"/>
      <c r="F89" s="9"/>
      <c r="G89" s="9"/>
      <c r="H89" s="9"/>
      <c r="I89" s="9"/>
      <c r="J89" s="9"/>
      <c r="K89" s="9"/>
      <c r="L89" s="9"/>
      <c r="M89" s="9"/>
      <c r="N89" s="9"/>
      <c r="O89" s="9"/>
      <c r="P89" s="9"/>
      <c r="Q89" s="9"/>
      <c r="R89" s="9"/>
      <c r="S89" s="9"/>
      <c r="T89" s="9"/>
      <c r="U89" s="9"/>
      <c r="V89" s="9"/>
    </row>
    <row r="90" spans="1:22">
      <c r="A90" s="32"/>
      <c r="B90" s="9"/>
      <c r="C90" s="9"/>
      <c r="D90" s="9"/>
      <c r="E90" s="9"/>
      <c r="F90" s="9"/>
      <c r="G90" s="9"/>
      <c r="H90" s="9"/>
      <c r="I90" s="9"/>
      <c r="J90" s="9"/>
      <c r="K90" s="9"/>
      <c r="L90" s="9"/>
      <c r="M90" s="9"/>
      <c r="N90" s="9"/>
      <c r="O90" s="9"/>
      <c r="P90" s="9"/>
      <c r="Q90" s="9"/>
      <c r="R90" s="9"/>
      <c r="S90" s="9"/>
      <c r="T90" s="9"/>
      <c r="U90" s="9"/>
      <c r="V90" s="9"/>
    </row>
    <row r="91" spans="1:22">
      <c r="A91" s="32"/>
      <c r="B91" s="9"/>
      <c r="C91" s="9"/>
      <c r="D91" s="9"/>
      <c r="E91" s="9"/>
      <c r="F91" s="9"/>
      <c r="G91" s="9"/>
      <c r="H91" s="9"/>
      <c r="I91" s="9"/>
      <c r="J91" s="9"/>
      <c r="K91" s="9"/>
      <c r="L91" s="9"/>
      <c r="M91" s="9"/>
      <c r="N91" s="9"/>
      <c r="O91" s="9"/>
      <c r="P91" s="9"/>
      <c r="Q91" s="9"/>
      <c r="R91" s="9"/>
      <c r="S91" s="9"/>
      <c r="T91" s="9"/>
      <c r="U91" s="9"/>
      <c r="V91" s="9"/>
    </row>
    <row r="92" spans="1:22">
      <c r="A92" s="32"/>
      <c r="B92" s="9"/>
      <c r="C92" s="9"/>
      <c r="D92" s="9"/>
      <c r="E92" s="9"/>
      <c r="F92" s="9"/>
      <c r="G92" s="9"/>
      <c r="H92" s="9"/>
      <c r="I92" s="9"/>
      <c r="J92" s="9"/>
      <c r="K92" s="9"/>
      <c r="L92" s="9"/>
      <c r="M92" s="9"/>
      <c r="N92" s="9"/>
      <c r="O92" s="9"/>
      <c r="P92" s="9"/>
      <c r="Q92" s="9"/>
      <c r="R92" s="9"/>
      <c r="S92" s="9"/>
      <c r="T92" s="9"/>
      <c r="U92" s="9"/>
      <c r="V92" s="9"/>
    </row>
    <row r="93" spans="1:22">
      <c r="A93" s="32"/>
      <c r="B93" s="9"/>
      <c r="C93" s="9"/>
      <c r="D93" s="9"/>
      <c r="E93" s="9"/>
      <c r="F93" s="9"/>
      <c r="G93" s="9"/>
      <c r="H93" s="9"/>
      <c r="I93" s="9"/>
      <c r="J93" s="9"/>
      <c r="K93" s="9"/>
      <c r="L93" s="9"/>
      <c r="M93" s="9"/>
      <c r="N93" s="9"/>
      <c r="O93" s="9"/>
      <c r="P93" s="9"/>
      <c r="Q93" s="9"/>
      <c r="R93" s="9"/>
      <c r="S93" s="9"/>
      <c r="T93" s="9"/>
      <c r="U93" s="9"/>
      <c r="V93" s="9"/>
    </row>
    <row r="94" spans="1:22">
      <c r="A94" s="32"/>
      <c r="B94" s="9"/>
      <c r="C94" s="9"/>
      <c r="D94" s="9"/>
      <c r="E94" s="9"/>
      <c r="F94" s="9"/>
      <c r="G94" s="9"/>
      <c r="H94" s="9"/>
      <c r="I94" s="9"/>
      <c r="J94" s="9"/>
      <c r="K94" s="9"/>
      <c r="L94" s="9"/>
      <c r="M94" s="9"/>
      <c r="N94" s="9"/>
      <c r="O94" s="9"/>
      <c r="P94" s="9"/>
      <c r="Q94" s="9"/>
      <c r="R94" s="9"/>
      <c r="S94" s="9"/>
      <c r="T94" s="9"/>
      <c r="U94" s="9"/>
      <c r="V94" s="9"/>
    </row>
    <row r="95" spans="1:22">
      <c r="A95" s="32"/>
      <c r="B95" s="9"/>
      <c r="C95" s="9"/>
      <c r="D95" s="9"/>
      <c r="E95" s="9"/>
      <c r="F95" s="9"/>
      <c r="G95" s="9"/>
      <c r="H95" s="9"/>
      <c r="I95" s="9"/>
      <c r="J95" s="9"/>
      <c r="K95" s="9"/>
      <c r="L95" s="9"/>
      <c r="M95" s="9"/>
      <c r="N95" s="9"/>
      <c r="O95" s="9"/>
      <c r="P95" s="9"/>
      <c r="Q95" s="9"/>
      <c r="R95" s="9"/>
      <c r="S95" s="9"/>
      <c r="T95" s="9"/>
      <c r="U95" s="9"/>
      <c r="V95" s="9"/>
    </row>
    <row r="96" spans="1:22">
      <c r="A96" s="32"/>
      <c r="B96" s="9"/>
      <c r="C96" s="9"/>
      <c r="D96" s="9"/>
      <c r="E96" s="9"/>
      <c r="F96" s="9"/>
      <c r="G96" s="9"/>
      <c r="H96" s="9"/>
      <c r="I96" s="9"/>
      <c r="J96" s="9"/>
      <c r="K96" s="9"/>
      <c r="L96" s="9"/>
      <c r="M96" s="9"/>
      <c r="N96" s="9"/>
      <c r="O96" s="9"/>
      <c r="P96" s="9"/>
      <c r="Q96" s="9"/>
      <c r="R96" s="9"/>
      <c r="S96" s="9"/>
      <c r="T96" s="9"/>
      <c r="U96" s="9"/>
      <c r="V96" s="9"/>
    </row>
    <row r="97" spans="1:22">
      <c r="A97" s="32"/>
      <c r="B97" s="9"/>
      <c r="C97" s="9"/>
      <c r="D97" s="9"/>
      <c r="E97" s="9"/>
      <c r="F97" s="9"/>
      <c r="G97" s="9"/>
      <c r="H97" s="9"/>
      <c r="I97" s="9"/>
      <c r="J97" s="9"/>
      <c r="K97" s="9"/>
      <c r="L97" s="9"/>
      <c r="M97" s="9"/>
      <c r="N97" s="9"/>
      <c r="O97" s="9"/>
      <c r="P97" s="9"/>
      <c r="Q97" s="9"/>
      <c r="R97" s="9"/>
      <c r="S97" s="9"/>
      <c r="T97" s="9"/>
      <c r="U97" s="9"/>
      <c r="V97" s="9"/>
    </row>
    <row r="98" spans="1:22">
      <c r="A98" s="32"/>
      <c r="B98" s="9"/>
      <c r="C98" s="9"/>
      <c r="D98" s="9"/>
      <c r="E98" s="9"/>
      <c r="F98" s="9"/>
      <c r="G98" s="9"/>
      <c r="H98" s="9"/>
      <c r="I98" s="9"/>
      <c r="J98" s="9"/>
      <c r="K98" s="9"/>
      <c r="L98" s="9"/>
      <c r="M98" s="9"/>
      <c r="N98" s="9"/>
      <c r="O98" s="9"/>
      <c r="P98" s="9"/>
      <c r="Q98" s="9"/>
      <c r="R98" s="9"/>
      <c r="S98" s="9"/>
      <c r="T98" s="9"/>
      <c r="U98" s="9"/>
      <c r="V98" s="9"/>
    </row>
    <row r="99" spans="1:22">
      <c r="A99" s="32"/>
      <c r="B99" s="9"/>
      <c r="C99" s="9"/>
      <c r="D99" s="9"/>
      <c r="E99" s="9"/>
      <c r="F99" s="9"/>
      <c r="G99" s="9"/>
      <c r="H99" s="9"/>
      <c r="I99" s="9"/>
      <c r="J99" s="9"/>
      <c r="K99" s="9"/>
      <c r="L99" s="9"/>
      <c r="M99" s="9"/>
      <c r="N99" s="9"/>
      <c r="O99" s="9"/>
      <c r="P99" s="9"/>
      <c r="Q99" s="9"/>
      <c r="R99" s="9"/>
      <c r="S99" s="9"/>
      <c r="T99" s="9"/>
      <c r="U99" s="9"/>
      <c r="V99" s="9"/>
    </row>
    <row r="100" spans="1:22">
      <c r="A100" s="32"/>
      <c r="B100" s="9"/>
      <c r="C100" s="9"/>
      <c r="D100" s="9"/>
      <c r="E100" s="9"/>
      <c r="F100" s="9"/>
      <c r="G100" s="9"/>
      <c r="H100" s="9"/>
      <c r="I100" s="9"/>
      <c r="J100" s="9"/>
      <c r="K100" s="9"/>
      <c r="L100" s="9"/>
      <c r="M100" s="9"/>
      <c r="N100" s="9"/>
      <c r="O100" s="9"/>
      <c r="P100" s="9"/>
      <c r="Q100" s="9"/>
      <c r="R100" s="9"/>
      <c r="S100" s="9"/>
      <c r="T100" s="9"/>
      <c r="U100" s="9"/>
      <c r="V100" s="9"/>
    </row>
    <row r="101" spans="1:22">
      <c r="A101" s="32"/>
      <c r="B101" s="9"/>
      <c r="C101" s="9"/>
      <c r="D101" s="9"/>
      <c r="E101" s="9"/>
      <c r="F101" s="9"/>
      <c r="G101" s="9"/>
      <c r="H101" s="9"/>
      <c r="I101" s="9"/>
      <c r="J101" s="9"/>
      <c r="K101" s="9"/>
      <c r="L101" s="9"/>
      <c r="M101" s="9"/>
      <c r="N101" s="9"/>
      <c r="O101" s="9"/>
      <c r="P101" s="9"/>
      <c r="Q101" s="9"/>
      <c r="R101" s="9"/>
      <c r="S101" s="9"/>
      <c r="T101" s="9"/>
      <c r="U101" s="9"/>
      <c r="V101" s="9"/>
    </row>
    <row r="102" spans="1:22">
      <c r="A102" s="32"/>
      <c r="B102" s="9"/>
      <c r="C102" s="9"/>
      <c r="D102" s="9"/>
      <c r="E102" s="9"/>
      <c r="F102" s="9"/>
      <c r="G102" s="9"/>
      <c r="H102" s="9"/>
      <c r="I102" s="9"/>
      <c r="J102" s="9"/>
      <c r="K102" s="9"/>
      <c r="L102" s="9"/>
      <c r="M102" s="9"/>
      <c r="N102" s="9"/>
      <c r="O102" s="9"/>
      <c r="P102" s="9"/>
      <c r="Q102" s="9"/>
      <c r="R102" s="9"/>
      <c r="S102" s="9"/>
      <c r="T102" s="9"/>
      <c r="U102" s="9"/>
      <c r="V102" s="9"/>
    </row>
    <row r="103" spans="1:22">
      <c r="A103" s="32"/>
      <c r="B103" s="9"/>
      <c r="C103" s="9"/>
      <c r="D103" s="9"/>
      <c r="E103" s="9"/>
      <c r="F103" s="9"/>
      <c r="G103" s="9"/>
      <c r="H103" s="9"/>
      <c r="I103" s="9"/>
      <c r="J103" s="9"/>
      <c r="K103" s="9"/>
      <c r="L103" s="9"/>
      <c r="M103" s="9"/>
      <c r="N103" s="9"/>
      <c r="O103" s="9"/>
      <c r="P103" s="9"/>
      <c r="Q103" s="9"/>
      <c r="R103" s="9"/>
      <c r="S103" s="9"/>
      <c r="T103" s="9"/>
      <c r="U103" s="9"/>
      <c r="V103" s="9"/>
    </row>
  </sheetData>
  <mergeCells count="2">
    <mergeCell ref="C42:P42"/>
    <mergeCell ref="C26:P26"/>
  </mergeCells>
  <pageMargins left="0.7" right="0.7" top="0.75" bottom="0.75" header="0.3" footer="0.3"/>
  <pageSetup orientation="portrait" r:id="rId1"/>
  <headerFooter>
    <oddFooter>&amp;C&amp;"Expert Sans Regular,Regular"&amp;10&amp;K000000 Restricted - External_x000D_&amp;1#&amp;"Calibri"&amp;10 Restricted - External</oddFooter>
    <evenFooter>&amp;C&amp;"Expert Sans Regular,Regular"&amp;10&amp;K000000 Restricted - External</evenFooter>
    <firstFooter>&amp;C&amp;"Expert Sans Regular,Regular"&amp;10&amp;K000000 Restricted - External</first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autoPageBreaks="0"/>
  </sheetPr>
  <dimension ref="A1:X337"/>
  <sheetViews>
    <sheetView showGridLines="0" workbookViewId="0"/>
  </sheetViews>
  <sheetFormatPr defaultRowHeight="14.25"/>
  <cols>
    <col min="1" max="1" width="7.125" style="1" customWidth="1"/>
    <col min="2" max="2" width="23.375" style="1" customWidth="1"/>
    <col min="3" max="3" width="12.75" style="2" customWidth="1"/>
    <col min="4" max="4" width="9" style="2"/>
    <col min="5" max="5" width="12.625" style="2" customWidth="1"/>
    <col min="6" max="6" width="11.125" style="2" customWidth="1"/>
    <col min="7" max="9" width="9" style="2" customWidth="1"/>
    <col min="10" max="11" width="9.875" style="2" customWidth="1"/>
    <col min="12" max="23" width="9" style="2"/>
    <col min="24" max="16384" width="9" style="1"/>
  </cols>
  <sheetData>
    <row r="1" spans="1:24" ht="15" thickBot="1">
      <c r="B1" s="4" t="s">
        <v>16</v>
      </c>
      <c r="C1" s="253" t="s">
        <v>190</v>
      </c>
      <c r="D1" s="253" t="s">
        <v>34</v>
      </c>
      <c r="E1" s="253" t="s">
        <v>35</v>
      </c>
      <c r="F1" s="253" t="s">
        <v>37</v>
      </c>
      <c r="G1" s="253" t="s">
        <v>192</v>
      </c>
      <c r="H1" s="253" t="s">
        <v>38</v>
      </c>
      <c r="I1" s="253" t="s">
        <v>36</v>
      </c>
      <c r="J1" s="253" t="s">
        <v>39</v>
      </c>
      <c r="K1" s="253" t="s">
        <v>140</v>
      </c>
      <c r="L1" s="253" t="s">
        <v>40</v>
      </c>
      <c r="M1" s="253" t="s">
        <v>226</v>
      </c>
      <c r="N1" s="253" t="s">
        <v>41</v>
      </c>
      <c r="O1" s="253" t="s">
        <v>42</v>
      </c>
      <c r="P1" s="253" t="s">
        <v>188</v>
      </c>
      <c r="Q1" s="253" t="s">
        <v>43</v>
      </c>
      <c r="R1" s="253" t="s">
        <v>44</v>
      </c>
      <c r="S1" s="253" t="s">
        <v>194</v>
      </c>
      <c r="T1" s="253" t="s">
        <v>45</v>
      </c>
      <c r="U1" s="253" t="s">
        <v>46</v>
      </c>
      <c r="V1" s="253" t="s">
        <v>47</v>
      </c>
      <c r="W1" s="253" t="s">
        <v>48</v>
      </c>
    </row>
    <row r="2" spans="1:24" s="9" customFormat="1">
      <c r="B2" s="6" t="str">
        <f>"Total unhedged "&amp;'3Q19 Actual'!$B$1&amp;" margin ($/boe)"</f>
        <v>Total unhedged 3Q19 margin ($/boe)</v>
      </c>
      <c r="C2" s="10">
        <f>+'3Q19 Actual'!B36</f>
        <v>-2.8001695200387324</v>
      </c>
      <c r="D2" s="10">
        <f>+'3Q19 Actual'!C36</f>
        <v>-0.16961049228208935</v>
      </c>
      <c r="E2" s="10">
        <f>+'3Q19 Actual'!D36</f>
        <v>10.96881853537618</v>
      </c>
      <c r="F2" s="10">
        <f>+'3Q19 Actual'!E36</f>
        <v>7.7416257874999701</v>
      </c>
      <c r="G2" s="10">
        <f>+'3Q19 Actual'!F36</f>
        <v>-6.2036055143160134</v>
      </c>
      <c r="H2" s="10">
        <f>+'3Q19 Actual'!G36</f>
        <v>3.9436110068949581</v>
      </c>
      <c r="I2" s="10">
        <f>+'3Q19 Actual'!H36</f>
        <v>16.638337923678211</v>
      </c>
      <c r="J2" s="10">
        <f>+'3Q19 Actual'!I36</f>
        <v>7.1719210884905564</v>
      </c>
      <c r="K2" s="10">
        <f>+'3Q19 Actual'!J36</f>
        <v>6.7814041636713576</v>
      </c>
      <c r="L2" s="10">
        <f>+'3Q19 Actual'!K36</f>
        <v>2.1059471141622161</v>
      </c>
      <c r="M2" s="10">
        <f>+'3Q19 Actual'!L36</f>
        <v>13.521517462799459</v>
      </c>
      <c r="N2" s="10">
        <f>+'3Q19 Actual'!M36</f>
        <v>2.976146145978305</v>
      </c>
      <c r="O2" s="10">
        <f>+'3Q19 Actual'!N36</f>
        <v>11.016102609182077</v>
      </c>
      <c r="P2" s="10">
        <f>+'3Q19 Actual'!O36</f>
        <v>-2.9558214160044951</v>
      </c>
      <c r="Q2" s="10">
        <f>+'3Q19 Actual'!P36</f>
        <v>-0.58497943438756295</v>
      </c>
      <c r="R2" s="10">
        <f>+'3Q19 Actual'!Q36</f>
        <v>2.5191267027430513</v>
      </c>
      <c r="S2" s="10">
        <f>+'3Q19 Actual'!R36</f>
        <v>10.921512511035452</v>
      </c>
      <c r="T2" s="10">
        <f>+'3Q19 Actual'!S36</f>
        <v>-2.2670040142477532</v>
      </c>
      <c r="U2" s="10">
        <f>+'3Q19 Actual'!T36</f>
        <v>1.9544188070266628</v>
      </c>
      <c r="V2" s="10">
        <f>+'3Q19 Actual'!U36</f>
        <v>11.323393232861676</v>
      </c>
      <c r="W2" s="10">
        <f>+'3Q19 Actual'!V36</f>
        <v>-1.1288246361025838</v>
      </c>
    </row>
    <row r="3" spans="1:24" s="9" customFormat="1">
      <c r="B3" s="6" t="str">
        <f>"Unhedged "&amp;'3Q19 Actual'!$B$1&amp;" cash margin ($/boe)"</f>
        <v>Unhedged 3Q19 cash margin ($/boe)</v>
      </c>
      <c r="C3" s="10">
        <f>+'3Q19 Actual'!B35</f>
        <v>1.8798304799612655</v>
      </c>
      <c r="D3" s="10">
        <f>+'3Q19 Actual'!C35</f>
        <v>17.918975342077381</v>
      </c>
      <c r="E3" s="10">
        <f>+'3Q19 Actual'!D35</f>
        <v>20.922653862309758</v>
      </c>
      <c r="F3" s="10">
        <f>+'3Q19 Actual'!E35</f>
        <v>16.351906859356284</v>
      </c>
      <c r="G3" s="10">
        <f>+'3Q19 Actual'!F35</f>
        <v>6.8171489168307815</v>
      </c>
      <c r="H3" s="10">
        <f>+'3Q19 Actual'!G35</f>
        <v>12.575106303840991</v>
      </c>
      <c r="I3" s="10">
        <f>+'3Q19 Actual'!H35</f>
        <v>29.103910337032133</v>
      </c>
      <c r="J3" s="10">
        <f>+'3Q19 Actual'!I35</f>
        <v>23.003907371803464</v>
      </c>
      <c r="K3" s="10">
        <f>+'3Q19 Actual'!J35</f>
        <v>22.864786746870895</v>
      </c>
      <c r="L3" s="10">
        <f>+'3Q19 Actual'!K35</f>
        <v>12.32715230104246</v>
      </c>
      <c r="M3" s="10">
        <f>+'3Q19 Actual'!L35</f>
        <v>26.851517462799457</v>
      </c>
      <c r="N3" s="10">
        <f>+'3Q19 Actual'!M35</f>
        <v>12.641441865701497</v>
      </c>
      <c r="O3" s="10">
        <f>+'3Q19 Actual'!N35</f>
        <v>23.44090556112441</v>
      </c>
      <c r="P3" s="10">
        <f>+'3Q19 Actual'!O35</f>
        <v>3.2044913843358245</v>
      </c>
      <c r="Q3" s="10">
        <f>+'3Q19 Actual'!P35</f>
        <v>17.087504473311178</v>
      </c>
      <c r="R3" s="10">
        <f>+'3Q19 Actual'!Q35</f>
        <v>18.346367198765037</v>
      </c>
      <c r="S3" s="10">
        <f>+'3Q19 Actual'!R35</f>
        <v>28.020755647354282</v>
      </c>
      <c r="T3" s="10">
        <f>+'3Q19 Actual'!S35</f>
        <v>13.111522587210944</v>
      </c>
      <c r="U3" s="10">
        <f>+'3Q19 Actual'!T35</f>
        <v>16.07441880702666</v>
      </c>
      <c r="V3" s="10">
        <f>+'3Q19 Actual'!U35</f>
        <v>25.346387229163319</v>
      </c>
      <c r="W3" s="10">
        <f>+'3Q19 Actual'!V35</f>
        <v>2.5250024754926246</v>
      </c>
    </row>
    <row r="4" spans="1:24" s="9" customFormat="1">
      <c r="B4" s="6" t="s">
        <v>97</v>
      </c>
      <c r="C4" s="31">
        <f>+('3Q19 Actual'!B35+'3Q19 Actual'!B23)/'3Q19 Actual'!B23</f>
        <v>3.032024921053738</v>
      </c>
      <c r="D4" s="31">
        <f>+('3Q19 Actual'!C35+'3Q19 Actual'!C23)/'3Q19 Actual'!C23</f>
        <v>7.5825532317757025</v>
      </c>
      <c r="E4" s="31">
        <f>+('3Q19 Actual'!D35+'3Q19 Actual'!D23)/'3Q19 Actual'!D23</f>
        <v>13.939393939393945</v>
      </c>
      <c r="F4" s="31">
        <f>+('3Q19 Actual'!E35+'3Q19 Actual'!E23)/'3Q19 Actual'!E23</f>
        <v>10.182314942680408</v>
      </c>
      <c r="G4" s="31">
        <f>+('3Q19 Actual'!F35+'3Q19 Actual'!F23)/'3Q19 Actual'!F23</f>
        <v>2.6949152542372876</v>
      </c>
      <c r="H4" s="31">
        <f>+('3Q19 Actual'!G35+'3Q19 Actual'!G23)/'3Q19 Actual'!G23</f>
        <v>14.50923289677052</v>
      </c>
      <c r="I4" s="31">
        <f>+('3Q19 Actual'!H35+'3Q19 Actual'!H23)/'3Q19 Actual'!H23</f>
        <v>20.870694782608691</v>
      </c>
      <c r="J4" s="31">
        <f>+('3Q19 Actual'!I35+'3Q19 Actual'!I23)/'3Q19 Actual'!I23</f>
        <v>11.328946981935673</v>
      </c>
      <c r="K4" s="31">
        <f>+('3Q19 Actual'!J35+'3Q19 Actual'!J23)/'3Q19 Actual'!J23</f>
        <v>16.081750526956522</v>
      </c>
      <c r="L4" s="31">
        <f>+('3Q19 Actual'!K35+'3Q19 Actual'!K23)/'3Q19 Actual'!K23</f>
        <v>9.080448333333333</v>
      </c>
      <c r="M4" s="31">
        <f>+('3Q19 Actual'!L35+'3Q19 Actual'!L23)/'3Q19 Actual'!L23</f>
        <v>19.666557826315788</v>
      </c>
      <c r="N4" s="31">
        <f>+('3Q19 Actual'!M35+'3Q19 Actual'!M23)/'3Q19 Actual'!M23</f>
        <v>8.1076911245791248</v>
      </c>
      <c r="O4" s="31">
        <f>+('3Q19 Actual'!N35+'3Q19 Actual'!N23)/'3Q19 Actual'!N23</f>
        <v>46.408303886925786</v>
      </c>
      <c r="P4" s="31">
        <f>+('3Q19 Actual'!O35+'3Q19 Actual'!O23)/'3Q19 Actual'!O23</f>
        <v>5.2630950135194619</v>
      </c>
      <c r="Q4" s="31">
        <f>+('3Q19 Actual'!P35+'3Q19 Actual'!P23)/'3Q19 Actual'!P23</f>
        <v>7.5362362666666654</v>
      </c>
      <c r="R4" s="31">
        <f>+('3Q19 Actual'!Q35+'3Q19 Actual'!Q23)/'3Q19 Actual'!Q23</f>
        <v>12.265625</v>
      </c>
      <c r="S4" s="31">
        <f>+('3Q19 Actual'!R35+'3Q19 Actual'!R23)/'3Q19 Actual'!R23</f>
        <v>18.63969398759772</v>
      </c>
      <c r="T4" s="31">
        <f>+('3Q19 Actual'!S35+'3Q19 Actual'!S23)/'3Q19 Actual'!S23</f>
        <v>6.5750724219585779</v>
      </c>
      <c r="U4" s="31">
        <f>+('3Q19 Actual'!T35+'3Q19 Actual'!T23)/'3Q19 Actual'!T23</f>
        <v>5.3310925284339454</v>
      </c>
      <c r="V4" s="31">
        <f>+('3Q19 Actual'!U35+'3Q19 Actual'!U23)/'3Q19 Actual'!U23</f>
        <v>28.299294900689652</v>
      </c>
      <c r="W4" s="31">
        <f>+('3Q19 Actual'!V35+'3Q19 Actual'!V23)/'3Q19 Actual'!V23</f>
        <v>6.0000000000000018</v>
      </c>
    </row>
    <row r="5" spans="1:24" s="9" customFormat="1">
      <c r="B5" s="33" t="s">
        <v>98</v>
      </c>
      <c r="C5" s="185">
        <v>759.32</v>
      </c>
      <c r="D5" s="180">
        <v>93</v>
      </c>
      <c r="E5" s="180">
        <v>79.900000000000006</v>
      </c>
      <c r="F5" s="180">
        <v>92</v>
      </c>
      <c r="G5" s="185">
        <v>1739.8</v>
      </c>
      <c r="H5" s="180">
        <v>161</v>
      </c>
      <c r="I5" s="180">
        <v>57</v>
      </c>
      <c r="J5" s="185">
        <v>156</v>
      </c>
      <c r="K5" s="185">
        <v>167</v>
      </c>
      <c r="L5" s="180">
        <v>76</v>
      </c>
      <c r="M5" s="180">
        <v>211.3</v>
      </c>
      <c r="N5" s="180">
        <v>172.7</v>
      </c>
      <c r="O5" s="180">
        <v>56</v>
      </c>
      <c r="P5" s="185">
        <v>270</v>
      </c>
      <c r="Q5" s="180">
        <v>151</v>
      </c>
      <c r="R5" s="180">
        <v>65</v>
      </c>
      <c r="S5" s="180">
        <v>123</v>
      </c>
      <c r="T5" s="185">
        <v>118</v>
      </c>
      <c r="U5" s="180">
        <v>68</v>
      </c>
      <c r="V5" s="180">
        <v>68</v>
      </c>
      <c r="W5" s="180"/>
    </row>
    <row r="6" spans="1:24" s="63" customFormat="1">
      <c r="B6" s="6" t="s">
        <v>78</v>
      </c>
      <c r="C6" s="185"/>
      <c r="D6" s="185">
        <v>245.95618414041209</v>
      </c>
      <c r="E6" s="185">
        <v>129.84803217821732</v>
      </c>
      <c r="F6" s="185">
        <v>177.01453184518471</v>
      </c>
      <c r="G6" s="185"/>
      <c r="H6" s="185">
        <v>216.71581685868401</v>
      </c>
      <c r="I6" s="185">
        <v>75.399391917808771</v>
      </c>
      <c r="J6" s="185">
        <v>219.17749548154609</v>
      </c>
      <c r="K6" s="185">
        <v>152.45070965796384</v>
      </c>
      <c r="L6" s="185">
        <v>78.5673720547926</v>
      </c>
      <c r="M6" s="185">
        <v>235.91893022785831</v>
      </c>
      <c r="N6" s="185">
        <v>229.49554438355975</v>
      </c>
      <c r="O6" s="185">
        <v>74.241928095891254</v>
      </c>
      <c r="P6" s="185">
        <v>406.29099314131213</v>
      </c>
      <c r="Q6" s="185">
        <v>178.50419750674854</v>
      </c>
      <c r="R6" s="185">
        <v>164.66107203420134</v>
      </c>
      <c r="S6" s="185"/>
      <c r="T6" s="185">
        <v>157.24649696669758</v>
      </c>
      <c r="U6" s="185">
        <v>162.4804749144929</v>
      </c>
      <c r="V6" s="185">
        <v>104.30100767123096</v>
      </c>
      <c r="W6" s="185">
        <v>673.99180972602562</v>
      </c>
    </row>
    <row r="7" spans="1:24" s="9" customFormat="1">
      <c r="B7" s="156" t="s">
        <v>197</v>
      </c>
      <c r="C7" s="185"/>
      <c r="D7" s="185">
        <v>307.18600957700306</v>
      </c>
      <c r="E7" s="185">
        <v>177.16574630390033</v>
      </c>
      <c r="F7" s="185">
        <v>238.68276426283495</v>
      </c>
      <c r="G7" s="185"/>
      <c r="H7" s="185" t="s">
        <v>230</v>
      </c>
      <c r="I7" s="185">
        <v>132.12811198767977</v>
      </c>
      <c r="J7" s="185">
        <v>278.20756002190313</v>
      </c>
      <c r="K7" s="185">
        <v>194.29819924435404</v>
      </c>
      <c r="L7" s="185">
        <v>187.91129408898058</v>
      </c>
      <c r="M7" s="185" t="s">
        <v>230</v>
      </c>
      <c r="N7" s="185">
        <v>311.48053490759787</v>
      </c>
      <c r="O7" s="185">
        <v>149.55317771936939</v>
      </c>
      <c r="P7" s="185" t="s">
        <v>230</v>
      </c>
      <c r="Q7" s="185">
        <v>258.60137436276591</v>
      </c>
      <c r="R7" s="185">
        <v>228.5199145106096</v>
      </c>
      <c r="S7" s="185"/>
      <c r="T7" s="185">
        <v>220.36942759205877</v>
      </c>
      <c r="U7" s="185">
        <v>212.71205908008372</v>
      </c>
      <c r="V7" s="185" t="s">
        <v>230</v>
      </c>
      <c r="W7" s="185" t="s">
        <v>230</v>
      </c>
    </row>
    <row r="8" spans="1:24" s="9" customFormat="1">
      <c r="B8" s="33" t="s">
        <v>95</v>
      </c>
      <c r="C8" s="180"/>
      <c r="D8" s="180">
        <v>162</v>
      </c>
      <c r="E8" s="180">
        <v>69</v>
      </c>
      <c r="F8" s="180"/>
      <c r="G8" s="180"/>
      <c r="H8" s="180"/>
      <c r="I8" s="180">
        <v>45</v>
      </c>
      <c r="J8" s="180"/>
      <c r="K8" s="180"/>
      <c r="L8" s="180">
        <v>94</v>
      </c>
      <c r="M8" s="180"/>
      <c r="N8" s="180">
        <v>158</v>
      </c>
      <c r="O8" s="180"/>
      <c r="P8" s="180"/>
      <c r="Q8" s="180">
        <v>95</v>
      </c>
      <c r="R8" s="180"/>
      <c r="S8" s="180"/>
      <c r="T8" s="180"/>
      <c r="U8" s="180">
        <v>88</v>
      </c>
      <c r="V8" s="180"/>
      <c r="W8" s="180"/>
    </row>
    <row r="9" spans="1:24" s="9" customFormat="1">
      <c r="B9" s="33"/>
      <c r="C9" s="12"/>
      <c r="D9" s="12"/>
      <c r="E9" s="12"/>
      <c r="F9" s="12"/>
      <c r="G9" s="12"/>
      <c r="H9" s="12"/>
      <c r="I9" s="12"/>
      <c r="J9" s="12"/>
      <c r="K9" s="12"/>
      <c r="L9" s="12"/>
      <c r="M9" s="12"/>
      <c r="N9" s="12"/>
      <c r="O9" s="12"/>
      <c r="P9" s="12"/>
      <c r="Q9" s="12"/>
      <c r="R9" s="12"/>
      <c r="S9" s="12"/>
      <c r="T9" s="12"/>
      <c r="U9" s="12"/>
      <c r="V9" s="12"/>
      <c r="W9" s="12"/>
    </row>
    <row r="10" spans="1:24" s="9" customFormat="1">
      <c r="B10" s="33" t="s">
        <v>103</v>
      </c>
      <c r="C10" s="31"/>
      <c r="D10" s="31"/>
      <c r="E10" s="31"/>
      <c r="F10" s="31"/>
      <c r="G10" s="31"/>
      <c r="H10" s="31"/>
      <c r="I10" s="31"/>
      <c r="J10" s="31"/>
      <c r="K10" s="31"/>
      <c r="L10" s="31"/>
      <c r="M10" s="31"/>
      <c r="N10" s="31"/>
      <c r="O10" s="31"/>
      <c r="P10" s="31"/>
      <c r="Q10" s="31"/>
      <c r="R10" s="31"/>
      <c r="S10" s="31"/>
      <c r="T10" s="31"/>
      <c r="U10" s="31"/>
      <c r="V10" s="31"/>
      <c r="W10" s="31"/>
    </row>
    <row r="11" spans="1:24" s="9" customFormat="1">
      <c r="B11" s="33" t="s">
        <v>97</v>
      </c>
      <c r="C11" s="31">
        <f>+(Sensitivity!B35+Sensitivity!B22)/Sensitivity!B22</f>
        <v>5.6128041181890547</v>
      </c>
      <c r="D11" s="31">
        <f>+(Sensitivity!C35+Sensitivity!C22)/Sensitivity!C22</f>
        <v>7.8347967423551417</v>
      </c>
      <c r="E11" s="31">
        <f>+(Sensitivity!D35+Sensitivity!D22)/Sensitivity!D22</f>
        <v>14.276653062427711</v>
      </c>
      <c r="F11" s="31">
        <f>+(Sensitivity!E35+Sensitivity!E22)/Sensitivity!E22</f>
        <v>11.639347860967698</v>
      </c>
      <c r="G11" s="31">
        <f>+(Sensitivity!F35+Sensitivity!F22)/Sensitivity!F22</f>
        <v>2.8799454463276826</v>
      </c>
      <c r="H11" s="31">
        <f>+(Sensitivity!G35+Sensitivity!G22)/Sensitivity!G22</f>
        <v>16.328394818026521</v>
      </c>
      <c r="I11" s="31">
        <f>+(Sensitivity!H35+Sensitivity!H22)/Sensitivity!H22</f>
        <v>21.080281782608694</v>
      </c>
      <c r="J11" s="31">
        <f>+(Sensitivity!I35+Sensitivity!I22)/Sensitivity!I22</f>
        <v>11.24829201821119</v>
      </c>
      <c r="K11" s="31">
        <f>+(Sensitivity!J35+Sensitivity!J22)/Sensitivity!J22</f>
        <v>15.930337406956523</v>
      </c>
      <c r="L11" s="31">
        <f>+(Sensitivity!K35+Sensitivity!K22)/Sensitivity!K22</f>
        <v>10.117171800000001</v>
      </c>
      <c r="M11" s="31">
        <f>+(Sensitivity!L35+Sensitivity!L22)/Sensitivity!L22</f>
        <v>20.176654395859643</v>
      </c>
      <c r="N11" s="31">
        <f>+(Sensitivity!M35+Sensitivity!M22)/Sensitivity!M22</f>
        <v>9.0242047892255943</v>
      </c>
      <c r="O11" s="31">
        <f>+(Sensitivity!N35+Sensitivity!N22)/Sensitivity!N22</f>
        <v>47.897813114588587</v>
      </c>
      <c r="P11" s="31">
        <f>+(Sensitivity!O35+Sensitivity!O22)/Sensitivity!O22</f>
        <v>6.5184791548764371</v>
      </c>
      <c r="Q11" s="31">
        <f>+(Sensitivity!P35+Sensitivity!P22)/Sensitivity!P22</f>
        <v>7.8417032533333346</v>
      </c>
      <c r="R11" s="31">
        <f>+(Sensitivity!Q35+Sensitivity!Q22)/Sensitivity!Q22</f>
        <v>12.654345187499995</v>
      </c>
      <c r="S11" s="31">
        <f>+(Sensitivity!R35+Sensitivity!R22)/Sensitivity!R22</f>
        <v>18.476688113103254</v>
      </c>
      <c r="T11" s="31">
        <f>+(Sensitivity!S35+Sensitivity!S22)/Sensitivity!S22</f>
        <v>7.2630703544769402</v>
      </c>
      <c r="U11" s="31">
        <f>+(Sensitivity!T35+Sensitivity!T22)/Sensitivity!T22</f>
        <v>5.5469160769903771</v>
      </c>
      <c r="V11" s="31">
        <f>+(Sensitivity!U35+Sensitivity!U22)/Sensitivity!U22</f>
        <v>29.350655140137924</v>
      </c>
      <c r="W11" s="31">
        <f>+(Sensitivity!V35+Sensitivity!V22)/Sensitivity!V22</f>
        <v>9.2176777058823465</v>
      </c>
    </row>
    <row r="12" spans="1:24" ht="15" thickBot="1"/>
    <row r="13" spans="1:24" s="9" customFormat="1" ht="26.25" thickBot="1">
      <c r="B13" s="4" t="s">
        <v>15</v>
      </c>
      <c r="C13" s="5" t="s">
        <v>16</v>
      </c>
      <c r="D13" s="152" t="str">
        <f>'3Q19 Actual'!$B$1&amp;" Margin ($/boe)"</f>
        <v>3Q19 Margin ($/boe)</v>
      </c>
      <c r="E13" s="14"/>
      <c r="F13" s="14"/>
      <c r="G13" s="14"/>
      <c r="H13" s="14"/>
      <c r="I13" s="14"/>
      <c r="J13" s="14"/>
      <c r="K13" s="14"/>
      <c r="L13" s="14"/>
      <c r="M13" s="14"/>
      <c r="N13" s="14"/>
      <c r="O13" s="14"/>
      <c r="P13" s="14"/>
      <c r="Q13" s="14"/>
      <c r="R13" s="14"/>
      <c r="S13" s="14"/>
      <c r="T13" s="14"/>
      <c r="U13" s="14"/>
      <c r="V13" s="14"/>
      <c r="W13" s="14"/>
      <c r="X13" s="14"/>
    </row>
    <row r="14" spans="1:24" s="9" customFormat="1">
      <c r="A14" s="9">
        <v>1</v>
      </c>
      <c r="B14" s="33" t="str">
        <f>VLOOKUP(C14,Sheet1!A:B,2,FALSE)</f>
        <v>ConocoPhillips</v>
      </c>
      <c r="C14" s="8" t="str">
        <f>INDEX('3Q19 Actual'!$107:$108,1,MATCH('Relative Value'!A14,'3Q19 Actual'!$108:$108,0))</f>
        <v>COP</v>
      </c>
      <c r="D14" s="10">
        <f>HLOOKUP(C14,'3Q19 Actual'!$B$8:$AQ$36,29,FALSE)</f>
        <v>16.638337923678211</v>
      </c>
      <c r="E14" s="14"/>
      <c r="F14" s="277" t="str">
        <f>"Figure 1. "&amp;'3Q19 Actual'!$B$1&amp;" Margin ($/boe)"</f>
        <v>Figure 1. 3Q19 Margin ($/boe)</v>
      </c>
      <c r="G14" s="277"/>
      <c r="H14" s="277"/>
      <c r="I14" s="277"/>
      <c r="J14" s="277"/>
      <c r="K14" s="277"/>
      <c r="L14" s="277"/>
      <c r="M14" s="277"/>
      <c r="N14" s="277"/>
      <c r="O14" s="277"/>
      <c r="P14" s="153"/>
      <c r="Q14" s="14"/>
      <c r="R14" s="14"/>
      <c r="S14" s="14"/>
      <c r="T14" s="14"/>
      <c r="U14" s="14"/>
      <c r="V14" s="14"/>
      <c r="W14" s="14"/>
      <c r="X14" s="14"/>
    </row>
    <row r="15" spans="1:24" s="9" customFormat="1">
      <c r="A15" s="9">
        <f>A14+1</f>
        <v>2</v>
      </c>
      <c r="B15" s="54" t="str">
        <f>VLOOKUP(C15,Sheet1!A:B,2,FALSE)</f>
        <v>Diamondback Energy</v>
      </c>
      <c r="C15" s="8" t="str">
        <f>INDEX('3Q19 Actual'!$107:$108,1,MATCH('Relative Value'!A15,'3Q19 Actual'!$108:$108,0))</f>
        <v>FANG</v>
      </c>
      <c r="D15" s="10">
        <f>HLOOKUP(C15,'3Q19 Actual'!$B$8:$AQ$36,29,FALSE)</f>
        <v>13.521517462799459</v>
      </c>
      <c r="E15" s="14"/>
      <c r="F15" s="14"/>
      <c r="G15" s="14"/>
      <c r="H15" s="14"/>
      <c r="I15" s="14"/>
      <c r="J15" s="14"/>
      <c r="K15" s="14"/>
      <c r="L15" s="14"/>
      <c r="M15" s="14"/>
      <c r="N15" s="14"/>
      <c r="O15" s="14"/>
      <c r="P15" s="14"/>
      <c r="Q15" s="14"/>
      <c r="R15" s="14"/>
      <c r="S15" s="14"/>
      <c r="T15" s="14"/>
      <c r="U15" s="14"/>
      <c r="V15" s="14"/>
      <c r="W15" s="14"/>
      <c r="X15" s="14"/>
    </row>
    <row r="16" spans="1:24" s="9" customFormat="1">
      <c r="A16" s="9">
        <f t="shared" ref="A16:A34" si="0">A15+1</f>
        <v>3</v>
      </c>
      <c r="B16" s="54" t="str">
        <f>VLOOKUP(C16,Sheet1!A:B,2,FALSE)</f>
        <v>Pioneer Natural</v>
      </c>
      <c r="C16" s="8" t="str">
        <f>INDEX('3Q19 Actual'!$107:$108,1,MATCH('Relative Value'!A16,'3Q19 Actual'!$108:$108,0))</f>
        <v>PXD</v>
      </c>
      <c r="D16" s="10">
        <f>HLOOKUP(C16,'3Q19 Actual'!$B$8:$AQ$36,29,FALSE)</f>
        <v>11.323393232861676</v>
      </c>
      <c r="E16" s="14"/>
      <c r="F16" s="14"/>
      <c r="G16" s="14"/>
      <c r="H16" s="14"/>
      <c r="I16" s="14"/>
      <c r="J16" s="14"/>
      <c r="K16" s="14"/>
      <c r="L16" s="14"/>
      <c r="M16" s="14"/>
      <c r="N16" s="14"/>
      <c r="O16" s="14"/>
      <c r="P16" s="14"/>
      <c r="Q16" s="14"/>
      <c r="R16" s="14"/>
      <c r="S16" s="14"/>
      <c r="T16" s="14"/>
      <c r="U16" s="14"/>
      <c r="V16" s="14"/>
      <c r="W16" s="14"/>
      <c r="X16" s="14"/>
    </row>
    <row r="17" spans="1:24" s="9" customFormat="1">
      <c r="A17" s="9">
        <f t="shared" si="0"/>
        <v>4</v>
      </c>
      <c r="B17" s="54" t="str">
        <f>VLOOKUP(C17,Sheet1!A:B,2,FALSE)</f>
        <v>EOG Resources</v>
      </c>
      <c r="C17" s="8" t="str">
        <f>INDEX('3Q19 Actual'!$107:$108,1,MATCH('Relative Value'!A17,'3Q19 Actual'!$108:$108,0))</f>
        <v>EOG</v>
      </c>
      <c r="D17" s="10">
        <f>HLOOKUP(C17,'3Q19 Actual'!$B$8:$AQ$36,29,FALSE)</f>
        <v>11.016102609182077</v>
      </c>
      <c r="E17" s="14"/>
      <c r="F17" s="14"/>
      <c r="G17" s="14"/>
      <c r="H17" s="14"/>
      <c r="I17" s="14"/>
      <c r="J17" s="14"/>
      <c r="K17" s="14"/>
      <c r="L17" s="14"/>
      <c r="M17" s="14"/>
      <c r="N17" s="14"/>
      <c r="O17" s="14"/>
      <c r="P17" s="14"/>
      <c r="Q17" s="14"/>
      <c r="R17" s="14"/>
      <c r="S17" s="14"/>
      <c r="T17" s="14"/>
      <c r="U17" s="14"/>
      <c r="V17" s="14"/>
      <c r="W17" s="14"/>
      <c r="X17" s="14"/>
    </row>
    <row r="18" spans="1:24" s="9" customFormat="1">
      <c r="A18" s="9">
        <f t="shared" si="0"/>
        <v>5</v>
      </c>
      <c r="B18" s="54" t="str">
        <f>VLOOKUP(C18,Sheet1!A:B,2,FALSE)</f>
        <v>Canadian Natural Resources</v>
      </c>
      <c r="C18" s="8" t="str">
        <f>INDEX('3Q19 Actual'!$107:$108,1,MATCH('Relative Value'!A18,'3Q19 Actual'!$108:$108,0))</f>
        <v>CNQCN</v>
      </c>
      <c r="D18" s="10">
        <f>HLOOKUP(C18,'3Q19 Actual'!$B$8:$AQ$36,29,FALSE)</f>
        <v>10.96881853537618</v>
      </c>
      <c r="E18" s="14"/>
      <c r="F18" s="14"/>
      <c r="G18" s="14"/>
      <c r="H18" s="14"/>
      <c r="I18" s="14"/>
      <c r="J18" s="14"/>
      <c r="K18" s="14"/>
      <c r="L18" s="14"/>
      <c r="M18" s="14"/>
      <c r="N18" s="14"/>
      <c r="O18" s="14"/>
      <c r="P18" s="14"/>
      <c r="Q18" s="14"/>
      <c r="R18" s="14"/>
      <c r="S18" s="14"/>
      <c r="T18" s="14"/>
      <c r="U18" s="14"/>
      <c r="V18" s="14"/>
      <c r="W18" s="14"/>
      <c r="X18" s="14"/>
    </row>
    <row r="19" spans="1:24" s="9" customFormat="1">
      <c r="A19" s="9">
        <f t="shared" si="0"/>
        <v>6</v>
      </c>
      <c r="B19" s="54" t="str">
        <f>VLOOKUP(C19,Sheet1!A:B,2,FALSE)</f>
        <v>Murphy</v>
      </c>
      <c r="C19" s="8" t="str">
        <f>INDEX('3Q19 Actual'!$107:$108,1,MATCH('Relative Value'!A19,'3Q19 Actual'!$108:$108,0))</f>
        <v>MUR</v>
      </c>
      <c r="D19" s="10">
        <f>HLOOKUP(C19,'3Q19 Actual'!$B$8:$AQ$36,29,FALSE)</f>
        <v>10.921512511035452</v>
      </c>
      <c r="E19" s="14"/>
      <c r="F19" s="14"/>
      <c r="G19" s="14"/>
      <c r="H19" s="14"/>
      <c r="I19" s="14"/>
      <c r="J19" s="14"/>
      <c r="K19" s="14"/>
      <c r="L19" s="14"/>
      <c r="M19" s="14"/>
      <c r="N19" s="14"/>
      <c r="O19" s="14"/>
      <c r="P19" s="14"/>
      <c r="Q19" s="14"/>
      <c r="R19" s="14"/>
      <c r="S19" s="14"/>
      <c r="T19" s="14"/>
      <c r="U19" s="14"/>
      <c r="V19" s="14"/>
      <c r="W19" s="14"/>
      <c r="X19" s="14"/>
    </row>
    <row r="20" spans="1:24" s="9" customFormat="1">
      <c r="A20" s="9">
        <f t="shared" si="0"/>
        <v>7</v>
      </c>
      <c r="B20" s="54" t="str">
        <f>VLOOKUP(C20,Sheet1!A:B,2,FALSE)</f>
        <v>Cenovus</v>
      </c>
      <c r="C20" s="8" t="str">
        <f>INDEX('3Q19 Actual'!$107:$108,1,MATCH('Relative Value'!A20,'3Q19 Actual'!$108:$108,0))</f>
        <v>CVECN</v>
      </c>
      <c r="D20" s="10">
        <f>HLOOKUP(C20,'3Q19 Actual'!$B$8:$AQ$36,29,FALSE)</f>
        <v>7.7416257874999701</v>
      </c>
      <c r="E20" s="14"/>
      <c r="F20" s="14"/>
      <c r="G20" s="14"/>
      <c r="H20" s="14"/>
      <c r="I20" s="14"/>
      <c r="J20" s="14"/>
      <c r="K20" s="14"/>
      <c r="L20" s="14"/>
      <c r="M20" s="14"/>
      <c r="N20" s="14"/>
      <c r="O20" s="14"/>
      <c r="P20" s="14"/>
      <c r="Q20" s="14"/>
      <c r="R20" s="14"/>
      <c r="S20" s="14"/>
      <c r="T20" s="14"/>
      <c r="U20" s="14"/>
      <c r="V20" s="14"/>
      <c r="W20" s="14"/>
      <c r="X20" s="14"/>
    </row>
    <row r="21" spans="1:24" s="9" customFormat="1">
      <c r="A21" s="9">
        <f t="shared" si="0"/>
        <v>8</v>
      </c>
      <c r="B21" s="54" t="str">
        <f>VLOOKUP(C21,Sheet1!A:B,2,FALSE)</f>
        <v>Continental Resources</v>
      </c>
      <c r="C21" s="8" t="str">
        <f>INDEX('3Q19 Actual'!$107:$108,1,MATCH('Relative Value'!A21,'3Q19 Actual'!$108:$108,0))</f>
        <v>CLR</v>
      </c>
      <c r="D21" s="10">
        <f>HLOOKUP(C21,'3Q19 Actual'!$B$8:$AQ$36,29,FALSE)</f>
        <v>7.1719210884905564</v>
      </c>
      <c r="E21" s="14"/>
      <c r="F21" s="14"/>
      <c r="G21" s="14"/>
      <c r="H21" s="14"/>
      <c r="I21" s="14"/>
      <c r="J21" s="14"/>
      <c r="K21" s="14"/>
      <c r="L21" s="14"/>
      <c r="M21" s="14"/>
      <c r="N21" s="14"/>
      <c r="O21" s="14"/>
      <c r="P21" s="14"/>
      <c r="Q21" s="14"/>
      <c r="R21" s="14"/>
      <c r="S21" s="14"/>
      <c r="T21" s="14"/>
      <c r="U21" s="14"/>
      <c r="V21" s="14"/>
      <c r="W21" s="14"/>
      <c r="X21" s="14"/>
    </row>
    <row r="22" spans="1:24" s="9" customFormat="1">
      <c r="A22" s="9">
        <f t="shared" si="0"/>
        <v>9</v>
      </c>
      <c r="B22" s="54" t="str">
        <f>VLOOKUP(C22,Sheet1!A:B,2,FALSE)</f>
        <v>Concho</v>
      </c>
      <c r="C22" s="8" t="str">
        <f>INDEX('3Q19 Actual'!$107:$108,1,MATCH('Relative Value'!A22,'3Q19 Actual'!$108:$108,0))</f>
        <v>CXO</v>
      </c>
      <c r="D22" s="10">
        <f>HLOOKUP(C22,'3Q19 Actual'!$B$8:$AQ$36,29,FALSE)</f>
        <v>6.7814041636713576</v>
      </c>
      <c r="E22" s="14"/>
      <c r="F22" s="14"/>
      <c r="G22" s="14"/>
      <c r="H22" s="14"/>
      <c r="I22" s="14"/>
      <c r="J22" s="14"/>
      <c r="K22" s="14"/>
      <c r="L22" s="14"/>
      <c r="M22" s="14"/>
      <c r="N22" s="14"/>
      <c r="O22" s="14"/>
      <c r="P22" s="14"/>
      <c r="Q22" s="14"/>
      <c r="R22" s="14"/>
      <c r="S22" s="14"/>
      <c r="T22" s="14"/>
      <c r="U22" s="14"/>
      <c r="V22" s="14"/>
      <c r="W22" s="14"/>
      <c r="X22" s="14"/>
    </row>
    <row r="23" spans="1:24" s="9" customFormat="1">
      <c r="A23" s="9">
        <f t="shared" si="0"/>
        <v>10</v>
      </c>
      <c r="B23" s="54" t="str">
        <f>VLOOKUP(C23,Sheet1!A:B,2,FALSE)</f>
        <v>Cimarex</v>
      </c>
      <c r="C23" s="8" t="str">
        <f>INDEX('3Q19 Actual'!$107:$108,1,MATCH('Relative Value'!A23,'3Q19 Actual'!$108:$108,0))</f>
        <v>XEC</v>
      </c>
      <c r="D23" s="10">
        <f>HLOOKUP(C23,'3Q19 Actual'!$B$8:$AQ$36,29,FALSE)</f>
        <v>3.9436110068949581</v>
      </c>
      <c r="E23" s="14"/>
      <c r="F23" s="14"/>
      <c r="G23" s="14"/>
      <c r="H23" s="14"/>
      <c r="I23" s="14"/>
      <c r="J23" s="14"/>
      <c r="K23" s="14"/>
      <c r="L23" s="14"/>
      <c r="M23" s="14"/>
      <c r="N23" s="14"/>
      <c r="O23" s="14"/>
      <c r="P23" s="14"/>
      <c r="Q23" s="14"/>
      <c r="R23" s="14"/>
      <c r="S23" s="14"/>
      <c r="T23" s="14"/>
      <c r="U23" s="14"/>
      <c r="V23" s="14"/>
      <c r="W23" s="14"/>
      <c r="X23" s="14"/>
    </row>
    <row r="24" spans="1:24" s="9" customFormat="1">
      <c r="A24" s="9">
        <f t="shared" si="0"/>
        <v>11</v>
      </c>
      <c r="B24" s="54" t="str">
        <f>VLOOKUP(C24,Sheet1!A:B,2,FALSE)</f>
        <v>Encana</v>
      </c>
      <c r="C24" s="8" t="str">
        <f>INDEX('3Q19 Actual'!$107:$108,1,MATCH('Relative Value'!A24,'3Q19 Actual'!$108:$108,0))</f>
        <v>ECACN</v>
      </c>
      <c r="D24" s="10">
        <f>HLOOKUP(C24,'3Q19 Actual'!$B$8:$AQ$36,29,FALSE)</f>
        <v>2.976146145978305</v>
      </c>
      <c r="E24" s="14"/>
      <c r="F24" s="14"/>
      <c r="G24" s="14"/>
      <c r="H24" s="14"/>
      <c r="I24" s="14"/>
      <c r="J24" s="14"/>
      <c r="K24" s="14"/>
      <c r="L24" s="14"/>
      <c r="M24" s="14"/>
      <c r="N24" s="14"/>
      <c r="O24" s="14"/>
      <c r="P24" s="14"/>
      <c r="Q24" s="14"/>
      <c r="R24" s="14"/>
      <c r="S24" s="14"/>
      <c r="T24" s="14"/>
      <c r="U24" s="14"/>
      <c r="V24" s="14"/>
      <c r="W24" s="14"/>
      <c r="X24" s="14"/>
    </row>
    <row r="25" spans="1:24" s="9" customFormat="1">
      <c r="A25" s="9">
        <f t="shared" si="0"/>
        <v>12</v>
      </c>
      <c r="B25" s="54" t="str">
        <f>VLOOKUP(C25,Sheet1!A:B,2,FALSE)</f>
        <v>Marathon Oil Corporation</v>
      </c>
      <c r="C25" s="8" t="str">
        <f>INDEX('3Q19 Actual'!$107:$108,1,MATCH('Relative Value'!A25,'3Q19 Actual'!$108:$108,0))</f>
        <v>MRO</v>
      </c>
      <c r="D25" s="10">
        <f>HLOOKUP(C25,'3Q19 Actual'!$B$8:$AQ$36,29,FALSE)</f>
        <v>2.5191267027430513</v>
      </c>
      <c r="E25" s="14"/>
      <c r="F25" s="14"/>
      <c r="G25" s="14"/>
      <c r="H25" s="14"/>
      <c r="I25" s="14"/>
      <c r="J25" s="14"/>
      <c r="K25" s="14"/>
      <c r="L25" s="14"/>
      <c r="M25" s="14"/>
      <c r="N25" s="14"/>
      <c r="O25" s="14"/>
      <c r="P25" s="14"/>
      <c r="Q25" s="14"/>
      <c r="R25" s="14"/>
      <c r="S25" s="14"/>
      <c r="T25" s="14"/>
      <c r="U25" s="14"/>
      <c r="V25" s="14"/>
      <c r="W25" s="14"/>
      <c r="X25" s="14"/>
    </row>
    <row r="26" spans="1:24" s="9" customFormat="1">
      <c r="A26" s="9">
        <f t="shared" si="0"/>
        <v>13</v>
      </c>
      <c r="B26" s="54" t="str">
        <f>VLOOKUP(C26,Sheet1!A:B,2,FALSE)</f>
        <v>Devon Energy</v>
      </c>
      <c r="C26" s="8" t="str">
        <f>INDEX('3Q19 Actual'!$107:$108,1,MATCH('Relative Value'!A26,'3Q19 Actual'!$108:$108,0))</f>
        <v>DVN</v>
      </c>
      <c r="D26" s="10">
        <f>HLOOKUP(C26,'3Q19 Actual'!$B$8:$AQ$36,29,FALSE)</f>
        <v>2.1059471141622161</v>
      </c>
      <c r="E26" s="14"/>
      <c r="F26" s="14"/>
      <c r="G26" s="14"/>
      <c r="H26" s="14"/>
      <c r="I26" s="14"/>
      <c r="J26" s="14"/>
      <c r="K26" s="14"/>
      <c r="L26" s="14"/>
      <c r="M26" s="14"/>
      <c r="N26" s="14"/>
      <c r="O26" s="14"/>
      <c r="P26" s="14"/>
      <c r="Q26" s="14"/>
      <c r="R26" s="14"/>
      <c r="S26" s="14"/>
      <c r="T26" s="14"/>
      <c r="U26" s="14"/>
      <c r="V26" s="14"/>
      <c r="W26" s="14"/>
      <c r="X26" s="14"/>
    </row>
    <row r="27" spans="1:24" s="9" customFormat="1">
      <c r="A27" s="9">
        <f t="shared" si="0"/>
        <v>14</v>
      </c>
      <c r="B27" s="54" t="str">
        <f>VLOOKUP(C27,Sheet1!A:B,2,FALSE)</f>
        <v>Occidental Petroleum</v>
      </c>
      <c r="C27" s="8" t="str">
        <f>INDEX('3Q19 Actual'!$107:$108,1,MATCH('Relative Value'!A27,'3Q19 Actual'!$108:$108,0))</f>
        <v>OXY</v>
      </c>
      <c r="D27" s="10">
        <f>HLOOKUP(C27,'3Q19 Actual'!$B$8:$AQ$36,29,FALSE)</f>
        <v>1.9544188070266628</v>
      </c>
      <c r="E27" s="14"/>
      <c r="F27" s="14"/>
      <c r="G27" s="14"/>
      <c r="H27" s="14"/>
      <c r="I27" s="14"/>
      <c r="J27" s="14"/>
      <c r="K27" s="14"/>
      <c r="L27" s="14"/>
      <c r="M27" s="14"/>
      <c r="N27" s="14"/>
      <c r="O27" s="14"/>
      <c r="P27" s="14"/>
      <c r="Q27" s="14"/>
      <c r="R27" s="14"/>
      <c r="S27" s="14"/>
      <c r="T27" s="14"/>
      <c r="U27" s="14"/>
      <c r="V27" s="14"/>
      <c r="W27" s="14"/>
      <c r="X27" s="14"/>
    </row>
    <row r="28" spans="1:24" s="9" customFormat="1">
      <c r="A28" s="9">
        <f t="shared" si="0"/>
        <v>15</v>
      </c>
      <c r="B28" s="54" t="str">
        <f>VLOOKUP(C28,Sheet1!A:B,2,FALSE)</f>
        <v>Apache</v>
      </c>
      <c r="C28" s="8" t="str">
        <f>INDEX('3Q19 Actual'!$107:$108,1,MATCH('Relative Value'!A28,'3Q19 Actual'!$108:$108,0))</f>
        <v>APA</v>
      </c>
      <c r="D28" s="10">
        <f>HLOOKUP(C28,'3Q19 Actual'!$B$8:$AQ$36,29,FALSE)</f>
        <v>-0.16961049228208935</v>
      </c>
      <c r="E28" s="14"/>
      <c r="F28" s="280" t="s">
        <v>76</v>
      </c>
      <c r="G28" s="278"/>
      <c r="H28" s="278"/>
      <c r="I28" s="278"/>
      <c r="J28" s="278"/>
      <c r="K28" s="278"/>
      <c r="L28" s="278"/>
      <c r="M28" s="278"/>
      <c r="N28" s="278"/>
      <c r="O28" s="278"/>
      <c r="P28" s="154"/>
      <c r="Q28" s="14"/>
      <c r="R28" s="14"/>
      <c r="S28" s="14"/>
      <c r="T28" s="14"/>
      <c r="U28" s="14"/>
      <c r="V28" s="14"/>
      <c r="W28" s="14"/>
      <c r="X28" s="14"/>
    </row>
    <row r="29" spans="1:24" s="9" customFormat="1">
      <c r="A29" s="9">
        <f t="shared" si="0"/>
        <v>16</v>
      </c>
      <c r="B29" s="54" t="str">
        <f>VLOOKUP(C29,Sheet1!A:B,2,FALSE)</f>
        <v>Hess Corporation</v>
      </c>
      <c r="C29" s="8" t="str">
        <f>INDEX('3Q19 Actual'!$107:$108,1,MATCH('Relative Value'!A29,'3Q19 Actual'!$108:$108,0))</f>
        <v>HES</v>
      </c>
      <c r="D29" s="10">
        <f>HLOOKUP(C29,'3Q19 Actual'!$B$8:$AQ$36,29,FALSE)</f>
        <v>-0.58497943438756295</v>
      </c>
      <c r="E29" s="14"/>
      <c r="F29" s="14"/>
      <c r="G29" s="14"/>
      <c r="H29" s="14"/>
      <c r="I29" s="14"/>
      <c r="J29" s="14"/>
      <c r="K29" s="14"/>
      <c r="L29" s="14"/>
      <c r="M29" s="14"/>
      <c r="N29" s="14"/>
      <c r="O29" s="14"/>
      <c r="P29" s="14"/>
      <c r="Q29" s="14"/>
      <c r="R29" s="14"/>
      <c r="S29" s="14"/>
      <c r="T29" s="14"/>
      <c r="U29" s="14"/>
      <c r="V29" s="14"/>
      <c r="W29" s="14"/>
      <c r="X29" s="14"/>
    </row>
    <row r="30" spans="1:24" s="9" customFormat="1">
      <c r="A30" s="9">
        <f t="shared" si="0"/>
        <v>17</v>
      </c>
      <c r="B30" s="129" t="str">
        <f>VLOOKUP(C30,Sheet1!A:B,2,FALSE)</f>
        <v>Southwestern Energy</v>
      </c>
      <c r="C30" s="8" t="str">
        <f>INDEX('3Q19 Actual'!$107:$108,1,MATCH('Relative Value'!A30,'3Q19 Actual'!$108:$108,0))</f>
        <v>SWN</v>
      </c>
      <c r="D30" s="10">
        <f>HLOOKUP(C30,'3Q19 Actual'!$B$8:$AQ$36,29,FALSE)</f>
        <v>-1.1288246361025838</v>
      </c>
      <c r="E30" s="14"/>
      <c r="F30" s="14"/>
      <c r="G30" s="14"/>
      <c r="H30" s="14"/>
      <c r="I30" s="14"/>
      <c r="J30" s="14"/>
      <c r="K30" s="14"/>
      <c r="L30" s="14"/>
      <c r="M30" s="14"/>
      <c r="N30" s="14"/>
      <c r="O30" s="14"/>
      <c r="P30" s="14"/>
      <c r="Q30" s="14"/>
      <c r="R30" s="14"/>
      <c r="S30" s="14"/>
      <c r="T30" s="14"/>
      <c r="U30" s="14"/>
      <c r="V30" s="14"/>
      <c r="W30" s="14"/>
      <c r="X30" s="14"/>
    </row>
    <row r="31" spans="1:24" s="9" customFormat="1">
      <c r="A31" s="9">
        <f t="shared" si="0"/>
        <v>18</v>
      </c>
      <c r="B31" s="156" t="str">
        <f>VLOOKUP(C31,Sheet1!A:B,2,FALSE)</f>
        <v>Noble Energy</v>
      </c>
      <c r="C31" s="8" t="str">
        <f>INDEX('3Q19 Actual'!$107:$108,1,MATCH('Relative Value'!A31,'3Q19 Actual'!$108:$108,0))</f>
        <v>NBL</v>
      </c>
      <c r="D31" s="10">
        <f>HLOOKUP(C31,'3Q19 Actual'!$B$8:$AQ$36,29,FALSE)</f>
        <v>-2.2670040142477532</v>
      </c>
      <c r="E31" s="14"/>
      <c r="F31" s="14"/>
      <c r="G31" s="14"/>
      <c r="H31" s="14"/>
      <c r="I31" s="14"/>
      <c r="J31" s="14"/>
      <c r="K31" s="14"/>
      <c r="L31" s="14"/>
      <c r="M31" s="14"/>
      <c r="N31" s="14"/>
      <c r="O31" s="14"/>
      <c r="P31" s="14"/>
      <c r="Q31" s="14"/>
      <c r="R31" s="14"/>
      <c r="S31" s="14"/>
      <c r="T31" s="14"/>
      <c r="U31" s="14"/>
      <c r="V31" s="14"/>
      <c r="W31" s="14"/>
      <c r="X31" s="14"/>
    </row>
    <row r="32" spans="1:24" s="9" customFormat="1">
      <c r="A32" s="9">
        <f t="shared" si="0"/>
        <v>19</v>
      </c>
      <c r="B32" s="156" t="str">
        <f>VLOOKUP(C32,Sheet1!A:B,2,FALSE)</f>
        <v>Antero</v>
      </c>
      <c r="C32" s="8" t="str">
        <f>INDEX('3Q19 Actual'!$107:$108,1,MATCH('Relative Value'!A32,'3Q19 Actual'!$108:$108,0))</f>
        <v>AR</v>
      </c>
      <c r="D32" s="10">
        <f>HLOOKUP(C32,'3Q19 Actual'!$B$8:$AQ$36,29,FALSE)</f>
        <v>-2.8001695200387324</v>
      </c>
      <c r="E32" s="14"/>
      <c r="F32" s="14"/>
      <c r="G32" s="14"/>
      <c r="H32" s="14"/>
      <c r="I32" s="14"/>
      <c r="J32" s="14"/>
      <c r="K32" s="14"/>
      <c r="L32" s="14"/>
      <c r="M32" s="14"/>
      <c r="N32" s="14"/>
      <c r="O32" s="14"/>
      <c r="P32" s="14"/>
      <c r="Q32" s="14"/>
      <c r="R32" s="14"/>
      <c r="S32" s="14"/>
      <c r="T32" s="14"/>
      <c r="U32" s="14"/>
      <c r="V32" s="14"/>
      <c r="W32" s="14"/>
      <c r="X32" s="14"/>
    </row>
    <row r="33" spans="1:24" s="9" customFormat="1">
      <c r="A33" s="9">
        <f t="shared" si="0"/>
        <v>20</v>
      </c>
      <c r="B33" s="156" t="str">
        <f>VLOOKUP(C33,Sheet1!A:B,2,FALSE)</f>
        <v>EQT Corp</v>
      </c>
      <c r="C33" s="8" t="str">
        <f>INDEX('3Q19 Actual'!$107:$108,1,MATCH('Relative Value'!A33,'3Q19 Actual'!$108:$108,0))</f>
        <v>EQT</v>
      </c>
      <c r="D33" s="10">
        <f>HLOOKUP(C33,'3Q19 Actual'!$B$8:$AQ$36,29,FALSE)</f>
        <v>-2.9558214160044951</v>
      </c>
      <c r="E33" s="14"/>
      <c r="F33" s="14"/>
      <c r="G33" s="14"/>
      <c r="H33" s="14"/>
      <c r="I33" s="14"/>
      <c r="J33" s="14"/>
      <c r="K33" s="14"/>
      <c r="L33" s="14"/>
      <c r="M33" s="14"/>
      <c r="N33" s="14"/>
      <c r="O33" s="14"/>
      <c r="P33" s="14"/>
      <c r="Q33" s="14"/>
      <c r="R33" s="14"/>
      <c r="S33" s="14"/>
      <c r="T33" s="14"/>
      <c r="U33" s="14"/>
      <c r="V33" s="14"/>
      <c r="W33" s="14"/>
      <c r="X33" s="14"/>
    </row>
    <row r="34" spans="1:24" s="9" customFormat="1">
      <c r="A34" s="9">
        <f t="shared" si="0"/>
        <v>21</v>
      </c>
      <c r="B34" s="156" t="str">
        <f>VLOOKUP(C34,Sheet1!A:B,2,FALSE)</f>
        <v>Chesapeake</v>
      </c>
      <c r="C34" s="8" t="str">
        <f>INDEX('3Q19 Actual'!$107:$108,1,MATCH('Relative Value'!A34,'3Q19 Actual'!$108:$108,0))</f>
        <v>CHK</v>
      </c>
      <c r="D34" s="10">
        <f>HLOOKUP(C34,'3Q19 Actual'!$B$8:$AQ$36,29,FALSE)</f>
        <v>-6.2036055143160134</v>
      </c>
      <c r="E34" s="14"/>
      <c r="F34" s="14"/>
      <c r="G34" s="14"/>
      <c r="H34" s="14"/>
      <c r="I34" s="14"/>
      <c r="J34" s="14"/>
      <c r="K34" s="14"/>
      <c r="L34" s="14"/>
      <c r="M34" s="14"/>
      <c r="N34" s="14"/>
      <c r="O34" s="14"/>
      <c r="P34" s="14"/>
      <c r="Q34" s="14"/>
      <c r="R34" s="14"/>
      <c r="S34" s="14"/>
      <c r="T34" s="14"/>
      <c r="U34" s="14"/>
      <c r="V34" s="14"/>
      <c r="W34" s="14"/>
      <c r="X34" s="14"/>
    </row>
    <row r="35" spans="1:24" s="9" customFormat="1">
      <c r="B35" s="257"/>
      <c r="C35" s="8"/>
      <c r="D35" s="10"/>
      <c r="E35" s="14"/>
      <c r="F35" s="14"/>
      <c r="G35" s="14"/>
      <c r="H35" s="14"/>
      <c r="I35" s="14"/>
      <c r="J35" s="14"/>
      <c r="K35" s="14"/>
      <c r="L35" s="14"/>
      <c r="M35" s="14"/>
      <c r="N35" s="14"/>
      <c r="O35" s="14"/>
      <c r="P35" s="14"/>
      <c r="Q35" s="14"/>
      <c r="R35" s="14"/>
      <c r="S35" s="14"/>
      <c r="T35" s="14"/>
      <c r="U35" s="14"/>
      <c r="V35" s="14"/>
      <c r="W35" s="14"/>
      <c r="X35" s="14"/>
    </row>
    <row r="36" spans="1:24" ht="15" customHeight="1">
      <c r="B36" s="280" t="s">
        <v>76</v>
      </c>
      <c r="C36" s="278"/>
      <c r="D36" s="278"/>
    </row>
    <row r="37" spans="1:24" ht="15" customHeight="1" thickBot="1">
      <c r="B37" s="33"/>
      <c r="C37" s="9"/>
      <c r="D37" s="9"/>
    </row>
    <row r="38" spans="1:24" ht="39" thickBot="1">
      <c r="B38" s="4" t="s">
        <v>15</v>
      </c>
      <c r="C38" s="5" t="s">
        <v>16</v>
      </c>
      <c r="D38" s="152" t="str">
        <f>'3Q19 Actual'!$B$1&amp;" Cash Margin ($/boe)"</f>
        <v>3Q19 Cash Margin ($/boe)</v>
      </c>
      <c r="F38" s="277"/>
      <c r="G38" s="277"/>
      <c r="H38" s="277"/>
      <c r="I38" s="277"/>
      <c r="J38" s="277"/>
      <c r="K38" s="277"/>
      <c r="L38" s="277"/>
      <c r="M38" s="277"/>
      <c r="N38" s="277"/>
      <c r="O38" s="277"/>
      <c r="P38" s="153"/>
    </row>
    <row r="39" spans="1:24" ht="15" customHeight="1">
      <c r="A39" s="9">
        <v>1</v>
      </c>
      <c r="B39" s="40" t="str">
        <f>VLOOKUP(C39,Sheet1!A:B,2,FALSE)</f>
        <v>ConocoPhillips</v>
      </c>
      <c r="C39" s="8" t="str">
        <f>INDEX('3Q19 Actual'!$111:$112,1,MATCH('Relative Value'!A39,'3Q19 Actual'!$112:$112,0))</f>
        <v>COP</v>
      </c>
      <c r="D39" s="10">
        <f>HLOOKUP(C39,'3Q19 Actual'!$B$8:$AQ$35,28,FALSE)</f>
        <v>29.103910337032133</v>
      </c>
      <c r="F39" s="277" t="str">
        <f>"Figure 2. "&amp;'3Q19 Actual'!$B$1&amp;" Cash Margin ($/boe)"</f>
        <v>Figure 2. 3Q19 Cash Margin ($/boe)</v>
      </c>
      <c r="G39" s="277"/>
      <c r="H39" s="277"/>
      <c r="I39" s="277"/>
      <c r="J39" s="277"/>
      <c r="K39" s="277"/>
      <c r="L39" s="277"/>
      <c r="M39" s="277"/>
      <c r="N39" s="277"/>
      <c r="O39" s="277"/>
      <c r="P39" s="153"/>
    </row>
    <row r="40" spans="1:24" ht="15" customHeight="1">
      <c r="A40" s="9">
        <f>A39+1</f>
        <v>2</v>
      </c>
      <c r="B40" s="40" t="str">
        <f>VLOOKUP(C40,Sheet1!A:B,2,FALSE)</f>
        <v>Murphy</v>
      </c>
      <c r="C40" s="8" t="str">
        <f>INDEX('3Q19 Actual'!$111:$112,1,MATCH('Relative Value'!A40,'3Q19 Actual'!$112:$112,0))</f>
        <v>MUR</v>
      </c>
      <c r="D40" s="10">
        <f>HLOOKUP(C40,'3Q19 Actual'!$B$8:$AQ$35,28,FALSE)</f>
        <v>28.020755647354282</v>
      </c>
    </row>
    <row r="41" spans="1:24" ht="15" customHeight="1">
      <c r="A41" s="9">
        <f t="shared" ref="A41:A59" si="1">A40+1</f>
        <v>3</v>
      </c>
      <c r="B41" s="54" t="str">
        <f>VLOOKUP(C41,Sheet1!A:B,2,FALSE)</f>
        <v>Diamondback Energy</v>
      </c>
      <c r="C41" s="8" t="str">
        <f>INDEX('3Q19 Actual'!$111:$112,1,MATCH('Relative Value'!A41,'3Q19 Actual'!$112:$112,0))</f>
        <v>FANG</v>
      </c>
      <c r="D41" s="10">
        <f>HLOOKUP(C41,'3Q19 Actual'!$B$8:$AQ$35,28,FALSE)</f>
        <v>26.851517462799457</v>
      </c>
    </row>
    <row r="42" spans="1:24" ht="15" customHeight="1">
      <c r="A42" s="9">
        <f t="shared" si="1"/>
        <v>4</v>
      </c>
      <c r="B42" s="54" t="str">
        <f>VLOOKUP(C42,Sheet1!A:B,2,FALSE)</f>
        <v>Pioneer Natural</v>
      </c>
      <c r="C42" s="8" t="str">
        <f>INDEX('3Q19 Actual'!$111:$112,1,MATCH('Relative Value'!A42,'3Q19 Actual'!$112:$112,0))</f>
        <v>PXD</v>
      </c>
      <c r="D42" s="10">
        <f>HLOOKUP(C42,'3Q19 Actual'!$B$8:$AQ$35,28,FALSE)</f>
        <v>25.346387229163319</v>
      </c>
    </row>
    <row r="43" spans="1:24" ht="15" customHeight="1">
      <c r="A43" s="9">
        <f t="shared" si="1"/>
        <v>5</v>
      </c>
      <c r="B43" s="54" t="str">
        <f>VLOOKUP(C43,Sheet1!A:B,2,FALSE)</f>
        <v>EOG Resources</v>
      </c>
      <c r="C43" s="8" t="str">
        <f>INDEX('3Q19 Actual'!$111:$112,1,MATCH('Relative Value'!A43,'3Q19 Actual'!$112:$112,0))</f>
        <v>EOG</v>
      </c>
      <c r="D43" s="10">
        <f>HLOOKUP(C43,'3Q19 Actual'!$B$8:$AQ$35,28,FALSE)</f>
        <v>23.44090556112441</v>
      </c>
    </row>
    <row r="44" spans="1:24" ht="15" customHeight="1">
      <c r="A44" s="9">
        <f t="shared" si="1"/>
        <v>6</v>
      </c>
      <c r="B44" s="54" t="str">
        <f>VLOOKUP(C44,Sheet1!A:B,2,FALSE)</f>
        <v>Continental Resources</v>
      </c>
      <c r="C44" s="8" t="str">
        <f>INDEX('3Q19 Actual'!$111:$112,1,MATCH('Relative Value'!A44,'3Q19 Actual'!$112:$112,0))</f>
        <v>CLR</v>
      </c>
      <c r="D44" s="10">
        <f>HLOOKUP(C44,'3Q19 Actual'!$B$8:$AQ$35,28,FALSE)</f>
        <v>23.003907371803464</v>
      </c>
    </row>
    <row r="45" spans="1:24" ht="15" customHeight="1">
      <c r="A45" s="9">
        <f t="shared" si="1"/>
        <v>7</v>
      </c>
      <c r="B45" s="54" t="str">
        <f>VLOOKUP(C45,Sheet1!A:B,2,FALSE)</f>
        <v>Concho</v>
      </c>
      <c r="C45" s="8" t="str">
        <f>INDEX('3Q19 Actual'!$111:$112,1,MATCH('Relative Value'!A45,'3Q19 Actual'!$112:$112,0))</f>
        <v>CXO</v>
      </c>
      <c r="D45" s="10">
        <f>HLOOKUP(C45,'3Q19 Actual'!$B$8:$AQ$35,28,FALSE)</f>
        <v>22.864786746870895</v>
      </c>
    </row>
    <row r="46" spans="1:24" ht="15" customHeight="1">
      <c r="A46" s="9">
        <f t="shared" si="1"/>
        <v>8</v>
      </c>
      <c r="B46" s="54" t="str">
        <f>VLOOKUP(C46,Sheet1!A:B,2,FALSE)</f>
        <v>Canadian Natural Resources</v>
      </c>
      <c r="C46" s="8" t="str">
        <f>INDEX('3Q19 Actual'!$111:$112,1,MATCH('Relative Value'!A46,'3Q19 Actual'!$112:$112,0))</f>
        <v>CNQCN</v>
      </c>
      <c r="D46" s="10">
        <f>HLOOKUP(C46,'3Q19 Actual'!$B$8:$AQ$35,28,FALSE)</f>
        <v>20.922653862309758</v>
      </c>
    </row>
    <row r="47" spans="1:24" ht="15" customHeight="1">
      <c r="A47" s="9">
        <f t="shared" si="1"/>
        <v>9</v>
      </c>
      <c r="B47" s="54" t="str">
        <f>VLOOKUP(C47,Sheet1!A:B,2,FALSE)</f>
        <v>Marathon Oil Corporation</v>
      </c>
      <c r="C47" s="8" t="str">
        <f>INDEX('3Q19 Actual'!$111:$112,1,MATCH('Relative Value'!A47,'3Q19 Actual'!$112:$112,0))</f>
        <v>MRO</v>
      </c>
      <c r="D47" s="10">
        <f>HLOOKUP(C47,'3Q19 Actual'!$B$8:$AQ$35,28,FALSE)</f>
        <v>18.346367198765037</v>
      </c>
    </row>
    <row r="48" spans="1:24" ht="15" customHeight="1">
      <c r="A48" s="9">
        <f t="shared" si="1"/>
        <v>10</v>
      </c>
      <c r="B48" s="54" t="str">
        <f>VLOOKUP(C48,Sheet1!A:B,2,FALSE)</f>
        <v>Apache</v>
      </c>
      <c r="C48" s="8" t="str">
        <f>INDEX('3Q19 Actual'!$111:$112,1,MATCH('Relative Value'!A48,'3Q19 Actual'!$112:$112,0))</f>
        <v>APA</v>
      </c>
      <c r="D48" s="10">
        <f>HLOOKUP(C48,'3Q19 Actual'!$B$8:$AQ$35,28,FALSE)</f>
        <v>17.918975342077381</v>
      </c>
    </row>
    <row r="49" spans="1:16" ht="15" customHeight="1">
      <c r="A49" s="9">
        <f t="shared" si="1"/>
        <v>11</v>
      </c>
      <c r="B49" s="54" t="str">
        <f>VLOOKUP(C49,Sheet1!A:B,2,FALSE)</f>
        <v>Hess Corporation</v>
      </c>
      <c r="C49" s="8" t="str">
        <f>INDEX('3Q19 Actual'!$111:$112,1,MATCH('Relative Value'!A49,'3Q19 Actual'!$112:$112,0))</f>
        <v>HES</v>
      </c>
      <c r="D49" s="10">
        <f>HLOOKUP(C49,'3Q19 Actual'!$B$8:$AQ$35,28,FALSE)</f>
        <v>17.087504473311178</v>
      </c>
    </row>
    <row r="50" spans="1:16" ht="15" customHeight="1">
      <c r="A50" s="9">
        <f t="shared" si="1"/>
        <v>12</v>
      </c>
      <c r="B50" s="54" t="str">
        <f>VLOOKUP(C50,Sheet1!A:B,2,FALSE)</f>
        <v>Cenovus</v>
      </c>
      <c r="C50" s="8" t="str">
        <f>INDEX('3Q19 Actual'!$111:$112,1,MATCH('Relative Value'!A50,'3Q19 Actual'!$112:$112,0))</f>
        <v>CVECN</v>
      </c>
      <c r="D50" s="10">
        <f>HLOOKUP(C50,'3Q19 Actual'!$B$8:$AQ$35,28,FALSE)</f>
        <v>16.351906859356284</v>
      </c>
    </row>
    <row r="51" spans="1:16" ht="15" customHeight="1">
      <c r="A51" s="9">
        <f t="shared" si="1"/>
        <v>13</v>
      </c>
      <c r="B51" s="54" t="str">
        <f>VLOOKUP(C51,Sheet1!A:B,2,FALSE)</f>
        <v>Occidental Petroleum</v>
      </c>
      <c r="C51" s="8" t="str">
        <f>INDEX('3Q19 Actual'!$111:$112,1,MATCH('Relative Value'!A51,'3Q19 Actual'!$112:$112,0))</f>
        <v>OXY</v>
      </c>
      <c r="D51" s="10">
        <f>HLOOKUP(C51,'3Q19 Actual'!$B$8:$AQ$35,28,FALSE)</f>
        <v>16.07441880702666</v>
      </c>
    </row>
    <row r="52" spans="1:16" ht="15" customHeight="1">
      <c r="A52" s="9">
        <f t="shared" si="1"/>
        <v>14</v>
      </c>
      <c r="B52" s="54" t="str">
        <f>VLOOKUP(C52,Sheet1!A:B,2,FALSE)</f>
        <v>Noble Energy</v>
      </c>
      <c r="C52" s="8" t="str">
        <f>INDEX('3Q19 Actual'!$111:$112,1,MATCH('Relative Value'!A52,'3Q19 Actual'!$112:$112,0))</f>
        <v>NBL</v>
      </c>
      <c r="D52" s="10">
        <f>HLOOKUP(C52,'3Q19 Actual'!$B$8:$AQ$35,28,FALSE)</f>
        <v>13.111522587210944</v>
      </c>
    </row>
    <row r="53" spans="1:16" ht="15" customHeight="1">
      <c r="A53" s="9">
        <f t="shared" si="1"/>
        <v>15</v>
      </c>
      <c r="B53" s="54" t="str">
        <f>VLOOKUP(C53,Sheet1!A:B,2,FALSE)</f>
        <v>Encana</v>
      </c>
      <c r="C53" s="8" t="str">
        <f>INDEX('3Q19 Actual'!$111:$112,1,MATCH('Relative Value'!A53,'3Q19 Actual'!$112:$112,0))</f>
        <v>ECACN</v>
      </c>
      <c r="D53" s="10">
        <f>HLOOKUP(C53,'3Q19 Actual'!$B$8:$AQ$35,28,FALSE)</f>
        <v>12.641441865701497</v>
      </c>
    </row>
    <row r="54" spans="1:16" ht="15" customHeight="1">
      <c r="A54" s="9">
        <f t="shared" si="1"/>
        <v>16</v>
      </c>
      <c r="B54" s="54" t="str">
        <f>VLOOKUP(C54,Sheet1!A:B,2,FALSE)</f>
        <v>Cimarex</v>
      </c>
      <c r="C54" s="8" t="str">
        <f>INDEX('3Q19 Actual'!$111:$112,1,MATCH('Relative Value'!A54,'3Q19 Actual'!$112:$112,0))</f>
        <v>XEC</v>
      </c>
      <c r="D54" s="10">
        <f>HLOOKUP(C54,'3Q19 Actual'!$B$8:$AQ$35,28,FALSE)</f>
        <v>12.575106303840991</v>
      </c>
      <c r="F54" s="280" t="s">
        <v>76</v>
      </c>
      <c r="G54" s="278"/>
      <c r="H54" s="278"/>
      <c r="I54" s="278"/>
      <c r="J54" s="278"/>
      <c r="K54" s="278"/>
      <c r="L54" s="278"/>
      <c r="M54" s="278"/>
      <c r="N54" s="278"/>
      <c r="O54" s="278"/>
      <c r="P54" s="154"/>
    </row>
    <row r="55" spans="1:16" ht="15" customHeight="1">
      <c r="A55" s="9">
        <f t="shared" si="1"/>
        <v>17</v>
      </c>
      <c r="B55" s="129" t="str">
        <f>VLOOKUP(C55,Sheet1!A:B,2,FALSE)</f>
        <v>Devon Energy</v>
      </c>
      <c r="C55" s="8" t="str">
        <f>INDEX('3Q19 Actual'!$111:$112,1,MATCH('Relative Value'!A55,'3Q19 Actual'!$112:$112,0))</f>
        <v>DVN</v>
      </c>
      <c r="D55" s="10">
        <f>HLOOKUP(C55,'3Q19 Actual'!$B$8:$AQ$35,28,FALSE)</f>
        <v>12.32715230104246</v>
      </c>
      <c r="F55" s="129"/>
      <c r="G55" s="128"/>
      <c r="H55" s="154"/>
      <c r="I55" s="128"/>
      <c r="J55" s="128"/>
      <c r="K55" s="128"/>
      <c r="L55" s="128"/>
      <c r="M55" s="128"/>
      <c r="N55" s="255"/>
      <c r="O55" s="128"/>
      <c r="P55" s="154"/>
    </row>
    <row r="56" spans="1:16" ht="15" customHeight="1">
      <c r="A56" s="9">
        <f t="shared" si="1"/>
        <v>18</v>
      </c>
      <c r="B56" s="156" t="str">
        <f>VLOOKUP(C56,Sheet1!A:B,2,FALSE)</f>
        <v>Chesapeake</v>
      </c>
      <c r="C56" s="8" t="str">
        <f>INDEX('3Q19 Actual'!$111:$112,1,MATCH('Relative Value'!A56,'3Q19 Actual'!$112:$112,0))</f>
        <v>CHK</v>
      </c>
      <c r="D56" s="10">
        <f>HLOOKUP(C56,'3Q19 Actual'!$B$8:$AQ$35,28,FALSE)</f>
        <v>6.8171489168307815</v>
      </c>
      <c r="F56" s="156"/>
      <c r="G56" s="154"/>
      <c r="H56" s="154"/>
      <c r="I56" s="154"/>
      <c r="J56" s="154"/>
      <c r="K56" s="154"/>
      <c r="L56" s="154"/>
      <c r="M56" s="154"/>
      <c r="N56" s="255"/>
      <c r="O56" s="154"/>
      <c r="P56" s="154"/>
    </row>
    <row r="57" spans="1:16" ht="15" customHeight="1">
      <c r="A57" s="9">
        <f t="shared" si="1"/>
        <v>19</v>
      </c>
      <c r="B57" s="156" t="str">
        <f>VLOOKUP(C57,Sheet1!A:B,2,FALSE)</f>
        <v>EQT Corp</v>
      </c>
      <c r="C57" s="8" t="str">
        <f>INDEX('3Q19 Actual'!$111:$112,1,MATCH('Relative Value'!A57,'3Q19 Actual'!$112:$112,0))</f>
        <v>EQT</v>
      </c>
      <c r="D57" s="10">
        <f>HLOOKUP(C57,'3Q19 Actual'!$B$8:$AQ$35,28,FALSE)</f>
        <v>3.2044913843358245</v>
      </c>
      <c r="F57" s="156"/>
      <c r="G57" s="154"/>
      <c r="H57" s="154"/>
      <c r="I57" s="154"/>
      <c r="J57" s="154"/>
      <c r="K57" s="154"/>
      <c r="L57" s="154"/>
      <c r="M57" s="154"/>
      <c r="N57" s="255"/>
      <c r="O57" s="154"/>
      <c r="P57" s="154"/>
    </row>
    <row r="58" spans="1:16" ht="15" customHeight="1">
      <c r="A58" s="9">
        <f t="shared" si="1"/>
        <v>20</v>
      </c>
      <c r="B58" s="156" t="str">
        <f>VLOOKUP(C58,Sheet1!A:B,2,FALSE)</f>
        <v>Southwestern Energy</v>
      </c>
      <c r="C58" s="8" t="str">
        <f>INDEX('3Q19 Actual'!$111:$112,1,MATCH('Relative Value'!A58,'3Q19 Actual'!$112:$112,0))</f>
        <v>SWN</v>
      </c>
      <c r="D58" s="10">
        <f>HLOOKUP(C58,'3Q19 Actual'!$B$8:$AQ$35,28,FALSE)</f>
        <v>2.5250024754926246</v>
      </c>
      <c r="F58" s="156"/>
      <c r="G58" s="154"/>
      <c r="H58" s="154"/>
      <c r="I58" s="154"/>
      <c r="J58" s="154"/>
      <c r="K58" s="154"/>
      <c r="L58" s="154"/>
      <c r="M58" s="154"/>
      <c r="N58" s="255"/>
      <c r="O58" s="154"/>
      <c r="P58" s="154"/>
    </row>
    <row r="59" spans="1:16" ht="15" customHeight="1">
      <c r="A59" s="9">
        <f t="shared" si="1"/>
        <v>21</v>
      </c>
      <c r="B59" s="156" t="str">
        <f>VLOOKUP(C59,Sheet1!A:B,2,FALSE)</f>
        <v>Antero</v>
      </c>
      <c r="C59" s="8" t="str">
        <f>INDEX('3Q19 Actual'!$111:$112,1,MATCH('Relative Value'!A59,'3Q19 Actual'!$112:$112,0))</f>
        <v>AR</v>
      </c>
      <c r="D59" s="10">
        <f>HLOOKUP(C59,'3Q19 Actual'!$B$8:$AQ$35,28,FALSE)</f>
        <v>1.8798304799612655</v>
      </c>
      <c r="F59" s="156"/>
      <c r="G59" s="154"/>
      <c r="H59" s="154"/>
      <c r="I59" s="154"/>
      <c r="J59" s="154"/>
      <c r="K59" s="154"/>
      <c r="L59" s="154"/>
      <c r="M59" s="154"/>
      <c r="N59" s="255"/>
      <c r="O59" s="154"/>
      <c r="P59" s="154"/>
    </row>
    <row r="60" spans="1:16" ht="15" customHeight="1">
      <c r="A60" s="9"/>
      <c r="B60" s="257"/>
      <c r="C60" s="8"/>
      <c r="D60" s="10"/>
      <c r="F60" s="129"/>
      <c r="G60" s="128"/>
      <c r="H60" s="154"/>
      <c r="I60" s="128"/>
      <c r="J60" s="128"/>
      <c r="K60" s="128"/>
      <c r="L60" s="128"/>
      <c r="M60" s="128"/>
      <c r="N60" s="255"/>
      <c r="O60" s="128"/>
      <c r="P60" s="154"/>
    </row>
    <row r="61" spans="1:16" ht="15" customHeight="1">
      <c r="B61" s="280" t="s">
        <v>76</v>
      </c>
      <c r="C61" s="278"/>
      <c r="D61" s="278"/>
    </row>
    <row r="62" spans="1:16" ht="15" thickBot="1"/>
    <row r="63" spans="1:16" ht="39" thickBot="1">
      <c r="B63" s="4" t="s">
        <v>15</v>
      </c>
      <c r="C63" s="5" t="s">
        <v>16</v>
      </c>
      <c r="D63" s="152" t="str">
        <f>'3Q19 Actual'!$B$1&amp;" Interest Coverage (x)"</f>
        <v>3Q19 Interest Coverage (x)</v>
      </c>
    </row>
    <row r="64" spans="1:16">
      <c r="A64" s="9">
        <v>1</v>
      </c>
      <c r="B64" s="40" t="str">
        <f>VLOOKUP(C64,Sheet1!A:B,2,FALSE)</f>
        <v>EOG Resources</v>
      </c>
      <c r="C64" s="8" t="str">
        <f>INDEX('3Q19 Actual'!$109:$110,1,MATCH('Relative Value'!A64,'3Q19 Actual'!$110:$110,0))</f>
        <v>EOG</v>
      </c>
      <c r="D64" s="10">
        <f>HLOOKUP(C64,'3Q19 Actual'!$B$8:$AQ$38,31,FALSE)</f>
        <v>46.408303886925786</v>
      </c>
      <c r="F64" s="277" t="str">
        <f>"Figure 3. "&amp;'3Q19 Actual'!$B$1&amp;" Pre-interest Cash Margin/Interest (x)"</f>
        <v>Figure 3. 3Q19 Pre-interest Cash Margin/Interest (x)</v>
      </c>
      <c r="G64" s="277"/>
      <c r="H64" s="277"/>
      <c r="I64" s="277"/>
      <c r="J64" s="277"/>
      <c r="K64" s="277"/>
      <c r="L64" s="277"/>
      <c r="M64" s="277"/>
      <c r="N64" s="277"/>
      <c r="O64" s="277"/>
      <c r="P64" s="153"/>
    </row>
    <row r="65" spans="1:16">
      <c r="A65" s="9">
        <f>A64+1</f>
        <v>2</v>
      </c>
      <c r="B65" s="40" t="str">
        <f>VLOOKUP(C65,Sheet1!A:B,2,FALSE)</f>
        <v>Pioneer Natural</v>
      </c>
      <c r="C65" s="8" t="str">
        <f>INDEX('3Q19 Actual'!$109:$110,1,MATCH('Relative Value'!A65,'3Q19 Actual'!$110:$110,0))</f>
        <v>PXD</v>
      </c>
      <c r="D65" s="10">
        <f>HLOOKUP(C65,'3Q19 Actual'!$B$8:$AQ$38,31,FALSE)</f>
        <v>28.299294900689652</v>
      </c>
    </row>
    <row r="66" spans="1:16">
      <c r="A66" s="9">
        <f t="shared" ref="A66:A84" si="2">A65+1</f>
        <v>3</v>
      </c>
      <c r="B66" s="54" t="str">
        <f>VLOOKUP(C66,Sheet1!A:B,2,FALSE)</f>
        <v>ConocoPhillips</v>
      </c>
      <c r="C66" s="8" t="str">
        <f>INDEX('3Q19 Actual'!$109:$110,1,MATCH('Relative Value'!A66,'3Q19 Actual'!$110:$110,0))</f>
        <v>COP</v>
      </c>
      <c r="D66" s="10">
        <f>HLOOKUP(C66,'3Q19 Actual'!$B$8:$AQ$38,31,FALSE)</f>
        <v>20.870694782608691</v>
      </c>
    </row>
    <row r="67" spans="1:16">
      <c r="A67" s="9">
        <f t="shared" si="2"/>
        <v>4</v>
      </c>
      <c r="B67" s="54" t="str">
        <f>VLOOKUP(C67,Sheet1!A:B,2,FALSE)</f>
        <v>Diamondback Energy</v>
      </c>
      <c r="C67" s="8" t="str">
        <f>INDEX('3Q19 Actual'!$109:$110,1,MATCH('Relative Value'!A67,'3Q19 Actual'!$110:$110,0))</f>
        <v>FANG</v>
      </c>
      <c r="D67" s="10">
        <f>HLOOKUP(C67,'3Q19 Actual'!$B$8:$AQ$38,31,FALSE)</f>
        <v>19.666557826315788</v>
      </c>
    </row>
    <row r="68" spans="1:16">
      <c r="A68" s="9">
        <f t="shared" si="2"/>
        <v>5</v>
      </c>
      <c r="B68" s="54" t="str">
        <f>VLOOKUP(C68,Sheet1!A:B,2,FALSE)</f>
        <v>Murphy</v>
      </c>
      <c r="C68" s="8" t="str">
        <f>INDEX('3Q19 Actual'!$109:$110,1,MATCH('Relative Value'!A68,'3Q19 Actual'!$110:$110,0))</f>
        <v>MUR</v>
      </c>
      <c r="D68" s="10">
        <f>HLOOKUP(C68,'3Q19 Actual'!$B$8:$AQ$38,31,FALSE)</f>
        <v>18.63969398759772</v>
      </c>
    </row>
    <row r="69" spans="1:16">
      <c r="A69" s="9">
        <f t="shared" si="2"/>
        <v>6</v>
      </c>
      <c r="B69" s="54" t="str">
        <f>VLOOKUP(C69,Sheet1!A:B,2,FALSE)</f>
        <v>Concho</v>
      </c>
      <c r="C69" s="8" t="str">
        <f>INDEX('3Q19 Actual'!$109:$110,1,MATCH('Relative Value'!A69,'3Q19 Actual'!$110:$110,0))</f>
        <v>CXO</v>
      </c>
      <c r="D69" s="10">
        <f>HLOOKUP(C69,'3Q19 Actual'!$B$8:$AQ$38,31,FALSE)</f>
        <v>16.081750526956522</v>
      </c>
    </row>
    <row r="70" spans="1:16">
      <c r="A70" s="9">
        <f t="shared" si="2"/>
        <v>7</v>
      </c>
      <c r="B70" s="54" t="str">
        <f>VLOOKUP(C70,Sheet1!A:B,2,FALSE)</f>
        <v>Cimarex</v>
      </c>
      <c r="C70" s="8" t="str">
        <f>INDEX('3Q19 Actual'!$109:$110,1,MATCH('Relative Value'!A70,'3Q19 Actual'!$110:$110,0))</f>
        <v>XEC</v>
      </c>
      <c r="D70" s="10">
        <f>HLOOKUP(C70,'3Q19 Actual'!$B$8:$AQ$38,31,FALSE)</f>
        <v>14.50923289677052</v>
      </c>
    </row>
    <row r="71" spans="1:16">
      <c r="A71" s="9">
        <f t="shared" si="2"/>
        <v>8</v>
      </c>
      <c r="B71" s="54" t="str">
        <f>VLOOKUP(C71,Sheet1!A:B,2,FALSE)</f>
        <v>Canadian Natural Resources</v>
      </c>
      <c r="C71" s="8" t="str">
        <f>INDEX('3Q19 Actual'!$109:$110,1,MATCH('Relative Value'!A71,'3Q19 Actual'!$110:$110,0))</f>
        <v>CNQCN</v>
      </c>
      <c r="D71" s="10">
        <f>HLOOKUP(C71,'3Q19 Actual'!$B$8:$AQ$38,31,FALSE)</f>
        <v>13.939393939393945</v>
      </c>
    </row>
    <row r="72" spans="1:16">
      <c r="A72" s="9">
        <f t="shared" si="2"/>
        <v>9</v>
      </c>
      <c r="B72" s="54" t="str">
        <f>VLOOKUP(C72,Sheet1!A:B,2,FALSE)</f>
        <v>Marathon Oil Corporation</v>
      </c>
      <c r="C72" s="8" t="str">
        <f>INDEX('3Q19 Actual'!$109:$110,1,MATCH('Relative Value'!A72,'3Q19 Actual'!$110:$110,0))</f>
        <v>MRO</v>
      </c>
      <c r="D72" s="10">
        <f>HLOOKUP(C72,'3Q19 Actual'!$B$8:$AQ$38,31,FALSE)</f>
        <v>12.265625</v>
      </c>
    </row>
    <row r="73" spans="1:16">
      <c r="A73" s="9">
        <f t="shared" si="2"/>
        <v>10</v>
      </c>
      <c r="B73" s="54" t="str">
        <f>VLOOKUP(C73,Sheet1!A:B,2,FALSE)</f>
        <v>Continental Resources</v>
      </c>
      <c r="C73" s="8" t="str">
        <f>INDEX('3Q19 Actual'!$109:$110,1,MATCH('Relative Value'!A73,'3Q19 Actual'!$110:$110,0))</f>
        <v>CLR</v>
      </c>
      <c r="D73" s="10">
        <f>HLOOKUP(C73,'3Q19 Actual'!$B$8:$AQ$38,31,FALSE)</f>
        <v>11.328946981935673</v>
      </c>
    </row>
    <row r="74" spans="1:16">
      <c r="A74" s="9">
        <f t="shared" si="2"/>
        <v>11</v>
      </c>
      <c r="B74" s="54" t="str">
        <f>VLOOKUP(C74,Sheet1!A:B,2,FALSE)</f>
        <v>Cenovus</v>
      </c>
      <c r="C74" s="8" t="str">
        <f>INDEX('3Q19 Actual'!$109:$110,1,MATCH('Relative Value'!A74,'3Q19 Actual'!$110:$110,0))</f>
        <v>CVECN</v>
      </c>
      <c r="D74" s="10">
        <f>HLOOKUP(C74,'3Q19 Actual'!$B$8:$AQ$38,31,FALSE)</f>
        <v>10.182314942680408</v>
      </c>
    </row>
    <row r="75" spans="1:16">
      <c r="A75" s="9">
        <f t="shared" si="2"/>
        <v>12</v>
      </c>
      <c r="B75" s="54" t="str">
        <f>VLOOKUP(C75,Sheet1!A:B,2,FALSE)</f>
        <v>Devon Energy</v>
      </c>
      <c r="C75" s="8" t="str">
        <f>INDEX('3Q19 Actual'!$109:$110,1,MATCH('Relative Value'!A75,'3Q19 Actual'!$110:$110,0))</f>
        <v>DVN</v>
      </c>
      <c r="D75" s="10">
        <f>HLOOKUP(C75,'3Q19 Actual'!$B$8:$AQ$38,31,FALSE)</f>
        <v>9.080448333333333</v>
      </c>
    </row>
    <row r="76" spans="1:16">
      <c r="A76" s="9">
        <f t="shared" si="2"/>
        <v>13</v>
      </c>
      <c r="B76" s="54" t="str">
        <f>VLOOKUP(C76,Sheet1!A:B,2,FALSE)</f>
        <v>Encana</v>
      </c>
      <c r="C76" s="8" t="str">
        <f>INDEX('3Q19 Actual'!$109:$110,1,MATCH('Relative Value'!A76,'3Q19 Actual'!$110:$110,0))</f>
        <v>ECACN</v>
      </c>
      <c r="D76" s="10">
        <f>HLOOKUP(C76,'3Q19 Actual'!$B$8:$AQ$38,31,FALSE)</f>
        <v>8.1076911245791248</v>
      </c>
    </row>
    <row r="77" spans="1:16">
      <c r="A77" s="9">
        <f t="shared" si="2"/>
        <v>14</v>
      </c>
      <c r="B77" s="54" t="str">
        <f>VLOOKUP(C77,Sheet1!A:B,2,FALSE)</f>
        <v>Apache</v>
      </c>
      <c r="C77" s="8" t="str">
        <f>INDEX('3Q19 Actual'!$109:$110,1,MATCH('Relative Value'!A77,'3Q19 Actual'!$110:$110,0))</f>
        <v>APA</v>
      </c>
      <c r="D77" s="10">
        <f>HLOOKUP(C77,'3Q19 Actual'!$B$8:$AQ$38,31,FALSE)</f>
        <v>7.5825532317757025</v>
      </c>
    </row>
    <row r="78" spans="1:16">
      <c r="A78" s="9">
        <f t="shared" si="2"/>
        <v>15</v>
      </c>
      <c r="B78" s="54" t="str">
        <f>VLOOKUP(C78,Sheet1!A:B,2,FALSE)</f>
        <v>Hess Corporation</v>
      </c>
      <c r="C78" s="8" t="str">
        <f>INDEX('3Q19 Actual'!$109:$110,1,MATCH('Relative Value'!A78,'3Q19 Actual'!$110:$110,0))</f>
        <v>HES</v>
      </c>
      <c r="D78" s="10">
        <f>HLOOKUP(C78,'3Q19 Actual'!$B$8:$AQ$38,31,FALSE)</f>
        <v>7.5362362666666654</v>
      </c>
    </row>
    <row r="79" spans="1:16" ht="15" customHeight="1">
      <c r="A79" s="9">
        <f t="shared" si="2"/>
        <v>16</v>
      </c>
      <c r="B79" s="54" t="str">
        <f>VLOOKUP(C79,Sheet1!A:B,2,FALSE)</f>
        <v>Noble Energy</v>
      </c>
      <c r="C79" s="8" t="str">
        <f>INDEX('3Q19 Actual'!$109:$110,1,MATCH('Relative Value'!A79,'3Q19 Actual'!$110:$110,0))</f>
        <v>NBL</v>
      </c>
      <c r="D79" s="10">
        <f>HLOOKUP(C79,'3Q19 Actual'!$B$8:$AQ$38,31,FALSE)</f>
        <v>6.5750724219585779</v>
      </c>
      <c r="F79" s="280" t="s">
        <v>76</v>
      </c>
      <c r="G79" s="278"/>
      <c r="H79" s="278"/>
      <c r="I79" s="278"/>
      <c r="J79" s="278"/>
      <c r="K79" s="278"/>
      <c r="L79" s="278"/>
      <c r="M79" s="278"/>
      <c r="N79" s="278"/>
      <c r="O79" s="278"/>
      <c r="P79" s="154"/>
    </row>
    <row r="80" spans="1:16" ht="15" customHeight="1">
      <c r="A80" s="9">
        <f t="shared" si="2"/>
        <v>17</v>
      </c>
      <c r="B80" s="129" t="str">
        <f>VLOOKUP(C80,Sheet1!A:B,2,FALSE)</f>
        <v>Southwestern Energy</v>
      </c>
      <c r="C80" s="8" t="str">
        <f>INDEX('3Q19 Actual'!$109:$110,1,MATCH('Relative Value'!A80,'3Q19 Actual'!$110:$110,0))</f>
        <v>SWN</v>
      </c>
      <c r="D80" s="10">
        <f>HLOOKUP(C80,'3Q19 Actual'!$B$8:$AQ$38,31,FALSE)</f>
        <v>6.0000000000000018</v>
      </c>
      <c r="F80" s="129"/>
      <c r="G80" s="128"/>
      <c r="H80" s="154"/>
      <c r="I80" s="128"/>
      <c r="J80" s="128"/>
      <c r="K80" s="128"/>
      <c r="L80" s="128"/>
      <c r="M80" s="128"/>
      <c r="N80" s="255"/>
      <c r="O80" s="128"/>
      <c r="P80" s="154"/>
    </row>
    <row r="81" spans="1:23" ht="15" customHeight="1">
      <c r="A81" s="9">
        <f t="shared" si="2"/>
        <v>18</v>
      </c>
      <c r="B81" s="156" t="str">
        <f>VLOOKUP(C81,Sheet1!A:B,2,FALSE)</f>
        <v>Occidental Petroleum</v>
      </c>
      <c r="C81" s="8" t="str">
        <f>INDEX('3Q19 Actual'!$109:$110,1,MATCH('Relative Value'!A81,'3Q19 Actual'!$110:$110,0))</f>
        <v>OXY</v>
      </c>
      <c r="D81" s="10">
        <f>HLOOKUP(C81,'3Q19 Actual'!$B$8:$AQ$38,31,FALSE)</f>
        <v>5.3310925284339454</v>
      </c>
      <c r="F81" s="156"/>
      <c r="G81" s="154"/>
      <c r="H81" s="154"/>
      <c r="I81" s="154"/>
      <c r="J81" s="154"/>
      <c r="K81" s="154"/>
      <c r="L81" s="154"/>
      <c r="M81" s="154"/>
      <c r="N81" s="255"/>
      <c r="O81" s="154"/>
      <c r="P81" s="154"/>
    </row>
    <row r="82" spans="1:23" ht="15" customHeight="1">
      <c r="A82" s="9">
        <f t="shared" si="2"/>
        <v>19</v>
      </c>
      <c r="B82" s="156" t="str">
        <f>VLOOKUP(C82,Sheet1!A:B,2,FALSE)</f>
        <v>EQT Corp</v>
      </c>
      <c r="C82" s="8" t="str">
        <f>INDEX('3Q19 Actual'!$109:$110,1,MATCH('Relative Value'!A82,'3Q19 Actual'!$110:$110,0))</f>
        <v>EQT</v>
      </c>
      <c r="D82" s="10">
        <f>HLOOKUP(C82,'3Q19 Actual'!$B$8:$AQ$38,31,FALSE)</f>
        <v>5.2630950135194619</v>
      </c>
      <c r="F82" s="156"/>
      <c r="G82" s="154"/>
      <c r="H82" s="154"/>
      <c r="I82" s="154"/>
      <c r="J82" s="154"/>
      <c r="K82" s="154"/>
      <c r="L82" s="154"/>
      <c r="M82" s="154"/>
      <c r="N82" s="255"/>
      <c r="O82" s="154"/>
      <c r="P82" s="154"/>
    </row>
    <row r="83" spans="1:23" ht="15" customHeight="1">
      <c r="A83" s="9">
        <f t="shared" si="2"/>
        <v>20</v>
      </c>
      <c r="B83" s="156" t="str">
        <f>VLOOKUP(C83,Sheet1!A:B,2,FALSE)</f>
        <v>Antero</v>
      </c>
      <c r="C83" s="8" t="str">
        <f>INDEX('3Q19 Actual'!$109:$110,1,MATCH('Relative Value'!A83,'3Q19 Actual'!$110:$110,0))</f>
        <v>AR</v>
      </c>
      <c r="D83" s="10">
        <f>HLOOKUP(C83,'3Q19 Actual'!$B$8:$AQ$38,31,FALSE)</f>
        <v>3.032024921053738</v>
      </c>
      <c r="F83" s="156"/>
      <c r="G83" s="154"/>
      <c r="H83" s="154"/>
      <c r="I83" s="154"/>
      <c r="J83" s="154"/>
      <c r="K83" s="154"/>
      <c r="L83" s="154"/>
      <c r="M83" s="154"/>
      <c r="N83" s="255"/>
      <c r="O83" s="154"/>
      <c r="P83" s="154"/>
    </row>
    <row r="84" spans="1:23" ht="15" customHeight="1">
      <c r="A84" s="9">
        <f t="shared" si="2"/>
        <v>21</v>
      </c>
      <c r="B84" s="156" t="str">
        <f>VLOOKUP(C84,Sheet1!A:B,2,FALSE)</f>
        <v>Chesapeake</v>
      </c>
      <c r="C84" s="8" t="str">
        <f>INDEX('3Q19 Actual'!$109:$110,1,MATCH('Relative Value'!A84,'3Q19 Actual'!$110:$110,0))</f>
        <v>CHK</v>
      </c>
      <c r="D84" s="10">
        <f>HLOOKUP(C84,'3Q19 Actual'!$B$8:$AQ$38,31,FALSE)</f>
        <v>2.6949152542372876</v>
      </c>
      <c r="F84" s="156"/>
      <c r="G84" s="154"/>
      <c r="H84" s="154"/>
      <c r="I84" s="154"/>
      <c r="J84" s="154"/>
      <c r="K84" s="154"/>
      <c r="L84" s="154"/>
      <c r="M84" s="154"/>
      <c r="N84" s="255"/>
      <c r="O84" s="154"/>
      <c r="P84" s="154"/>
    </row>
    <row r="85" spans="1:23" ht="15" customHeight="1">
      <c r="A85" s="9"/>
      <c r="B85" s="257"/>
      <c r="C85" s="8"/>
      <c r="D85" s="10"/>
      <c r="F85" s="129"/>
      <c r="G85" s="128"/>
      <c r="H85" s="154"/>
      <c r="I85" s="128"/>
      <c r="J85" s="128"/>
      <c r="K85" s="128"/>
      <c r="L85" s="128"/>
      <c r="M85" s="128"/>
      <c r="N85" s="255"/>
      <c r="O85" s="128"/>
      <c r="P85" s="154"/>
    </row>
    <row r="86" spans="1:23" ht="15" customHeight="1">
      <c r="B86" s="280" t="s">
        <v>76</v>
      </c>
      <c r="C86" s="280"/>
      <c r="D86" s="280"/>
    </row>
    <row r="87" spans="1:23" ht="15" customHeight="1">
      <c r="B87" s="33"/>
      <c r="C87" s="33"/>
      <c r="D87" s="33"/>
    </row>
    <row r="88" spans="1:23" s="9" customFormat="1" ht="25.5">
      <c r="B88" s="33" t="s">
        <v>16</v>
      </c>
      <c r="C88" s="8" t="s">
        <v>79</v>
      </c>
      <c r="D88" s="8" t="s">
        <v>80</v>
      </c>
      <c r="E88" s="8"/>
      <c r="F88" s="277" t="str">
        <f>"Total Unhedged "&amp;'3Q19 Actual'!$B$1&amp;" Upstream Margin ($/boe, x-axis) vs 10y Cash Spread (bp)"</f>
        <v>Total Unhedged 3Q19 Upstream Margin ($/boe, x-axis) vs 10y Cash Spread (bp)</v>
      </c>
      <c r="G88" s="277"/>
      <c r="H88" s="277"/>
      <c r="I88" s="277"/>
      <c r="J88" s="277"/>
      <c r="K88" s="277"/>
      <c r="L88" s="277"/>
      <c r="M88" s="277"/>
      <c r="N88" s="277"/>
      <c r="O88" s="277"/>
      <c r="P88" s="153"/>
      <c r="Q88" s="14"/>
      <c r="R88" s="14"/>
      <c r="S88" s="14"/>
      <c r="T88" s="14"/>
      <c r="U88" s="14"/>
      <c r="V88" s="14"/>
      <c r="W88" s="14"/>
    </row>
    <row r="89" spans="1:23" s="9" customFormat="1">
      <c r="B89" s="33"/>
      <c r="C89" s="10"/>
      <c r="D89" s="12"/>
      <c r="E89" s="12"/>
      <c r="Q89" s="14"/>
      <c r="R89" s="14"/>
      <c r="S89" s="14"/>
      <c r="T89" s="14"/>
      <c r="U89" s="14"/>
      <c r="V89" s="14"/>
      <c r="W89" s="14"/>
    </row>
    <row r="90" spans="1:23" s="9" customFormat="1">
      <c r="B90" s="156" t="s">
        <v>190</v>
      </c>
      <c r="C90" s="10"/>
      <c r="D90" s="12"/>
      <c r="E90" s="12"/>
      <c r="Q90" s="14"/>
      <c r="R90" s="14"/>
      <c r="S90" s="14"/>
      <c r="T90" s="14"/>
      <c r="U90" s="14"/>
      <c r="V90" s="14"/>
      <c r="W90" s="14"/>
    </row>
    <row r="91" spans="1:23" s="9" customFormat="1">
      <c r="B91" s="33" t="s">
        <v>34</v>
      </c>
      <c r="C91" s="10">
        <f t="shared" ref="C91" si="3">HLOOKUP(B91,$C$1:$X$8,2,FALSE)</f>
        <v>-0.16961049228208935</v>
      </c>
      <c r="D91" s="12">
        <f t="shared" ref="D91" si="4">HLOOKUP(B91,$C$1:$X$8,6,FALSE)</f>
        <v>245.95618414041209</v>
      </c>
      <c r="E91" s="12"/>
      <c r="Q91" s="14"/>
      <c r="R91" s="14"/>
      <c r="S91" s="14"/>
      <c r="T91" s="14"/>
      <c r="U91" s="14"/>
      <c r="V91" s="14"/>
      <c r="W91" s="14"/>
    </row>
    <row r="92" spans="1:23" s="9" customFormat="1">
      <c r="B92" s="33" t="s">
        <v>35</v>
      </c>
      <c r="C92" s="10">
        <f t="shared" ref="C92:C100" si="5">HLOOKUP(B92,$C$1:$X$8,2,FALSE)</f>
        <v>10.96881853537618</v>
      </c>
      <c r="D92" s="12">
        <f t="shared" ref="D92:D100" si="6">HLOOKUP(B92,$C$1:$X$8,6,FALSE)</f>
        <v>129.84803217821732</v>
      </c>
      <c r="E92" s="12"/>
      <c r="F92" s="14"/>
      <c r="G92" s="14"/>
      <c r="H92" s="14"/>
      <c r="I92" s="14"/>
      <c r="J92" s="14"/>
      <c r="K92" s="14"/>
      <c r="L92" s="14"/>
      <c r="M92" s="14"/>
      <c r="N92" s="14"/>
      <c r="O92" s="14"/>
      <c r="P92" s="14"/>
      <c r="Q92" s="14"/>
      <c r="R92" s="14"/>
      <c r="S92" s="14"/>
      <c r="T92" s="14"/>
      <c r="U92" s="14"/>
      <c r="V92" s="14"/>
      <c r="W92" s="14"/>
    </row>
    <row r="93" spans="1:23" s="9" customFormat="1">
      <c r="B93" s="33" t="s">
        <v>37</v>
      </c>
      <c r="C93" s="10">
        <f t="shared" si="5"/>
        <v>7.7416257874999701</v>
      </c>
      <c r="D93" s="12">
        <f t="shared" si="6"/>
        <v>177.01453184518471</v>
      </c>
      <c r="E93" s="12"/>
      <c r="F93" s="14"/>
      <c r="G93" s="14"/>
      <c r="H93" s="14"/>
      <c r="I93" s="14"/>
      <c r="J93" s="14"/>
      <c r="K93" s="14"/>
      <c r="L93" s="14"/>
      <c r="M93" s="14"/>
      <c r="N93" s="14"/>
      <c r="O93" s="14"/>
      <c r="P93" s="14"/>
      <c r="Q93" s="14"/>
      <c r="R93" s="14"/>
      <c r="S93" s="14"/>
      <c r="T93" s="14"/>
      <c r="U93" s="14"/>
      <c r="V93" s="14"/>
      <c r="W93" s="14"/>
    </row>
    <row r="94" spans="1:23" s="9" customFormat="1">
      <c r="B94" s="156" t="s">
        <v>192</v>
      </c>
      <c r="C94" s="10"/>
      <c r="D94" s="12"/>
      <c r="E94" s="12"/>
      <c r="F94" s="14"/>
      <c r="G94" s="14"/>
      <c r="H94" s="14"/>
      <c r="I94" s="14"/>
      <c r="J94" s="14"/>
      <c r="K94" s="14"/>
      <c r="L94" s="14"/>
      <c r="M94" s="14"/>
      <c r="N94" s="14"/>
      <c r="O94" s="14"/>
      <c r="P94" s="14"/>
      <c r="Q94" s="14"/>
      <c r="R94" s="14"/>
      <c r="S94" s="14"/>
      <c r="T94" s="14"/>
      <c r="U94" s="14"/>
      <c r="V94" s="14"/>
      <c r="W94" s="14"/>
    </row>
    <row r="95" spans="1:23" s="9" customFormat="1">
      <c r="B95" s="33" t="s">
        <v>38</v>
      </c>
      <c r="C95" s="10">
        <f t="shared" si="5"/>
        <v>3.9436110068949581</v>
      </c>
      <c r="D95" s="12">
        <f t="shared" si="6"/>
        <v>216.71581685868401</v>
      </c>
      <c r="E95" s="12"/>
      <c r="F95" s="14"/>
      <c r="G95" s="14"/>
      <c r="H95" s="14"/>
      <c r="I95" s="14"/>
      <c r="J95" s="14"/>
      <c r="K95" s="14"/>
      <c r="L95" s="14"/>
      <c r="M95" s="14"/>
      <c r="N95" s="14"/>
      <c r="O95" s="14"/>
      <c r="P95" s="14"/>
      <c r="Q95" s="14"/>
      <c r="R95" s="14"/>
      <c r="S95" s="14"/>
      <c r="T95" s="14"/>
      <c r="U95" s="14"/>
      <c r="V95" s="14"/>
      <c r="W95" s="14"/>
    </row>
    <row r="96" spans="1:23" s="9" customFormat="1">
      <c r="B96" s="33" t="s">
        <v>36</v>
      </c>
      <c r="C96" s="10">
        <f t="shared" si="5"/>
        <v>16.638337923678211</v>
      </c>
      <c r="D96" s="12">
        <f t="shared" si="6"/>
        <v>75.399391917808771</v>
      </c>
      <c r="E96" s="12"/>
      <c r="F96" s="14"/>
      <c r="G96" s="14"/>
      <c r="H96" s="14"/>
      <c r="I96" s="14"/>
      <c r="J96" s="14"/>
      <c r="K96" s="14"/>
      <c r="L96" s="14"/>
      <c r="M96" s="14"/>
      <c r="N96" s="14"/>
      <c r="O96" s="14"/>
      <c r="P96" s="14"/>
      <c r="Q96" s="14"/>
      <c r="R96" s="14"/>
      <c r="S96" s="14"/>
      <c r="T96" s="14"/>
      <c r="U96" s="14"/>
      <c r="V96" s="14"/>
      <c r="W96" s="14"/>
    </row>
    <row r="97" spans="2:23" s="9" customFormat="1">
      <c r="B97" s="33" t="s">
        <v>39</v>
      </c>
      <c r="C97" s="10">
        <f t="shared" si="5"/>
        <v>7.1719210884905564</v>
      </c>
      <c r="D97" s="12">
        <f t="shared" si="6"/>
        <v>219.17749548154609</v>
      </c>
      <c r="E97" s="12"/>
      <c r="F97" s="14"/>
      <c r="G97" s="14"/>
      <c r="H97" s="14"/>
      <c r="I97" s="14"/>
      <c r="J97" s="14"/>
      <c r="K97" s="14"/>
      <c r="L97" s="14"/>
      <c r="M97" s="14"/>
      <c r="N97" s="14"/>
      <c r="O97" s="14"/>
      <c r="P97" s="14"/>
      <c r="Q97" s="14"/>
      <c r="R97" s="14"/>
      <c r="S97" s="14"/>
      <c r="T97" s="14"/>
      <c r="U97" s="14"/>
      <c r="V97" s="14"/>
      <c r="W97" s="14"/>
    </row>
    <row r="98" spans="2:23" s="9" customFormat="1">
      <c r="B98" s="81" t="s">
        <v>140</v>
      </c>
      <c r="C98" s="10">
        <f t="shared" si="5"/>
        <v>6.7814041636713576</v>
      </c>
      <c r="D98" s="12">
        <f t="shared" si="6"/>
        <v>152.45070965796384</v>
      </c>
      <c r="E98" s="12"/>
      <c r="F98" s="14"/>
      <c r="G98" s="14"/>
      <c r="H98" s="14"/>
      <c r="I98" s="14"/>
      <c r="J98" s="14"/>
      <c r="K98" s="14"/>
      <c r="L98" s="14"/>
      <c r="M98" s="14"/>
      <c r="N98" s="14"/>
      <c r="O98" s="14"/>
      <c r="P98" s="14"/>
      <c r="Q98" s="14"/>
      <c r="R98" s="14"/>
      <c r="S98" s="14"/>
      <c r="T98" s="14"/>
      <c r="U98" s="14"/>
      <c r="V98" s="14"/>
      <c r="W98" s="14"/>
    </row>
    <row r="99" spans="2:23" s="9" customFormat="1">
      <c r="B99" s="33" t="s">
        <v>40</v>
      </c>
      <c r="C99" s="10">
        <f t="shared" si="5"/>
        <v>2.1059471141622161</v>
      </c>
      <c r="D99" s="12">
        <f t="shared" si="6"/>
        <v>78.5673720547926</v>
      </c>
      <c r="E99" s="12"/>
      <c r="F99" s="14"/>
      <c r="G99" s="14"/>
      <c r="H99" s="14"/>
      <c r="I99" s="14"/>
      <c r="J99" s="14"/>
      <c r="K99" s="14"/>
      <c r="L99" s="14"/>
      <c r="M99" s="14"/>
      <c r="N99" s="14"/>
      <c r="O99" s="14"/>
      <c r="P99" s="14"/>
      <c r="Q99" s="14"/>
      <c r="R99" s="14"/>
      <c r="S99" s="14"/>
      <c r="T99" s="14"/>
      <c r="U99" s="14"/>
      <c r="V99" s="14"/>
      <c r="W99" s="14"/>
    </row>
    <row r="100" spans="2:23" s="9" customFormat="1">
      <c r="B100" s="33" t="s">
        <v>226</v>
      </c>
      <c r="C100" s="10">
        <f t="shared" si="5"/>
        <v>13.521517462799459</v>
      </c>
      <c r="D100" s="12">
        <f t="shared" si="6"/>
        <v>235.91893022785831</v>
      </c>
      <c r="E100" s="12"/>
      <c r="F100" s="14"/>
      <c r="G100" s="14"/>
      <c r="H100" s="14"/>
      <c r="I100" s="14"/>
      <c r="J100" s="14"/>
      <c r="K100" s="14"/>
      <c r="L100" s="14"/>
      <c r="M100" s="14"/>
      <c r="N100" s="14"/>
      <c r="O100" s="14"/>
      <c r="P100" s="14"/>
      <c r="Q100" s="14"/>
      <c r="R100" s="14"/>
      <c r="S100" s="14"/>
      <c r="T100" s="14"/>
      <c r="U100" s="14"/>
      <c r="V100" s="14"/>
      <c r="W100" s="14"/>
    </row>
    <row r="101" spans="2:23" s="9" customFormat="1">
      <c r="B101" s="257" t="s">
        <v>41</v>
      </c>
      <c r="C101" s="10">
        <f t="shared" ref="C101:C102" si="7">HLOOKUP(B101,$C$1:$X$8,2,FALSE)</f>
        <v>2.976146145978305</v>
      </c>
      <c r="D101" s="12">
        <f t="shared" ref="D101:D102" si="8">HLOOKUP(B101,$C$1:$X$8,6,FALSE)</f>
        <v>229.49554438355975</v>
      </c>
      <c r="E101" s="12"/>
      <c r="F101" s="14"/>
      <c r="G101" s="14"/>
      <c r="H101" s="14"/>
      <c r="I101" s="14"/>
      <c r="J101" s="14"/>
      <c r="K101" s="14"/>
      <c r="L101" s="14"/>
      <c r="M101" s="14"/>
      <c r="N101" s="14"/>
      <c r="O101" s="14"/>
      <c r="P101" s="14"/>
      <c r="Q101" s="14"/>
      <c r="R101" s="14"/>
      <c r="S101" s="14"/>
      <c r="T101" s="14"/>
      <c r="U101" s="14"/>
      <c r="V101" s="14"/>
      <c r="W101" s="14"/>
    </row>
    <row r="102" spans="2:23" s="9" customFormat="1">
      <c r="B102" s="257" t="s">
        <v>42</v>
      </c>
      <c r="C102" s="10">
        <f t="shared" si="7"/>
        <v>11.016102609182077</v>
      </c>
      <c r="D102" s="12">
        <f t="shared" si="8"/>
        <v>74.241928095891254</v>
      </c>
      <c r="E102" s="12"/>
      <c r="F102" s="14"/>
      <c r="G102" s="14"/>
      <c r="H102" s="14"/>
      <c r="I102" s="14"/>
      <c r="J102" s="14"/>
      <c r="K102" s="14"/>
      <c r="L102" s="14"/>
      <c r="M102" s="14"/>
      <c r="N102" s="14"/>
      <c r="O102" s="14"/>
      <c r="P102" s="14"/>
      <c r="Q102" s="14"/>
      <c r="R102" s="14"/>
      <c r="S102" s="14"/>
      <c r="T102" s="14"/>
      <c r="U102" s="14"/>
      <c r="V102" s="14"/>
      <c r="W102" s="14"/>
    </row>
    <row r="103" spans="2:23" s="9" customFormat="1">
      <c r="B103" s="257" t="s">
        <v>188</v>
      </c>
      <c r="C103" s="10"/>
      <c r="D103" s="12"/>
      <c r="E103" s="12"/>
      <c r="F103" s="14"/>
      <c r="G103" s="14"/>
      <c r="H103" s="14"/>
      <c r="I103" s="14"/>
      <c r="J103" s="14"/>
      <c r="K103" s="14"/>
      <c r="L103" s="14"/>
      <c r="M103" s="14"/>
      <c r="N103" s="14"/>
      <c r="O103" s="14"/>
      <c r="P103" s="14"/>
      <c r="Q103" s="14"/>
      <c r="R103" s="14"/>
      <c r="S103" s="14"/>
      <c r="T103" s="14"/>
      <c r="U103" s="14"/>
      <c r="V103" s="14"/>
      <c r="W103" s="14"/>
    </row>
    <row r="104" spans="2:23" s="9" customFormat="1">
      <c r="B104" s="257" t="s">
        <v>43</v>
      </c>
      <c r="C104" s="10">
        <f t="shared" ref="C104:C105" si="9">HLOOKUP(B104,$C$1:$X$8,2,FALSE)</f>
        <v>-0.58497943438756295</v>
      </c>
      <c r="D104" s="12">
        <f>HLOOKUP(B104,$C$1:$X$8,6,FALSE)</f>
        <v>178.50419750674854</v>
      </c>
      <c r="E104" s="12"/>
      <c r="F104" s="14"/>
      <c r="G104" s="14"/>
      <c r="H104" s="14"/>
      <c r="I104" s="14"/>
      <c r="J104" s="14"/>
      <c r="K104" s="14"/>
      <c r="L104" s="14"/>
      <c r="M104" s="14"/>
      <c r="N104" s="14"/>
      <c r="O104" s="14"/>
      <c r="P104" s="14"/>
      <c r="Q104" s="14"/>
      <c r="R104" s="14"/>
      <c r="S104" s="14"/>
      <c r="T104" s="14"/>
      <c r="U104" s="14"/>
      <c r="V104" s="14"/>
      <c r="W104" s="14"/>
    </row>
    <row r="105" spans="2:23" s="9" customFormat="1">
      <c r="B105" s="257" t="s">
        <v>44</v>
      </c>
      <c r="C105" s="10">
        <f t="shared" si="9"/>
        <v>2.5191267027430513</v>
      </c>
      <c r="D105" s="12">
        <f t="shared" ref="D105" si="10">HLOOKUP(B105,$C$1:$X$8,6,FALSE)</f>
        <v>164.66107203420134</v>
      </c>
      <c r="E105" s="12"/>
      <c r="F105" s="14"/>
      <c r="G105" s="14"/>
      <c r="H105" s="14"/>
      <c r="I105" s="14"/>
      <c r="J105" s="14"/>
      <c r="K105" s="14"/>
      <c r="L105" s="14"/>
      <c r="M105" s="14"/>
      <c r="N105" s="14"/>
      <c r="O105" s="14"/>
      <c r="P105" s="14"/>
      <c r="Q105" s="14"/>
      <c r="R105" s="14"/>
      <c r="S105" s="14"/>
      <c r="T105" s="14"/>
      <c r="U105" s="14"/>
      <c r="V105" s="14"/>
      <c r="W105" s="14"/>
    </row>
    <row r="106" spans="2:23" s="9" customFormat="1">
      <c r="B106" s="257" t="s">
        <v>194</v>
      </c>
      <c r="C106" s="10"/>
      <c r="D106" s="12"/>
      <c r="E106" s="12"/>
      <c r="F106" s="14"/>
      <c r="G106" s="14"/>
      <c r="H106" s="14"/>
      <c r="I106" s="14"/>
      <c r="J106" s="14"/>
      <c r="K106" s="14"/>
      <c r="L106" s="14"/>
      <c r="M106" s="14"/>
      <c r="N106" s="14"/>
      <c r="O106" s="14"/>
      <c r="P106" s="14"/>
      <c r="Q106" s="14"/>
      <c r="R106" s="14"/>
      <c r="S106" s="14"/>
      <c r="T106" s="14"/>
      <c r="U106" s="14"/>
      <c r="V106" s="14"/>
      <c r="W106" s="14"/>
    </row>
    <row r="107" spans="2:23" s="9" customFormat="1">
      <c r="B107" s="33" t="s">
        <v>45</v>
      </c>
      <c r="C107" s="10">
        <f>HLOOKUP(B107,$C$1:$X$8,2,FALSE)</f>
        <v>-2.2670040142477532</v>
      </c>
      <c r="D107" s="12">
        <f>HLOOKUP(B107,$C$1:$X$8,6,FALSE)</f>
        <v>157.24649696669758</v>
      </c>
      <c r="E107" s="14"/>
      <c r="Q107" s="14"/>
      <c r="R107" s="14"/>
      <c r="S107" s="14"/>
      <c r="T107" s="14"/>
      <c r="U107" s="14"/>
      <c r="V107" s="14"/>
      <c r="W107" s="14"/>
    </row>
    <row r="108" spans="2:23" s="9" customFormat="1">
      <c r="B108" s="33" t="s">
        <v>46</v>
      </c>
      <c r="C108" s="10">
        <f>HLOOKUP(B108,$C$1:$X$8,2,FALSE)</f>
        <v>1.9544188070266628</v>
      </c>
      <c r="D108" s="12">
        <f>HLOOKUP(B108,$C$1:$X$8,6,FALSE)</f>
        <v>162.4804749144929</v>
      </c>
      <c r="E108" s="14"/>
      <c r="F108" s="280" t="s">
        <v>76</v>
      </c>
      <c r="G108" s="278"/>
      <c r="H108" s="278"/>
      <c r="I108" s="278"/>
      <c r="J108" s="278"/>
      <c r="K108" s="278"/>
      <c r="L108" s="278"/>
      <c r="M108" s="278"/>
      <c r="N108" s="278"/>
      <c r="O108" s="278"/>
      <c r="P108" s="154"/>
      <c r="Q108" s="14"/>
      <c r="R108" s="14"/>
      <c r="S108" s="14"/>
      <c r="T108" s="14"/>
      <c r="U108" s="14"/>
      <c r="V108" s="14"/>
      <c r="W108" s="14"/>
    </row>
    <row r="109" spans="2:23">
      <c r="B109" s="60" t="s">
        <v>47</v>
      </c>
      <c r="C109" s="10">
        <f>HLOOKUP(B109,$C$1:$X$8,2,FALSE)</f>
        <v>11.323393232861676</v>
      </c>
      <c r="D109" s="12">
        <f>HLOOKUP(B109,$C$1:$X$8,6,FALSE)</f>
        <v>104.30100767123096</v>
      </c>
    </row>
    <row r="110" spans="2:23">
      <c r="B110" s="129" t="s">
        <v>48</v>
      </c>
      <c r="C110" s="10"/>
      <c r="D110" s="12"/>
    </row>
    <row r="113" spans="2:23" s="9" customFormat="1" ht="25.5">
      <c r="B113" s="33" t="s">
        <v>16</v>
      </c>
      <c r="C113" s="8" t="s">
        <v>79</v>
      </c>
      <c r="D113" s="8" t="s">
        <v>81</v>
      </c>
      <c r="E113" s="14"/>
      <c r="F113" s="277" t="str">
        <f>"Total Unhedged "&amp;'3Q19 Actual'!$B$1&amp;" Upstream Margin ($/boe, x-axis) vs 30y Cash Spread (bp)"</f>
        <v>Total Unhedged 3Q19 Upstream Margin ($/boe, x-axis) vs 30y Cash Spread (bp)</v>
      </c>
      <c r="G113" s="277"/>
      <c r="H113" s="277"/>
      <c r="I113" s="277"/>
      <c r="J113" s="277"/>
      <c r="K113" s="277"/>
      <c r="L113" s="277"/>
      <c r="M113" s="277"/>
      <c r="N113" s="277"/>
      <c r="O113" s="277"/>
      <c r="P113" s="153"/>
      <c r="Q113" s="14"/>
      <c r="R113" s="14"/>
      <c r="S113" s="14"/>
      <c r="T113" s="14"/>
      <c r="U113" s="14"/>
      <c r="V113" s="14"/>
      <c r="W113" s="14"/>
    </row>
    <row r="114" spans="2:23">
      <c r="B114" s="129"/>
      <c r="C114" s="10"/>
      <c r="D114" s="12"/>
      <c r="R114" s="30"/>
      <c r="S114" s="30"/>
      <c r="T114" s="30"/>
    </row>
    <row r="115" spans="2:23">
      <c r="B115" s="156" t="s">
        <v>190</v>
      </c>
      <c r="C115" s="10"/>
      <c r="D115" s="12"/>
      <c r="R115" s="30"/>
      <c r="S115" s="30"/>
      <c r="T115" s="30"/>
    </row>
    <row r="116" spans="2:23">
      <c r="B116" s="156" t="s">
        <v>34</v>
      </c>
      <c r="C116" s="10">
        <f t="shared" ref="C116:C125" si="11">HLOOKUP(B116,$C$1:$X$8,2,FALSE)</f>
        <v>-0.16961049228208935</v>
      </c>
      <c r="D116" s="12">
        <f t="shared" ref="D116:D125" si="12">HLOOKUP(B116,$C$1:$X$8,7,FALSE)</f>
        <v>307.18600957700306</v>
      </c>
      <c r="R116" s="30"/>
      <c r="S116" s="30"/>
      <c r="T116" s="30"/>
    </row>
    <row r="117" spans="2:23">
      <c r="B117" s="129" t="s">
        <v>35</v>
      </c>
      <c r="C117" s="10">
        <f t="shared" si="11"/>
        <v>10.96881853537618</v>
      </c>
      <c r="D117" s="12">
        <f t="shared" si="12"/>
        <v>177.16574630390033</v>
      </c>
      <c r="R117" s="30"/>
      <c r="S117" s="30"/>
      <c r="T117" s="30"/>
    </row>
    <row r="118" spans="2:23">
      <c r="B118" s="129" t="s">
        <v>37</v>
      </c>
      <c r="C118" s="10">
        <f t="shared" si="11"/>
        <v>7.7416257874999701</v>
      </c>
      <c r="D118" s="12">
        <f t="shared" si="12"/>
        <v>238.68276426283495</v>
      </c>
      <c r="R118" s="30"/>
      <c r="S118" s="30"/>
      <c r="T118" s="30"/>
    </row>
    <row r="119" spans="2:23">
      <c r="B119" s="156" t="s">
        <v>192</v>
      </c>
      <c r="C119" s="10"/>
      <c r="D119" s="12"/>
      <c r="R119" s="30"/>
      <c r="S119" s="30"/>
      <c r="T119" s="30"/>
    </row>
    <row r="120" spans="2:23">
      <c r="B120" s="129" t="s">
        <v>38</v>
      </c>
      <c r="C120" s="10">
        <f t="shared" si="11"/>
        <v>3.9436110068949581</v>
      </c>
      <c r="D120" s="12" t="str">
        <f t="shared" si="12"/>
        <v/>
      </c>
      <c r="R120" s="30"/>
      <c r="S120" s="30"/>
      <c r="T120" s="30"/>
    </row>
    <row r="121" spans="2:23">
      <c r="B121" s="129" t="s">
        <v>36</v>
      </c>
      <c r="C121" s="10">
        <f t="shared" si="11"/>
        <v>16.638337923678211</v>
      </c>
      <c r="D121" s="12">
        <f t="shared" si="12"/>
        <v>132.12811198767977</v>
      </c>
      <c r="R121" s="30"/>
      <c r="S121" s="30"/>
      <c r="T121" s="30"/>
    </row>
    <row r="122" spans="2:23">
      <c r="B122" s="129" t="s">
        <v>39</v>
      </c>
      <c r="C122" s="10">
        <f t="shared" si="11"/>
        <v>7.1719210884905564</v>
      </c>
      <c r="D122" s="12">
        <f t="shared" si="12"/>
        <v>278.20756002190313</v>
      </c>
      <c r="R122" s="30"/>
      <c r="S122" s="30"/>
      <c r="T122" s="30"/>
    </row>
    <row r="123" spans="2:23">
      <c r="B123" s="129" t="s">
        <v>140</v>
      </c>
      <c r="C123" s="10">
        <f t="shared" si="11"/>
        <v>6.7814041636713576</v>
      </c>
      <c r="D123" s="12">
        <f t="shared" si="12"/>
        <v>194.29819924435404</v>
      </c>
      <c r="R123" s="30"/>
      <c r="S123" s="30"/>
      <c r="T123" s="30"/>
    </row>
    <row r="124" spans="2:23">
      <c r="B124" s="129" t="s">
        <v>40</v>
      </c>
      <c r="C124" s="10">
        <f t="shared" si="11"/>
        <v>2.1059471141622161</v>
      </c>
      <c r="D124" s="12">
        <f t="shared" si="12"/>
        <v>187.91129408898058</v>
      </c>
      <c r="R124" s="30"/>
      <c r="S124" s="30"/>
      <c r="T124" s="30"/>
    </row>
    <row r="125" spans="2:23">
      <c r="B125" s="129" t="s">
        <v>226</v>
      </c>
      <c r="C125" s="10">
        <f t="shared" si="11"/>
        <v>13.521517462799459</v>
      </c>
      <c r="D125" s="12" t="str">
        <f t="shared" si="12"/>
        <v/>
      </c>
      <c r="R125" s="30"/>
      <c r="S125" s="30"/>
      <c r="T125" s="30"/>
    </row>
    <row r="126" spans="2:23">
      <c r="B126" s="257" t="s">
        <v>41</v>
      </c>
      <c r="C126" s="10">
        <f t="shared" ref="C126:C127" si="13">HLOOKUP(B126,$C$1:$X$8,2,FALSE)</f>
        <v>2.976146145978305</v>
      </c>
      <c r="D126" s="12">
        <f t="shared" ref="D126:D127" si="14">HLOOKUP(B126,$C$1:$X$8,7,FALSE)</f>
        <v>311.48053490759787</v>
      </c>
      <c r="R126" s="30"/>
      <c r="S126" s="30"/>
      <c r="T126" s="30"/>
    </row>
    <row r="127" spans="2:23">
      <c r="B127" s="257" t="s">
        <v>42</v>
      </c>
      <c r="C127" s="10">
        <f t="shared" si="13"/>
        <v>11.016102609182077</v>
      </c>
      <c r="D127" s="12">
        <f t="shared" si="14"/>
        <v>149.55317771936939</v>
      </c>
      <c r="R127" s="30"/>
      <c r="S127" s="30"/>
      <c r="T127" s="30"/>
    </row>
    <row r="128" spans="2:23">
      <c r="B128" s="257" t="s">
        <v>188</v>
      </c>
      <c r="C128" s="10"/>
      <c r="D128" s="12"/>
      <c r="R128" s="30"/>
      <c r="S128" s="30"/>
      <c r="T128" s="30"/>
    </row>
    <row r="129" spans="2:23">
      <c r="B129" s="257" t="s">
        <v>43</v>
      </c>
      <c r="C129" s="10">
        <f t="shared" ref="C129:C130" si="15">HLOOKUP(B129,$C$1:$X$8,2,FALSE)</f>
        <v>-0.58497943438756295</v>
      </c>
      <c r="D129" s="12">
        <f t="shared" ref="D129:D130" si="16">HLOOKUP(B129,$C$1:$X$8,7,FALSE)</f>
        <v>258.60137436276591</v>
      </c>
      <c r="F129" s="1"/>
      <c r="G129" s="1"/>
      <c r="H129" s="1"/>
      <c r="I129" s="1"/>
      <c r="J129" s="1"/>
      <c r="K129" s="1"/>
      <c r="L129" s="1"/>
      <c r="M129" s="1"/>
      <c r="N129" s="1"/>
      <c r="O129" s="1"/>
      <c r="P129" s="1"/>
      <c r="R129" s="30"/>
      <c r="S129" s="30"/>
      <c r="T129" s="30"/>
    </row>
    <row r="130" spans="2:23">
      <c r="B130" s="257" t="s">
        <v>44</v>
      </c>
      <c r="C130" s="10">
        <f t="shared" si="15"/>
        <v>2.5191267027430513</v>
      </c>
      <c r="D130" s="12">
        <f t="shared" si="16"/>
        <v>228.5199145106096</v>
      </c>
      <c r="F130" s="1"/>
      <c r="G130" s="1"/>
      <c r="H130" s="1"/>
      <c r="I130" s="1"/>
      <c r="J130" s="1"/>
      <c r="K130" s="1"/>
      <c r="L130" s="1"/>
      <c r="M130" s="1"/>
      <c r="N130" s="1"/>
      <c r="O130" s="1"/>
      <c r="P130" s="1"/>
      <c r="R130" s="30"/>
      <c r="S130" s="30"/>
      <c r="T130" s="30"/>
    </row>
    <row r="131" spans="2:23">
      <c r="B131" s="257" t="s">
        <v>194</v>
      </c>
      <c r="C131" s="10"/>
      <c r="D131" s="12"/>
      <c r="F131" s="33"/>
      <c r="G131" s="9"/>
      <c r="H131" s="9"/>
      <c r="I131" s="9"/>
      <c r="J131" s="3"/>
      <c r="K131" s="3"/>
      <c r="L131" s="3"/>
      <c r="M131" s="3"/>
      <c r="N131" s="3"/>
      <c r="O131" s="3"/>
      <c r="P131" s="3"/>
      <c r="R131" s="30"/>
      <c r="S131" s="30"/>
      <c r="T131" s="30"/>
    </row>
    <row r="132" spans="2:23">
      <c r="B132" s="129" t="s">
        <v>45</v>
      </c>
      <c r="C132" s="10">
        <f>HLOOKUP(B132,$C$1:$X$8,2,FALSE)</f>
        <v>-2.2670040142477532</v>
      </c>
      <c r="D132" s="12">
        <f>HLOOKUP(B132,$C$1:$X$8,7,FALSE)</f>
        <v>220.36942759205877</v>
      </c>
      <c r="F132" s="280" t="s">
        <v>76</v>
      </c>
      <c r="G132" s="278"/>
      <c r="H132" s="278"/>
      <c r="I132" s="278"/>
      <c r="J132" s="281"/>
      <c r="K132" s="281"/>
      <c r="L132" s="281"/>
      <c r="M132" s="281"/>
      <c r="N132" s="281"/>
      <c r="O132" s="281"/>
      <c r="P132" s="157"/>
      <c r="R132" s="30"/>
      <c r="S132" s="30"/>
      <c r="T132" s="30"/>
    </row>
    <row r="133" spans="2:23">
      <c r="B133" s="129" t="s">
        <v>46</v>
      </c>
      <c r="C133" s="10">
        <f>HLOOKUP(B133,$C$1:$X$8,2,FALSE)</f>
        <v>1.9544188070266628</v>
      </c>
      <c r="D133" s="12">
        <f>HLOOKUP(B133,$C$1:$X$8,7,FALSE)</f>
        <v>212.71205908008372</v>
      </c>
    </row>
    <row r="134" spans="2:23">
      <c r="B134" s="129" t="s">
        <v>47</v>
      </c>
      <c r="C134" s="10">
        <f>HLOOKUP(B134,$C$1:$X$8,2,FALSE)</f>
        <v>11.323393232861676</v>
      </c>
      <c r="D134" s="12" t="str">
        <f>HLOOKUP(B134,$C$1:$X$8,7,FALSE)</f>
        <v/>
      </c>
    </row>
    <row r="135" spans="2:23">
      <c r="B135" s="129" t="s">
        <v>48</v>
      </c>
      <c r="C135" s="10"/>
      <c r="D135" s="12"/>
    </row>
    <row r="136" spans="2:23">
      <c r="B136" s="129"/>
      <c r="C136" s="10"/>
      <c r="D136" s="12"/>
    </row>
    <row r="137" spans="2:23">
      <c r="B137" s="129"/>
      <c r="C137" s="10"/>
      <c r="D137" s="12"/>
    </row>
    <row r="138" spans="2:23" s="9" customFormat="1" ht="25.5">
      <c r="B138" s="33" t="s">
        <v>16</v>
      </c>
      <c r="C138" s="8" t="s">
        <v>79</v>
      </c>
      <c r="D138" s="8" t="s">
        <v>82</v>
      </c>
      <c r="E138" s="14"/>
      <c r="F138" s="277" t="str">
        <f>"Total Unhedged "&amp;'3Q19 Actual'!$B$1&amp;" Upstream Margin ($/boe, x-axis) vs Front End Cash Spread (bp)"</f>
        <v>Total Unhedged 3Q19 Upstream Margin ($/boe, x-axis) vs Front End Cash Spread (bp)</v>
      </c>
      <c r="G138" s="277"/>
      <c r="H138" s="277"/>
      <c r="I138" s="277"/>
      <c r="J138" s="277"/>
      <c r="K138" s="277"/>
      <c r="L138" s="277"/>
      <c r="M138" s="277"/>
      <c r="N138" s="277"/>
      <c r="O138" s="277"/>
      <c r="P138" s="153"/>
      <c r="Q138" s="14"/>
      <c r="R138" s="14"/>
      <c r="S138" s="14"/>
      <c r="T138" s="14"/>
      <c r="U138" s="14"/>
      <c r="V138" s="14"/>
      <c r="W138" s="14"/>
    </row>
    <row r="139" spans="2:23" s="9" customFormat="1">
      <c r="B139" s="129"/>
      <c r="C139" s="10"/>
      <c r="D139" s="12"/>
      <c r="E139" s="14"/>
      <c r="Q139" s="14"/>
      <c r="R139" s="14"/>
      <c r="S139" s="14"/>
      <c r="T139" s="14"/>
      <c r="U139" s="14"/>
      <c r="V139" s="14"/>
      <c r="W139" s="14"/>
    </row>
    <row r="140" spans="2:23" s="9" customFormat="1">
      <c r="B140" s="156" t="s">
        <v>190</v>
      </c>
      <c r="C140" s="10"/>
      <c r="D140" s="12"/>
      <c r="E140" s="14"/>
      <c r="Q140" s="14"/>
      <c r="R140" s="14"/>
      <c r="S140" s="14"/>
      <c r="T140" s="14"/>
      <c r="U140" s="14"/>
      <c r="V140" s="14"/>
      <c r="W140" s="14"/>
    </row>
    <row r="141" spans="2:23" s="9" customFormat="1">
      <c r="B141" s="129" t="s">
        <v>34</v>
      </c>
      <c r="C141" s="10">
        <f t="shared" ref="C141:C150" si="17">HLOOKUP(B141,$C$1:$X$8,2,FALSE)</f>
        <v>-0.16961049228208935</v>
      </c>
      <c r="D141" s="12">
        <f t="shared" ref="D141:D150" si="18">HLOOKUP(B141,$C$1:$X$8,5,FALSE)</f>
        <v>93</v>
      </c>
      <c r="E141" s="14"/>
      <c r="F141" s="14"/>
      <c r="G141" s="14"/>
      <c r="H141" s="14"/>
      <c r="I141" s="14"/>
      <c r="J141" s="14"/>
      <c r="K141" s="14"/>
      <c r="L141" s="14"/>
      <c r="M141" s="14"/>
      <c r="N141" s="14"/>
      <c r="O141" s="14"/>
      <c r="P141" s="14"/>
      <c r="Q141" s="14"/>
      <c r="R141" s="14"/>
      <c r="S141" s="14"/>
      <c r="T141" s="14"/>
      <c r="U141" s="14"/>
      <c r="V141" s="14"/>
      <c r="W141" s="14"/>
    </row>
    <row r="142" spans="2:23" s="9" customFormat="1">
      <c r="B142" s="129" t="s">
        <v>35</v>
      </c>
      <c r="C142" s="10">
        <f t="shared" si="17"/>
        <v>10.96881853537618</v>
      </c>
      <c r="D142" s="12">
        <f t="shared" si="18"/>
        <v>79.900000000000006</v>
      </c>
      <c r="E142" s="14"/>
      <c r="F142" s="14"/>
      <c r="G142" s="14"/>
      <c r="H142" s="14"/>
      <c r="I142" s="14"/>
      <c r="J142" s="14"/>
      <c r="K142" s="14"/>
      <c r="L142" s="14"/>
      <c r="M142" s="14"/>
      <c r="N142" s="14"/>
      <c r="O142" s="14"/>
      <c r="P142" s="14"/>
      <c r="Q142" s="14"/>
      <c r="R142" s="14"/>
      <c r="S142" s="14"/>
      <c r="T142" s="14"/>
      <c r="U142" s="14"/>
      <c r="V142" s="14"/>
      <c r="W142" s="14"/>
    </row>
    <row r="143" spans="2:23" s="9" customFormat="1">
      <c r="B143" s="129" t="s">
        <v>37</v>
      </c>
      <c r="C143" s="10">
        <f t="shared" si="17"/>
        <v>7.7416257874999701</v>
      </c>
      <c r="D143" s="12">
        <f t="shared" si="18"/>
        <v>92</v>
      </c>
      <c r="E143" s="14"/>
      <c r="F143" s="14"/>
      <c r="G143" s="14"/>
      <c r="H143" s="14"/>
      <c r="I143" s="14"/>
      <c r="J143" s="14"/>
      <c r="K143" s="14"/>
      <c r="L143" s="14"/>
      <c r="M143" s="14"/>
      <c r="N143" s="14"/>
      <c r="O143" s="14"/>
      <c r="P143" s="14"/>
      <c r="Q143" s="14"/>
      <c r="R143" s="14"/>
      <c r="S143" s="14"/>
      <c r="T143" s="14"/>
      <c r="U143" s="14"/>
      <c r="V143" s="14"/>
      <c r="W143" s="14"/>
    </row>
    <row r="144" spans="2:23" s="9" customFormat="1">
      <c r="B144" s="156" t="s">
        <v>192</v>
      </c>
      <c r="C144" s="10"/>
      <c r="D144" s="12"/>
      <c r="E144" s="14"/>
      <c r="F144" s="14"/>
      <c r="G144" s="14"/>
      <c r="H144" s="14"/>
      <c r="I144" s="14"/>
      <c r="J144" s="14"/>
      <c r="K144" s="14"/>
      <c r="L144" s="14"/>
      <c r="M144" s="14"/>
      <c r="N144" s="14"/>
      <c r="O144" s="14"/>
      <c r="P144" s="14"/>
      <c r="Q144" s="14"/>
      <c r="R144" s="14"/>
      <c r="S144" s="14"/>
      <c r="T144" s="14"/>
      <c r="U144" s="14"/>
      <c r="V144" s="14"/>
      <c r="W144" s="14"/>
    </row>
    <row r="145" spans="2:23" s="9" customFormat="1">
      <c r="B145" s="129" t="s">
        <v>38</v>
      </c>
      <c r="C145" s="10">
        <f t="shared" si="17"/>
        <v>3.9436110068949581</v>
      </c>
      <c r="D145" s="12">
        <f t="shared" si="18"/>
        <v>161</v>
      </c>
      <c r="E145" s="14"/>
      <c r="F145" s="14"/>
      <c r="G145" s="14"/>
      <c r="H145" s="14"/>
      <c r="I145" s="14"/>
      <c r="J145" s="14"/>
      <c r="K145" s="14"/>
      <c r="L145" s="14"/>
      <c r="M145" s="14"/>
      <c r="N145" s="14"/>
      <c r="O145" s="14"/>
      <c r="P145" s="14"/>
      <c r="Q145" s="14"/>
      <c r="R145" s="14"/>
      <c r="S145" s="14"/>
      <c r="T145" s="14"/>
      <c r="U145" s="14"/>
      <c r="V145" s="14"/>
      <c r="W145" s="14"/>
    </row>
    <row r="146" spans="2:23" s="9" customFormat="1">
      <c r="B146" s="129" t="s">
        <v>36</v>
      </c>
      <c r="C146" s="10">
        <f t="shared" si="17"/>
        <v>16.638337923678211</v>
      </c>
      <c r="D146" s="12">
        <f t="shared" si="18"/>
        <v>57</v>
      </c>
      <c r="E146" s="14"/>
      <c r="F146" s="14"/>
      <c r="G146" s="14"/>
      <c r="H146" s="14"/>
      <c r="I146" s="14"/>
      <c r="J146" s="14"/>
      <c r="K146" s="14"/>
      <c r="L146" s="14"/>
      <c r="M146" s="14"/>
      <c r="N146" s="14"/>
      <c r="O146" s="14"/>
      <c r="P146" s="14"/>
      <c r="Q146" s="14"/>
      <c r="R146" s="14"/>
      <c r="S146" s="14"/>
      <c r="T146" s="14"/>
      <c r="U146" s="14"/>
      <c r="V146" s="14"/>
      <c r="W146" s="14"/>
    </row>
    <row r="147" spans="2:23" s="9" customFormat="1">
      <c r="B147" s="129" t="s">
        <v>39</v>
      </c>
      <c r="C147" s="10">
        <f t="shared" si="17"/>
        <v>7.1719210884905564</v>
      </c>
      <c r="D147" s="12">
        <f t="shared" si="18"/>
        <v>156</v>
      </c>
      <c r="E147" s="14"/>
      <c r="F147" s="14"/>
      <c r="G147" s="14"/>
      <c r="H147" s="14"/>
      <c r="I147" s="14"/>
      <c r="J147" s="14"/>
      <c r="K147" s="14"/>
      <c r="L147" s="14"/>
      <c r="M147" s="14"/>
      <c r="N147" s="14"/>
      <c r="O147" s="14"/>
      <c r="P147" s="14"/>
      <c r="Q147" s="14"/>
      <c r="R147" s="14"/>
      <c r="S147" s="14"/>
      <c r="T147" s="14"/>
      <c r="U147" s="14"/>
      <c r="V147" s="14"/>
      <c r="W147" s="14"/>
    </row>
    <row r="148" spans="2:23" s="9" customFormat="1">
      <c r="B148" s="129" t="s">
        <v>140</v>
      </c>
      <c r="C148" s="10">
        <f t="shared" si="17"/>
        <v>6.7814041636713576</v>
      </c>
      <c r="D148" s="12">
        <f t="shared" si="18"/>
        <v>167</v>
      </c>
      <c r="E148" s="14"/>
      <c r="F148" s="14"/>
      <c r="G148" s="14"/>
      <c r="H148" s="14"/>
      <c r="I148" s="14"/>
      <c r="J148" s="14"/>
      <c r="K148" s="14"/>
      <c r="L148" s="14"/>
      <c r="M148" s="14"/>
      <c r="N148" s="14"/>
      <c r="O148" s="14"/>
      <c r="P148" s="14"/>
      <c r="Q148" s="14"/>
      <c r="R148" s="14"/>
      <c r="S148" s="14"/>
      <c r="T148" s="14"/>
      <c r="U148" s="14"/>
      <c r="V148" s="14"/>
      <c r="W148" s="14"/>
    </row>
    <row r="149" spans="2:23" s="9" customFormat="1">
      <c r="B149" s="129" t="s">
        <v>40</v>
      </c>
      <c r="C149" s="10">
        <f t="shared" si="17"/>
        <v>2.1059471141622161</v>
      </c>
      <c r="D149" s="12">
        <f t="shared" si="18"/>
        <v>76</v>
      </c>
      <c r="E149" s="14"/>
      <c r="F149" s="14"/>
      <c r="G149" s="14"/>
      <c r="H149" s="14"/>
      <c r="I149" s="14"/>
      <c r="J149" s="14"/>
      <c r="K149" s="14"/>
      <c r="L149" s="14"/>
      <c r="M149" s="14"/>
      <c r="N149" s="14"/>
      <c r="O149" s="14"/>
      <c r="P149" s="14"/>
      <c r="Q149" s="14"/>
      <c r="R149" s="14"/>
      <c r="S149" s="14"/>
      <c r="T149" s="14"/>
      <c r="U149" s="14"/>
      <c r="V149" s="14"/>
      <c r="W149" s="14"/>
    </row>
    <row r="150" spans="2:23" s="9" customFormat="1">
      <c r="B150" s="129" t="s">
        <v>226</v>
      </c>
      <c r="C150" s="10">
        <f t="shared" si="17"/>
        <v>13.521517462799459</v>
      </c>
      <c r="D150" s="12">
        <f t="shared" si="18"/>
        <v>211.3</v>
      </c>
      <c r="E150" s="14"/>
      <c r="F150" s="14"/>
      <c r="G150" s="14"/>
      <c r="H150" s="14"/>
      <c r="I150" s="14"/>
      <c r="J150" s="14"/>
      <c r="K150" s="14"/>
      <c r="L150" s="14"/>
      <c r="M150" s="14"/>
      <c r="N150" s="14"/>
      <c r="O150" s="14"/>
      <c r="P150" s="14"/>
      <c r="Q150" s="14"/>
      <c r="R150" s="14"/>
      <c r="S150" s="14"/>
      <c r="T150" s="14"/>
      <c r="U150" s="14"/>
      <c r="V150" s="14"/>
      <c r="W150" s="14"/>
    </row>
    <row r="151" spans="2:23" s="9" customFormat="1">
      <c r="B151" s="257" t="s">
        <v>41</v>
      </c>
      <c r="C151" s="10">
        <f t="shared" ref="C151:C155" si="19">HLOOKUP(B151,$C$1:$X$8,2,FALSE)</f>
        <v>2.976146145978305</v>
      </c>
      <c r="D151" s="12">
        <f t="shared" ref="D151:D155" si="20">HLOOKUP(B151,$C$1:$X$8,5,FALSE)</f>
        <v>172.7</v>
      </c>
      <c r="E151" s="14"/>
      <c r="F151" s="14"/>
      <c r="G151" s="14"/>
      <c r="H151" s="14"/>
      <c r="I151" s="14"/>
      <c r="J151" s="14"/>
      <c r="K151" s="14"/>
      <c r="L151" s="14"/>
      <c r="M151" s="14"/>
      <c r="N151" s="14"/>
      <c r="O151" s="14"/>
      <c r="P151" s="14"/>
      <c r="Q151" s="14"/>
      <c r="R151" s="14"/>
      <c r="S151" s="14"/>
      <c r="T151" s="14"/>
      <c r="U151" s="14"/>
      <c r="V151" s="14"/>
      <c r="W151" s="14"/>
    </row>
    <row r="152" spans="2:23" s="9" customFormat="1">
      <c r="B152" s="257" t="s">
        <v>42</v>
      </c>
      <c r="C152" s="10">
        <f t="shared" si="19"/>
        <v>11.016102609182077</v>
      </c>
      <c r="D152" s="12">
        <f t="shared" si="20"/>
        <v>56</v>
      </c>
      <c r="E152" s="14"/>
      <c r="F152" s="14"/>
      <c r="G152" s="14"/>
      <c r="H152" s="14"/>
      <c r="I152" s="14"/>
      <c r="J152" s="14"/>
      <c r="K152" s="14"/>
      <c r="L152" s="14"/>
      <c r="M152" s="14"/>
      <c r="N152" s="14"/>
      <c r="O152" s="14"/>
      <c r="P152" s="14"/>
      <c r="Q152" s="14"/>
      <c r="R152" s="14"/>
      <c r="S152" s="14"/>
      <c r="T152" s="14"/>
      <c r="U152" s="14"/>
      <c r="V152" s="14"/>
      <c r="W152" s="14"/>
    </row>
    <row r="153" spans="2:23" s="9" customFormat="1">
      <c r="B153" s="257" t="s">
        <v>188</v>
      </c>
      <c r="C153" s="10">
        <f t="shared" si="19"/>
        <v>-2.9558214160044951</v>
      </c>
      <c r="D153" s="12">
        <f t="shared" si="20"/>
        <v>270</v>
      </c>
      <c r="E153" s="14"/>
      <c r="F153" s="14"/>
      <c r="G153" s="14"/>
      <c r="H153" s="14"/>
      <c r="I153" s="14"/>
      <c r="J153" s="14"/>
      <c r="K153" s="14"/>
      <c r="L153" s="14"/>
      <c r="M153" s="14"/>
      <c r="N153" s="14"/>
      <c r="O153" s="14"/>
      <c r="P153" s="14"/>
      <c r="Q153" s="14"/>
      <c r="R153" s="14"/>
      <c r="S153" s="14"/>
      <c r="T153" s="14"/>
      <c r="U153" s="14"/>
      <c r="V153" s="14"/>
      <c r="W153" s="14"/>
    </row>
    <row r="154" spans="2:23" s="9" customFormat="1">
      <c r="B154" s="257" t="s">
        <v>43</v>
      </c>
      <c r="C154" s="10">
        <f t="shared" si="19"/>
        <v>-0.58497943438756295</v>
      </c>
      <c r="D154" s="12">
        <f t="shared" si="20"/>
        <v>151</v>
      </c>
      <c r="E154" s="14"/>
      <c r="F154" s="14"/>
      <c r="G154" s="14"/>
      <c r="H154" s="14"/>
      <c r="I154" s="14"/>
      <c r="J154" s="14"/>
      <c r="K154" s="14"/>
      <c r="L154" s="14"/>
      <c r="M154" s="14"/>
      <c r="N154" s="14"/>
      <c r="O154" s="14"/>
      <c r="P154" s="14"/>
      <c r="Q154" s="14"/>
      <c r="R154" s="14"/>
      <c r="S154" s="14"/>
      <c r="T154" s="14"/>
      <c r="U154" s="14"/>
      <c r="V154" s="14"/>
      <c r="W154" s="14"/>
    </row>
    <row r="155" spans="2:23" s="9" customFormat="1">
      <c r="B155" s="257" t="s">
        <v>44</v>
      </c>
      <c r="C155" s="10">
        <f t="shared" si="19"/>
        <v>2.5191267027430513</v>
      </c>
      <c r="D155" s="12">
        <f t="shared" si="20"/>
        <v>65</v>
      </c>
      <c r="E155" s="14"/>
      <c r="F155" s="14"/>
      <c r="G155" s="14"/>
      <c r="H155" s="14"/>
      <c r="I155" s="14"/>
      <c r="J155" s="14"/>
      <c r="K155" s="14"/>
      <c r="L155" s="14"/>
      <c r="M155" s="14"/>
      <c r="N155" s="14"/>
      <c r="O155" s="14"/>
      <c r="P155" s="14"/>
      <c r="Q155" s="14"/>
      <c r="R155" s="14"/>
      <c r="S155" s="14"/>
      <c r="T155" s="14"/>
      <c r="U155" s="14"/>
      <c r="V155" s="14"/>
      <c r="W155" s="14"/>
    </row>
    <row r="156" spans="2:23" s="9" customFormat="1">
      <c r="B156" s="257" t="s">
        <v>194</v>
      </c>
      <c r="C156" s="10"/>
      <c r="D156" s="12"/>
      <c r="E156" s="14"/>
      <c r="F156" s="14"/>
      <c r="G156" s="14"/>
      <c r="H156" s="14"/>
      <c r="I156" s="14"/>
      <c r="J156" s="14"/>
      <c r="K156" s="14"/>
      <c r="L156" s="14"/>
      <c r="M156" s="14"/>
      <c r="N156" s="14"/>
      <c r="O156" s="14"/>
      <c r="P156" s="14"/>
      <c r="Q156" s="14"/>
      <c r="R156" s="14"/>
      <c r="S156" s="14"/>
      <c r="T156" s="14"/>
      <c r="U156" s="14"/>
      <c r="V156" s="14"/>
      <c r="W156" s="14"/>
    </row>
    <row r="157" spans="2:23" s="9" customFormat="1">
      <c r="B157" s="129" t="s">
        <v>45</v>
      </c>
      <c r="C157" s="10">
        <f>HLOOKUP(B157,$C$1:$X$8,2,FALSE)</f>
        <v>-2.2670040142477532</v>
      </c>
      <c r="D157" s="12">
        <f>HLOOKUP(B157,$C$1:$X$8,5,FALSE)</f>
        <v>118</v>
      </c>
      <c r="E157" s="14"/>
      <c r="F157" s="14"/>
      <c r="G157" s="14"/>
      <c r="H157" s="14"/>
      <c r="I157" s="14"/>
      <c r="J157" s="14"/>
      <c r="K157" s="14"/>
      <c r="L157" s="14"/>
      <c r="M157" s="14"/>
      <c r="N157" s="14"/>
      <c r="O157" s="14"/>
      <c r="P157" s="14"/>
      <c r="Q157" s="14"/>
      <c r="R157" s="14"/>
      <c r="S157" s="14"/>
      <c r="T157" s="14"/>
      <c r="U157" s="14"/>
      <c r="V157" s="14"/>
      <c r="W157" s="14"/>
    </row>
    <row r="158" spans="2:23" s="9" customFormat="1">
      <c r="B158" s="129" t="s">
        <v>46</v>
      </c>
      <c r="C158" s="10">
        <f>HLOOKUP(B158,$C$1:$X$8,2,FALSE)</f>
        <v>1.9544188070266628</v>
      </c>
      <c r="D158" s="12">
        <f>HLOOKUP(B158,$C$1:$X$8,5,FALSE)</f>
        <v>68</v>
      </c>
      <c r="E158" s="14"/>
      <c r="F158" s="280" t="s">
        <v>76</v>
      </c>
      <c r="G158" s="278"/>
      <c r="H158" s="278"/>
      <c r="I158" s="278"/>
      <c r="J158" s="281"/>
      <c r="K158" s="281"/>
      <c r="L158" s="281"/>
      <c r="M158" s="281"/>
      <c r="N158" s="281"/>
      <c r="O158" s="281"/>
      <c r="P158" s="157"/>
      <c r="Q158" s="14"/>
      <c r="R158" s="14"/>
      <c r="S158" s="14"/>
      <c r="T158" s="14"/>
      <c r="U158" s="14"/>
      <c r="V158" s="14"/>
      <c r="W158" s="14"/>
    </row>
    <row r="159" spans="2:23">
      <c r="B159" s="129" t="s">
        <v>47</v>
      </c>
      <c r="C159" s="10">
        <f>HLOOKUP(B159,$C$1:$X$8,2,FALSE)</f>
        <v>11.323393232861676</v>
      </c>
      <c r="D159" s="12">
        <f>HLOOKUP(B159,$C$1:$X$8,5,FALSE)</f>
        <v>68</v>
      </c>
    </row>
    <row r="160" spans="2:23">
      <c r="B160" s="129" t="s">
        <v>48</v>
      </c>
      <c r="C160" s="10"/>
      <c r="D160" s="12"/>
    </row>
    <row r="161" spans="2:23">
      <c r="B161" s="129"/>
      <c r="C161" s="10"/>
      <c r="D161" s="12"/>
    </row>
    <row r="162" spans="2:23">
      <c r="B162" s="129"/>
      <c r="C162" s="10"/>
      <c r="D162" s="12"/>
    </row>
    <row r="163" spans="2:23">
      <c r="F163" s="32"/>
      <c r="G163" s="9"/>
      <c r="H163" s="9"/>
      <c r="I163" s="9"/>
      <c r="J163" s="3"/>
      <c r="K163" s="3"/>
      <c r="L163" s="3"/>
      <c r="M163" s="3"/>
      <c r="N163" s="3"/>
      <c r="O163" s="3"/>
      <c r="P163" s="3"/>
    </row>
    <row r="164" spans="2:23" s="63" customFormat="1">
      <c r="B164" s="6" t="s">
        <v>16</v>
      </c>
      <c r="C164" s="15" t="s">
        <v>102</v>
      </c>
      <c r="D164" s="15" t="s">
        <v>80</v>
      </c>
      <c r="E164" s="15"/>
      <c r="F164" s="282" t="str">
        <f>"Total Unhedged "&amp;'3Q19 Actual'!$B$1&amp;" Pre-Interest Cash Margin/Interest (x, x-axis) vs 10y Cash Spread (bp)"</f>
        <v>Total Unhedged 3Q19 Pre-Interest Cash Margin/Interest (x, x-axis) vs 10y Cash Spread (bp)</v>
      </c>
      <c r="G164" s="282"/>
      <c r="H164" s="282"/>
      <c r="I164" s="282"/>
      <c r="J164" s="282"/>
      <c r="K164" s="282"/>
      <c r="L164" s="282"/>
      <c r="M164" s="282"/>
      <c r="N164" s="282"/>
      <c r="O164" s="282"/>
      <c r="P164" s="158"/>
      <c r="Q164" s="30"/>
      <c r="R164" s="30"/>
      <c r="S164" s="30"/>
      <c r="T164" s="30"/>
      <c r="U164" s="30"/>
      <c r="V164" s="30"/>
      <c r="W164" s="30"/>
    </row>
    <row r="165" spans="2:23" s="9" customFormat="1">
      <c r="B165" s="129"/>
      <c r="C165" s="10"/>
      <c r="D165" s="12"/>
      <c r="E165" s="12"/>
      <c r="Q165" s="14"/>
      <c r="R165" s="14"/>
      <c r="S165" s="14"/>
      <c r="T165" s="14"/>
      <c r="U165" s="14"/>
      <c r="V165" s="14"/>
      <c r="W165" s="14"/>
    </row>
    <row r="166" spans="2:23" s="9" customFormat="1">
      <c r="B166" s="156" t="s">
        <v>190</v>
      </c>
      <c r="C166" s="10"/>
      <c r="D166" s="12"/>
      <c r="E166" s="12"/>
      <c r="Q166" s="14"/>
      <c r="R166" s="14"/>
      <c r="S166" s="14"/>
      <c r="T166" s="14"/>
      <c r="U166" s="14"/>
      <c r="V166" s="14"/>
      <c r="W166" s="14"/>
    </row>
    <row r="167" spans="2:23" s="9" customFormat="1">
      <c r="B167" s="129" t="s">
        <v>34</v>
      </c>
      <c r="C167" s="10">
        <f t="shared" ref="C167:C176" si="21">HLOOKUP(B167,$C$1:$X$8,4,FALSE)</f>
        <v>7.5825532317757025</v>
      </c>
      <c r="D167" s="12">
        <f t="shared" ref="D167:D177" si="22">HLOOKUP(B167,$C$1:$X$8,6,FALSE)</f>
        <v>245.95618414041209</v>
      </c>
      <c r="E167" s="12"/>
      <c r="Q167" s="14"/>
      <c r="R167" s="14"/>
      <c r="S167" s="14"/>
      <c r="T167" s="14"/>
      <c r="U167" s="14"/>
      <c r="V167" s="14"/>
      <c r="W167" s="14"/>
    </row>
    <row r="168" spans="2:23" s="9" customFormat="1">
      <c r="B168" s="129" t="s">
        <v>35</v>
      </c>
      <c r="C168" s="10">
        <f t="shared" si="21"/>
        <v>13.939393939393945</v>
      </c>
      <c r="D168" s="12">
        <f t="shared" si="22"/>
        <v>129.84803217821732</v>
      </c>
      <c r="E168" s="12"/>
      <c r="F168" s="14"/>
      <c r="G168" s="14"/>
      <c r="H168" s="14"/>
      <c r="I168" s="14"/>
      <c r="J168" s="14"/>
      <c r="K168" s="14"/>
      <c r="L168" s="14"/>
      <c r="M168" s="14"/>
      <c r="N168" s="14"/>
      <c r="O168" s="14"/>
      <c r="P168" s="14"/>
      <c r="Q168" s="14"/>
      <c r="R168" s="14"/>
      <c r="S168" s="14"/>
      <c r="T168" s="14"/>
      <c r="U168" s="14"/>
      <c r="V168" s="14"/>
      <c r="W168" s="14"/>
    </row>
    <row r="169" spans="2:23" s="9" customFormat="1">
      <c r="B169" s="129" t="s">
        <v>37</v>
      </c>
      <c r="C169" s="10">
        <f t="shared" si="21"/>
        <v>10.182314942680408</v>
      </c>
      <c r="D169" s="12">
        <f t="shared" si="22"/>
        <v>177.01453184518471</v>
      </c>
      <c r="E169" s="12"/>
      <c r="F169" s="14"/>
      <c r="G169" s="14"/>
      <c r="H169" s="14"/>
      <c r="I169" s="14"/>
      <c r="J169" s="14"/>
      <c r="K169" s="14"/>
      <c r="L169" s="14"/>
      <c r="M169" s="14"/>
      <c r="N169" s="14"/>
      <c r="O169" s="14"/>
      <c r="P169" s="14"/>
      <c r="Q169" s="14"/>
      <c r="R169" s="14"/>
      <c r="S169" s="14"/>
      <c r="T169" s="14"/>
      <c r="U169" s="14"/>
      <c r="V169" s="14"/>
      <c r="W169" s="14"/>
    </row>
    <row r="170" spans="2:23" s="9" customFormat="1">
      <c r="B170" s="156" t="s">
        <v>192</v>
      </c>
      <c r="C170" s="10"/>
      <c r="D170" s="12"/>
      <c r="E170" s="12"/>
      <c r="F170" s="14"/>
      <c r="G170" s="14"/>
      <c r="H170" s="14"/>
      <c r="I170" s="14"/>
      <c r="J170" s="14"/>
      <c r="K170" s="14"/>
      <c r="L170" s="14"/>
      <c r="M170" s="14"/>
      <c r="N170" s="14"/>
      <c r="O170" s="14"/>
      <c r="P170" s="14"/>
      <c r="Q170" s="14"/>
      <c r="R170" s="14"/>
      <c r="S170" s="14"/>
      <c r="T170" s="14"/>
      <c r="U170" s="14"/>
      <c r="V170" s="14"/>
      <c r="W170" s="14"/>
    </row>
    <row r="171" spans="2:23" s="9" customFormat="1">
      <c r="B171" s="129" t="s">
        <v>38</v>
      </c>
      <c r="C171" s="10">
        <f t="shared" si="21"/>
        <v>14.50923289677052</v>
      </c>
      <c r="D171" s="12">
        <f t="shared" si="22"/>
        <v>216.71581685868401</v>
      </c>
      <c r="E171" s="12"/>
      <c r="F171" s="14"/>
      <c r="G171" s="14"/>
      <c r="H171" s="14"/>
      <c r="I171" s="14"/>
      <c r="J171" s="14"/>
      <c r="K171" s="14"/>
      <c r="L171" s="14"/>
      <c r="M171" s="14"/>
      <c r="N171" s="14"/>
      <c r="O171" s="14"/>
      <c r="P171" s="14"/>
      <c r="Q171" s="14"/>
      <c r="R171" s="14"/>
      <c r="S171" s="14"/>
      <c r="T171" s="14"/>
      <c r="U171" s="14"/>
      <c r="V171" s="14"/>
      <c r="W171" s="14"/>
    </row>
    <row r="172" spans="2:23" s="9" customFormat="1">
      <c r="B172" s="129" t="s">
        <v>36</v>
      </c>
      <c r="C172" s="10">
        <f t="shared" si="21"/>
        <v>20.870694782608691</v>
      </c>
      <c r="D172" s="12">
        <f t="shared" si="22"/>
        <v>75.399391917808771</v>
      </c>
      <c r="E172" s="12"/>
      <c r="F172" s="14"/>
      <c r="G172" s="14"/>
      <c r="H172" s="14"/>
      <c r="I172" s="14"/>
      <c r="J172" s="14"/>
      <c r="K172" s="14"/>
      <c r="L172" s="14"/>
      <c r="M172" s="14"/>
      <c r="N172" s="14"/>
      <c r="O172" s="14"/>
      <c r="P172" s="14"/>
      <c r="Q172" s="14"/>
      <c r="R172" s="14"/>
      <c r="S172" s="14"/>
      <c r="T172" s="14"/>
      <c r="U172" s="14"/>
      <c r="V172" s="14"/>
      <c r="W172" s="14"/>
    </row>
    <row r="173" spans="2:23" s="9" customFormat="1">
      <c r="B173" s="129" t="s">
        <v>39</v>
      </c>
      <c r="C173" s="10">
        <f t="shared" si="21"/>
        <v>11.328946981935673</v>
      </c>
      <c r="D173" s="12">
        <f t="shared" si="22"/>
        <v>219.17749548154609</v>
      </c>
      <c r="E173" s="12"/>
      <c r="F173" s="14"/>
      <c r="G173" s="14"/>
      <c r="H173" s="14"/>
      <c r="I173" s="14"/>
      <c r="J173" s="14"/>
      <c r="K173" s="14"/>
      <c r="L173" s="14"/>
      <c r="M173" s="14"/>
      <c r="N173" s="14"/>
      <c r="O173" s="14"/>
      <c r="P173" s="14"/>
      <c r="Q173" s="14"/>
      <c r="R173" s="14"/>
      <c r="S173" s="14"/>
      <c r="T173" s="14"/>
      <c r="U173" s="14"/>
      <c r="V173" s="14"/>
      <c r="W173" s="14"/>
    </row>
    <row r="174" spans="2:23" s="9" customFormat="1">
      <c r="B174" s="129" t="s">
        <v>140</v>
      </c>
      <c r="C174" s="10">
        <f t="shared" si="21"/>
        <v>16.081750526956522</v>
      </c>
      <c r="D174" s="12">
        <f t="shared" si="22"/>
        <v>152.45070965796384</v>
      </c>
      <c r="E174" s="12"/>
      <c r="F174" s="14"/>
      <c r="G174" s="14"/>
      <c r="H174" s="14"/>
      <c r="I174" s="14"/>
      <c r="J174" s="14"/>
      <c r="K174" s="14"/>
      <c r="L174" s="14"/>
      <c r="M174" s="14"/>
      <c r="N174" s="14"/>
      <c r="O174" s="14"/>
      <c r="P174" s="14"/>
      <c r="Q174" s="14"/>
      <c r="R174" s="14"/>
      <c r="S174" s="14"/>
      <c r="T174" s="14"/>
      <c r="U174" s="14"/>
      <c r="V174" s="14"/>
      <c r="W174" s="14"/>
    </row>
    <row r="175" spans="2:23" s="9" customFormat="1">
      <c r="B175" s="129" t="s">
        <v>40</v>
      </c>
      <c r="C175" s="10">
        <f t="shared" si="21"/>
        <v>9.080448333333333</v>
      </c>
      <c r="D175" s="12">
        <f t="shared" si="22"/>
        <v>78.5673720547926</v>
      </c>
      <c r="E175" s="12"/>
      <c r="F175" s="14"/>
      <c r="G175" s="14"/>
      <c r="H175" s="14"/>
      <c r="I175" s="14"/>
      <c r="J175" s="14"/>
      <c r="K175" s="14"/>
      <c r="L175" s="14"/>
      <c r="M175" s="14"/>
      <c r="N175" s="14"/>
      <c r="O175" s="14"/>
      <c r="P175" s="14"/>
      <c r="Q175" s="14"/>
      <c r="R175" s="14"/>
      <c r="S175" s="14"/>
      <c r="T175" s="14"/>
      <c r="U175" s="14"/>
      <c r="V175" s="14"/>
      <c r="W175" s="14"/>
    </row>
    <row r="176" spans="2:23" s="9" customFormat="1">
      <c r="B176" s="129" t="s">
        <v>226</v>
      </c>
      <c r="C176" s="10">
        <f t="shared" si="21"/>
        <v>19.666557826315788</v>
      </c>
      <c r="D176" s="12">
        <f t="shared" si="22"/>
        <v>235.91893022785831</v>
      </c>
      <c r="E176" s="12"/>
      <c r="F176" s="14"/>
      <c r="G176" s="14"/>
      <c r="H176" s="14"/>
      <c r="I176" s="14"/>
      <c r="J176" s="14"/>
      <c r="K176" s="14"/>
      <c r="L176" s="14"/>
      <c r="M176" s="14"/>
      <c r="N176" s="14"/>
      <c r="O176" s="14"/>
      <c r="P176" s="14"/>
      <c r="Q176" s="14"/>
      <c r="R176" s="14"/>
      <c r="S176" s="14"/>
      <c r="T176" s="14"/>
      <c r="U176" s="14"/>
      <c r="V176" s="14"/>
      <c r="W176" s="14"/>
    </row>
    <row r="177" spans="2:23" s="9" customFormat="1">
      <c r="B177" s="257" t="s">
        <v>41</v>
      </c>
      <c r="C177" s="10">
        <f t="shared" ref="C177:C181" si="23">HLOOKUP(B177,$C$1:$X$8,4,FALSE)</f>
        <v>8.1076911245791248</v>
      </c>
      <c r="D177" s="12">
        <f t="shared" si="22"/>
        <v>229.49554438355975</v>
      </c>
      <c r="E177" s="12"/>
      <c r="F177" s="14"/>
      <c r="G177" s="14"/>
      <c r="H177" s="14"/>
      <c r="I177" s="14"/>
      <c r="J177" s="14"/>
      <c r="K177" s="14"/>
      <c r="L177" s="14"/>
      <c r="M177" s="14"/>
      <c r="N177" s="14"/>
      <c r="O177" s="14"/>
      <c r="P177" s="14"/>
      <c r="Q177" s="14"/>
      <c r="R177" s="14"/>
      <c r="S177" s="14"/>
      <c r="T177" s="14"/>
      <c r="U177" s="14"/>
      <c r="V177" s="14"/>
      <c r="W177" s="14"/>
    </row>
    <row r="178" spans="2:23" s="9" customFormat="1">
      <c r="B178" s="257" t="s">
        <v>42</v>
      </c>
      <c r="C178" s="10">
        <f t="shared" si="23"/>
        <v>46.408303886925786</v>
      </c>
      <c r="D178" s="12">
        <f t="shared" ref="D178:D181" si="24">HLOOKUP(B178,$C$1:$X$8,6,FALSE)</f>
        <v>74.241928095891254</v>
      </c>
      <c r="E178" s="12"/>
      <c r="F178" s="14"/>
      <c r="G178" s="14"/>
      <c r="H178" s="14"/>
      <c r="I178" s="14"/>
      <c r="J178" s="14"/>
      <c r="K178" s="14"/>
      <c r="L178" s="14"/>
      <c r="M178" s="14"/>
      <c r="N178" s="14"/>
      <c r="O178" s="14"/>
      <c r="P178" s="14"/>
      <c r="Q178" s="14"/>
      <c r="R178" s="14"/>
      <c r="S178" s="14"/>
      <c r="T178" s="14"/>
      <c r="U178" s="14"/>
      <c r="V178" s="14"/>
      <c r="W178" s="14"/>
    </row>
    <row r="179" spans="2:23" s="9" customFormat="1">
      <c r="B179" s="257" t="s">
        <v>188</v>
      </c>
      <c r="C179" s="10">
        <f t="shared" si="23"/>
        <v>5.2630950135194619</v>
      </c>
      <c r="D179" s="12">
        <f t="shared" si="24"/>
        <v>406.29099314131213</v>
      </c>
      <c r="E179" s="12"/>
      <c r="F179" s="14"/>
      <c r="G179" s="14"/>
      <c r="H179" s="14"/>
      <c r="I179" s="14"/>
      <c r="J179" s="14"/>
      <c r="K179" s="14"/>
      <c r="L179" s="14"/>
      <c r="M179" s="14"/>
      <c r="N179" s="14"/>
      <c r="O179" s="14"/>
      <c r="P179" s="14"/>
      <c r="Q179" s="14"/>
      <c r="R179" s="14"/>
      <c r="S179" s="14"/>
      <c r="T179" s="14"/>
      <c r="U179" s="14"/>
      <c r="V179" s="14"/>
      <c r="W179" s="14"/>
    </row>
    <row r="180" spans="2:23" s="9" customFormat="1">
      <c r="B180" s="257" t="s">
        <v>43</v>
      </c>
      <c r="C180" s="10">
        <f t="shared" si="23"/>
        <v>7.5362362666666654</v>
      </c>
      <c r="D180" s="12">
        <f t="shared" si="24"/>
        <v>178.50419750674854</v>
      </c>
      <c r="E180" s="12"/>
      <c r="F180" s="14"/>
      <c r="G180" s="14"/>
      <c r="H180" s="14"/>
      <c r="I180" s="14"/>
      <c r="J180" s="14"/>
      <c r="K180" s="14"/>
      <c r="L180" s="14"/>
      <c r="M180" s="14"/>
      <c r="N180" s="14"/>
      <c r="O180" s="14"/>
      <c r="P180" s="14"/>
      <c r="Q180" s="14"/>
      <c r="R180" s="14"/>
      <c r="S180" s="14"/>
      <c r="T180" s="14"/>
      <c r="U180" s="14"/>
      <c r="V180" s="14"/>
      <c r="W180" s="14"/>
    </row>
    <row r="181" spans="2:23" s="9" customFormat="1">
      <c r="B181" s="257" t="s">
        <v>44</v>
      </c>
      <c r="C181" s="10">
        <f t="shared" si="23"/>
        <v>12.265625</v>
      </c>
      <c r="D181" s="12">
        <f t="shared" si="24"/>
        <v>164.66107203420134</v>
      </c>
      <c r="E181" s="12"/>
      <c r="F181" s="14"/>
      <c r="G181" s="14"/>
      <c r="H181" s="14"/>
      <c r="I181" s="14"/>
      <c r="J181" s="14"/>
      <c r="K181" s="14"/>
      <c r="L181" s="14"/>
      <c r="M181" s="14"/>
      <c r="N181" s="14"/>
      <c r="O181" s="14"/>
      <c r="P181" s="14"/>
      <c r="Q181" s="14"/>
      <c r="R181" s="14"/>
      <c r="S181" s="14"/>
      <c r="T181" s="14"/>
      <c r="U181" s="14"/>
      <c r="V181" s="14"/>
      <c r="W181" s="14"/>
    </row>
    <row r="182" spans="2:23" s="9" customFormat="1">
      <c r="B182" s="257" t="s">
        <v>194</v>
      </c>
      <c r="C182" s="10"/>
      <c r="D182" s="12"/>
      <c r="E182" s="12"/>
      <c r="F182" s="14"/>
      <c r="G182" s="14"/>
      <c r="H182" s="14"/>
      <c r="I182" s="14"/>
      <c r="J182" s="14"/>
      <c r="K182" s="14"/>
      <c r="L182" s="14"/>
      <c r="M182" s="14"/>
      <c r="N182" s="14"/>
      <c r="O182" s="14"/>
      <c r="P182" s="14"/>
      <c r="Q182" s="14"/>
      <c r="R182" s="14"/>
      <c r="S182" s="14"/>
      <c r="T182" s="14"/>
      <c r="U182" s="14"/>
      <c r="V182" s="14"/>
      <c r="W182" s="14"/>
    </row>
    <row r="183" spans="2:23" s="9" customFormat="1">
      <c r="B183" s="129" t="s">
        <v>45</v>
      </c>
      <c r="C183" s="10">
        <f>HLOOKUP(B183,$C$1:$X$8,4,FALSE)</f>
        <v>6.5750724219585779</v>
      </c>
      <c r="D183" s="12">
        <f>HLOOKUP(B183,$C$1:$X$8,6,FALSE)</f>
        <v>157.24649696669758</v>
      </c>
      <c r="E183" s="14"/>
      <c r="F183" s="280" t="s">
        <v>76</v>
      </c>
      <c r="G183" s="278"/>
      <c r="H183" s="278"/>
      <c r="I183" s="278"/>
      <c r="J183" s="278"/>
      <c r="K183" s="278"/>
      <c r="L183" s="278"/>
      <c r="M183" s="278"/>
      <c r="N183" s="278"/>
      <c r="O183" s="278"/>
      <c r="P183" s="154"/>
      <c r="Q183" s="14"/>
      <c r="R183" s="14"/>
      <c r="S183" s="14"/>
      <c r="T183" s="14"/>
      <c r="U183" s="14"/>
      <c r="V183" s="14"/>
      <c r="W183" s="14"/>
    </row>
    <row r="184" spans="2:23" s="9" customFormat="1">
      <c r="B184" s="129" t="s">
        <v>46</v>
      </c>
      <c r="C184" s="10">
        <f>HLOOKUP(B184,$C$1:$X$8,4,FALSE)</f>
        <v>5.3310925284339454</v>
      </c>
      <c r="D184" s="12">
        <f>HLOOKUP(B184,$C$1:$X$8,6,FALSE)</f>
        <v>162.4804749144929</v>
      </c>
      <c r="E184" s="14"/>
      <c r="Q184" s="14"/>
      <c r="R184" s="14"/>
      <c r="S184" s="14"/>
      <c r="T184" s="14"/>
      <c r="U184" s="14"/>
      <c r="V184" s="14"/>
      <c r="W184" s="14"/>
    </row>
    <row r="185" spans="2:23">
      <c r="B185" s="129" t="s">
        <v>47</v>
      </c>
      <c r="C185" s="10">
        <f>HLOOKUP(B185,$C$1:$X$8,4,FALSE)</f>
        <v>28.299294900689652</v>
      </c>
      <c r="D185" s="12">
        <f>HLOOKUP(B185,$C$1:$X$8,6,FALSE)</f>
        <v>104.30100767123096</v>
      </c>
    </row>
    <row r="186" spans="2:23">
      <c r="B186" s="129" t="s">
        <v>48</v>
      </c>
      <c r="C186" s="10"/>
      <c r="D186" s="12"/>
    </row>
    <row r="187" spans="2:23">
      <c r="B187" s="129"/>
      <c r="C187" s="10"/>
      <c r="D187" s="12"/>
    </row>
    <row r="188" spans="2:23">
      <c r="B188" s="129"/>
      <c r="C188" s="10"/>
      <c r="D188" s="12"/>
    </row>
    <row r="191" spans="2:23" s="63" customFormat="1">
      <c r="B191" s="6" t="s">
        <v>16</v>
      </c>
      <c r="C191" s="15" t="s">
        <v>102</v>
      </c>
      <c r="D191" s="15" t="s">
        <v>81</v>
      </c>
      <c r="E191" s="30"/>
      <c r="F191" s="282" t="str">
        <f>"Total Unhedged "&amp;'3Q19 Actual'!$B$1&amp;" Pre-Interest Cash Margin/Interest (x, x-axis) vs 30y Cash Spread (bp)"</f>
        <v>Total Unhedged 3Q19 Pre-Interest Cash Margin/Interest (x, x-axis) vs 30y Cash Spread (bp)</v>
      </c>
      <c r="G191" s="282"/>
      <c r="H191" s="282"/>
      <c r="I191" s="282"/>
      <c r="J191" s="282"/>
      <c r="K191" s="282"/>
      <c r="L191" s="282"/>
      <c r="M191" s="282"/>
      <c r="N191" s="282"/>
      <c r="O191" s="282"/>
      <c r="P191" s="158"/>
      <c r="Q191" s="30"/>
      <c r="R191" s="30"/>
      <c r="S191" s="30"/>
      <c r="T191" s="30"/>
      <c r="U191" s="30"/>
      <c r="V191" s="30"/>
      <c r="W191" s="30"/>
    </row>
    <row r="192" spans="2:23">
      <c r="B192" s="129"/>
      <c r="C192" s="10"/>
      <c r="D192" s="12"/>
      <c r="R192" s="30"/>
      <c r="S192" s="30"/>
      <c r="T192" s="30"/>
    </row>
    <row r="193" spans="2:20">
      <c r="B193" s="156" t="s">
        <v>190</v>
      </c>
      <c r="C193" s="10"/>
      <c r="D193" s="12"/>
      <c r="R193" s="30"/>
      <c r="S193" s="30"/>
      <c r="T193" s="30"/>
    </row>
    <row r="194" spans="2:20">
      <c r="B194" s="129" t="s">
        <v>34</v>
      </c>
      <c r="C194" s="10">
        <f>HLOOKUP(B194,$C$1:$X$8,4,FALSE)</f>
        <v>7.5825532317757025</v>
      </c>
      <c r="D194" s="12">
        <f>HLOOKUP(B194,$C$1:$X$8,7,FALSE)</f>
        <v>307.18600957700306</v>
      </c>
      <c r="R194" s="30"/>
      <c r="S194" s="30"/>
      <c r="T194" s="30"/>
    </row>
    <row r="195" spans="2:20">
      <c r="B195" s="129" t="s">
        <v>35</v>
      </c>
      <c r="C195" s="10">
        <f>HLOOKUP(B195,$C$1:$X$8,4,FALSE)</f>
        <v>13.939393939393945</v>
      </c>
      <c r="D195" s="12">
        <f>HLOOKUP(B195,$C$1:$X$8,7,FALSE)</f>
        <v>177.16574630390033</v>
      </c>
      <c r="R195" s="30"/>
      <c r="S195" s="30"/>
      <c r="T195" s="30"/>
    </row>
    <row r="196" spans="2:20">
      <c r="B196" s="129" t="s">
        <v>37</v>
      </c>
      <c r="C196" s="10">
        <f>HLOOKUP(B196,$C$1:$X$8,4,FALSE)</f>
        <v>10.182314942680408</v>
      </c>
      <c r="D196" s="12">
        <f>HLOOKUP(B196,$C$1:$X$8,7,FALSE)</f>
        <v>238.68276426283495</v>
      </c>
      <c r="R196" s="30"/>
      <c r="S196" s="30"/>
      <c r="T196" s="30"/>
    </row>
    <row r="197" spans="2:20">
      <c r="B197" s="156" t="s">
        <v>192</v>
      </c>
      <c r="C197" s="10"/>
      <c r="D197" s="12"/>
      <c r="R197" s="30"/>
      <c r="S197" s="30"/>
      <c r="T197" s="30"/>
    </row>
    <row r="198" spans="2:20">
      <c r="B198" s="129" t="s">
        <v>38</v>
      </c>
      <c r="C198" s="10"/>
      <c r="D198" s="12"/>
      <c r="R198" s="30"/>
      <c r="S198" s="30"/>
      <c r="T198" s="30"/>
    </row>
    <row r="199" spans="2:20">
      <c r="B199" s="129" t="s">
        <v>36</v>
      </c>
      <c r="C199" s="10">
        <f t="shared" ref="C199:C204" si="25">HLOOKUP(B199,$C$1:$X$8,4,FALSE)</f>
        <v>20.870694782608691</v>
      </c>
      <c r="D199" s="12">
        <f t="shared" ref="D199:D204" si="26">HLOOKUP(B199,$C$1:$X$8,7,FALSE)</f>
        <v>132.12811198767977</v>
      </c>
      <c r="R199" s="30"/>
      <c r="S199" s="30"/>
      <c r="T199" s="30"/>
    </row>
    <row r="200" spans="2:20">
      <c r="B200" s="129" t="s">
        <v>39</v>
      </c>
      <c r="C200" s="10">
        <f t="shared" si="25"/>
        <v>11.328946981935673</v>
      </c>
      <c r="D200" s="12">
        <f t="shared" si="26"/>
        <v>278.20756002190313</v>
      </c>
      <c r="R200" s="30"/>
      <c r="S200" s="30"/>
      <c r="T200" s="30"/>
    </row>
    <row r="201" spans="2:20">
      <c r="B201" s="129" t="s">
        <v>140</v>
      </c>
      <c r="C201" s="10">
        <f t="shared" si="25"/>
        <v>16.081750526956522</v>
      </c>
      <c r="D201" s="12">
        <f t="shared" si="26"/>
        <v>194.29819924435404</v>
      </c>
      <c r="R201" s="30"/>
      <c r="S201" s="30"/>
      <c r="T201" s="30"/>
    </row>
    <row r="202" spans="2:20">
      <c r="B202" s="129" t="s">
        <v>40</v>
      </c>
      <c r="C202" s="10">
        <f t="shared" si="25"/>
        <v>9.080448333333333</v>
      </c>
      <c r="D202" s="12">
        <f t="shared" si="26"/>
        <v>187.91129408898058</v>
      </c>
      <c r="R202" s="30"/>
      <c r="S202" s="30"/>
      <c r="T202" s="30"/>
    </row>
    <row r="203" spans="2:20">
      <c r="B203" s="129" t="s">
        <v>226</v>
      </c>
      <c r="C203" s="10">
        <f t="shared" si="25"/>
        <v>19.666557826315788</v>
      </c>
      <c r="D203" s="12" t="str">
        <f t="shared" si="26"/>
        <v/>
      </c>
      <c r="R203" s="30"/>
      <c r="S203" s="30"/>
      <c r="T203" s="30"/>
    </row>
    <row r="204" spans="2:20">
      <c r="B204" s="257" t="s">
        <v>41</v>
      </c>
      <c r="C204" s="10">
        <f t="shared" si="25"/>
        <v>8.1076911245791248</v>
      </c>
      <c r="D204" s="12">
        <f t="shared" si="26"/>
        <v>311.48053490759787</v>
      </c>
      <c r="R204" s="30"/>
      <c r="S204" s="30"/>
      <c r="T204" s="30"/>
    </row>
    <row r="205" spans="2:20">
      <c r="B205" s="257" t="s">
        <v>42</v>
      </c>
      <c r="C205" s="10"/>
      <c r="D205" s="12"/>
      <c r="R205" s="30"/>
      <c r="S205" s="30"/>
      <c r="T205" s="30"/>
    </row>
    <row r="206" spans="2:20">
      <c r="B206" s="257" t="s">
        <v>188</v>
      </c>
      <c r="C206" s="10"/>
      <c r="D206" s="12"/>
      <c r="R206" s="30"/>
      <c r="S206" s="30"/>
      <c r="T206" s="30"/>
    </row>
    <row r="207" spans="2:20">
      <c r="B207" s="257" t="s">
        <v>43</v>
      </c>
      <c r="C207" s="10">
        <f>HLOOKUP(B207,$C$1:$X$8,4,FALSE)</f>
        <v>7.5362362666666654</v>
      </c>
      <c r="D207" s="12">
        <f>HLOOKUP(B207,$C$1:$X$8,7,FALSE)</f>
        <v>258.60137436276591</v>
      </c>
      <c r="F207" s="1"/>
      <c r="G207" s="1"/>
      <c r="H207" s="1"/>
      <c r="I207" s="1"/>
      <c r="J207" s="1"/>
      <c r="K207" s="1"/>
      <c r="L207" s="1"/>
      <c r="M207" s="1"/>
      <c r="N207" s="1"/>
      <c r="O207" s="1"/>
      <c r="P207" s="1"/>
      <c r="R207" s="30"/>
      <c r="S207" s="30"/>
      <c r="T207" s="30"/>
    </row>
    <row r="208" spans="2:20">
      <c r="B208" s="257" t="s">
        <v>44</v>
      </c>
      <c r="C208" s="10">
        <f>HLOOKUP(B208,$C$1:$X$8,4,FALSE)</f>
        <v>12.265625</v>
      </c>
      <c r="D208" s="12">
        <f>HLOOKUP(B208,$C$1:$X$8,7,FALSE)</f>
        <v>228.5199145106096</v>
      </c>
      <c r="F208" s="1"/>
      <c r="G208" s="1"/>
      <c r="H208" s="1"/>
      <c r="I208" s="1"/>
      <c r="J208" s="1"/>
      <c r="K208" s="1"/>
      <c r="L208" s="1"/>
      <c r="M208" s="1"/>
      <c r="N208" s="1"/>
      <c r="O208" s="1"/>
      <c r="P208" s="1"/>
      <c r="R208" s="30"/>
      <c r="S208" s="30"/>
      <c r="T208" s="30"/>
    </row>
    <row r="209" spans="2:23">
      <c r="B209" s="257" t="s">
        <v>194</v>
      </c>
      <c r="C209" s="10"/>
      <c r="D209" s="12"/>
      <c r="F209" s="33"/>
      <c r="G209" s="9"/>
      <c r="H209" s="9"/>
      <c r="I209" s="9"/>
      <c r="J209" s="3"/>
      <c r="K209" s="3"/>
      <c r="L209" s="3"/>
      <c r="M209" s="3"/>
      <c r="N209" s="3"/>
      <c r="O209" s="3"/>
      <c r="P209" s="3"/>
      <c r="R209" s="30"/>
      <c r="S209" s="30"/>
      <c r="T209" s="30"/>
    </row>
    <row r="210" spans="2:23">
      <c r="B210" s="129" t="s">
        <v>45</v>
      </c>
      <c r="C210" s="10">
        <f>HLOOKUP(B210,$C$1:$X$8,4,FALSE)</f>
        <v>6.5750724219585779</v>
      </c>
      <c r="D210" s="12">
        <f>HLOOKUP(B210,$C$1:$X$8,7,FALSE)</f>
        <v>220.36942759205877</v>
      </c>
      <c r="F210" s="280" t="s">
        <v>76</v>
      </c>
      <c r="G210" s="278"/>
      <c r="H210" s="278"/>
      <c r="I210" s="278"/>
      <c r="J210" s="281"/>
      <c r="K210" s="281"/>
      <c r="L210" s="281"/>
      <c r="M210" s="281"/>
      <c r="N210" s="281"/>
      <c r="O210" s="281"/>
      <c r="P210" s="157"/>
      <c r="R210" s="30"/>
      <c r="S210" s="30"/>
      <c r="T210" s="30"/>
    </row>
    <row r="211" spans="2:23">
      <c r="B211" s="129" t="s">
        <v>46</v>
      </c>
      <c r="C211" s="10">
        <f>HLOOKUP(B211,$C$1:$X$8,4,FALSE)</f>
        <v>5.3310925284339454</v>
      </c>
      <c r="D211" s="12">
        <f>HLOOKUP(B211,$C$1:$X$8,7,FALSE)</f>
        <v>212.71205908008372</v>
      </c>
    </row>
    <row r="212" spans="2:23">
      <c r="B212" s="129" t="s">
        <v>47</v>
      </c>
      <c r="C212" s="10"/>
      <c r="D212" s="12"/>
    </row>
    <row r="213" spans="2:23">
      <c r="B213" s="129" t="s">
        <v>48</v>
      </c>
      <c r="C213" s="10"/>
      <c r="D213" s="12"/>
    </row>
    <row r="214" spans="2:23">
      <c r="B214" s="129"/>
      <c r="C214" s="10"/>
      <c r="D214" s="12"/>
    </row>
    <row r="215" spans="2:23">
      <c r="B215" s="129"/>
      <c r="C215" s="10"/>
      <c r="D215" s="12"/>
    </row>
    <row r="216" spans="2:23">
      <c r="B216" s="129"/>
      <c r="C216" s="10"/>
      <c r="D216" s="12"/>
    </row>
    <row r="217" spans="2:23" s="63" customFormat="1">
      <c r="B217" s="6" t="s">
        <v>16</v>
      </c>
      <c r="C217" s="15" t="s">
        <v>102</v>
      </c>
      <c r="D217" s="15" t="s">
        <v>82</v>
      </c>
      <c r="E217" s="30"/>
      <c r="F217" s="283" t="str">
        <f>"Total Unhedged "&amp;'3Q19 Actual'!$B$1&amp;" Pre-Interest Cash Margin/Interest (x, x-axis) vs Front End Cash Spread (bp)"</f>
        <v>Total Unhedged 3Q19 Pre-Interest Cash Margin/Interest (x, x-axis) vs Front End Cash Spread (bp)</v>
      </c>
      <c r="G217" s="283"/>
      <c r="H217" s="283"/>
      <c r="I217" s="283"/>
      <c r="J217" s="283"/>
      <c r="K217" s="283"/>
      <c r="L217" s="283"/>
      <c r="M217" s="283"/>
      <c r="N217" s="283"/>
      <c r="O217" s="283"/>
      <c r="P217" s="283"/>
      <c r="Q217" s="283"/>
      <c r="R217" s="30"/>
      <c r="S217" s="30"/>
      <c r="T217" s="30"/>
      <c r="U217" s="30"/>
      <c r="V217" s="30"/>
      <c r="W217" s="30"/>
    </row>
    <row r="218" spans="2:23" s="9" customFormat="1">
      <c r="B218" s="129"/>
      <c r="C218" s="10"/>
      <c r="D218" s="12"/>
      <c r="E218" s="14"/>
      <c r="F218" s="14"/>
      <c r="G218" s="14"/>
      <c r="H218" s="14"/>
      <c r="I218" s="14"/>
      <c r="J218" s="14"/>
      <c r="K218" s="14"/>
      <c r="L218" s="14"/>
      <c r="M218" s="14"/>
      <c r="N218" s="14"/>
      <c r="O218" s="14"/>
      <c r="P218" s="14"/>
      <c r="Q218" s="14"/>
      <c r="R218" s="14"/>
      <c r="S218" s="14"/>
      <c r="T218" s="14"/>
      <c r="U218" s="14"/>
      <c r="V218" s="14"/>
      <c r="W218" s="14"/>
    </row>
    <row r="219" spans="2:23" s="9" customFormat="1">
      <c r="B219" s="156" t="s">
        <v>190</v>
      </c>
      <c r="C219" s="10"/>
      <c r="D219" s="12"/>
      <c r="E219" s="14"/>
      <c r="F219" s="14"/>
      <c r="G219" s="14"/>
      <c r="H219" s="14"/>
      <c r="I219" s="14"/>
      <c r="J219" s="14"/>
      <c r="K219" s="14"/>
      <c r="L219" s="14"/>
      <c r="M219" s="14"/>
      <c r="N219" s="14"/>
      <c r="O219" s="14"/>
      <c r="P219" s="14"/>
      <c r="Q219" s="14"/>
      <c r="R219" s="14"/>
      <c r="S219" s="14"/>
      <c r="T219" s="14"/>
      <c r="U219" s="14"/>
      <c r="V219" s="14"/>
      <c r="W219" s="14"/>
    </row>
    <row r="220" spans="2:23" s="9" customFormat="1">
      <c r="B220" s="129" t="s">
        <v>34</v>
      </c>
      <c r="C220" s="10">
        <f>HLOOKUP(B220,$C$1:$X$8,4,FALSE)</f>
        <v>7.5825532317757025</v>
      </c>
      <c r="D220" s="12">
        <f>HLOOKUP(B220,$C$1:$X$8,5,FALSE)</f>
        <v>93</v>
      </c>
      <c r="E220" s="14"/>
      <c r="F220" s="14"/>
      <c r="G220" s="14"/>
      <c r="H220" s="14"/>
      <c r="I220" s="14"/>
      <c r="J220" s="14"/>
      <c r="K220" s="14"/>
      <c r="L220" s="14"/>
      <c r="M220" s="14"/>
      <c r="N220" s="14"/>
      <c r="O220" s="14"/>
      <c r="P220" s="14"/>
      <c r="Q220" s="14"/>
      <c r="R220" s="14"/>
      <c r="S220" s="14"/>
      <c r="T220" s="14"/>
      <c r="U220" s="14"/>
      <c r="V220" s="14"/>
      <c r="W220" s="14"/>
    </row>
    <row r="221" spans="2:23" s="9" customFormat="1">
      <c r="B221" s="129" t="s">
        <v>35</v>
      </c>
      <c r="C221" s="10">
        <f>HLOOKUP(B221,$C$1:$X$8,4,FALSE)</f>
        <v>13.939393939393945</v>
      </c>
      <c r="D221" s="12">
        <f>HLOOKUP(B221,$C$1:$X$8,5,FALSE)</f>
        <v>79.900000000000006</v>
      </c>
      <c r="E221" s="14"/>
      <c r="F221" s="14"/>
      <c r="G221" s="14"/>
      <c r="H221" s="14"/>
      <c r="I221" s="14"/>
      <c r="J221" s="14"/>
      <c r="K221" s="14"/>
      <c r="L221" s="14"/>
      <c r="M221" s="14"/>
      <c r="N221" s="14"/>
      <c r="O221" s="14"/>
      <c r="P221" s="14"/>
      <c r="Q221" s="14"/>
      <c r="R221" s="14"/>
      <c r="S221" s="14"/>
      <c r="T221" s="14"/>
      <c r="U221" s="14"/>
      <c r="V221" s="14"/>
      <c r="W221" s="14"/>
    </row>
    <row r="222" spans="2:23" s="9" customFormat="1">
      <c r="B222" s="129" t="s">
        <v>37</v>
      </c>
      <c r="C222" s="10">
        <f>HLOOKUP(B222,$C$1:$X$8,4,FALSE)</f>
        <v>10.182314942680408</v>
      </c>
      <c r="D222" s="12">
        <f>HLOOKUP(B222,$C$1:$X$8,5,FALSE)</f>
        <v>92</v>
      </c>
      <c r="E222" s="14"/>
      <c r="F222" s="14"/>
      <c r="G222" s="14"/>
      <c r="H222" s="14"/>
      <c r="I222" s="14"/>
      <c r="J222" s="14"/>
      <c r="K222" s="14"/>
      <c r="L222" s="14"/>
      <c r="M222" s="14"/>
      <c r="N222" s="14"/>
      <c r="O222" s="14"/>
      <c r="P222" s="14"/>
      <c r="Q222" s="14"/>
      <c r="R222" s="14"/>
      <c r="S222" s="14"/>
      <c r="T222" s="14"/>
      <c r="U222" s="14"/>
      <c r="V222" s="14"/>
      <c r="W222" s="14"/>
    </row>
    <row r="223" spans="2:23" s="9" customFormat="1">
      <c r="B223" s="156" t="s">
        <v>192</v>
      </c>
      <c r="C223" s="10"/>
      <c r="D223" s="12"/>
      <c r="E223" s="14"/>
      <c r="F223" s="14"/>
      <c r="G223" s="14"/>
      <c r="H223" s="14"/>
      <c r="I223" s="14"/>
      <c r="J223" s="14"/>
      <c r="K223" s="14"/>
      <c r="L223" s="14"/>
      <c r="M223" s="14"/>
      <c r="N223" s="14"/>
      <c r="O223" s="14"/>
      <c r="P223" s="14"/>
      <c r="Q223" s="14"/>
      <c r="R223" s="14"/>
      <c r="S223" s="14"/>
      <c r="T223" s="14"/>
      <c r="U223" s="14"/>
      <c r="V223" s="14"/>
      <c r="W223" s="14"/>
    </row>
    <row r="224" spans="2:23" s="9" customFormat="1">
      <c r="B224" s="129" t="s">
        <v>38</v>
      </c>
      <c r="C224" s="10">
        <f>HLOOKUP(B224,$C$1:$X$8,4,FALSE)</f>
        <v>14.50923289677052</v>
      </c>
      <c r="D224" s="12">
        <f>HLOOKUP(B224,$C$1:$X$8,5,FALSE)</f>
        <v>161</v>
      </c>
      <c r="E224" s="14"/>
      <c r="F224" s="14"/>
      <c r="G224" s="14"/>
      <c r="H224" s="14"/>
      <c r="I224" s="14"/>
      <c r="J224" s="14"/>
      <c r="K224" s="14"/>
      <c r="L224" s="14"/>
      <c r="M224" s="14"/>
      <c r="N224" s="14"/>
      <c r="O224" s="14"/>
      <c r="P224" s="14"/>
      <c r="Q224" s="14"/>
      <c r="R224" s="14"/>
      <c r="S224" s="14"/>
      <c r="T224" s="14"/>
      <c r="U224" s="14"/>
      <c r="V224" s="14"/>
      <c r="W224" s="14"/>
    </row>
    <row r="225" spans="2:23" s="9" customFormat="1">
      <c r="B225" s="129" t="s">
        <v>36</v>
      </c>
      <c r="C225" s="10">
        <f>HLOOKUP(B225,$C$1:$X$8,4,FALSE)</f>
        <v>20.870694782608691</v>
      </c>
      <c r="D225" s="12">
        <f>HLOOKUP(B225,$C$1:$X$8,5,FALSE)</f>
        <v>57</v>
      </c>
      <c r="E225" s="14"/>
      <c r="F225" s="14"/>
      <c r="G225" s="14"/>
      <c r="H225" s="14"/>
      <c r="I225" s="14"/>
      <c r="J225" s="14"/>
      <c r="K225" s="14"/>
      <c r="L225" s="14"/>
      <c r="M225" s="14"/>
      <c r="N225" s="14"/>
      <c r="O225" s="14"/>
      <c r="P225" s="14"/>
      <c r="Q225" s="14"/>
      <c r="R225" s="14"/>
      <c r="S225" s="14"/>
      <c r="T225" s="14"/>
      <c r="U225" s="14"/>
      <c r="V225" s="14"/>
      <c r="W225" s="14"/>
    </row>
    <row r="226" spans="2:23" s="9" customFormat="1">
      <c r="B226" s="129" t="s">
        <v>39</v>
      </c>
      <c r="C226" s="10">
        <f>HLOOKUP(B226,$C$1:$X$8,4,FALSE)</f>
        <v>11.328946981935673</v>
      </c>
      <c r="D226" s="12">
        <f>HLOOKUP(B226,$C$1:$X$8,5,FALSE)</f>
        <v>156</v>
      </c>
      <c r="E226" s="14"/>
      <c r="F226" s="14"/>
      <c r="G226" s="14"/>
      <c r="H226" s="14"/>
      <c r="I226" s="14"/>
      <c r="J226" s="14"/>
      <c r="K226" s="14"/>
      <c r="L226" s="14"/>
      <c r="M226" s="14"/>
      <c r="N226" s="14"/>
      <c r="O226" s="14"/>
      <c r="P226" s="14"/>
      <c r="Q226" s="14"/>
      <c r="R226" s="14"/>
      <c r="S226" s="14"/>
      <c r="T226" s="14"/>
      <c r="U226" s="14"/>
      <c r="V226" s="14"/>
      <c r="W226" s="14"/>
    </row>
    <row r="227" spans="2:23" s="9" customFormat="1">
      <c r="B227" s="129" t="s">
        <v>140</v>
      </c>
      <c r="C227" s="10">
        <f>HLOOKUP(B227,$C$1:$X$8,4,FALSE)</f>
        <v>16.081750526956522</v>
      </c>
      <c r="D227" s="12">
        <f>HLOOKUP(B227,$C$1:$X$8,5,FALSE)</f>
        <v>167</v>
      </c>
      <c r="E227" s="14"/>
      <c r="F227" s="14"/>
      <c r="G227" s="14"/>
      <c r="H227" s="14"/>
      <c r="I227" s="14"/>
      <c r="J227" s="14"/>
      <c r="K227" s="14"/>
      <c r="L227" s="14"/>
      <c r="M227" s="14"/>
      <c r="N227" s="14"/>
      <c r="O227" s="14"/>
      <c r="P227" s="14"/>
      <c r="Q227" s="14"/>
      <c r="R227" s="14"/>
      <c r="S227" s="14"/>
      <c r="T227" s="14"/>
      <c r="U227" s="14"/>
      <c r="V227" s="14"/>
      <c r="W227" s="14"/>
    </row>
    <row r="228" spans="2:23" s="9" customFormat="1">
      <c r="B228" s="129" t="s">
        <v>40</v>
      </c>
      <c r="C228" s="10">
        <f t="shared" ref="C228:C229" si="27">HLOOKUP(B228,$C$1:$X$8,4,FALSE)</f>
        <v>9.080448333333333</v>
      </c>
      <c r="D228" s="12">
        <f t="shared" ref="D228:D229" si="28">HLOOKUP(B228,$C$1:$X$8,5,FALSE)</f>
        <v>76</v>
      </c>
      <c r="E228" s="14"/>
      <c r="F228" s="14"/>
      <c r="G228" s="14"/>
      <c r="H228" s="14"/>
      <c r="I228" s="14"/>
      <c r="J228" s="14"/>
      <c r="K228" s="14"/>
      <c r="L228" s="14"/>
      <c r="M228" s="14"/>
      <c r="N228" s="14"/>
      <c r="O228" s="14"/>
      <c r="P228" s="14"/>
      <c r="Q228" s="14"/>
      <c r="R228" s="14"/>
      <c r="S228" s="14"/>
      <c r="T228" s="14"/>
      <c r="U228" s="14"/>
      <c r="V228" s="14"/>
      <c r="W228" s="14"/>
    </row>
    <row r="229" spans="2:23" s="9" customFormat="1">
      <c r="B229" s="129" t="s">
        <v>226</v>
      </c>
      <c r="C229" s="10">
        <f t="shared" si="27"/>
        <v>19.666557826315788</v>
      </c>
      <c r="D229" s="12">
        <f t="shared" si="28"/>
        <v>211.3</v>
      </c>
      <c r="E229" s="14"/>
      <c r="F229" s="14"/>
      <c r="G229" s="14"/>
      <c r="H229" s="14"/>
      <c r="I229" s="14"/>
      <c r="J229" s="14"/>
      <c r="K229" s="14"/>
      <c r="L229" s="14"/>
      <c r="M229" s="14"/>
      <c r="N229" s="14"/>
      <c r="O229" s="14"/>
      <c r="P229" s="14"/>
      <c r="Q229" s="14"/>
      <c r="R229" s="14"/>
      <c r="S229" s="14"/>
      <c r="T229" s="14"/>
      <c r="U229" s="14"/>
      <c r="V229" s="14"/>
      <c r="W229" s="14"/>
    </row>
    <row r="230" spans="2:23" s="9" customFormat="1">
      <c r="B230" s="257" t="s">
        <v>41</v>
      </c>
      <c r="C230" s="10">
        <f t="shared" ref="C230:C234" si="29">HLOOKUP(B230,$C$1:$X$8,4,FALSE)</f>
        <v>8.1076911245791248</v>
      </c>
      <c r="D230" s="12">
        <f t="shared" ref="D230:D234" si="30">HLOOKUP(B230,$C$1:$X$8,5,FALSE)</f>
        <v>172.7</v>
      </c>
      <c r="E230" s="14"/>
      <c r="F230" s="14"/>
      <c r="G230" s="14"/>
      <c r="H230" s="14"/>
      <c r="I230" s="14"/>
      <c r="J230" s="14"/>
      <c r="K230" s="14"/>
      <c r="L230" s="14"/>
      <c r="M230" s="14"/>
      <c r="N230" s="14"/>
      <c r="O230" s="14"/>
      <c r="P230" s="14"/>
      <c r="Q230" s="14"/>
      <c r="R230" s="14"/>
      <c r="S230" s="14"/>
      <c r="T230" s="14"/>
      <c r="U230" s="14"/>
      <c r="V230" s="14"/>
      <c r="W230" s="14"/>
    </row>
    <row r="231" spans="2:23" s="9" customFormat="1">
      <c r="B231" s="257" t="s">
        <v>42</v>
      </c>
      <c r="C231" s="10">
        <f t="shared" si="29"/>
        <v>46.408303886925786</v>
      </c>
      <c r="D231" s="12">
        <f t="shared" si="30"/>
        <v>56</v>
      </c>
      <c r="E231" s="14"/>
      <c r="F231" s="14"/>
      <c r="G231" s="14"/>
      <c r="H231" s="14"/>
      <c r="I231" s="14"/>
      <c r="J231" s="14"/>
      <c r="K231" s="14"/>
      <c r="L231" s="14"/>
      <c r="M231" s="14"/>
      <c r="N231" s="14"/>
      <c r="O231" s="14"/>
      <c r="P231" s="14"/>
      <c r="Q231" s="14"/>
      <c r="R231" s="14"/>
      <c r="S231" s="14"/>
      <c r="T231" s="14"/>
      <c r="U231" s="14"/>
      <c r="V231" s="14"/>
      <c r="W231" s="14"/>
    </row>
    <row r="232" spans="2:23" s="9" customFormat="1">
      <c r="B232" s="257" t="s">
        <v>188</v>
      </c>
      <c r="C232" s="10">
        <f t="shared" si="29"/>
        <v>5.2630950135194619</v>
      </c>
      <c r="D232" s="12">
        <f t="shared" si="30"/>
        <v>270</v>
      </c>
      <c r="E232" s="14"/>
      <c r="F232" s="14"/>
      <c r="G232" s="14"/>
      <c r="H232" s="14"/>
      <c r="I232" s="14"/>
      <c r="J232" s="14"/>
      <c r="K232" s="14"/>
      <c r="L232" s="14"/>
      <c r="M232" s="14"/>
      <c r="N232" s="14"/>
      <c r="O232" s="14"/>
      <c r="P232" s="14"/>
      <c r="Q232" s="14"/>
      <c r="R232" s="14"/>
      <c r="S232" s="14"/>
      <c r="T232" s="14"/>
      <c r="U232" s="14"/>
      <c r="V232" s="14"/>
      <c r="W232" s="14"/>
    </row>
    <row r="233" spans="2:23" s="9" customFormat="1">
      <c r="B233" s="257" t="s">
        <v>43</v>
      </c>
      <c r="C233" s="10">
        <f t="shared" si="29"/>
        <v>7.5362362666666654</v>
      </c>
      <c r="D233" s="12">
        <f t="shared" si="30"/>
        <v>151</v>
      </c>
      <c r="E233" s="14"/>
      <c r="F233" s="14"/>
      <c r="G233" s="14"/>
      <c r="H233" s="14"/>
      <c r="I233" s="14"/>
      <c r="J233" s="14"/>
      <c r="K233" s="14"/>
      <c r="L233" s="14"/>
      <c r="M233" s="14"/>
      <c r="N233" s="14"/>
      <c r="O233" s="14"/>
      <c r="P233" s="14"/>
      <c r="Q233" s="14"/>
      <c r="R233" s="14"/>
      <c r="S233" s="14"/>
      <c r="T233" s="14"/>
      <c r="U233" s="14"/>
      <c r="V233" s="14"/>
      <c r="W233" s="14"/>
    </row>
    <row r="234" spans="2:23" s="9" customFormat="1">
      <c r="B234" s="257" t="s">
        <v>44</v>
      </c>
      <c r="C234" s="10">
        <f t="shared" si="29"/>
        <v>12.265625</v>
      </c>
      <c r="D234" s="12">
        <f t="shared" si="30"/>
        <v>65</v>
      </c>
      <c r="E234" s="14"/>
      <c r="F234" s="14"/>
      <c r="G234" s="14"/>
      <c r="H234" s="14"/>
      <c r="I234" s="14"/>
      <c r="J234" s="14"/>
      <c r="K234" s="14"/>
      <c r="L234" s="14"/>
      <c r="M234" s="14"/>
      <c r="N234" s="14"/>
      <c r="O234" s="14"/>
      <c r="P234" s="14"/>
      <c r="Q234" s="14"/>
      <c r="R234" s="14"/>
      <c r="S234" s="14"/>
      <c r="T234" s="14"/>
      <c r="U234" s="14"/>
      <c r="V234" s="14"/>
      <c r="W234" s="14"/>
    </row>
    <row r="235" spans="2:23" s="9" customFormat="1">
      <c r="B235" s="257" t="s">
        <v>194</v>
      </c>
      <c r="C235" s="10"/>
      <c r="D235" s="12"/>
      <c r="E235" s="14"/>
      <c r="F235" s="14"/>
      <c r="G235" s="14"/>
      <c r="H235" s="14"/>
      <c r="I235" s="14"/>
      <c r="J235" s="14"/>
      <c r="K235" s="14"/>
      <c r="L235" s="14"/>
      <c r="M235" s="14"/>
      <c r="N235" s="14"/>
      <c r="O235" s="14"/>
      <c r="P235" s="14"/>
      <c r="Q235" s="14"/>
      <c r="R235" s="14"/>
      <c r="S235" s="14"/>
      <c r="T235" s="14"/>
      <c r="U235" s="14"/>
      <c r="V235" s="14"/>
      <c r="W235" s="14"/>
    </row>
    <row r="236" spans="2:23" s="9" customFormat="1">
      <c r="B236" s="129" t="s">
        <v>45</v>
      </c>
      <c r="C236" s="10">
        <f>HLOOKUP(B236,$C$1:$X$8,4,FALSE)</f>
        <v>6.5750724219585779</v>
      </c>
      <c r="D236" s="12">
        <f>HLOOKUP(B236,$C$1:$X$8,5,FALSE)</f>
        <v>118</v>
      </c>
      <c r="E236" s="14"/>
      <c r="F236" s="280" t="s">
        <v>76</v>
      </c>
      <c r="G236" s="278"/>
      <c r="H236" s="278"/>
      <c r="I236" s="278"/>
      <c r="J236" s="281"/>
      <c r="K236" s="281"/>
      <c r="L236" s="281"/>
      <c r="M236" s="281"/>
      <c r="N236" s="281"/>
      <c r="O236" s="281"/>
      <c r="P236" s="157"/>
      <c r="Q236" s="14"/>
      <c r="R236" s="14"/>
      <c r="S236" s="14"/>
      <c r="T236" s="14"/>
      <c r="U236" s="14"/>
      <c r="V236" s="14"/>
      <c r="W236" s="14"/>
    </row>
    <row r="237" spans="2:23" s="9" customFormat="1">
      <c r="B237" s="129" t="s">
        <v>46</v>
      </c>
      <c r="C237" s="10">
        <f>HLOOKUP(B237,$C$1:$X$8,4,FALSE)</f>
        <v>5.3310925284339454</v>
      </c>
      <c r="D237" s="12">
        <f>HLOOKUP(B237,$C$1:$X$8,5,FALSE)</f>
        <v>68</v>
      </c>
      <c r="E237" s="14"/>
      <c r="Q237" s="14"/>
      <c r="R237" s="14"/>
      <c r="S237" s="14"/>
      <c r="T237" s="14"/>
      <c r="U237" s="14"/>
      <c r="V237" s="14"/>
      <c r="W237" s="14"/>
    </row>
    <row r="238" spans="2:23">
      <c r="B238" s="129" t="s">
        <v>47</v>
      </c>
      <c r="C238" s="10">
        <f>HLOOKUP(B238,$C$1:$X$8,4,FALSE)</f>
        <v>28.299294900689652</v>
      </c>
      <c r="D238" s="12">
        <f>HLOOKUP(B238,$C$1:$X$8,5,FALSE)</f>
        <v>68</v>
      </c>
    </row>
    <row r="239" spans="2:23">
      <c r="B239" s="129" t="s">
        <v>48</v>
      </c>
      <c r="C239" s="10"/>
      <c r="D239" s="12"/>
    </row>
    <row r="240" spans="2:23">
      <c r="B240" s="129"/>
      <c r="C240" s="10"/>
      <c r="D240" s="12"/>
    </row>
    <row r="241" spans="2:23">
      <c r="B241" s="129"/>
      <c r="C241" s="10"/>
      <c r="D241" s="12"/>
    </row>
    <row r="243" spans="2:23" ht="15" thickBot="1"/>
    <row r="244" spans="2:23" ht="54.75" customHeight="1" thickBot="1">
      <c r="B244" s="4" t="s">
        <v>15</v>
      </c>
      <c r="C244" s="5" t="s">
        <v>16</v>
      </c>
      <c r="D244" s="152" t="str">
        <f>'3Q19 Actual'!$B$1&amp;" Interest Coverage (x)"</f>
        <v>3Q19 Interest Coverage (x)</v>
      </c>
      <c r="E244" s="115" t="s">
        <v>160</v>
      </c>
      <c r="F244" s="115" t="s">
        <v>161</v>
      </c>
    </row>
    <row r="245" spans="2:23" s="9" customFormat="1">
      <c r="B245" s="33"/>
      <c r="C245" s="8"/>
      <c r="D245" s="31"/>
      <c r="E245" s="31"/>
      <c r="F245" s="31"/>
      <c r="G245" s="8"/>
      <c r="H245" s="31"/>
      <c r="I245" s="31"/>
      <c r="J245" s="12"/>
      <c r="K245" s="12"/>
      <c r="L245" s="14"/>
      <c r="M245" s="14"/>
      <c r="N245" s="14"/>
      <c r="O245" s="14"/>
      <c r="P245" s="14"/>
      <c r="Q245" s="14"/>
      <c r="R245" s="14"/>
      <c r="S245" s="14"/>
      <c r="T245" s="14"/>
      <c r="U245" s="14"/>
      <c r="V245" s="14"/>
      <c r="W245" s="14"/>
    </row>
    <row r="246" spans="2:23" s="9" customFormat="1">
      <c r="B246" s="156" t="s">
        <v>189</v>
      </c>
      <c r="C246" s="8" t="s">
        <v>190</v>
      </c>
      <c r="D246" s="31">
        <f>HLOOKUP(C246,$C$1:$X$8,4,FALSE)</f>
        <v>3.032024921053738</v>
      </c>
      <c r="E246" s="31">
        <f>+HLOOKUP(C246,'Sensitivity flex'!B$2:W$9,8,0)</f>
        <v>5.6128041181890547</v>
      </c>
      <c r="F246" s="31">
        <f>+HLOOKUP(C246,'Sensitivity flex'!B$2:W$9,7,0)</f>
        <v>3.4546271203913292</v>
      </c>
      <c r="G246" s="8" t="str">
        <f t="shared" ref="G246" si="31">C246</f>
        <v>AR</v>
      </c>
      <c r="H246" s="31">
        <f>F246</f>
        <v>3.4546271203913292</v>
      </c>
      <c r="I246" s="31"/>
      <c r="J246" s="12"/>
      <c r="K246" s="12"/>
      <c r="L246" s="14"/>
      <c r="M246" s="14"/>
      <c r="N246" s="14"/>
      <c r="O246" s="14"/>
      <c r="P246" s="14"/>
      <c r="Q246" s="14"/>
      <c r="R246" s="14"/>
      <c r="S246" s="14"/>
      <c r="T246" s="14"/>
      <c r="U246" s="14"/>
      <c r="V246" s="14"/>
      <c r="W246" s="14"/>
    </row>
    <row r="247" spans="2:23" s="9" customFormat="1">
      <c r="B247" s="33" t="s">
        <v>18</v>
      </c>
      <c r="C247" s="8" t="s">
        <v>34</v>
      </c>
      <c r="D247" s="31">
        <f t="shared" ref="D247:D262" si="32">HLOOKUP(C247,$C$1:$X$8,4,FALSE)</f>
        <v>7.5825532317757025</v>
      </c>
      <c r="E247" s="31">
        <f>+HLOOKUP(C247,'Sensitivity flex'!B$2:W$9,8,0)</f>
        <v>7.8347967423551417</v>
      </c>
      <c r="F247" s="31">
        <f>+HLOOKUP(C247,'Sensitivity flex'!B$2:W$9,7,0)</f>
        <v>2.4331306527831082</v>
      </c>
      <c r="G247" s="8" t="str">
        <f t="shared" ref="G247:G266" si="33">C247</f>
        <v>APA</v>
      </c>
      <c r="H247" s="31">
        <f>F247</f>
        <v>2.4331306527831082</v>
      </c>
      <c r="I247" s="31">
        <f>E247</f>
        <v>7.8347967423551417</v>
      </c>
      <c r="J247" s="12">
        <f t="shared" ref="J247:J266" si="34">HLOOKUP(G247,$C$1:$X$8,6,FALSE)</f>
        <v>245.95618414041209</v>
      </c>
      <c r="K247" s="12">
        <f>HLOOKUP(G247,$C$1:$X$8,7,FALSE)</f>
        <v>307.18600957700306</v>
      </c>
      <c r="L247" s="14"/>
      <c r="M247" s="277" t="str">
        <f>"Strip Price Unhedged "&amp;'3Q19 Actual'!$B$1&amp;" Pre-Interest Cash Margin/Interest (x, x-axis) vs Intermediate Cash Spread (bp)"</f>
        <v>Strip Price Unhedged 3Q19 Pre-Interest Cash Margin/Interest (x, x-axis) vs Intermediate Cash Spread (bp)</v>
      </c>
      <c r="N247" s="277"/>
      <c r="O247" s="277"/>
      <c r="P247" s="277"/>
      <c r="Q247" s="277"/>
      <c r="R247" s="277"/>
      <c r="S247" s="277"/>
      <c r="T247" s="277"/>
      <c r="U247" s="277"/>
      <c r="V247" s="277"/>
      <c r="W247" s="278"/>
    </row>
    <row r="248" spans="2:23" s="9" customFormat="1">
      <c r="B248" s="33" t="s">
        <v>88</v>
      </c>
      <c r="C248" s="8" t="s">
        <v>35</v>
      </c>
      <c r="D248" s="31">
        <f t="shared" si="32"/>
        <v>13.939393939393945</v>
      </c>
      <c r="E248" s="31">
        <f>+HLOOKUP(C248,'Sensitivity flex'!B$2:W$9,8,0)</f>
        <v>14.276653062427711</v>
      </c>
      <c r="F248" s="31">
        <f>+HLOOKUP(C248,'Sensitivity flex'!B$2:W$9,7,0)</f>
        <v>1.958353328484848</v>
      </c>
      <c r="G248" s="8" t="str">
        <f t="shared" si="33"/>
        <v>CNQCN</v>
      </c>
      <c r="H248" s="31">
        <f t="shared" ref="H248:H266" si="35">F248</f>
        <v>1.958353328484848</v>
      </c>
      <c r="I248" s="31">
        <f>E248</f>
        <v>14.276653062427711</v>
      </c>
      <c r="J248" s="12">
        <f t="shared" si="34"/>
        <v>129.84803217821732</v>
      </c>
      <c r="K248" s="12">
        <f>HLOOKUP(G248,$C$1:$X$8,7,FALSE)</f>
        <v>177.16574630390033</v>
      </c>
      <c r="L248" s="14"/>
      <c r="M248" s="14"/>
      <c r="N248" s="14"/>
      <c r="O248" s="14"/>
      <c r="P248" s="14"/>
      <c r="Q248" s="14"/>
      <c r="R248" s="14"/>
      <c r="S248" s="14"/>
      <c r="T248" s="14"/>
      <c r="U248" s="14"/>
      <c r="V248" s="14"/>
      <c r="W248" s="14"/>
    </row>
    <row r="249" spans="2:23" s="9" customFormat="1">
      <c r="B249" s="33" t="s">
        <v>21</v>
      </c>
      <c r="C249" s="8" t="s">
        <v>37</v>
      </c>
      <c r="D249" s="31">
        <f t="shared" si="32"/>
        <v>10.182314942680408</v>
      </c>
      <c r="E249" s="31">
        <f>+HLOOKUP(C249,'Sensitivity flex'!B$2:W$9,8,0)</f>
        <v>11.639347860967698</v>
      </c>
      <c r="F249" s="31">
        <f>+HLOOKUP(C249,'Sensitivity flex'!B$2:W$9,7,0)</f>
        <v>2.367639050877365</v>
      </c>
      <c r="G249" s="8" t="str">
        <f t="shared" si="33"/>
        <v>CVECN</v>
      </c>
      <c r="H249" s="31">
        <f t="shared" si="35"/>
        <v>2.367639050877365</v>
      </c>
      <c r="I249" s="31">
        <f>E249</f>
        <v>11.639347860967698</v>
      </c>
      <c r="J249" s="12">
        <f t="shared" si="34"/>
        <v>177.01453184518471</v>
      </c>
      <c r="K249" s="12">
        <f>HLOOKUP(G249,$C$1:$X$8,7,FALSE)</f>
        <v>238.68276426283495</v>
      </c>
      <c r="L249" s="14"/>
      <c r="M249" s="14"/>
      <c r="N249" s="14"/>
      <c r="O249" s="14"/>
      <c r="P249" s="14"/>
      <c r="Q249" s="14"/>
      <c r="R249" s="14"/>
      <c r="S249" s="14"/>
      <c r="T249" s="14"/>
      <c r="U249" s="14"/>
      <c r="V249" s="14"/>
      <c r="W249" s="14"/>
    </row>
    <row r="250" spans="2:23" s="9" customFormat="1">
      <c r="B250" s="156" t="s">
        <v>191</v>
      </c>
      <c r="C250" s="8" t="s">
        <v>192</v>
      </c>
      <c r="D250" s="31">
        <f t="shared" si="32"/>
        <v>2.6949152542372876</v>
      </c>
      <c r="E250" s="31">
        <f>+HLOOKUP(C250,'Sensitivity flex'!B$2:W$9,8,0)</f>
        <v>2.8799454463276826</v>
      </c>
      <c r="F250" s="31">
        <f>+HLOOKUP(C250,'Sensitivity flex'!B$2:W$9,7,0)</f>
        <v>4.5811641472869722</v>
      </c>
      <c r="G250" s="8"/>
      <c r="H250" s="31"/>
      <c r="I250" s="31"/>
      <c r="J250" s="12"/>
      <c r="K250" s="12"/>
      <c r="L250" s="14"/>
      <c r="M250" s="14"/>
      <c r="N250" s="14"/>
      <c r="O250" s="14"/>
      <c r="P250" s="14"/>
      <c r="Q250" s="14"/>
      <c r="R250" s="14"/>
      <c r="S250" s="14"/>
      <c r="T250" s="14"/>
      <c r="U250" s="14"/>
      <c r="V250" s="14"/>
      <c r="W250" s="14"/>
    </row>
    <row r="251" spans="2:23" s="9" customFormat="1">
      <c r="B251" s="33" t="s">
        <v>22</v>
      </c>
      <c r="C251" s="8" t="s">
        <v>38</v>
      </c>
      <c r="D251" s="31">
        <f t="shared" si="32"/>
        <v>14.50923289677052</v>
      </c>
      <c r="E251" s="31">
        <f>+HLOOKUP(C251,'Sensitivity flex'!B$2:W$9,8,0)</f>
        <v>16.328394818026521</v>
      </c>
      <c r="F251" s="31">
        <f>+HLOOKUP(C251,'Sensitivity flex'!B$2:W$9,7,0)</f>
        <v>1.2454853801749639</v>
      </c>
      <c r="G251" s="8" t="str">
        <f t="shared" si="33"/>
        <v>XEC</v>
      </c>
      <c r="H251" s="31">
        <f t="shared" si="35"/>
        <v>1.2454853801749639</v>
      </c>
      <c r="I251" s="31">
        <f t="shared" ref="I251:I258" si="36">E251</f>
        <v>16.328394818026521</v>
      </c>
      <c r="J251" s="12">
        <f t="shared" si="34"/>
        <v>216.71581685868401</v>
      </c>
      <c r="K251" s="12" t="str">
        <f t="shared" ref="K251:K258" si="37">HLOOKUP(G251,$C$1:$X$8,7,FALSE)</f>
        <v/>
      </c>
      <c r="L251" s="14"/>
      <c r="M251" s="14"/>
      <c r="N251" s="14"/>
      <c r="O251" s="14"/>
      <c r="P251" s="14"/>
      <c r="Q251" s="14"/>
      <c r="R251" s="14"/>
      <c r="S251" s="14"/>
      <c r="T251" s="14"/>
      <c r="U251" s="14"/>
      <c r="V251" s="14"/>
      <c r="W251" s="14"/>
    </row>
    <row r="252" spans="2:23" s="9" customFormat="1">
      <c r="B252" s="33" t="s">
        <v>20</v>
      </c>
      <c r="C252" s="8" t="s">
        <v>36</v>
      </c>
      <c r="D252" s="31">
        <f t="shared" si="32"/>
        <v>20.870694782608691</v>
      </c>
      <c r="E252" s="31">
        <f>+HLOOKUP(C252,'Sensitivity flex'!B$2:W$9,8,0)</f>
        <v>21.080281782608694</v>
      </c>
      <c r="F252" s="31">
        <f>+HLOOKUP(C252,'Sensitivity flex'!B$2:W$9,7,0)</f>
        <v>0.96164459941702662</v>
      </c>
      <c r="G252" s="8" t="str">
        <f t="shared" si="33"/>
        <v>COP</v>
      </c>
      <c r="H252" s="31">
        <f t="shared" si="35"/>
        <v>0.96164459941702662</v>
      </c>
      <c r="I252" s="31">
        <f t="shared" si="36"/>
        <v>21.080281782608694</v>
      </c>
      <c r="J252" s="12">
        <f t="shared" si="34"/>
        <v>75.399391917808771</v>
      </c>
      <c r="K252" s="12">
        <f t="shared" si="37"/>
        <v>132.12811198767977</v>
      </c>
      <c r="L252" s="14"/>
      <c r="M252" s="14"/>
      <c r="N252" s="14"/>
      <c r="O252" s="14"/>
      <c r="P252" s="14"/>
      <c r="Q252" s="14"/>
      <c r="R252" s="14"/>
      <c r="S252" s="14"/>
      <c r="T252" s="14"/>
      <c r="U252" s="14"/>
      <c r="V252" s="14"/>
      <c r="W252" s="14"/>
    </row>
    <row r="253" spans="2:23" s="9" customFormat="1">
      <c r="B253" s="33" t="s">
        <v>87</v>
      </c>
      <c r="C253" s="8" t="s">
        <v>39</v>
      </c>
      <c r="D253" s="31">
        <f t="shared" si="32"/>
        <v>11.328946981935673</v>
      </c>
      <c r="E253" s="31">
        <f>+HLOOKUP(C253,'Sensitivity flex'!B$2:W$9,8,0)</f>
        <v>11.24829201821119</v>
      </c>
      <c r="F253" s="31">
        <f>+HLOOKUP(C253,'Sensitivity flex'!B$2:W$9,7,0)</f>
        <v>1.8184020805942429</v>
      </c>
      <c r="G253" s="8" t="str">
        <f t="shared" si="33"/>
        <v>CLR</v>
      </c>
      <c r="H253" s="31">
        <f t="shared" si="35"/>
        <v>1.8184020805942429</v>
      </c>
      <c r="I253" s="31">
        <f t="shared" si="36"/>
        <v>11.24829201821119</v>
      </c>
      <c r="J253" s="12">
        <f t="shared" si="34"/>
        <v>219.17749548154609</v>
      </c>
      <c r="K253" s="12">
        <f t="shared" si="37"/>
        <v>278.20756002190313</v>
      </c>
      <c r="L253" s="14"/>
      <c r="M253" s="14"/>
      <c r="N253" s="14"/>
      <c r="O253" s="14"/>
      <c r="P253" s="14"/>
      <c r="Q253" s="14"/>
      <c r="R253" s="14"/>
      <c r="S253" s="14"/>
      <c r="T253" s="14"/>
      <c r="U253" s="14"/>
      <c r="V253" s="14"/>
      <c r="W253" s="14"/>
    </row>
    <row r="254" spans="2:23" s="9" customFormat="1">
      <c r="B254" s="81" t="s">
        <v>139</v>
      </c>
      <c r="C254" s="8" t="s">
        <v>140</v>
      </c>
      <c r="D254" s="31">
        <f t="shared" si="32"/>
        <v>16.081750526956522</v>
      </c>
      <c r="E254" s="31">
        <f>+HLOOKUP(C254,'Sensitivity flex'!B$2:W$9,8,0)</f>
        <v>15.930337406956523</v>
      </c>
      <c r="F254" s="31">
        <f>+HLOOKUP(C254,'Sensitivity flex'!B$2:W$9,7,0)</f>
        <v>1.5024655157802067</v>
      </c>
      <c r="G254" s="8" t="str">
        <f t="shared" si="33"/>
        <v>CXO</v>
      </c>
      <c r="H254" s="31">
        <f t="shared" si="35"/>
        <v>1.5024655157802067</v>
      </c>
      <c r="I254" s="31">
        <f t="shared" si="36"/>
        <v>15.930337406956523</v>
      </c>
      <c r="J254" s="12">
        <f t="shared" si="34"/>
        <v>152.45070965796384</v>
      </c>
      <c r="K254" s="12">
        <f t="shared" si="37"/>
        <v>194.29819924435404</v>
      </c>
      <c r="L254" s="14"/>
      <c r="M254" s="14"/>
      <c r="N254" s="14"/>
      <c r="O254" s="14"/>
      <c r="P254" s="14"/>
      <c r="Q254" s="14"/>
      <c r="R254" s="14"/>
      <c r="S254" s="14"/>
      <c r="T254" s="14"/>
      <c r="U254" s="14"/>
      <c r="V254" s="14"/>
      <c r="W254" s="14"/>
    </row>
    <row r="255" spans="2:23" s="9" customFormat="1">
      <c r="B255" s="33" t="s">
        <v>99</v>
      </c>
      <c r="C255" s="8" t="s">
        <v>40</v>
      </c>
      <c r="D255" s="31">
        <f t="shared" si="32"/>
        <v>9.080448333333333</v>
      </c>
      <c r="E255" s="31">
        <f>+HLOOKUP(C255,'Sensitivity flex'!B$2:W$9,8,0)</f>
        <v>10.117171800000001</v>
      </c>
      <c r="F255" s="31">
        <f>+HLOOKUP(C255,'Sensitivity flex'!B$2:W$9,7,0)</f>
        <v>1.7688573137933004</v>
      </c>
      <c r="G255" s="8" t="str">
        <f t="shared" si="33"/>
        <v>DVN</v>
      </c>
      <c r="H255" s="31">
        <f t="shared" si="35"/>
        <v>1.7688573137933004</v>
      </c>
      <c r="I255" s="31">
        <f t="shared" si="36"/>
        <v>10.117171800000001</v>
      </c>
      <c r="J255" s="12">
        <f t="shared" si="34"/>
        <v>78.5673720547926</v>
      </c>
      <c r="K255" s="12">
        <f t="shared" si="37"/>
        <v>187.91129408898058</v>
      </c>
      <c r="L255" s="14"/>
      <c r="M255" s="14"/>
      <c r="N255" s="14"/>
      <c r="O255" s="14"/>
      <c r="P255" s="14"/>
      <c r="Q255" s="14"/>
      <c r="R255" s="14"/>
      <c r="S255" s="14"/>
      <c r="T255" s="14"/>
      <c r="U255" s="14"/>
      <c r="V255" s="14"/>
      <c r="W255" s="14"/>
    </row>
    <row r="256" spans="2:23" s="9" customFormat="1">
      <c r="B256" s="257" t="s">
        <v>228</v>
      </c>
      <c r="C256" s="8" t="s">
        <v>226</v>
      </c>
      <c r="D256" s="31">
        <f t="shared" ref="D256" si="38">HLOOKUP(C256,$C$1:$X$8,4,FALSE)</f>
        <v>19.666557826315788</v>
      </c>
      <c r="E256" s="31">
        <f>+HLOOKUP(C256,'Sensitivity flex'!B$2:W$9,8,0)</f>
        <v>20.176654395859643</v>
      </c>
      <c r="F256" s="31">
        <f>+HLOOKUP(C256,'Sensitivity flex'!B$2:W$9,7,0)</f>
        <v>1.1996016234181932</v>
      </c>
      <c r="G256" s="8" t="str">
        <f t="shared" ref="G256" si="39">C256</f>
        <v>FANG</v>
      </c>
      <c r="H256" s="31">
        <f t="shared" ref="H256" si="40">F256</f>
        <v>1.1996016234181932</v>
      </c>
      <c r="I256" s="31">
        <f t="shared" ref="I256" si="41">E256</f>
        <v>20.176654395859643</v>
      </c>
      <c r="J256" s="12">
        <f t="shared" ref="J256" si="42">HLOOKUP(G256,$C$1:$X$8,6,FALSE)</f>
        <v>235.91893022785831</v>
      </c>
      <c r="K256" s="12" t="str">
        <f t="shared" ref="K256" si="43">HLOOKUP(G256,$C$1:$X$8,7,FALSE)</f>
        <v/>
      </c>
      <c r="L256" s="14"/>
      <c r="M256" s="14"/>
      <c r="N256" s="14"/>
      <c r="O256" s="14"/>
      <c r="P256" s="14"/>
      <c r="Q256" s="14"/>
      <c r="R256" s="14"/>
      <c r="S256" s="14"/>
      <c r="T256" s="14"/>
      <c r="U256" s="14"/>
      <c r="V256" s="14"/>
      <c r="W256" s="14"/>
    </row>
    <row r="257" spans="2:23" s="9" customFormat="1">
      <c r="B257" s="33" t="s">
        <v>25</v>
      </c>
      <c r="C257" s="8" t="s">
        <v>41</v>
      </c>
      <c r="D257" s="31">
        <f t="shared" si="32"/>
        <v>8.1076911245791248</v>
      </c>
      <c r="E257" s="31">
        <f>+HLOOKUP(C257,'Sensitivity flex'!B$2:W$9,8,0)</f>
        <v>9.0242047892255943</v>
      </c>
      <c r="F257" s="31">
        <f>+HLOOKUP(C257,'Sensitivity flex'!B$2:W$9,7,0)</f>
        <v>2.0195405468309882</v>
      </c>
      <c r="G257" s="8" t="str">
        <f t="shared" si="33"/>
        <v>ECACN</v>
      </c>
      <c r="H257" s="31">
        <f t="shared" si="35"/>
        <v>2.0195405468309882</v>
      </c>
      <c r="I257" s="31">
        <f t="shared" si="36"/>
        <v>9.0242047892255943</v>
      </c>
      <c r="J257" s="12">
        <f t="shared" si="34"/>
        <v>229.49554438355975</v>
      </c>
      <c r="K257" s="12">
        <f t="shared" si="37"/>
        <v>311.48053490759787</v>
      </c>
      <c r="L257" s="14"/>
      <c r="M257" s="14"/>
      <c r="N257" s="14"/>
      <c r="O257" s="14"/>
      <c r="P257" s="14"/>
      <c r="Q257" s="14"/>
      <c r="R257" s="14"/>
      <c r="S257" s="14"/>
      <c r="T257" s="14"/>
      <c r="U257" s="14"/>
      <c r="V257" s="14"/>
      <c r="W257" s="14"/>
    </row>
    <row r="258" spans="2:23" s="9" customFormat="1">
      <c r="B258" s="33" t="s">
        <v>26</v>
      </c>
      <c r="C258" s="8" t="s">
        <v>42</v>
      </c>
      <c r="D258" s="31">
        <f t="shared" si="32"/>
        <v>46.408303886925786</v>
      </c>
      <c r="E258" s="31">
        <f>+HLOOKUP(C258,'Sensitivity flex'!B$2:W$9,8,0)</f>
        <v>47.897813114588587</v>
      </c>
      <c r="F258" s="31">
        <f>+HLOOKUP(C258,'Sensitivity flex'!B$2:W$9,7,0)</f>
        <v>0.54843891139120926</v>
      </c>
      <c r="G258" s="8" t="str">
        <f t="shared" si="33"/>
        <v>EOG</v>
      </c>
      <c r="H258" s="31">
        <f t="shared" si="35"/>
        <v>0.54843891139120926</v>
      </c>
      <c r="I258" s="31">
        <f t="shared" si="36"/>
        <v>47.897813114588587</v>
      </c>
      <c r="J258" s="12">
        <f t="shared" si="34"/>
        <v>74.241928095891254</v>
      </c>
      <c r="K258" s="12">
        <f t="shared" si="37"/>
        <v>149.55317771936939</v>
      </c>
      <c r="L258" s="14"/>
      <c r="M258" s="14"/>
      <c r="N258" s="14"/>
      <c r="O258" s="14"/>
      <c r="P258" s="14"/>
      <c r="Q258" s="14"/>
      <c r="R258" s="14"/>
      <c r="S258" s="14"/>
      <c r="T258" s="14"/>
      <c r="U258" s="14"/>
      <c r="V258" s="14"/>
      <c r="W258" s="14"/>
    </row>
    <row r="259" spans="2:23" s="9" customFormat="1">
      <c r="B259" s="156" t="s">
        <v>195</v>
      </c>
      <c r="C259" s="8" t="s">
        <v>188</v>
      </c>
      <c r="D259" s="31">
        <f t="shared" si="32"/>
        <v>5.2630950135194619</v>
      </c>
      <c r="E259" s="31">
        <f>+HLOOKUP(C259,'Sensitivity flex'!B$2:W$9,8,0)</f>
        <v>6.5184791548764371</v>
      </c>
      <c r="F259" s="31">
        <f>+HLOOKUP(C259,'Sensitivity flex'!B$2:W$9,7,0)</f>
        <v>4.0620759652295346</v>
      </c>
      <c r="G259" s="8" t="str">
        <f t="shared" si="33"/>
        <v>EQT</v>
      </c>
      <c r="H259" s="31">
        <f t="shared" si="35"/>
        <v>4.0620759652295346</v>
      </c>
      <c r="I259" s="31">
        <f t="shared" ref="I259" si="44">E259</f>
        <v>6.5184791548764371</v>
      </c>
      <c r="J259" s="12">
        <f t="shared" ref="J259" si="45">HLOOKUP(G259,$C$1:$X$8,6,FALSE)</f>
        <v>406.29099314131213</v>
      </c>
      <c r="K259" s="12" t="str">
        <f t="shared" ref="K259" si="46">HLOOKUP(G259,$C$1:$X$8,7,FALSE)</f>
        <v/>
      </c>
      <c r="L259" s="14"/>
      <c r="M259" s="14"/>
      <c r="N259" s="14"/>
      <c r="O259" s="14"/>
      <c r="P259" s="14"/>
      <c r="Q259" s="14"/>
      <c r="R259" s="14"/>
      <c r="S259" s="14"/>
      <c r="T259" s="14"/>
      <c r="U259" s="14"/>
      <c r="V259" s="14"/>
      <c r="W259" s="14"/>
    </row>
    <row r="260" spans="2:23" s="9" customFormat="1">
      <c r="B260" s="33" t="s">
        <v>91</v>
      </c>
      <c r="C260" s="8" t="s">
        <v>43</v>
      </c>
      <c r="D260" s="31">
        <f t="shared" si="32"/>
        <v>7.5362362666666654</v>
      </c>
      <c r="E260" s="31">
        <f>+HLOOKUP(C260,'Sensitivity flex'!B$2:W$9,8,0)</f>
        <v>7.8417032533333346</v>
      </c>
      <c r="F260" s="31">
        <f>+HLOOKUP(C260,'Sensitivity flex'!B$2:W$9,7,0)</f>
        <v>2.3068967819345043</v>
      </c>
      <c r="G260" s="8" t="str">
        <f t="shared" si="33"/>
        <v>HES</v>
      </c>
      <c r="H260" s="31">
        <f t="shared" si="35"/>
        <v>2.3068967819345043</v>
      </c>
      <c r="I260" s="31">
        <f>E260</f>
        <v>7.8417032533333346</v>
      </c>
      <c r="J260" s="12">
        <f t="shared" si="34"/>
        <v>178.50419750674854</v>
      </c>
      <c r="K260" s="12">
        <f>HLOOKUP(G260,$C$1:$X$8,7,FALSE)</f>
        <v>258.60137436276591</v>
      </c>
      <c r="L260" s="14"/>
      <c r="M260" s="14"/>
      <c r="N260" s="14"/>
      <c r="O260" s="14"/>
      <c r="P260" s="14"/>
      <c r="Q260" s="14"/>
      <c r="R260" s="14"/>
      <c r="S260" s="14"/>
      <c r="T260" s="14"/>
      <c r="U260" s="14"/>
      <c r="V260" s="14"/>
      <c r="W260" s="14"/>
    </row>
    <row r="261" spans="2:23" s="9" customFormat="1">
      <c r="B261" s="33" t="s">
        <v>100</v>
      </c>
      <c r="C261" s="8" t="s">
        <v>44</v>
      </c>
      <c r="D261" s="31">
        <f t="shared" si="32"/>
        <v>12.265625</v>
      </c>
      <c r="E261" s="31">
        <f>+HLOOKUP(C261,'Sensitivity flex'!B$2:W$9,8,0)</f>
        <v>12.654345187499995</v>
      </c>
      <c r="F261" s="31">
        <f>+HLOOKUP(C261,'Sensitivity flex'!B$2:W$9,7,0)</f>
        <v>1.6987124526391073</v>
      </c>
      <c r="G261" s="8" t="str">
        <f t="shared" si="33"/>
        <v>MRO</v>
      </c>
      <c r="H261" s="31">
        <f t="shared" si="35"/>
        <v>1.6987124526391073</v>
      </c>
      <c r="I261" s="31">
        <f>E261</f>
        <v>12.654345187499995</v>
      </c>
      <c r="J261" s="12">
        <f t="shared" si="34"/>
        <v>164.66107203420134</v>
      </c>
      <c r="K261" s="12">
        <f>HLOOKUP(G261,$C$1:$X$8,7,FALSE)</f>
        <v>228.5199145106096</v>
      </c>
      <c r="L261" s="14"/>
      <c r="M261" s="14"/>
      <c r="N261" s="14"/>
      <c r="O261" s="14"/>
      <c r="P261" s="14"/>
      <c r="Q261" s="14"/>
      <c r="R261" s="14"/>
      <c r="S261" s="14"/>
      <c r="T261" s="14"/>
      <c r="U261" s="14"/>
      <c r="V261" s="14"/>
      <c r="W261" s="14"/>
    </row>
    <row r="262" spans="2:23" s="9" customFormat="1">
      <c r="B262" s="156" t="s">
        <v>196</v>
      </c>
      <c r="C262" s="8" t="s">
        <v>194</v>
      </c>
      <c r="D262" s="31">
        <f t="shared" si="32"/>
        <v>18.63969398759772</v>
      </c>
      <c r="E262" s="31">
        <f>+HLOOKUP(C262,'Sensitivity flex'!B$2:W$9,8,0)</f>
        <v>18.476688113103254</v>
      </c>
      <c r="F262" s="31">
        <f>+HLOOKUP(C262,'Sensitivity flex'!B$2:W$9,7,0)</f>
        <v>1.2673402759040941</v>
      </c>
      <c r="G262" s="8"/>
      <c r="H262" s="31"/>
      <c r="I262" s="31"/>
      <c r="J262" s="12"/>
      <c r="K262" s="12"/>
      <c r="L262" s="14"/>
      <c r="M262" s="14"/>
      <c r="N262" s="14"/>
      <c r="O262" s="14"/>
      <c r="P262" s="14"/>
      <c r="Q262" s="14"/>
      <c r="R262" s="14"/>
      <c r="S262" s="14"/>
      <c r="T262" s="14"/>
      <c r="U262" s="14"/>
      <c r="V262" s="14"/>
      <c r="W262" s="14"/>
    </row>
    <row r="263" spans="2:23" s="9" customFormat="1">
      <c r="B263" s="130"/>
      <c r="C263" s="8"/>
      <c r="D263" s="31"/>
      <c r="E263" s="31"/>
      <c r="F263" s="31"/>
      <c r="G263" s="8"/>
      <c r="H263" s="31"/>
      <c r="I263" s="31"/>
      <c r="J263" s="12"/>
      <c r="K263" s="12"/>
      <c r="L263" s="14"/>
      <c r="M263" s="14"/>
      <c r="N263" s="14"/>
      <c r="O263" s="14"/>
      <c r="P263" s="14"/>
      <c r="Q263" s="14"/>
      <c r="R263" s="14"/>
      <c r="S263" s="14"/>
      <c r="T263" s="14"/>
      <c r="U263" s="14"/>
      <c r="V263" s="14"/>
      <c r="W263" s="14"/>
    </row>
    <row r="264" spans="2:23" s="9" customFormat="1">
      <c r="B264" s="33" t="s">
        <v>29</v>
      </c>
      <c r="C264" s="8" t="s">
        <v>45</v>
      </c>
      <c r="D264" s="31">
        <f>HLOOKUP(C264,$C$1:$X$8,4,FALSE)</f>
        <v>6.5750724219585779</v>
      </c>
      <c r="E264" s="31">
        <f>+HLOOKUP(C264,'Sensitivity flex'!B$2:W$9,8,0)</f>
        <v>7.2630703544769402</v>
      </c>
      <c r="F264" s="31">
        <f>+HLOOKUP(C264,'Sensitivity flex'!B$2:W$9,7,0)</f>
        <v>2.7539205164586971</v>
      </c>
      <c r="G264" s="8" t="str">
        <f t="shared" si="33"/>
        <v>NBL</v>
      </c>
      <c r="H264" s="31">
        <f t="shared" si="35"/>
        <v>2.7539205164586971</v>
      </c>
      <c r="I264" s="31">
        <f>E264</f>
        <v>7.2630703544769402</v>
      </c>
      <c r="J264" s="12">
        <f t="shared" si="34"/>
        <v>157.24649696669758</v>
      </c>
      <c r="K264" s="12">
        <f>HLOOKUP(G264,$C$1:$X$8,7,FALSE)</f>
        <v>220.36942759205877</v>
      </c>
      <c r="L264" s="14"/>
      <c r="M264" s="14"/>
      <c r="N264" s="14"/>
      <c r="O264" s="14"/>
      <c r="P264" s="14"/>
      <c r="Q264" s="14"/>
      <c r="R264" s="14"/>
      <c r="S264" s="14"/>
      <c r="T264" s="14"/>
      <c r="U264" s="14"/>
      <c r="V264" s="14"/>
      <c r="W264" s="14"/>
    </row>
    <row r="265" spans="2:23" s="9" customFormat="1">
      <c r="B265" s="33" t="s">
        <v>101</v>
      </c>
      <c r="C265" s="8" t="s">
        <v>46</v>
      </c>
      <c r="D265" s="31">
        <f>HLOOKUP(C265,$C$1:$X$8,4,FALSE)</f>
        <v>5.3310925284339454</v>
      </c>
      <c r="E265" s="31">
        <f>+HLOOKUP(C265,'Sensitivity flex'!B$2:W$9,8,0)</f>
        <v>5.5469160769903771</v>
      </c>
      <c r="F265" s="31">
        <f>+HLOOKUP(C265,'Sensitivity flex'!B$2:W$9,7,0)</f>
        <v>5.6162535554369546</v>
      </c>
      <c r="G265" s="8" t="str">
        <f t="shared" si="33"/>
        <v>OXY</v>
      </c>
      <c r="H265" s="31">
        <f t="shared" si="35"/>
        <v>5.6162535554369546</v>
      </c>
      <c r="I265" s="31">
        <f>E265</f>
        <v>5.5469160769903771</v>
      </c>
      <c r="J265" s="12">
        <f t="shared" si="34"/>
        <v>162.4804749144929</v>
      </c>
      <c r="K265" s="12">
        <f>HLOOKUP(G265,$C$1:$X$8,7,FALSE)</f>
        <v>212.71205908008372</v>
      </c>
      <c r="L265" s="14"/>
      <c r="M265" s="14"/>
      <c r="N265" s="14"/>
      <c r="O265" s="14"/>
      <c r="P265" s="14"/>
      <c r="Q265" s="14"/>
      <c r="R265" s="14"/>
      <c r="S265" s="14"/>
      <c r="T265" s="14"/>
      <c r="U265" s="14"/>
      <c r="V265" s="14"/>
      <c r="W265" s="14"/>
    </row>
    <row r="266" spans="2:23" s="9" customFormat="1">
      <c r="B266" s="33" t="s">
        <v>89</v>
      </c>
      <c r="C266" s="8" t="s">
        <v>47</v>
      </c>
      <c r="D266" s="31">
        <f>HLOOKUP(C266,$C$1:$X$8,4,FALSE)</f>
        <v>28.299294900689652</v>
      </c>
      <c r="E266" s="31">
        <f>+HLOOKUP(C266,'Sensitivity flex'!B$2:W$9,8,0)</f>
        <v>29.350655140137924</v>
      </c>
      <c r="F266" s="31">
        <f>+HLOOKUP(C266,'Sensitivity flex'!B$2:W$9,7,0)</f>
        <v>0.6720169562437166</v>
      </c>
      <c r="G266" s="8" t="str">
        <f t="shared" si="33"/>
        <v>PXD</v>
      </c>
      <c r="H266" s="31">
        <f t="shared" si="35"/>
        <v>0.6720169562437166</v>
      </c>
      <c r="I266" s="31">
        <f>E266</f>
        <v>29.350655140137924</v>
      </c>
      <c r="J266" s="12">
        <f t="shared" si="34"/>
        <v>104.30100767123096</v>
      </c>
      <c r="K266" s="12" t="str">
        <f>HLOOKUP(G266,$C$1:$X$8,7,FALSE)</f>
        <v/>
      </c>
      <c r="L266" s="14"/>
      <c r="M266" s="14"/>
      <c r="N266" s="14"/>
      <c r="O266" s="14"/>
      <c r="P266" s="14"/>
      <c r="Q266" s="14"/>
      <c r="R266" s="14"/>
      <c r="S266" s="14"/>
      <c r="T266" s="14"/>
      <c r="U266" s="14"/>
      <c r="V266" s="14"/>
      <c r="W266" s="14"/>
    </row>
    <row r="267" spans="2:23" s="9" customFormat="1">
      <c r="B267" s="33" t="s">
        <v>90</v>
      </c>
      <c r="C267" s="8" t="s">
        <v>48</v>
      </c>
      <c r="D267" s="31">
        <f>HLOOKUP(C267,$C$1:$X$8,4,FALSE)</f>
        <v>6.0000000000000018</v>
      </c>
      <c r="E267" s="31">
        <f>+HLOOKUP(C267,'Sensitivity flex'!B$2:W$9,8,0)</f>
        <v>9.2176777058823465</v>
      </c>
      <c r="F267" s="31">
        <f>+HLOOKUP(C267,'Sensitivity flex'!B$2:W$9,7,0)</f>
        <v>3.6231532376334625</v>
      </c>
      <c r="G267" s="8" t="str">
        <f t="shared" ref="G267" si="47">C267</f>
        <v>SWN</v>
      </c>
      <c r="H267" s="31">
        <f t="shared" ref="H267" si="48">F267</f>
        <v>3.6231532376334625</v>
      </c>
      <c r="I267" s="31"/>
      <c r="J267" s="12"/>
      <c r="K267" s="12"/>
      <c r="L267" s="14"/>
      <c r="M267" s="280" t="s">
        <v>76</v>
      </c>
      <c r="N267" s="280"/>
      <c r="O267" s="278"/>
      <c r="P267" s="278"/>
      <c r="Q267" s="278"/>
      <c r="R267" s="281"/>
      <c r="S267" s="281"/>
      <c r="T267" s="281"/>
      <c r="U267" s="281"/>
      <c r="V267" s="281"/>
      <c r="W267" s="14"/>
    </row>
    <row r="269" spans="2:23" s="9" customFormat="1" ht="40.5" customHeight="1">
      <c r="B269" s="284" t="str">
        <f>"Notes: Unhedged pre-interest cash margin/interest expense and gross debt/LQA EBITDA(X) on a unit (boe) basis.  Strip interest coverage and LQA leverage adjust for 12-month strip pricing while holding "&amp;'3Q19 Actual'!$B$1&amp;" costs flat."</f>
        <v>Notes: Unhedged pre-interest cash margin/interest expense and gross debt/LQA EBITDA(X) on a unit (boe) basis.  Strip interest coverage and LQA leverage adjust for 12-month strip pricing while holding 3Q19 costs flat.</v>
      </c>
      <c r="C269" s="284"/>
      <c r="D269" s="284"/>
      <c r="E269" s="284"/>
      <c r="F269" s="284"/>
      <c r="G269" s="14"/>
      <c r="H269" s="14"/>
      <c r="I269" s="14"/>
      <c r="J269" s="14"/>
      <c r="K269" s="14"/>
      <c r="L269" s="14"/>
      <c r="M269" s="14"/>
      <c r="N269" s="14"/>
      <c r="O269" s="14"/>
      <c r="P269" s="14"/>
      <c r="Q269" s="14"/>
      <c r="R269" s="14"/>
      <c r="S269" s="14"/>
      <c r="T269" s="14"/>
      <c r="U269" s="14"/>
      <c r="V269" s="14"/>
      <c r="W269" s="14"/>
    </row>
    <row r="270" spans="2:23" s="9" customFormat="1">
      <c r="B270" s="280" t="s">
        <v>76</v>
      </c>
      <c r="C270" s="278"/>
      <c r="D270" s="278"/>
      <c r="E270" s="278"/>
      <c r="F270" s="14"/>
      <c r="G270" s="160"/>
      <c r="H270" s="14"/>
      <c r="I270" s="31"/>
      <c r="J270" s="12"/>
      <c r="K270" s="14"/>
      <c r="L270" s="14"/>
      <c r="M270" s="14"/>
      <c r="N270" s="14"/>
      <c r="O270" s="14"/>
      <c r="P270" s="14"/>
      <c r="Q270" s="14"/>
      <c r="R270" s="14"/>
      <c r="S270" s="14"/>
      <c r="T270" s="14"/>
      <c r="U270" s="14"/>
      <c r="V270" s="14"/>
      <c r="W270" s="14"/>
    </row>
    <row r="271" spans="2:23" s="9" customFormat="1">
      <c r="B271" s="156"/>
      <c r="C271" s="154"/>
      <c r="D271" s="154"/>
      <c r="E271" s="154"/>
      <c r="F271" s="14"/>
      <c r="G271" s="160"/>
      <c r="H271" s="14"/>
      <c r="I271" s="31"/>
      <c r="J271" s="64"/>
      <c r="K271" s="14"/>
      <c r="L271" s="14"/>
      <c r="M271" s="14"/>
      <c r="N271" s="14"/>
      <c r="O271" s="14"/>
      <c r="P271" s="14"/>
      <c r="Q271" s="14"/>
      <c r="R271" s="14"/>
      <c r="S271" s="14"/>
      <c r="T271" s="14"/>
      <c r="U271" s="14"/>
      <c r="V271" s="14"/>
      <c r="W271" s="14"/>
    </row>
    <row r="272" spans="2:23" s="9" customFormat="1">
      <c r="C272" s="14"/>
      <c r="D272" s="14"/>
      <c r="E272" s="14"/>
      <c r="F272" s="14"/>
      <c r="G272" s="160"/>
      <c r="H272" s="14"/>
      <c r="I272" s="31"/>
      <c r="J272" s="64"/>
      <c r="K272" s="14"/>
      <c r="L272" s="14"/>
      <c r="M272" s="277" t="str">
        <f>"Strip Price Unhedged "&amp;'3Q19 Actual'!$B$1&amp;" Pre-Interest Cash Margin/Interest (x, x-axis) vs Long Cash Spread (bp)"</f>
        <v>Strip Price Unhedged 3Q19 Pre-Interest Cash Margin/Interest (x, x-axis) vs Long Cash Spread (bp)</v>
      </c>
      <c r="N272" s="277"/>
      <c r="O272" s="277"/>
      <c r="P272" s="277"/>
      <c r="Q272" s="277"/>
      <c r="R272" s="277"/>
      <c r="S272" s="277"/>
      <c r="T272" s="277"/>
      <c r="U272" s="277"/>
      <c r="V272" s="277"/>
      <c r="W272" s="278"/>
    </row>
    <row r="273" spans="6:16">
      <c r="F273" s="1"/>
      <c r="G273" s="8"/>
      <c r="H273" s="8"/>
      <c r="I273" s="31"/>
      <c r="J273" s="64"/>
      <c r="K273" s="64"/>
      <c r="L273" s="1"/>
      <c r="M273" s="1"/>
      <c r="N273" s="1"/>
      <c r="O273" s="1"/>
      <c r="P273" s="1"/>
    </row>
    <row r="274" spans="6:16">
      <c r="G274" s="8"/>
      <c r="H274" s="8"/>
      <c r="I274" s="31"/>
      <c r="J274" s="64"/>
      <c r="K274" s="64"/>
    </row>
    <row r="275" spans="6:16">
      <c r="G275" s="8"/>
      <c r="H275" s="8"/>
      <c r="I275" s="31"/>
      <c r="J275" s="64"/>
      <c r="K275" s="64"/>
    </row>
    <row r="276" spans="6:16">
      <c r="G276" s="8"/>
      <c r="H276" s="8"/>
      <c r="I276" s="31"/>
      <c r="J276" s="64"/>
      <c r="K276" s="64"/>
    </row>
    <row r="277" spans="6:16">
      <c r="G277" s="8"/>
      <c r="H277" s="8"/>
      <c r="I277" s="31"/>
      <c r="J277" s="64"/>
      <c r="K277" s="64"/>
    </row>
    <row r="278" spans="6:16">
      <c r="G278" s="8"/>
      <c r="H278" s="8"/>
      <c r="I278" s="31"/>
      <c r="J278" s="64"/>
      <c r="K278" s="64"/>
    </row>
    <row r="279" spans="6:16">
      <c r="G279" s="8"/>
      <c r="H279" s="8"/>
      <c r="I279" s="31"/>
      <c r="J279" s="64"/>
      <c r="K279" s="64"/>
    </row>
    <row r="280" spans="6:16">
      <c r="G280" s="8"/>
      <c r="H280" s="8"/>
      <c r="I280" s="31"/>
      <c r="J280" s="64"/>
      <c r="K280" s="64"/>
    </row>
    <row r="281" spans="6:16">
      <c r="G281" s="8"/>
      <c r="H281" s="8"/>
      <c r="I281" s="31"/>
      <c r="J281" s="64"/>
      <c r="K281" s="64"/>
    </row>
    <row r="282" spans="6:16">
      <c r="G282" s="8"/>
      <c r="H282" s="8"/>
      <c r="I282" s="31"/>
      <c r="J282" s="64"/>
      <c r="K282" s="64"/>
    </row>
    <row r="283" spans="6:16">
      <c r="G283" s="8"/>
      <c r="H283" s="8"/>
      <c r="I283" s="31"/>
      <c r="J283" s="64"/>
      <c r="K283" s="64"/>
    </row>
    <row r="284" spans="6:16">
      <c r="G284" s="8"/>
      <c r="H284" s="8"/>
      <c r="I284" s="31"/>
      <c r="J284" s="64"/>
      <c r="K284" s="64"/>
    </row>
    <row r="285" spans="6:16">
      <c r="G285" s="8"/>
      <c r="H285" s="8"/>
      <c r="I285" s="31"/>
      <c r="J285" s="64"/>
      <c r="K285" s="64"/>
    </row>
    <row r="286" spans="6:16">
      <c r="G286" s="8"/>
      <c r="H286" s="8"/>
      <c r="I286" s="31"/>
      <c r="J286" s="64"/>
      <c r="K286" s="64"/>
    </row>
    <row r="287" spans="6:16">
      <c r="G287" s="8"/>
      <c r="H287" s="8"/>
      <c r="I287" s="31"/>
      <c r="J287" s="64"/>
      <c r="K287" s="64"/>
    </row>
    <row r="288" spans="6:16">
      <c r="G288" s="8"/>
      <c r="H288" s="8"/>
      <c r="I288" s="31"/>
      <c r="J288" s="64"/>
      <c r="K288" s="64"/>
    </row>
    <row r="289" spans="2:23">
      <c r="G289" s="8"/>
      <c r="H289" s="8"/>
      <c r="I289" s="31"/>
      <c r="J289" s="64"/>
      <c r="K289" s="8"/>
      <c r="M289" s="280" t="s">
        <v>76</v>
      </c>
      <c r="N289" s="280"/>
      <c r="O289" s="278"/>
      <c r="P289" s="278"/>
      <c r="Q289" s="278"/>
      <c r="R289" s="281"/>
      <c r="S289" s="281"/>
      <c r="T289" s="281"/>
      <c r="U289" s="281"/>
      <c r="V289" s="281"/>
    </row>
    <row r="290" spans="2:23">
      <c r="G290" s="8"/>
      <c r="H290" s="8"/>
      <c r="I290" s="31"/>
      <c r="J290" s="64"/>
      <c r="K290" s="8"/>
    </row>
    <row r="291" spans="2:23" ht="15">
      <c r="B291" s="27"/>
      <c r="G291" s="8"/>
      <c r="H291" s="8"/>
      <c r="I291" s="31"/>
      <c r="J291" s="64"/>
      <c r="K291" s="8"/>
    </row>
    <row r="293" spans="2:23">
      <c r="G293" s="8"/>
      <c r="H293" s="8"/>
      <c r="I293" s="31"/>
      <c r="J293" s="12"/>
      <c r="M293" s="277" t="str">
        <f>"Strip Price Unhedged "&amp;'3Q19 Actual'!$B$1&amp;" LQA Leverage (x, x-axis) vs Intermediate Cash Spread (bp)"</f>
        <v>Strip Price Unhedged 3Q19 LQA Leverage (x, x-axis) vs Intermediate Cash Spread (bp)</v>
      </c>
      <c r="N293" s="277"/>
      <c r="O293" s="277"/>
      <c r="P293" s="277"/>
      <c r="Q293" s="277"/>
      <c r="R293" s="277"/>
      <c r="S293" s="277"/>
      <c r="T293" s="277"/>
      <c r="U293" s="277"/>
      <c r="V293" s="277"/>
      <c r="W293" s="278"/>
    </row>
    <row r="294" spans="2:23">
      <c r="G294" s="8"/>
      <c r="H294" s="8"/>
      <c r="I294" s="31"/>
      <c r="J294" s="12"/>
      <c r="M294" s="153"/>
      <c r="N294" s="254"/>
      <c r="O294" s="153"/>
      <c r="P294" s="153"/>
      <c r="Q294" s="153"/>
      <c r="R294" s="153"/>
      <c r="S294" s="153"/>
      <c r="T294" s="153"/>
      <c r="U294" s="153"/>
      <c r="V294" s="153"/>
      <c r="W294" s="154"/>
    </row>
    <row r="295" spans="2:23">
      <c r="G295" s="8"/>
      <c r="H295" s="8"/>
      <c r="I295" s="31"/>
      <c r="J295" s="12"/>
    </row>
    <row r="296" spans="2:23">
      <c r="G296" s="8"/>
      <c r="H296" s="8"/>
      <c r="I296" s="31"/>
      <c r="J296" s="12"/>
    </row>
    <row r="297" spans="2:23">
      <c r="G297" s="8"/>
      <c r="H297" s="8"/>
      <c r="I297" s="31"/>
      <c r="J297" s="12"/>
    </row>
    <row r="298" spans="2:23">
      <c r="G298" s="8"/>
      <c r="H298" s="8"/>
      <c r="I298" s="31"/>
      <c r="J298" s="12"/>
    </row>
    <row r="299" spans="2:23">
      <c r="G299" s="8"/>
      <c r="H299" s="8"/>
      <c r="I299" s="31"/>
      <c r="J299" s="12"/>
    </row>
    <row r="300" spans="2:23">
      <c r="G300" s="8"/>
      <c r="H300" s="8"/>
      <c r="I300" s="31"/>
      <c r="J300" s="12"/>
    </row>
    <row r="301" spans="2:23">
      <c r="G301" s="8"/>
      <c r="H301" s="8"/>
      <c r="I301" s="31"/>
      <c r="J301" s="12"/>
    </row>
    <row r="302" spans="2:23">
      <c r="G302" s="8"/>
      <c r="H302" s="8"/>
      <c r="I302" s="31"/>
      <c r="J302" s="12"/>
    </row>
    <row r="303" spans="2:23">
      <c r="G303" s="8"/>
      <c r="H303" s="8"/>
      <c r="I303" s="31"/>
      <c r="J303" s="12"/>
    </row>
    <row r="304" spans="2:23">
      <c r="G304" s="8"/>
      <c r="H304" s="8"/>
      <c r="I304" s="31"/>
      <c r="J304" s="12"/>
    </row>
    <row r="305" spans="7:23">
      <c r="G305" s="8"/>
      <c r="H305" s="8"/>
      <c r="I305" s="31"/>
      <c r="J305" s="12"/>
    </row>
    <row r="306" spans="7:23">
      <c r="G306" s="8"/>
      <c r="H306" s="8"/>
      <c r="I306" s="31"/>
      <c r="J306" s="12"/>
    </row>
    <row r="307" spans="7:23">
      <c r="G307" s="8"/>
      <c r="H307" s="8"/>
      <c r="I307" s="31"/>
      <c r="J307" s="12"/>
    </row>
    <row r="308" spans="7:23">
      <c r="G308" s="8"/>
      <c r="H308" s="8"/>
      <c r="I308" s="31"/>
      <c r="J308" s="12"/>
    </row>
    <row r="309" spans="7:23">
      <c r="G309" s="8"/>
      <c r="H309" s="8"/>
      <c r="I309" s="31"/>
      <c r="J309" s="12"/>
    </row>
    <row r="310" spans="7:23">
      <c r="G310" s="8"/>
      <c r="H310" s="8"/>
      <c r="I310" s="31"/>
      <c r="J310" s="12"/>
      <c r="M310" s="280" t="s">
        <v>76</v>
      </c>
      <c r="N310" s="280"/>
      <c r="O310" s="278"/>
      <c r="P310" s="278"/>
      <c r="Q310" s="278"/>
      <c r="R310" s="281"/>
      <c r="S310" s="281"/>
      <c r="T310" s="281"/>
      <c r="U310" s="281"/>
      <c r="V310" s="281"/>
    </row>
    <row r="311" spans="7:23">
      <c r="G311" s="8"/>
      <c r="H311" s="8"/>
      <c r="I311" s="31"/>
      <c r="J311" s="12"/>
    </row>
    <row r="312" spans="7:23">
      <c r="G312" s="8"/>
      <c r="H312" s="8"/>
      <c r="I312" s="31"/>
      <c r="J312" s="12"/>
    </row>
    <row r="313" spans="7:23">
      <c r="I313" s="31"/>
      <c r="J313" s="12"/>
    </row>
    <row r="314" spans="7:23">
      <c r="I314" s="31"/>
      <c r="J314" s="12"/>
    </row>
    <row r="316" spans="7:23">
      <c r="G316" s="8"/>
      <c r="H316" s="8"/>
      <c r="I316" s="145"/>
      <c r="J316" s="146"/>
      <c r="M316" s="277" t="str">
        <f>"Strip Price Unhedged "&amp;'3Q19 Actual'!$B$1&amp;" LQA Leverage (x, x-axis) vs Long Cash Spread (bp)"</f>
        <v>Strip Price Unhedged 3Q19 LQA Leverage (x, x-axis) vs Long Cash Spread (bp)</v>
      </c>
      <c r="N316" s="277"/>
      <c r="O316" s="277"/>
      <c r="P316" s="277"/>
      <c r="Q316" s="277"/>
      <c r="R316" s="277"/>
      <c r="S316" s="277"/>
      <c r="T316" s="277"/>
      <c r="U316" s="277"/>
      <c r="V316" s="277"/>
      <c r="W316" s="278"/>
    </row>
    <row r="317" spans="7:23">
      <c r="G317" s="8"/>
      <c r="H317" s="8"/>
      <c r="I317" s="145"/>
      <c r="J317" s="146"/>
      <c r="M317" s="153"/>
      <c r="N317" s="254"/>
      <c r="O317" s="153"/>
      <c r="P317" s="153"/>
      <c r="Q317" s="153"/>
      <c r="R317" s="153"/>
      <c r="S317" s="153"/>
      <c r="T317" s="153"/>
      <c r="U317" s="153"/>
      <c r="V317" s="153"/>
      <c r="W317" s="154"/>
    </row>
    <row r="318" spans="7:23">
      <c r="G318" s="8"/>
      <c r="H318" s="8"/>
      <c r="I318" s="145"/>
      <c r="J318" s="146"/>
    </row>
    <row r="319" spans="7:23">
      <c r="G319" s="8"/>
      <c r="H319" s="8"/>
      <c r="I319" s="145"/>
      <c r="J319" s="146"/>
    </row>
    <row r="320" spans="7:23">
      <c r="G320" s="8"/>
      <c r="H320" s="8"/>
      <c r="I320" s="145"/>
      <c r="J320" s="146"/>
    </row>
    <row r="321" spans="7:22">
      <c r="G321" s="8"/>
      <c r="H321" s="8"/>
      <c r="I321" s="145"/>
      <c r="J321" s="146"/>
    </row>
    <row r="322" spans="7:22">
      <c r="G322" s="8"/>
      <c r="H322" s="8"/>
      <c r="I322" s="145"/>
      <c r="J322" s="146"/>
    </row>
    <row r="323" spans="7:22">
      <c r="G323" s="8"/>
      <c r="H323" s="8"/>
      <c r="I323" s="145"/>
      <c r="J323" s="146"/>
    </row>
    <row r="324" spans="7:22">
      <c r="G324" s="8"/>
      <c r="H324" s="8"/>
      <c r="I324" s="145"/>
      <c r="J324" s="146"/>
    </row>
    <row r="325" spans="7:22">
      <c r="G325" s="8"/>
      <c r="H325" s="8"/>
      <c r="I325" s="145"/>
      <c r="J325" s="146"/>
    </row>
    <row r="326" spans="7:22">
      <c r="G326" s="8"/>
      <c r="H326" s="8"/>
      <c r="I326" s="145"/>
      <c r="J326" s="146"/>
    </row>
    <row r="327" spans="7:22">
      <c r="G327" s="8"/>
      <c r="H327" s="8"/>
      <c r="I327" s="145"/>
      <c r="J327" s="146"/>
    </row>
    <row r="328" spans="7:22">
      <c r="G328" s="8"/>
      <c r="H328" s="8"/>
      <c r="I328" s="145"/>
      <c r="J328" s="146"/>
    </row>
    <row r="329" spans="7:22">
      <c r="G329" s="8"/>
      <c r="H329" s="8"/>
      <c r="I329" s="145"/>
      <c r="J329" s="146"/>
    </row>
    <row r="330" spans="7:22">
      <c r="G330" s="8"/>
      <c r="H330" s="8"/>
      <c r="I330" s="145"/>
      <c r="J330" s="146"/>
    </row>
    <row r="331" spans="7:22">
      <c r="G331" s="8"/>
      <c r="H331" s="8"/>
      <c r="I331" s="145"/>
      <c r="J331" s="146"/>
    </row>
    <row r="332" spans="7:22">
      <c r="G332" s="8"/>
      <c r="H332" s="8"/>
      <c r="I332" s="145"/>
      <c r="J332" s="146"/>
    </row>
    <row r="333" spans="7:22">
      <c r="G333" s="8"/>
      <c r="H333" s="8"/>
      <c r="I333" s="145"/>
      <c r="J333" s="146"/>
      <c r="M333" s="280" t="s">
        <v>76</v>
      </c>
      <c r="N333" s="280"/>
      <c r="O333" s="278"/>
      <c r="P333" s="278"/>
      <c r="Q333" s="278"/>
      <c r="R333" s="281"/>
      <c r="S333" s="281"/>
      <c r="T333" s="281"/>
      <c r="U333" s="281"/>
      <c r="V333" s="281"/>
    </row>
    <row r="334" spans="7:22">
      <c r="G334" s="8"/>
      <c r="H334" s="8"/>
      <c r="I334" s="145"/>
      <c r="J334" s="146"/>
    </row>
    <row r="335" spans="7:22">
      <c r="G335" s="8"/>
      <c r="H335" s="8"/>
      <c r="I335" s="145"/>
      <c r="J335" s="146"/>
    </row>
    <row r="336" spans="7:22">
      <c r="I336" s="145"/>
      <c r="J336" s="146"/>
    </row>
    <row r="337" spans="9:10">
      <c r="I337" s="145"/>
      <c r="J337" s="146"/>
    </row>
  </sheetData>
  <mergeCells count="32">
    <mergeCell ref="F108:O108"/>
    <mergeCell ref="F113:O113"/>
    <mergeCell ref="B61:D61"/>
    <mergeCell ref="F64:O64"/>
    <mergeCell ref="F79:O79"/>
    <mergeCell ref="B86:D86"/>
    <mergeCell ref="F88:O88"/>
    <mergeCell ref="F54:O54"/>
    <mergeCell ref="F14:O14"/>
    <mergeCell ref="B36:D36"/>
    <mergeCell ref="F38:O38"/>
    <mergeCell ref="F39:O39"/>
    <mergeCell ref="F28:O28"/>
    <mergeCell ref="F132:O132"/>
    <mergeCell ref="F138:O138"/>
    <mergeCell ref="F158:O158"/>
    <mergeCell ref="F164:O164"/>
    <mergeCell ref="M272:W272"/>
    <mergeCell ref="B269:F269"/>
    <mergeCell ref="F183:O183"/>
    <mergeCell ref="M316:W316"/>
    <mergeCell ref="M333:V333"/>
    <mergeCell ref="M289:V289"/>
    <mergeCell ref="B270:E270"/>
    <mergeCell ref="F191:O191"/>
    <mergeCell ref="F210:O210"/>
    <mergeCell ref="F236:O236"/>
    <mergeCell ref="M247:W247"/>
    <mergeCell ref="M267:V267"/>
    <mergeCell ref="F217:Q217"/>
    <mergeCell ref="M310:V310"/>
    <mergeCell ref="M293:W293"/>
  </mergeCells>
  <pageMargins left="0.7" right="0.7" top="0.75" bottom="0.75" header="0.3" footer="0.3"/>
  <pageSetup orientation="portrait" r:id="rId1"/>
  <headerFooter>
    <oddFooter>&amp;C&amp;"Expert Sans Regular,Regular"&amp;10&amp;K000000 Restricted - External_x000D_&amp;1#&amp;"Calibri"&amp;10 Restricted - External</oddFooter>
    <evenFooter>&amp;C&amp;"Expert Sans Regular,Regular"&amp;10&amp;K000000 Restricted - External</evenFooter>
    <firstFooter>&amp;C&amp;"Expert Sans Regular,Regular"&amp;10&amp;K000000 Restricted - External</first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X213"/>
  <sheetViews>
    <sheetView showGridLines="0" zoomScale="90" zoomScaleNormal="90" workbookViewId="0">
      <pane xSplit="1" ySplit="8" topLeftCell="D16" activePane="bottomRight" state="frozen"/>
      <selection pane="topRight" activeCell="B1" sqref="B1"/>
      <selection pane="bottomLeft" activeCell="A8" sqref="A8"/>
      <selection pane="bottomRight" activeCell="P31" sqref="P31"/>
    </sheetView>
  </sheetViews>
  <sheetFormatPr defaultRowHeight="14.25"/>
  <cols>
    <col min="1" max="1" width="20.5" style="1" customWidth="1"/>
    <col min="2" max="2" width="11.875" style="2" customWidth="1"/>
    <col min="3" max="3" width="9.25" style="190" customWidth="1"/>
    <col min="4" max="7" width="9.25" style="2" customWidth="1"/>
    <col min="8" max="8" width="10.25" style="2" customWidth="1"/>
    <col min="9" max="11" width="9.25" style="2" customWidth="1"/>
    <col min="12" max="12" width="10.25" style="2" customWidth="1"/>
    <col min="13" max="18" width="9.25" style="2" customWidth="1"/>
    <col min="19" max="19" width="11" style="2" customWidth="1"/>
    <col min="20" max="21" width="9.25" style="2" customWidth="1"/>
    <col min="22" max="22" width="10.5" style="2" customWidth="1"/>
    <col min="23" max="24" width="11.5" style="1" customWidth="1"/>
    <col min="25" max="25" width="10.75" style="1" bestFit="1" customWidth="1"/>
    <col min="26" max="16384" width="9" style="1"/>
  </cols>
  <sheetData>
    <row r="1" spans="1:24" s="9" customFormat="1" ht="15" thickBot="1">
      <c r="A1" s="174" t="str">
        <f>$B$1&amp;" Benchmarks"</f>
        <v>3Q19 Benchmarks</v>
      </c>
      <c r="B1" s="213" t="s">
        <v>229</v>
      </c>
      <c r="D1" s="183" t="str">
        <f>"Days in "&amp;$B$1</f>
        <v>Days in 3Q19</v>
      </c>
      <c r="E1" s="8"/>
      <c r="F1" s="8"/>
      <c r="G1" s="8"/>
      <c r="H1" s="8"/>
      <c r="I1" s="8"/>
      <c r="J1" s="8"/>
      <c r="K1" s="8"/>
      <c r="L1" s="8"/>
      <c r="M1" s="8"/>
      <c r="N1" s="8"/>
      <c r="O1" s="8"/>
      <c r="P1" s="19"/>
      <c r="Q1" s="8"/>
      <c r="R1" s="8"/>
      <c r="S1" s="8"/>
      <c r="T1" s="8"/>
      <c r="U1" s="8"/>
      <c r="V1" s="8"/>
    </row>
    <row r="2" spans="1:24" s="9" customFormat="1" ht="15" thickBot="1">
      <c r="A2" s="171" t="s">
        <v>1</v>
      </c>
      <c r="B2" s="10">
        <v>56.41</v>
      </c>
      <c r="D2" s="198">
        <f>31+31+30</f>
        <v>92</v>
      </c>
      <c r="E2" s="8"/>
      <c r="F2" s="8"/>
      <c r="G2" s="8"/>
      <c r="H2" s="8"/>
      <c r="I2" s="8"/>
      <c r="J2" s="8"/>
      <c r="K2" s="8"/>
      <c r="L2" s="8"/>
      <c r="M2" s="8"/>
      <c r="N2" s="8"/>
      <c r="O2" s="8"/>
      <c r="P2" s="19"/>
      <c r="Q2" s="8"/>
      <c r="R2" s="8"/>
      <c r="S2" s="8"/>
      <c r="T2" s="8"/>
      <c r="U2" s="8"/>
      <c r="V2" s="8"/>
    </row>
    <row r="3" spans="1:24" s="9" customFormat="1">
      <c r="A3" s="171" t="s">
        <v>0</v>
      </c>
      <c r="B3" s="10">
        <v>18.98</v>
      </c>
      <c r="C3" s="8"/>
      <c r="D3" s="8"/>
      <c r="E3" s="8"/>
      <c r="F3" s="8"/>
      <c r="G3" s="8"/>
      <c r="H3" s="8"/>
      <c r="I3" s="8"/>
      <c r="J3" s="8"/>
      <c r="K3" s="135"/>
      <c r="L3" s="135"/>
      <c r="M3" s="8"/>
      <c r="N3" s="8"/>
      <c r="O3" s="8"/>
      <c r="P3" s="19"/>
      <c r="Q3" s="8"/>
      <c r="R3" s="8"/>
      <c r="S3" s="8"/>
      <c r="T3" s="8"/>
      <c r="U3" s="8"/>
      <c r="V3" s="8"/>
    </row>
    <row r="4" spans="1:24" s="9" customFormat="1">
      <c r="A4" s="171" t="s">
        <v>2</v>
      </c>
      <c r="B4" s="10">
        <v>2.38</v>
      </c>
      <c r="C4" s="8"/>
      <c r="D4" s="8"/>
      <c r="E4" s="8"/>
      <c r="F4" s="8"/>
      <c r="G4" s="8"/>
      <c r="H4" s="8"/>
      <c r="I4" s="135"/>
      <c r="J4" s="8"/>
      <c r="K4" s="8"/>
      <c r="L4" s="8"/>
      <c r="M4" s="8"/>
      <c r="N4" s="8"/>
      <c r="O4" s="8"/>
      <c r="P4" s="197"/>
      <c r="Q4" s="8"/>
      <c r="R4" s="8"/>
      <c r="S4" s="8"/>
      <c r="T4" s="8"/>
      <c r="U4" s="8"/>
      <c r="V4" s="8"/>
    </row>
    <row r="5" spans="1:24" s="9" customFormat="1">
      <c r="A5" s="196" t="s">
        <v>205</v>
      </c>
      <c r="B5" s="10">
        <v>1.32</v>
      </c>
      <c r="C5" s="8"/>
      <c r="D5" s="8"/>
      <c r="E5" s="8"/>
      <c r="F5" s="8"/>
      <c r="G5" s="8"/>
      <c r="H5" s="8"/>
      <c r="I5" s="135"/>
      <c r="J5" s="135"/>
      <c r="K5" s="8"/>
      <c r="L5" s="8"/>
      <c r="M5" s="8"/>
      <c r="N5" s="8"/>
      <c r="O5" s="8"/>
      <c r="P5" s="19"/>
      <c r="Q5" s="8"/>
      <c r="R5" s="8"/>
      <c r="S5" s="8"/>
      <c r="T5" s="8"/>
      <c r="U5" s="8"/>
      <c r="V5" s="8"/>
    </row>
    <row r="6" spans="1:24" s="9" customFormat="1" ht="38.25" customHeight="1" thickBot="1">
      <c r="A6" s="171"/>
      <c r="B6" s="8"/>
      <c r="C6" s="8"/>
      <c r="D6" s="8"/>
      <c r="E6" s="8"/>
      <c r="F6" s="8"/>
      <c r="G6" s="8"/>
      <c r="H6" s="8"/>
      <c r="I6" s="8"/>
      <c r="J6" s="8"/>
      <c r="K6" s="8"/>
      <c r="L6" s="8"/>
      <c r="M6" s="8"/>
      <c r="N6" s="8"/>
      <c r="O6" s="8"/>
      <c r="P6" s="8"/>
      <c r="Q6" s="8"/>
      <c r="R6" s="8"/>
      <c r="S6" s="8"/>
      <c r="T6" s="8"/>
      <c r="U6" s="8"/>
      <c r="V6" s="8"/>
      <c r="W6" s="177"/>
      <c r="X6" s="177"/>
    </row>
    <row r="7" spans="1:24" ht="26.25" thickBot="1">
      <c r="A7" s="170" t="s">
        <v>15</v>
      </c>
      <c r="B7" s="169" t="s">
        <v>189</v>
      </c>
      <c r="C7" s="169" t="s">
        <v>18</v>
      </c>
      <c r="D7" s="169" t="s">
        <v>19</v>
      </c>
      <c r="E7" s="169" t="s">
        <v>21</v>
      </c>
      <c r="F7" s="169" t="s">
        <v>191</v>
      </c>
      <c r="G7" s="169" t="s">
        <v>22</v>
      </c>
      <c r="H7" s="169" t="s">
        <v>20</v>
      </c>
      <c r="I7" s="169" t="s">
        <v>23</v>
      </c>
      <c r="J7" s="169" t="s">
        <v>139</v>
      </c>
      <c r="K7" s="169" t="s">
        <v>24</v>
      </c>
      <c r="L7" s="253" t="s">
        <v>227</v>
      </c>
      <c r="M7" s="169" t="s">
        <v>25</v>
      </c>
      <c r="N7" s="169" t="s">
        <v>26</v>
      </c>
      <c r="O7" s="169" t="s">
        <v>187</v>
      </c>
      <c r="P7" s="169" t="s">
        <v>27</v>
      </c>
      <c r="Q7" s="169" t="s">
        <v>28</v>
      </c>
      <c r="R7" s="169" t="s">
        <v>193</v>
      </c>
      <c r="S7" s="169" t="s">
        <v>29</v>
      </c>
      <c r="T7" s="169" t="s">
        <v>30</v>
      </c>
      <c r="U7" s="169" t="s">
        <v>31</v>
      </c>
      <c r="V7" s="253" t="s">
        <v>32</v>
      </c>
    </row>
    <row r="8" spans="1:24" ht="18" customHeight="1" thickBot="1">
      <c r="A8" s="178" t="s">
        <v>16</v>
      </c>
      <c r="B8" s="179" t="s">
        <v>190</v>
      </c>
      <c r="C8" s="179" t="s">
        <v>34</v>
      </c>
      <c r="D8" s="179" t="s">
        <v>35</v>
      </c>
      <c r="E8" s="179" t="s">
        <v>37</v>
      </c>
      <c r="F8" s="179" t="s">
        <v>192</v>
      </c>
      <c r="G8" s="179" t="s">
        <v>38</v>
      </c>
      <c r="H8" s="179" t="s">
        <v>36</v>
      </c>
      <c r="I8" s="179" t="s">
        <v>39</v>
      </c>
      <c r="J8" s="179" t="s">
        <v>140</v>
      </c>
      <c r="K8" s="179" t="s">
        <v>40</v>
      </c>
      <c r="L8" s="179" t="s">
        <v>226</v>
      </c>
      <c r="M8" s="179" t="s">
        <v>41</v>
      </c>
      <c r="N8" s="179" t="s">
        <v>42</v>
      </c>
      <c r="O8" s="179" t="s">
        <v>188</v>
      </c>
      <c r="P8" s="179" t="s">
        <v>43</v>
      </c>
      <c r="Q8" s="179" t="s">
        <v>44</v>
      </c>
      <c r="R8" s="179" t="s">
        <v>194</v>
      </c>
      <c r="S8" s="179" t="s">
        <v>45</v>
      </c>
      <c r="T8" s="179" t="s">
        <v>46</v>
      </c>
      <c r="U8" s="179" t="s">
        <v>47</v>
      </c>
      <c r="V8" s="179" t="s">
        <v>48</v>
      </c>
    </row>
    <row r="9" spans="1:24" s="9" customFormat="1">
      <c r="A9" s="214"/>
      <c r="B9" s="186"/>
      <c r="C9" s="186"/>
      <c r="D9" s="186"/>
      <c r="E9" s="186"/>
      <c r="F9" s="186"/>
      <c r="G9" s="186"/>
      <c r="H9" s="186"/>
      <c r="I9" s="186"/>
      <c r="J9" s="186"/>
      <c r="K9" s="186"/>
      <c r="L9" s="186"/>
      <c r="M9" s="186"/>
      <c r="N9" s="186"/>
      <c r="O9" s="186"/>
      <c r="P9" s="186"/>
      <c r="Q9" s="186"/>
      <c r="R9" s="186"/>
      <c r="S9" s="186"/>
      <c r="T9" s="186"/>
      <c r="U9" s="186"/>
      <c r="V9" s="186"/>
    </row>
    <row r="10" spans="1:24" s="9" customFormat="1">
      <c r="A10" s="214" t="s">
        <v>50</v>
      </c>
      <c r="B10" s="74">
        <v>46.86</v>
      </c>
      <c r="C10" s="74">
        <v>58.6</v>
      </c>
      <c r="D10" s="74">
        <f>+D79/D62</f>
        <v>52.613177530425318</v>
      </c>
      <c r="E10" s="74">
        <f>54.94/D62</f>
        <v>41.621212121212118</v>
      </c>
      <c r="F10" s="74">
        <f>613/((F45*$D$2)/1000)</f>
        <v>57.939508506616257</v>
      </c>
      <c r="G10" s="74">
        <v>52.71</v>
      </c>
      <c r="H10" s="74">
        <f>+((59.57*710)+(32.54*63))/H45</f>
        <v>57.367037516170754</v>
      </c>
      <c r="I10" s="74">
        <f>989.297/(I45*$D$2/1000)</f>
        <v>54.288943833464081</v>
      </c>
      <c r="J10" s="74">
        <v>54.01</v>
      </c>
      <c r="K10" s="74">
        <v>54.39</v>
      </c>
      <c r="L10" s="74">
        <v>51.71</v>
      </c>
      <c r="M10" s="74">
        <v>55.29</v>
      </c>
      <c r="N10" s="74">
        <v>56.66</v>
      </c>
      <c r="O10" s="74">
        <v>39.01</v>
      </c>
      <c r="P10" s="74">
        <v>55.91</v>
      </c>
      <c r="Q10" s="74">
        <f>Q68</f>
        <v>54.422718894009215</v>
      </c>
      <c r="R10" s="74">
        <f>+R89</f>
        <v>59.450914680764541</v>
      </c>
      <c r="S10" s="74">
        <f>+S70</f>
        <v>55.520489510489512</v>
      </c>
      <c r="T10" s="74">
        <v>56.26</v>
      </c>
      <c r="U10" s="74">
        <v>53.93</v>
      </c>
      <c r="V10" s="74">
        <v>46.54</v>
      </c>
    </row>
    <row r="11" spans="1:24" s="9" customFormat="1">
      <c r="A11" s="214" t="s">
        <v>3</v>
      </c>
      <c r="B11" s="74">
        <f t="shared" ref="B11:V11" si="0">+B10-$B$2</f>
        <v>-9.5499999999999972</v>
      </c>
      <c r="C11" s="74">
        <f t="shared" si="0"/>
        <v>2.1900000000000048</v>
      </c>
      <c r="D11" s="74">
        <f t="shared" si="0"/>
        <v>-3.7968224695746784</v>
      </c>
      <c r="E11" s="74">
        <f t="shared" si="0"/>
        <v>-14.788787878787879</v>
      </c>
      <c r="F11" s="74">
        <f t="shared" si="0"/>
        <v>1.5295085066162599</v>
      </c>
      <c r="G11" s="74">
        <f t="shared" si="0"/>
        <v>-3.6999999999999957</v>
      </c>
      <c r="H11" s="74">
        <f t="shared" si="0"/>
        <v>0.95703751617075739</v>
      </c>
      <c r="I11" s="74">
        <f t="shared" si="0"/>
        <v>-2.1210561665359151</v>
      </c>
      <c r="J11" s="74">
        <f t="shared" si="0"/>
        <v>-2.3999999999999986</v>
      </c>
      <c r="K11" s="74">
        <f t="shared" si="0"/>
        <v>-2.019999999999996</v>
      </c>
      <c r="L11" s="74">
        <f t="shared" si="0"/>
        <v>-4.6999999999999957</v>
      </c>
      <c r="M11" s="74">
        <f t="shared" si="0"/>
        <v>-1.1199999999999974</v>
      </c>
      <c r="N11" s="74">
        <f t="shared" si="0"/>
        <v>0.25</v>
      </c>
      <c r="O11" s="74">
        <f t="shared" si="0"/>
        <v>-17.399999999999999</v>
      </c>
      <c r="P11" s="74">
        <f t="shared" si="0"/>
        <v>-0.5</v>
      </c>
      <c r="Q11" s="74">
        <f t="shared" si="0"/>
        <v>-1.9872811059907818</v>
      </c>
      <c r="R11" s="74">
        <f t="shared" si="0"/>
        <v>3.0409146807645442</v>
      </c>
      <c r="S11" s="74">
        <f t="shared" si="0"/>
        <v>-0.88951048951048506</v>
      </c>
      <c r="T11" s="74">
        <f t="shared" si="0"/>
        <v>-0.14999999999999858</v>
      </c>
      <c r="U11" s="74">
        <f t="shared" si="0"/>
        <v>-2.4799999999999969</v>
      </c>
      <c r="V11" s="74">
        <f t="shared" si="0"/>
        <v>-9.8699999999999974</v>
      </c>
    </row>
    <row r="12" spans="1:24" s="9" customFormat="1">
      <c r="A12" s="214" t="s">
        <v>51</v>
      </c>
      <c r="B12" s="74">
        <f>(22.53*124.701+6.15*46.814)/(124.701+46.814)</f>
        <v>18.059176340261789</v>
      </c>
      <c r="C12" s="74">
        <v>13.71</v>
      </c>
      <c r="D12" s="74"/>
      <c r="E12" s="74">
        <f>22.16/D62</f>
        <v>16.787878787878789</v>
      </c>
      <c r="F12" s="74">
        <f>37/((F46*$D$2)/1000)</f>
        <v>12.567934782608695</v>
      </c>
      <c r="G12" s="74">
        <v>10.8</v>
      </c>
      <c r="H12" s="74">
        <v>15.59</v>
      </c>
      <c r="I12" s="74"/>
      <c r="J12" s="74"/>
      <c r="K12" s="74">
        <v>12.09</v>
      </c>
      <c r="L12" s="74">
        <v>11.61</v>
      </c>
      <c r="M12" s="74">
        <v>23.3</v>
      </c>
      <c r="N12" s="74">
        <v>12.67</v>
      </c>
      <c r="O12" s="74">
        <f>+(5.22*974+16.85*1768)/(1768+974)</f>
        <v>12.718847556528083</v>
      </c>
      <c r="P12" s="74">
        <v>9.41</v>
      </c>
      <c r="Q12" s="74">
        <f>Q75</f>
        <v>9.9094366197183081</v>
      </c>
      <c r="R12" s="74">
        <f>+R95</f>
        <v>13.361982207190648</v>
      </c>
      <c r="S12" s="74">
        <f>+S77</f>
        <v>11.18</v>
      </c>
      <c r="T12" s="74">
        <v>14.96</v>
      </c>
      <c r="U12" s="74">
        <v>16.809999999999999</v>
      </c>
      <c r="V12" s="74">
        <v>8.89</v>
      </c>
    </row>
    <row r="13" spans="1:24" s="9" customFormat="1">
      <c r="A13" s="214" t="s">
        <v>3</v>
      </c>
      <c r="B13" s="74">
        <f>+B12-$B$3</f>
        <v>-0.92082365973821112</v>
      </c>
      <c r="C13" s="74">
        <f>+C12-$B$3</f>
        <v>-5.27</v>
      </c>
      <c r="D13" s="74"/>
      <c r="E13" s="74">
        <f>+E12-$B$3</f>
        <v>-2.1921212121212115</v>
      </c>
      <c r="F13" s="74">
        <f>+F12-$B$3</f>
        <v>-6.4120652173913051</v>
      </c>
      <c r="G13" s="74">
        <f>+G12-$B$3</f>
        <v>-8.18</v>
      </c>
      <c r="H13" s="74">
        <f>+H12-$B$3</f>
        <v>-3.3900000000000006</v>
      </c>
      <c r="I13" s="74"/>
      <c r="J13" s="74"/>
      <c r="K13" s="74">
        <f t="shared" ref="K13:V13" si="1">+K12-$B$3</f>
        <v>-6.8900000000000006</v>
      </c>
      <c r="L13" s="74">
        <f t="shared" si="1"/>
        <v>-7.370000000000001</v>
      </c>
      <c r="M13" s="74">
        <f t="shared" si="1"/>
        <v>4.32</v>
      </c>
      <c r="N13" s="74">
        <f t="shared" si="1"/>
        <v>-6.3100000000000005</v>
      </c>
      <c r="O13" s="74">
        <f t="shared" si="1"/>
        <v>-6.2611524434719179</v>
      </c>
      <c r="P13" s="74">
        <f t="shared" si="1"/>
        <v>-9.57</v>
      </c>
      <c r="Q13" s="74">
        <f t="shared" si="1"/>
        <v>-9.0705633802816923</v>
      </c>
      <c r="R13" s="74">
        <f t="shared" si="1"/>
        <v>-5.6180177928093524</v>
      </c>
      <c r="S13" s="74">
        <f t="shared" si="1"/>
        <v>-7.8000000000000007</v>
      </c>
      <c r="T13" s="74">
        <f t="shared" si="1"/>
        <v>-4.0199999999999996</v>
      </c>
      <c r="U13" s="74">
        <f t="shared" si="1"/>
        <v>-2.1700000000000017</v>
      </c>
      <c r="V13" s="74">
        <f t="shared" si="1"/>
        <v>-10.09</v>
      </c>
    </row>
    <row r="14" spans="1:24" s="9" customFormat="1">
      <c r="A14" s="214" t="s">
        <v>52</v>
      </c>
      <c r="B14" s="74">
        <v>2.5</v>
      </c>
      <c r="C14" s="74">
        <v>1.66</v>
      </c>
      <c r="D14" s="74">
        <f>1.64/D62</f>
        <v>1.2424242424242422</v>
      </c>
      <c r="E14" s="74">
        <f>1.21/D62</f>
        <v>0.91666666666666663</v>
      </c>
      <c r="F14" s="74">
        <f>353/((F47*$D$2)/1000)</f>
        <v>1.9300586125448345</v>
      </c>
      <c r="G14" s="74">
        <v>0.88</v>
      </c>
      <c r="H14" s="74">
        <v>4.74</v>
      </c>
      <c r="I14" s="74">
        <f>92.103/(I47*$D$2/1000)</f>
        <v>1.242938155031363</v>
      </c>
      <c r="J14" s="74">
        <v>1.34</v>
      </c>
      <c r="K14" s="74">
        <v>1.56</v>
      </c>
      <c r="L14" s="74">
        <v>0.62</v>
      </c>
      <c r="M14" s="74">
        <v>1.59</v>
      </c>
      <c r="N14" s="74">
        <v>2.13</v>
      </c>
      <c r="O14" s="74">
        <f>2.34-0.35</f>
        <v>1.9899999999999998</v>
      </c>
      <c r="P14" s="74">
        <v>3.81</v>
      </c>
      <c r="Q14" s="74">
        <f>Q82</f>
        <v>1.1695329341317364</v>
      </c>
      <c r="R14" s="74">
        <f>+R102</f>
        <v>1.4555859083183338</v>
      </c>
      <c r="S14" s="74">
        <f>+S88</f>
        <v>2.2682139148494289</v>
      </c>
      <c r="T14" s="74">
        <v>1.38</v>
      </c>
      <c r="U14" s="74">
        <v>1.54</v>
      </c>
      <c r="V14" s="74">
        <v>1.45</v>
      </c>
    </row>
    <row r="15" spans="1:24" s="9" customFormat="1">
      <c r="A15" s="214" t="s">
        <v>3</v>
      </c>
      <c r="B15" s="74">
        <f t="shared" ref="B15:V15" si="2">+B14-$B$4</f>
        <v>0.12000000000000011</v>
      </c>
      <c r="C15" s="74">
        <f t="shared" si="2"/>
        <v>-0.72</v>
      </c>
      <c r="D15" s="74">
        <f t="shared" si="2"/>
        <v>-1.1375757575757577</v>
      </c>
      <c r="E15" s="74">
        <f t="shared" si="2"/>
        <v>-1.4633333333333334</v>
      </c>
      <c r="F15" s="74">
        <f t="shared" si="2"/>
        <v>-0.44994138745516543</v>
      </c>
      <c r="G15" s="74">
        <f t="shared" si="2"/>
        <v>-1.5</v>
      </c>
      <c r="H15" s="74">
        <f t="shared" si="2"/>
        <v>2.3600000000000003</v>
      </c>
      <c r="I15" s="74">
        <f t="shared" si="2"/>
        <v>-1.1370618449686369</v>
      </c>
      <c r="J15" s="74">
        <f t="shared" si="2"/>
        <v>-1.0399999999999998</v>
      </c>
      <c r="K15" s="74">
        <f t="shared" si="2"/>
        <v>-0.81999999999999984</v>
      </c>
      <c r="L15" s="74">
        <f t="shared" si="2"/>
        <v>-1.7599999999999998</v>
      </c>
      <c r="M15" s="74">
        <f t="shared" si="2"/>
        <v>-0.78999999999999981</v>
      </c>
      <c r="N15" s="74">
        <f t="shared" si="2"/>
        <v>-0.25</v>
      </c>
      <c r="O15" s="74">
        <f t="shared" si="2"/>
        <v>-0.39000000000000012</v>
      </c>
      <c r="P15" s="74">
        <f t="shared" si="2"/>
        <v>1.4300000000000002</v>
      </c>
      <c r="Q15" s="74">
        <f t="shared" si="2"/>
        <v>-1.2104670658682635</v>
      </c>
      <c r="R15" s="74">
        <f t="shared" si="2"/>
        <v>-0.92441409168166611</v>
      </c>
      <c r="S15" s="74">
        <f t="shared" si="2"/>
        <v>-0.11178608515057098</v>
      </c>
      <c r="T15" s="74">
        <f t="shared" si="2"/>
        <v>-1</v>
      </c>
      <c r="U15" s="74">
        <f t="shared" si="2"/>
        <v>-0.83999999999999986</v>
      </c>
      <c r="V15" s="74">
        <f t="shared" si="2"/>
        <v>-0.92999999999999994</v>
      </c>
    </row>
    <row r="16" spans="1:24" s="9" customFormat="1">
      <c r="A16" s="214" t="s">
        <v>49</v>
      </c>
      <c r="B16" s="74">
        <f>2.74*6</f>
        <v>16.440000000000001</v>
      </c>
      <c r="C16" s="74">
        <f>(1477-61.1*$C$59*$D$2/1000-2.81*$C$60*$D$2/1000)/C49</f>
        <v>34.837272922737078</v>
      </c>
      <c r="D16" s="74">
        <f>(3334+3118)/D49/D62</f>
        <v>45.163252833597369</v>
      </c>
      <c r="E16" s="74">
        <f>51.48/$D$62</f>
        <v>38.999999999999993</v>
      </c>
      <c r="F16" s="74">
        <f>1003/F49</f>
        <v>22.792001211937585</v>
      </c>
      <c r="G16" s="74">
        <f>+(570.577)/G49</f>
        <v>21.602666450471435</v>
      </c>
      <c r="H16" s="74">
        <f>H71</f>
        <v>43.742599780300246</v>
      </c>
      <c r="I16" s="74">
        <f>1081.4/I$49</f>
        <v>35.371102195468019</v>
      </c>
      <c r="J16" s="74">
        <v>36.74</v>
      </c>
      <c r="K16" s="74">
        <v>25.93</v>
      </c>
      <c r="L16" s="74">
        <v>36.200000000000003</v>
      </c>
      <c r="M16" s="74">
        <v>26.46</v>
      </c>
      <c r="N16" s="74">
        <f>+(2418.989+164.736+269.625)/N$49</f>
        <v>37.177457042046754</v>
      </c>
      <c r="O16" s="74">
        <f>769.627/O$49</f>
        <v>12.125902662164076</v>
      </c>
      <c r="P16" s="74">
        <f>P70</f>
        <v>38.210828433992518</v>
      </c>
      <c r="Q16" s="74">
        <f>1249/Q$49</f>
        <v>31.781709613394632</v>
      </c>
      <c r="R16" s="74">
        <f>750.377/R$49</f>
        <v>40.171818305890781</v>
      </c>
      <c r="S16" s="74">
        <f>1003/S$49</f>
        <v>28.354158421439472</v>
      </c>
      <c r="T16" s="74">
        <f>T71</f>
        <v>37.045819268110534</v>
      </c>
      <c r="U16" s="74">
        <v>38.28</v>
      </c>
      <c r="V16" s="74">
        <f>348/V49</f>
        <v>10.337657193781565</v>
      </c>
    </row>
    <row r="17" spans="1:23" s="9" customFormat="1">
      <c r="A17" s="214"/>
      <c r="B17" s="74"/>
      <c r="C17" s="74"/>
      <c r="D17" s="74"/>
      <c r="E17" s="74"/>
      <c r="F17" s="74"/>
      <c r="G17" s="74"/>
      <c r="H17" s="74"/>
      <c r="I17" s="74"/>
      <c r="J17" s="74"/>
      <c r="K17" s="74"/>
      <c r="L17" s="74"/>
      <c r="M17" s="74"/>
      <c r="N17" s="74"/>
      <c r="O17" s="74"/>
      <c r="P17" s="74"/>
      <c r="Q17" s="74"/>
      <c r="R17" s="74"/>
      <c r="S17" s="74"/>
      <c r="T17" s="74"/>
      <c r="U17" s="74"/>
      <c r="V17" s="74"/>
    </row>
    <row r="18" spans="1:23" s="9" customFormat="1">
      <c r="A18" s="214" t="s">
        <v>4</v>
      </c>
      <c r="B18" s="74"/>
      <c r="C18" s="74"/>
      <c r="D18" s="74"/>
      <c r="E18" s="74"/>
      <c r="F18" s="74"/>
      <c r="G18" s="74"/>
      <c r="H18" s="74"/>
      <c r="I18" s="74"/>
      <c r="J18" s="74"/>
      <c r="K18" s="74"/>
      <c r="L18" s="74"/>
      <c r="M18" s="74"/>
      <c r="N18" s="74"/>
      <c r="O18" s="74"/>
      <c r="P18" s="74"/>
      <c r="Q18" s="74"/>
      <c r="R18" s="74"/>
      <c r="S18" s="74"/>
      <c r="T18" s="74"/>
      <c r="U18" s="74"/>
      <c r="V18" s="74"/>
    </row>
    <row r="19" spans="1:23" s="9" customFormat="1">
      <c r="A19" s="216" t="s">
        <v>75</v>
      </c>
      <c r="B19" s="74">
        <f>(0.12+1.95)*6</f>
        <v>12.419999999999998</v>
      </c>
      <c r="C19" s="74">
        <f>(350+66)/C49</f>
        <v>10.583476381284864</v>
      </c>
      <c r="D19" s="74">
        <f>(764+798+784+357)/D49/D62</f>
        <v>18.920686982209187</v>
      </c>
      <c r="E19" s="74">
        <f>(9.39+7.33)/$D$62</f>
        <v>12.666666666666666</v>
      </c>
      <c r="F19" s="74">
        <f>+(155+270)/F49</f>
        <v>9.6576276321769434</v>
      </c>
      <c r="G19" s="74">
        <f>+(88.3+52.697)/G49</f>
        <v>5.3382999341318023</v>
      </c>
      <c r="H19" s="74">
        <f>1331/H49</f>
        <v>10.594940537786764</v>
      </c>
      <c r="I19" s="74">
        <f>(114.05+62.038)/I$49</f>
        <v>5.7595955644493921</v>
      </c>
      <c r="J19" s="74">
        <f>(190+25)/J$49</f>
        <v>7.0859165069424188</v>
      </c>
      <c r="K19" s="74">
        <f>(138+162)/K$49</f>
        <v>7.6277650648360034</v>
      </c>
      <c r="L19" s="74">
        <v>4.8499999999999996</v>
      </c>
      <c r="M19" s="74">
        <f>6.05+3.35</f>
        <v>9.4</v>
      </c>
      <c r="N19" s="74">
        <f>+(348.883+199.365+127.549)/N$49</f>
        <v>8.805233825729081</v>
      </c>
      <c r="O19" s="74">
        <f>+(210.631+197.005+30.306+22.355)/O$49</f>
        <v>7.2522359762406179</v>
      </c>
      <c r="P19" s="74">
        <f>(251+182)/P$49</f>
        <v>15.093068110519836</v>
      </c>
      <c r="Q19" s="74">
        <f>(163+138)/Q49</f>
        <v>7.6591630053096749</v>
      </c>
      <c r="R19" s="74">
        <f>147.6/R$49</f>
        <v>7.901841850095991</v>
      </c>
      <c r="S19" s="74">
        <f>+(111+7+22+173+1)/S$49</f>
        <v>8.8765760162831455</v>
      </c>
      <c r="T19" s="74">
        <f>9.26+2.41</f>
        <v>11.67</v>
      </c>
      <c r="U19" s="74">
        <v>7.03</v>
      </c>
      <c r="V19" s="74">
        <f>189/V49</f>
        <v>5.6144172690365393</v>
      </c>
    </row>
    <row r="20" spans="1:23" s="9" customFormat="1">
      <c r="A20" s="216" t="s">
        <v>74</v>
      </c>
      <c r="B20" s="74"/>
      <c r="C20" s="74"/>
      <c r="D20" s="74">
        <f>(280+147)/D49/D62</f>
        <v>2.9889505517585362</v>
      </c>
      <c r="E20" s="74">
        <f>9.07/$D$62</f>
        <v>6.8712121212121211</v>
      </c>
      <c r="F20" s="74"/>
      <c r="G20" s="74"/>
      <c r="H20" s="74"/>
      <c r="I20" s="74"/>
      <c r="J20" s="74"/>
      <c r="K20" s="74"/>
      <c r="L20" s="74"/>
      <c r="M20" s="74"/>
      <c r="N20" s="74"/>
      <c r="O20" s="74"/>
      <c r="P20" s="74"/>
      <c r="Q20" s="74"/>
      <c r="R20" s="74"/>
      <c r="S20" s="74">
        <f>5/S$49</f>
        <v>0.14134675185164244</v>
      </c>
      <c r="T20" s="74"/>
      <c r="U20" s="74"/>
      <c r="V20" s="74"/>
    </row>
    <row r="21" spans="1:23" s="9" customFormat="1">
      <c r="A21" s="216" t="s">
        <v>10</v>
      </c>
      <c r="B21" s="74">
        <f>0.09*6</f>
        <v>0.54</v>
      </c>
      <c r="C21" s="74">
        <f>44/C49</f>
        <v>1.1194061557128223</v>
      </c>
      <c r="D21" s="74"/>
      <c r="E21" s="74">
        <f>0.01/$D$62</f>
        <v>7.575757575757576E-3</v>
      </c>
      <c r="F21" s="74">
        <f>35/F49</f>
        <v>0.79533404029692467</v>
      </c>
      <c r="G21" s="74">
        <f>30.873/G49</f>
        <v>1.1688853937775352</v>
      </c>
      <c r="H21" s="74">
        <f>237/H49</f>
        <v>1.8865521468485822</v>
      </c>
      <c r="I21" s="74">
        <f>86.931/I$49</f>
        <v>2.8433930876218145</v>
      </c>
      <c r="J21" s="74">
        <f>85/J$49</f>
        <v>2.8014088515818862</v>
      </c>
      <c r="K21" s="74">
        <f>(60+8)/K$49</f>
        <v>1.7289600813628274</v>
      </c>
      <c r="L21" s="74">
        <v>2.31</v>
      </c>
      <c r="M21" s="74">
        <v>1.18</v>
      </c>
      <c r="N21" s="74">
        <f>203.098/N$49</f>
        <v>2.6462464017122374</v>
      </c>
      <c r="O21" s="74">
        <f>15.466/O$49</f>
        <v>0.24367545651728645</v>
      </c>
      <c r="P21" s="74">
        <f>47/P$49</f>
        <v>1.638277600910929</v>
      </c>
      <c r="Q21" s="74">
        <f>81/Q$49</f>
        <v>2.0611036658806765</v>
      </c>
      <c r="R21" s="74">
        <f>13.8/R$49</f>
        <v>0.73879009167564147</v>
      </c>
      <c r="S21" s="74">
        <f>51/S$49</f>
        <v>1.4417368688867529</v>
      </c>
      <c r="T21" s="74">
        <v>1.82</v>
      </c>
      <c r="U21" s="74">
        <v>2.67</v>
      </c>
      <c r="V21" s="74">
        <f>15/V49</f>
        <v>0.44558867214575709</v>
      </c>
    </row>
    <row r="22" spans="1:23" s="9" customFormat="1">
      <c r="A22" s="216" t="s">
        <v>11</v>
      </c>
      <c r="B22" s="74">
        <f>(0.1*6)+(3.875/B49)</f>
        <v>0.67506744058862489</v>
      </c>
      <c r="C22" s="74">
        <f>98/C49</f>
        <v>2.493222801360377</v>
      </c>
      <c r="D22" s="74">
        <f>(95+7)/D49/D62</f>
        <v>0.71398818800789376</v>
      </c>
      <c r="E22" s="74">
        <f>72/E49/D62</f>
        <v>1.3218341944001164</v>
      </c>
      <c r="F22" s="74">
        <f>66/F49</f>
        <v>1.4997727617027723</v>
      </c>
      <c r="G22" s="74">
        <f>+(29.828+12.155)/G49</f>
        <v>1.5895220900774869</v>
      </c>
      <c r="H22" s="74">
        <f>87/H49</f>
        <v>0.69253180074188458</v>
      </c>
      <c r="I22" s="74">
        <f>46.993/I$49</f>
        <v>1.537076202581495</v>
      </c>
      <c r="J22" s="74">
        <f>75/J$49</f>
        <v>2.4718313396310765</v>
      </c>
      <c r="K22" s="74">
        <f>107/K$49</f>
        <v>2.7205695397915077</v>
      </c>
      <c r="L22" s="74">
        <v>0.75</v>
      </c>
      <c r="M22" s="74">
        <v>1.46</v>
      </c>
      <c r="N22" s="74">
        <f>135.758/N$49</f>
        <v>1.7688461678778222</v>
      </c>
      <c r="O22" s="74">
        <f>(79.376-36.609)/O$49</f>
        <v>0.67381793927808042</v>
      </c>
      <c r="P22" s="74">
        <f>51/P$49</f>
        <v>1.7777054818395188</v>
      </c>
      <c r="Q22" s="74">
        <f>82/Q$49</f>
        <v>2.0865493901508083</v>
      </c>
      <c r="R22" s="74">
        <f>35.9/R$49</f>
        <v>1.9219249486344585</v>
      </c>
      <c r="S22" s="74">
        <f>91/S$49</f>
        <v>2.5725108836998922</v>
      </c>
      <c r="T22" s="74">
        <v>3.77</v>
      </c>
      <c r="U22" s="74">
        <f>72/U49</f>
        <v>2.3051496980221877</v>
      </c>
      <c r="V22" s="74">
        <f>42/V49</f>
        <v>1.2476482820081198</v>
      </c>
    </row>
    <row r="23" spans="1:23" s="9" customFormat="1">
      <c r="A23" s="216" t="s">
        <v>12</v>
      </c>
      <c r="B23" s="74">
        <f>47.754/B49</f>
        <v>0.92510207945011347</v>
      </c>
      <c r="C23" s="74">
        <f>107/C49</f>
        <v>2.7221922423016358</v>
      </c>
      <c r="D23" s="74">
        <f>231/D49/D62</f>
        <v>1.6169732493119948</v>
      </c>
      <c r="E23" s="74">
        <f>(97)/E49/D62</f>
        <v>1.7808044007890453</v>
      </c>
      <c r="F23" s="74">
        <f>177/F49</f>
        <v>4.0221178609301624</v>
      </c>
      <c r="G23" s="74">
        <f>24.586/G49</f>
        <v>0.9308527286436199</v>
      </c>
      <c r="H23" s="74">
        <f>184/H49</f>
        <v>1.4646649578908824</v>
      </c>
      <c r="I23" s="74">
        <f>68.09/I$49</f>
        <v>2.2271299690118527</v>
      </c>
      <c r="J23" s="74">
        <f>46/J$49</f>
        <v>1.5160565549737268</v>
      </c>
      <c r="K23" s="74">
        <f>60/K$49</f>
        <v>1.5255530129672006</v>
      </c>
      <c r="L23" s="74">
        <f>38/L$49</f>
        <v>1.4384825372005465</v>
      </c>
      <c r="M23" s="74">
        <f>99/M$49</f>
        <v>1.7785581342985055</v>
      </c>
      <c r="N23" s="74">
        <f>39.62/N$49</f>
        <v>0.51622508560320057</v>
      </c>
      <c r="O23" s="74">
        <f>47.709/O$49</f>
        <v>0.75168190579226823</v>
      </c>
      <c r="P23" s="74">
        <f>(88-13)/P$49</f>
        <v>2.6142727674110571</v>
      </c>
      <c r="Q23" s="74">
        <f>64/Q$49</f>
        <v>1.628526353288436</v>
      </c>
      <c r="R23" s="74">
        <f>((137.116-4.563)-(102.802+0.079))/R$49</f>
        <v>1.5885057681304096</v>
      </c>
      <c r="S23" s="74">
        <f>(92-8.807)/S$49</f>
        <v>2.3518120653587378</v>
      </c>
      <c r="T23" s="74">
        <f>381/T49</f>
        <v>3.7114004610838722</v>
      </c>
      <c r="U23" s="74">
        <f>29/U49</f>
        <v>0.92846307281449236</v>
      </c>
      <c r="V23" s="74">
        <f>17/V49</f>
        <v>0.50500049509852474</v>
      </c>
    </row>
    <row r="24" spans="1:23" s="9" customFormat="1">
      <c r="A24" s="216" t="s">
        <v>13</v>
      </c>
      <c r="B24" s="74">
        <f>0.78*6</f>
        <v>4.68</v>
      </c>
      <c r="C24" s="74">
        <f>(667+28+16)/C49</f>
        <v>18.088585834359471</v>
      </c>
      <c r="D24" s="74">
        <f>(1021+401)/D49/D62</f>
        <v>9.9538353269335786</v>
      </c>
      <c r="E24" s="74">
        <f>(391+78)/E49/D62</f>
        <v>8.6102810718563134</v>
      </c>
      <c r="F24" s="74">
        <f>573/F49</f>
        <v>13.020754431146795</v>
      </c>
      <c r="G24" s="74">
        <f>227.978/G49</f>
        <v>8.6314952969460332</v>
      </c>
      <c r="H24" s="74">
        <f>1566/H49</f>
        <v>12.465572413353923</v>
      </c>
      <c r="I24" s="74">
        <f>484.031/I$49</f>
        <v>15.83198628331291</v>
      </c>
      <c r="J24" s="74">
        <f>488/J$49</f>
        <v>16.083382583199537</v>
      </c>
      <c r="K24" s="74">
        <f>402/K$49</f>
        <v>10.221205186880244</v>
      </c>
      <c r="L24" s="74">
        <v>13.33</v>
      </c>
      <c r="M24" s="74">
        <f>(100+438)/M$49</f>
        <v>9.6652957197231917</v>
      </c>
      <c r="N24" s="74">
        <f>953.597/N$49</f>
        <v>12.424802951942334</v>
      </c>
      <c r="O24" s="74">
        <f>390.993/O$49</f>
        <v>6.1603128003403196</v>
      </c>
      <c r="P24" s="74">
        <f>(507)/P$49</f>
        <v>17.672483907698744</v>
      </c>
      <c r="Q24" s="74">
        <f>622/Q$49</f>
        <v>15.827240496021986</v>
      </c>
      <c r="R24" s="74">
        <f>319.4/R$49</f>
        <v>17.09924313631883</v>
      </c>
      <c r="S24" s="74">
        <f>544/S$49</f>
        <v>15.378526601458697</v>
      </c>
      <c r="T24" s="74">
        <v>14.12</v>
      </c>
      <c r="U24" s="74">
        <f>438/U49</f>
        <v>14.022993996301643</v>
      </c>
      <c r="V24" s="74">
        <f>123/V49</f>
        <v>3.6538271115952083</v>
      </c>
    </row>
    <row r="25" spans="1:23" s="9" customFormat="1">
      <c r="A25" s="216"/>
      <c r="B25" s="74"/>
      <c r="C25" s="74"/>
      <c r="D25" s="74"/>
      <c r="E25" s="74"/>
      <c r="F25" s="74"/>
      <c r="G25" s="74"/>
      <c r="H25" s="74"/>
      <c r="I25" s="74"/>
      <c r="J25" s="74"/>
      <c r="K25" s="74"/>
      <c r="L25" s="74"/>
      <c r="M25" s="74"/>
      <c r="N25" s="74"/>
      <c r="O25" s="74"/>
      <c r="P25" s="74"/>
      <c r="Q25" s="74"/>
      <c r="R25" s="74"/>
      <c r="S25" s="74"/>
      <c r="T25" s="74"/>
      <c r="U25" s="74"/>
      <c r="V25" s="74"/>
    </row>
    <row r="26" spans="1:23" s="9" customFormat="1">
      <c r="A26" s="214" t="s">
        <v>9</v>
      </c>
      <c r="B26" s="186"/>
      <c r="C26" s="186"/>
      <c r="D26" s="186"/>
      <c r="E26" s="186"/>
      <c r="F26" s="186"/>
      <c r="G26" s="186"/>
      <c r="H26" s="186"/>
      <c r="I26" s="186"/>
      <c r="J26" s="186"/>
      <c r="K26" s="186"/>
      <c r="L26" s="186"/>
      <c r="M26" s="186"/>
      <c r="N26" s="186"/>
      <c r="O26" s="186"/>
      <c r="P26" s="186"/>
      <c r="Q26" s="186"/>
      <c r="R26" s="186"/>
      <c r="S26" s="186"/>
      <c r="T26" s="186"/>
      <c r="U26" s="186"/>
      <c r="V26" s="186"/>
    </row>
    <row r="27" spans="1:23" s="9" customFormat="1">
      <c r="A27" s="216" t="s">
        <v>165</v>
      </c>
      <c r="B27" s="74">
        <f>+B19+B21</f>
        <v>12.959999999999997</v>
      </c>
      <c r="C27" s="74">
        <f>+C19+C21</f>
        <v>11.702882536997686</v>
      </c>
      <c r="D27" s="74">
        <f>+D19+D21+D20</f>
        <v>21.909637533967722</v>
      </c>
      <c r="E27" s="74">
        <f>+E19+E21+E20</f>
        <v>19.545454545454547</v>
      </c>
      <c r="F27" s="74">
        <f>+F19+F21+F20</f>
        <v>10.452961672473869</v>
      </c>
      <c r="G27" s="74">
        <f>+G19+G21</f>
        <v>6.5071853279093377</v>
      </c>
      <c r="H27" s="74">
        <f>+H19+H21</f>
        <v>12.481492684635345</v>
      </c>
      <c r="I27" s="74">
        <f t="shared" ref="I27:V27" si="3">+I19+I21</f>
        <v>8.6029886520712076</v>
      </c>
      <c r="J27" s="74">
        <f>+J19+J21</f>
        <v>9.8873253585243042</v>
      </c>
      <c r="K27" s="74">
        <f t="shared" si="3"/>
        <v>9.3567251461988299</v>
      </c>
      <c r="L27" s="74">
        <f t="shared" ref="L27" si="4">+L19+L21</f>
        <v>7.16</v>
      </c>
      <c r="M27" s="74">
        <f t="shared" si="3"/>
        <v>10.58</v>
      </c>
      <c r="N27" s="74">
        <f t="shared" si="3"/>
        <v>11.451480227441319</v>
      </c>
      <c r="O27" s="74">
        <f t="shared" si="3"/>
        <v>7.4959114327579046</v>
      </c>
      <c r="P27" s="74">
        <f t="shared" si="3"/>
        <v>16.731345711430766</v>
      </c>
      <c r="Q27" s="74">
        <f t="shared" si="3"/>
        <v>9.7202666711903518</v>
      </c>
      <c r="R27" s="74">
        <f t="shared" si="3"/>
        <v>8.6406319417716322</v>
      </c>
      <c r="S27" s="74">
        <f t="shared" si="3"/>
        <v>10.318312885169899</v>
      </c>
      <c r="T27" s="74">
        <f t="shared" si="3"/>
        <v>13.49</v>
      </c>
      <c r="U27" s="74">
        <f t="shared" si="3"/>
        <v>9.6999999999999993</v>
      </c>
      <c r="V27" s="74">
        <f t="shared" si="3"/>
        <v>6.060005941182296</v>
      </c>
    </row>
    <row r="28" spans="1:23" s="9" customFormat="1">
      <c r="A28" s="216" t="s">
        <v>6</v>
      </c>
      <c r="B28" s="74">
        <f t="shared" ref="B28:V30" si="5">+B27+B22</f>
        <v>13.635067440588623</v>
      </c>
      <c r="C28" s="74">
        <f t="shared" si="5"/>
        <v>14.196105338358063</v>
      </c>
      <c r="D28" s="74">
        <f t="shared" si="5"/>
        <v>22.623625721975614</v>
      </c>
      <c r="E28" s="74">
        <f t="shared" si="5"/>
        <v>20.867288739854665</v>
      </c>
      <c r="F28" s="74">
        <f t="shared" si="5"/>
        <v>11.952734434176641</v>
      </c>
      <c r="G28" s="74">
        <f t="shared" si="5"/>
        <v>8.0967074179868241</v>
      </c>
      <c r="H28" s="74">
        <f t="shared" si="5"/>
        <v>13.174024485377229</v>
      </c>
      <c r="I28" s="74">
        <f t="shared" si="5"/>
        <v>10.140064854652703</v>
      </c>
      <c r="J28" s="74">
        <f t="shared" si="5"/>
        <v>12.359156698155381</v>
      </c>
      <c r="K28" s="74">
        <f t="shared" si="5"/>
        <v>12.077294685990339</v>
      </c>
      <c r="L28" s="74">
        <f t="shared" ref="L28" si="6">+L27+L22</f>
        <v>7.91</v>
      </c>
      <c r="M28" s="74">
        <f t="shared" si="5"/>
        <v>12.04</v>
      </c>
      <c r="N28" s="74">
        <f t="shared" si="5"/>
        <v>13.220326395319141</v>
      </c>
      <c r="O28" s="74">
        <f t="shared" si="5"/>
        <v>8.1697293720359845</v>
      </c>
      <c r="P28" s="74">
        <f t="shared" si="5"/>
        <v>18.509051193270285</v>
      </c>
      <c r="Q28" s="74">
        <f t="shared" si="5"/>
        <v>11.806816061341159</v>
      </c>
      <c r="R28" s="74">
        <f t="shared" si="5"/>
        <v>10.562556890406091</v>
      </c>
      <c r="S28" s="74">
        <f t="shared" si="5"/>
        <v>12.89082376886979</v>
      </c>
      <c r="T28" s="74">
        <f t="shared" si="5"/>
        <v>17.260000000000002</v>
      </c>
      <c r="U28" s="74">
        <f t="shared" si="5"/>
        <v>12.005149698022187</v>
      </c>
      <c r="V28" s="74">
        <f t="shared" si="5"/>
        <v>7.3076542231904158</v>
      </c>
    </row>
    <row r="29" spans="1:23" s="9" customFormat="1">
      <c r="A29" s="216" t="s">
        <v>7</v>
      </c>
      <c r="B29" s="74">
        <f>+B28+B23</f>
        <v>14.560169520038736</v>
      </c>
      <c r="C29" s="74">
        <f t="shared" si="5"/>
        <v>16.918297580659697</v>
      </c>
      <c r="D29" s="74">
        <f t="shared" si="5"/>
        <v>24.240598971287611</v>
      </c>
      <c r="E29" s="74">
        <f t="shared" si="5"/>
        <v>22.648093140643709</v>
      </c>
      <c r="F29" s="74">
        <f t="shared" si="5"/>
        <v>15.974852295106803</v>
      </c>
      <c r="G29" s="74">
        <f t="shared" si="5"/>
        <v>9.027560146630444</v>
      </c>
      <c r="H29" s="74">
        <f t="shared" si="5"/>
        <v>14.638689443268111</v>
      </c>
      <c r="I29" s="74">
        <f t="shared" si="5"/>
        <v>12.367194823664555</v>
      </c>
      <c r="J29" s="74">
        <f t="shared" si="5"/>
        <v>13.875213253129107</v>
      </c>
      <c r="K29" s="74">
        <f t="shared" si="5"/>
        <v>13.60284769895754</v>
      </c>
      <c r="L29" s="74">
        <f t="shared" ref="L29" si="7">+L28+L23</f>
        <v>9.348482537200546</v>
      </c>
      <c r="M29" s="74">
        <f t="shared" si="5"/>
        <v>13.818558134298504</v>
      </c>
      <c r="N29" s="74">
        <f t="shared" si="5"/>
        <v>13.736551480922342</v>
      </c>
      <c r="O29" s="74">
        <f t="shared" si="5"/>
        <v>8.9214112778282519</v>
      </c>
      <c r="P29" s="74">
        <f t="shared" si="5"/>
        <v>21.12332396068134</v>
      </c>
      <c r="Q29" s="74">
        <f t="shared" si="5"/>
        <v>13.435342414629595</v>
      </c>
      <c r="R29" s="74">
        <f t="shared" si="5"/>
        <v>12.1510626585365</v>
      </c>
      <c r="S29" s="74">
        <f t="shared" si="5"/>
        <v>15.242635834228528</v>
      </c>
      <c r="T29" s="74">
        <f t="shared" si="5"/>
        <v>20.971400461083874</v>
      </c>
      <c r="U29" s="74">
        <f t="shared" si="5"/>
        <v>12.93361277083668</v>
      </c>
      <c r="V29" s="74">
        <f t="shared" si="5"/>
        <v>7.8126547182889405</v>
      </c>
      <c r="W29" s="65"/>
    </row>
    <row r="30" spans="1:23" s="9" customFormat="1">
      <c r="A30" s="216" t="s">
        <v>8</v>
      </c>
      <c r="B30" s="74">
        <f t="shared" si="5"/>
        <v>19.240169520038734</v>
      </c>
      <c r="C30" s="74">
        <f t="shared" si="5"/>
        <v>35.006883415019168</v>
      </c>
      <c r="D30" s="74">
        <f t="shared" si="5"/>
        <v>34.194434298221189</v>
      </c>
      <c r="E30" s="74">
        <f>+E29+E24</f>
        <v>31.258374212500023</v>
      </c>
      <c r="F30" s="74">
        <f t="shared" si="5"/>
        <v>28.995606726253598</v>
      </c>
      <c r="G30" s="74">
        <f t="shared" si="5"/>
        <v>17.659055443576477</v>
      </c>
      <c r="H30" s="74">
        <f t="shared" si="5"/>
        <v>27.104261856622035</v>
      </c>
      <c r="I30" s="74">
        <f t="shared" si="5"/>
        <v>28.199181106977463</v>
      </c>
      <c r="J30" s="74">
        <f t="shared" si="5"/>
        <v>29.958595836328644</v>
      </c>
      <c r="K30" s="74">
        <f t="shared" si="5"/>
        <v>23.824052885837784</v>
      </c>
      <c r="L30" s="74">
        <f t="shared" ref="L30" si="8">+L29+L24</f>
        <v>22.678482537200544</v>
      </c>
      <c r="M30" s="74">
        <f t="shared" si="5"/>
        <v>23.483853854021696</v>
      </c>
      <c r="N30" s="74">
        <f t="shared" si="5"/>
        <v>26.161354432864677</v>
      </c>
      <c r="O30" s="74">
        <f t="shared" si="5"/>
        <v>15.081724078168572</v>
      </c>
      <c r="P30" s="74">
        <f t="shared" si="5"/>
        <v>38.795807868380081</v>
      </c>
      <c r="Q30" s="74">
        <f t="shared" si="5"/>
        <v>29.262582910651581</v>
      </c>
      <c r="R30" s="74">
        <f t="shared" si="5"/>
        <v>29.250305794855329</v>
      </c>
      <c r="S30" s="74">
        <f t="shared" si="5"/>
        <v>30.621162435687225</v>
      </c>
      <c r="T30" s="74">
        <f t="shared" si="5"/>
        <v>35.091400461083872</v>
      </c>
      <c r="U30" s="74">
        <f t="shared" si="5"/>
        <v>26.956606767138325</v>
      </c>
      <c r="V30" s="74">
        <f t="shared" si="5"/>
        <v>11.466481829884149</v>
      </c>
      <c r="W30" s="65"/>
    </row>
    <row r="31" spans="1:23" s="9" customFormat="1">
      <c r="A31" s="214"/>
      <c r="B31" s="74"/>
      <c r="C31" s="74"/>
      <c r="D31" s="74"/>
      <c r="E31" s="74"/>
      <c r="F31" s="74"/>
      <c r="G31" s="74"/>
      <c r="H31" s="74"/>
      <c r="I31" s="74"/>
      <c r="J31" s="74"/>
      <c r="K31" s="74"/>
      <c r="L31" s="74"/>
      <c r="M31" s="74"/>
      <c r="N31" s="74"/>
      <c r="O31" s="74"/>
      <c r="P31" s="74"/>
      <c r="Q31" s="74"/>
      <c r="R31" s="74"/>
      <c r="S31" s="74"/>
      <c r="T31" s="74"/>
      <c r="U31" s="74"/>
      <c r="V31" s="74"/>
    </row>
    <row r="32" spans="1:23" s="9" customFormat="1">
      <c r="A32" s="216" t="s">
        <v>14</v>
      </c>
      <c r="B32" s="74"/>
      <c r="C32" s="74"/>
      <c r="D32" s="74"/>
      <c r="E32" s="74"/>
      <c r="F32" s="74"/>
      <c r="G32" s="74"/>
      <c r="H32" s="74"/>
      <c r="I32" s="74"/>
      <c r="J32" s="74"/>
      <c r="K32" s="74"/>
      <c r="L32" s="74"/>
      <c r="M32" s="74"/>
      <c r="N32" s="74"/>
      <c r="O32" s="74"/>
      <c r="P32" s="74"/>
      <c r="Q32" s="74"/>
      <c r="R32" s="74"/>
      <c r="S32" s="74"/>
      <c r="T32" s="74"/>
      <c r="U32" s="74"/>
      <c r="V32" s="74"/>
    </row>
    <row r="33" spans="1:22" s="9" customFormat="1">
      <c r="A33" s="216" t="s">
        <v>67</v>
      </c>
      <c r="B33" s="74">
        <f t="shared" ref="B33:F33" si="9">+B$16-B27</f>
        <v>3.480000000000004</v>
      </c>
      <c r="C33" s="74">
        <f t="shared" si="9"/>
        <v>23.134390385739394</v>
      </c>
      <c r="D33" s="74">
        <f t="shared" si="9"/>
        <v>23.253615299629647</v>
      </c>
      <c r="E33" s="74">
        <f t="shared" si="9"/>
        <v>19.454545454545446</v>
      </c>
      <c r="F33" s="74">
        <f t="shared" si="9"/>
        <v>12.339039539463716</v>
      </c>
      <c r="G33" s="74">
        <f t="shared" ref="G33:V33" si="10">+G$16-G27</f>
        <v>15.095481122562099</v>
      </c>
      <c r="H33" s="74">
        <f t="shared" si="10"/>
        <v>31.261107095664901</v>
      </c>
      <c r="I33" s="74">
        <f t="shared" si="10"/>
        <v>26.768113543396812</v>
      </c>
      <c r="J33" s="74">
        <f t="shared" si="10"/>
        <v>26.852674641475698</v>
      </c>
      <c r="K33" s="74">
        <f t="shared" si="10"/>
        <v>16.57327485380117</v>
      </c>
      <c r="L33" s="74">
        <f t="shared" ref="L33" si="11">+L$16-L27</f>
        <v>29.040000000000003</v>
      </c>
      <c r="M33" s="74">
        <f t="shared" si="10"/>
        <v>15.88</v>
      </c>
      <c r="N33" s="74">
        <f t="shared" si="10"/>
        <v>25.725976814605435</v>
      </c>
      <c r="O33" s="74">
        <f t="shared" si="10"/>
        <v>4.6299912294061718</v>
      </c>
      <c r="P33" s="74">
        <f t="shared" si="10"/>
        <v>21.479482722561752</v>
      </c>
      <c r="Q33" s="74">
        <f t="shared" si="10"/>
        <v>22.06144294220428</v>
      </c>
      <c r="R33" s="74">
        <f t="shared" si="10"/>
        <v>31.531186364119151</v>
      </c>
      <c r="S33" s="74">
        <f t="shared" si="10"/>
        <v>18.035845536269573</v>
      </c>
      <c r="T33" s="74">
        <f t="shared" si="10"/>
        <v>23.555819268110533</v>
      </c>
      <c r="U33" s="74">
        <f t="shared" si="10"/>
        <v>28.580000000000002</v>
      </c>
      <c r="V33" s="74">
        <f t="shared" si="10"/>
        <v>4.2776512525992691</v>
      </c>
    </row>
    <row r="34" spans="1:22" s="9" customFormat="1">
      <c r="A34" s="216" t="s">
        <v>68</v>
      </c>
      <c r="B34" s="74">
        <f t="shared" ref="B34:B36" si="12">+B$16-B28</f>
        <v>2.8049325594113785</v>
      </c>
      <c r="C34" s="74">
        <f t="shared" ref="C34:V34" si="13">+C$16-C28</f>
        <v>20.641167584379016</v>
      </c>
      <c r="D34" s="74">
        <f t="shared" si="13"/>
        <v>22.539627111621755</v>
      </c>
      <c r="E34" s="74">
        <f t="shared" si="13"/>
        <v>18.132711260145328</v>
      </c>
      <c r="F34" s="74">
        <f t="shared" si="13"/>
        <v>10.839266777760944</v>
      </c>
      <c r="G34" s="74">
        <f t="shared" si="13"/>
        <v>13.505959032484611</v>
      </c>
      <c r="H34" s="74">
        <f t="shared" si="13"/>
        <v>30.568575294923015</v>
      </c>
      <c r="I34" s="74">
        <f t="shared" si="13"/>
        <v>25.231037340815316</v>
      </c>
      <c r="J34" s="74">
        <f t="shared" si="13"/>
        <v>24.380843301844621</v>
      </c>
      <c r="K34" s="74">
        <f t="shared" si="13"/>
        <v>13.852705314009661</v>
      </c>
      <c r="L34" s="74">
        <f t="shared" ref="L34" si="14">+L$16-L28</f>
        <v>28.290000000000003</v>
      </c>
      <c r="M34" s="74">
        <f t="shared" si="13"/>
        <v>14.420000000000002</v>
      </c>
      <c r="N34" s="74">
        <f t="shared" si="13"/>
        <v>23.957130646727613</v>
      </c>
      <c r="O34" s="74">
        <f t="shared" si="13"/>
        <v>3.9561732901280919</v>
      </c>
      <c r="P34" s="74">
        <f t="shared" si="13"/>
        <v>19.701777240722233</v>
      </c>
      <c r="Q34" s="74">
        <f t="shared" si="13"/>
        <v>19.974893552053473</v>
      </c>
      <c r="R34" s="74">
        <f t="shared" si="13"/>
        <v>29.609261415484688</v>
      </c>
      <c r="S34" s="74">
        <f t="shared" si="13"/>
        <v>15.463334652569682</v>
      </c>
      <c r="T34" s="74">
        <f t="shared" si="13"/>
        <v>19.785819268110533</v>
      </c>
      <c r="U34" s="74">
        <f t="shared" si="13"/>
        <v>26.274850301977814</v>
      </c>
      <c r="V34" s="74">
        <f t="shared" si="13"/>
        <v>3.0300029705911493</v>
      </c>
    </row>
    <row r="35" spans="1:22" s="9" customFormat="1">
      <c r="A35" s="216" t="s">
        <v>69</v>
      </c>
      <c r="B35" s="74">
        <f t="shared" si="12"/>
        <v>1.8798304799612655</v>
      </c>
      <c r="C35" s="74">
        <f t="shared" ref="C35:V35" si="15">+C$16-C29</f>
        <v>17.918975342077381</v>
      </c>
      <c r="D35" s="74">
        <f t="shared" si="15"/>
        <v>20.922653862309758</v>
      </c>
      <c r="E35" s="74">
        <f t="shared" si="15"/>
        <v>16.351906859356284</v>
      </c>
      <c r="F35" s="74">
        <f t="shared" si="15"/>
        <v>6.8171489168307815</v>
      </c>
      <c r="G35" s="74">
        <f t="shared" si="15"/>
        <v>12.575106303840991</v>
      </c>
      <c r="H35" s="74">
        <f t="shared" si="15"/>
        <v>29.103910337032133</v>
      </c>
      <c r="I35" s="74">
        <f t="shared" si="15"/>
        <v>23.003907371803464</v>
      </c>
      <c r="J35" s="74">
        <f t="shared" si="15"/>
        <v>22.864786746870895</v>
      </c>
      <c r="K35" s="74">
        <f t="shared" si="15"/>
        <v>12.32715230104246</v>
      </c>
      <c r="L35" s="74">
        <f t="shared" ref="L35" si="16">+L$16-L29</f>
        <v>26.851517462799457</v>
      </c>
      <c r="M35" s="74">
        <f t="shared" si="15"/>
        <v>12.641441865701497</v>
      </c>
      <c r="N35" s="74">
        <f t="shared" si="15"/>
        <v>23.44090556112441</v>
      </c>
      <c r="O35" s="74">
        <f t="shared" si="15"/>
        <v>3.2044913843358245</v>
      </c>
      <c r="P35" s="74">
        <f t="shared" si="15"/>
        <v>17.087504473311178</v>
      </c>
      <c r="Q35" s="74">
        <f t="shared" si="15"/>
        <v>18.346367198765037</v>
      </c>
      <c r="R35" s="74">
        <f t="shared" si="15"/>
        <v>28.020755647354282</v>
      </c>
      <c r="S35" s="74">
        <f t="shared" si="15"/>
        <v>13.111522587210944</v>
      </c>
      <c r="T35" s="74">
        <f t="shared" si="15"/>
        <v>16.07441880702666</v>
      </c>
      <c r="U35" s="74">
        <f t="shared" si="15"/>
        <v>25.346387229163319</v>
      </c>
      <c r="V35" s="74">
        <f t="shared" si="15"/>
        <v>2.5250024754926246</v>
      </c>
    </row>
    <row r="36" spans="1:22" s="9" customFormat="1">
      <c r="A36" s="216" t="s">
        <v>70</v>
      </c>
      <c r="B36" s="74">
        <f t="shared" si="12"/>
        <v>-2.8001695200387324</v>
      </c>
      <c r="C36" s="74">
        <f t="shared" ref="C36:V36" si="17">+C$16-C30</f>
        <v>-0.16961049228208935</v>
      </c>
      <c r="D36" s="74">
        <f t="shared" si="17"/>
        <v>10.96881853537618</v>
      </c>
      <c r="E36" s="74">
        <f t="shared" si="17"/>
        <v>7.7416257874999701</v>
      </c>
      <c r="F36" s="74">
        <f t="shared" si="17"/>
        <v>-6.2036055143160134</v>
      </c>
      <c r="G36" s="74">
        <f t="shared" si="17"/>
        <v>3.9436110068949581</v>
      </c>
      <c r="H36" s="74">
        <f t="shared" si="17"/>
        <v>16.638337923678211</v>
      </c>
      <c r="I36" s="74">
        <f t="shared" si="17"/>
        <v>7.1719210884905564</v>
      </c>
      <c r="J36" s="74">
        <f t="shared" si="17"/>
        <v>6.7814041636713576</v>
      </c>
      <c r="K36" s="74">
        <f t="shared" si="17"/>
        <v>2.1059471141622161</v>
      </c>
      <c r="L36" s="74">
        <f t="shared" ref="L36" si="18">+L$16-L30</f>
        <v>13.521517462799459</v>
      </c>
      <c r="M36" s="74">
        <f t="shared" si="17"/>
        <v>2.976146145978305</v>
      </c>
      <c r="N36" s="74">
        <f t="shared" si="17"/>
        <v>11.016102609182077</v>
      </c>
      <c r="O36" s="74">
        <f t="shared" si="17"/>
        <v>-2.9558214160044951</v>
      </c>
      <c r="P36" s="74">
        <f t="shared" si="17"/>
        <v>-0.58497943438756295</v>
      </c>
      <c r="Q36" s="74">
        <f t="shared" si="17"/>
        <v>2.5191267027430513</v>
      </c>
      <c r="R36" s="74">
        <f t="shared" si="17"/>
        <v>10.921512511035452</v>
      </c>
      <c r="S36" s="74">
        <f t="shared" si="17"/>
        <v>-2.2670040142477532</v>
      </c>
      <c r="T36" s="74">
        <f t="shared" si="17"/>
        <v>1.9544188070266628</v>
      </c>
      <c r="U36" s="74">
        <f t="shared" si="17"/>
        <v>11.323393232861676</v>
      </c>
      <c r="V36" s="74">
        <f t="shared" si="17"/>
        <v>-1.1288246361025838</v>
      </c>
    </row>
    <row r="37" spans="1:22" s="9" customFormat="1">
      <c r="A37" s="216" t="s">
        <v>112</v>
      </c>
      <c r="B37" s="74">
        <f>+B16-B19-B20-B21-B22</f>
        <v>2.8049325594113781</v>
      </c>
      <c r="C37" s="74">
        <f t="shared" ref="C37:V37" si="19">+C16-C19-C20-C21-C22</f>
        <v>20.641167584379012</v>
      </c>
      <c r="D37" s="74">
        <f t="shared" si="19"/>
        <v>22.539627111621755</v>
      </c>
      <c r="E37" s="74">
        <f t="shared" si="19"/>
        <v>18.132711260145335</v>
      </c>
      <c r="F37" s="74">
        <f t="shared" si="19"/>
        <v>10.839266777760944</v>
      </c>
      <c r="G37" s="74">
        <f t="shared" si="19"/>
        <v>13.505959032484613</v>
      </c>
      <c r="H37" s="74">
        <f t="shared" si="19"/>
        <v>30.568575294923015</v>
      </c>
      <c r="I37" s="74">
        <f t="shared" si="19"/>
        <v>25.23103734081532</v>
      </c>
      <c r="J37" s="74">
        <f t="shared" si="19"/>
        <v>24.380843301844621</v>
      </c>
      <c r="K37" s="74">
        <f t="shared" si="19"/>
        <v>13.852705314009658</v>
      </c>
      <c r="L37" s="74">
        <f t="shared" ref="L37" si="20">+L16-L19-L20-L21-L22</f>
        <v>28.290000000000003</v>
      </c>
      <c r="M37" s="74">
        <f t="shared" si="19"/>
        <v>14.420000000000002</v>
      </c>
      <c r="N37" s="74">
        <f t="shared" si="19"/>
        <v>23.957130646727613</v>
      </c>
      <c r="O37" s="74">
        <f t="shared" si="19"/>
        <v>3.9561732901280915</v>
      </c>
      <c r="P37" s="74">
        <f t="shared" si="19"/>
        <v>19.701777240722233</v>
      </c>
      <c r="Q37" s="74">
        <f t="shared" si="19"/>
        <v>19.974893552053473</v>
      </c>
      <c r="R37" s="74">
        <f t="shared" si="19"/>
        <v>29.609261415484688</v>
      </c>
      <c r="S37" s="74">
        <f t="shared" si="19"/>
        <v>15.321987900718039</v>
      </c>
      <c r="T37" s="74">
        <f t="shared" si="19"/>
        <v>19.785819268110533</v>
      </c>
      <c r="U37" s="74">
        <f t="shared" si="19"/>
        <v>26.274850301977811</v>
      </c>
      <c r="V37" s="74">
        <f t="shared" si="19"/>
        <v>3.0300029705911493</v>
      </c>
    </row>
    <row r="38" spans="1:22" s="9" customFormat="1">
      <c r="A38" s="216" t="s">
        <v>105</v>
      </c>
      <c r="B38" s="260">
        <f>+(B35+B23)/B23</f>
        <v>3.032024921053738</v>
      </c>
      <c r="C38" s="260">
        <f t="shared" ref="C38:V38" si="21">+(C35+C23)/C23</f>
        <v>7.5825532317757025</v>
      </c>
      <c r="D38" s="260">
        <f t="shared" si="21"/>
        <v>13.939393939393945</v>
      </c>
      <c r="E38" s="260">
        <f t="shared" si="21"/>
        <v>10.182314942680408</v>
      </c>
      <c r="F38" s="260">
        <f t="shared" si="21"/>
        <v>2.6949152542372876</v>
      </c>
      <c r="G38" s="260">
        <f t="shared" si="21"/>
        <v>14.50923289677052</v>
      </c>
      <c r="H38" s="260">
        <f t="shared" si="21"/>
        <v>20.870694782608691</v>
      </c>
      <c r="I38" s="260">
        <f t="shared" si="21"/>
        <v>11.328946981935673</v>
      </c>
      <c r="J38" s="260">
        <f t="shared" si="21"/>
        <v>16.081750526956522</v>
      </c>
      <c r="K38" s="260">
        <f t="shared" si="21"/>
        <v>9.080448333333333</v>
      </c>
      <c r="L38" s="260">
        <f t="shared" ref="L38" si="22">+(L35+L23)/L23</f>
        <v>19.666557826315788</v>
      </c>
      <c r="M38" s="260">
        <f t="shared" si="21"/>
        <v>8.1076911245791248</v>
      </c>
      <c r="N38" s="260">
        <f t="shared" si="21"/>
        <v>46.408303886925786</v>
      </c>
      <c r="O38" s="260">
        <f t="shared" si="21"/>
        <v>5.2630950135194619</v>
      </c>
      <c r="P38" s="260">
        <f t="shared" si="21"/>
        <v>7.5362362666666654</v>
      </c>
      <c r="Q38" s="260">
        <f t="shared" si="21"/>
        <v>12.265625</v>
      </c>
      <c r="R38" s="260">
        <f t="shared" si="21"/>
        <v>18.63969398759772</v>
      </c>
      <c r="S38" s="260">
        <f t="shared" si="21"/>
        <v>6.5750724219585779</v>
      </c>
      <c r="T38" s="260">
        <f t="shared" si="21"/>
        <v>5.3310925284339454</v>
      </c>
      <c r="U38" s="260">
        <f t="shared" si="21"/>
        <v>28.299294900689652</v>
      </c>
      <c r="V38" s="260">
        <f t="shared" si="21"/>
        <v>6.0000000000000018</v>
      </c>
    </row>
    <row r="39" spans="1:22" s="9" customFormat="1">
      <c r="A39" s="214"/>
      <c r="B39" s="74"/>
      <c r="C39" s="74"/>
      <c r="D39" s="74"/>
      <c r="E39" s="74"/>
      <c r="F39" s="74"/>
      <c r="G39" s="74"/>
      <c r="H39" s="74"/>
      <c r="I39" s="74"/>
      <c r="J39" s="74"/>
      <c r="K39" s="74"/>
      <c r="L39" s="74"/>
      <c r="M39" s="74"/>
      <c r="N39" s="74"/>
      <c r="O39" s="74"/>
      <c r="P39" s="74"/>
      <c r="Q39" s="74"/>
      <c r="R39" s="74"/>
      <c r="S39" s="74"/>
      <c r="T39" s="74"/>
      <c r="U39" s="74"/>
      <c r="V39" s="74"/>
    </row>
    <row r="40" spans="1:22" s="9" customFormat="1">
      <c r="A40" s="216" t="s">
        <v>53</v>
      </c>
      <c r="B40" s="180"/>
      <c r="C40" s="180"/>
      <c r="D40" s="180"/>
      <c r="E40" s="180"/>
      <c r="F40" s="180"/>
      <c r="G40" s="180"/>
      <c r="H40" s="180"/>
      <c r="I40" s="180"/>
      <c r="J40" s="180"/>
      <c r="K40" s="180"/>
      <c r="L40" s="180"/>
      <c r="M40" s="180"/>
      <c r="N40" s="180"/>
      <c r="O40" s="180"/>
      <c r="P40" s="180"/>
      <c r="Q40" s="180"/>
      <c r="R40" s="180"/>
      <c r="S40" s="180"/>
      <c r="T40" s="180"/>
      <c r="U40" s="180"/>
      <c r="V40" s="180"/>
    </row>
    <row r="41" spans="1:22" s="9" customFormat="1">
      <c r="A41" s="216" t="s">
        <v>54</v>
      </c>
      <c r="B41" s="180">
        <f t="shared" ref="B41:V41" si="23">+B45/B$48*100</f>
        <v>1.6767373485758958</v>
      </c>
      <c r="C41" s="180">
        <f t="shared" si="23"/>
        <v>49.363694771659198</v>
      </c>
      <c r="D41" s="180">
        <f t="shared" si="23"/>
        <v>79.187552314474516</v>
      </c>
      <c r="E41" s="180">
        <f t="shared" si="23"/>
        <v>80.155648385066257</v>
      </c>
      <c r="F41" s="180">
        <f t="shared" si="23"/>
        <v>24.041811846689896</v>
      </c>
      <c r="G41" s="180">
        <f t="shared" si="23"/>
        <v>31.255282883920525</v>
      </c>
      <c r="H41" s="180">
        <f t="shared" si="23"/>
        <v>56.609300622482607</v>
      </c>
      <c r="I41" s="180">
        <f t="shared" si="23"/>
        <v>59.604291109339023</v>
      </c>
      <c r="J41" s="180">
        <f t="shared" si="23"/>
        <v>62.422112594488219</v>
      </c>
      <c r="K41" s="180">
        <f t="shared" si="23"/>
        <v>35.321637426900587</v>
      </c>
      <c r="L41" s="180">
        <f t="shared" ref="L41" si="24">+L45/L$48*100</f>
        <v>64.595346029497975</v>
      </c>
      <c r="M41" s="180">
        <f t="shared" si="23"/>
        <v>29.552090793895658</v>
      </c>
      <c r="N41" s="180">
        <f t="shared" si="23"/>
        <v>55.631917529068595</v>
      </c>
      <c r="O41" s="180">
        <f t="shared" si="23"/>
        <v>0.34977338256069823</v>
      </c>
      <c r="P41" s="180">
        <f t="shared" si="23"/>
        <v>53.233564938535551</v>
      </c>
      <c r="Q41" s="180">
        <f t="shared" si="23"/>
        <v>50.799843932891143</v>
      </c>
      <c r="R41" s="180">
        <f t="shared" si="23"/>
        <v>60.556161181013422</v>
      </c>
      <c r="S41" s="180">
        <f t="shared" si="23"/>
        <v>37.191157347204161</v>
      </c>
      <c r="T41" s="180">
        <f t="shared" si="23"/>
        <v>57.445855115758036</v>
      </c>
      <c r="U41" s="180">
        <f t="shared" si="23"/>
        <v>61.75647156370534</v>
      </c>
      <c r="V41" s="180">
        <f t="shared" si="23"/>
        <v>4.2152688384988615</v>
      </c>
    </row>
    <row r="42" spans="1:22" s="9" customFormat="1">
      <c r="A42" s="216" t="s">
        <v>55</v>
      </c>
      <c r="B42" s="180">
        <f t="shared" ref="B42:V42" si="25">+B46/B$48*100</f>
        <v>30.568197952911863</v>
      </c>
      <c r="C42" s="180">
        <f t="shared" si="25"/>
        <v>17.422315290479197</v>
      </c>
      <c r="D42" s="180">
        <f t="shared" si="25"/>
        <v>0</v>
      </c>
      <c r="E42" s="180">
        <f t="shared" si="25"/>
        <v>4.720952855869923</v>
      </c>
      <c r="F42" s="180">
        <f t="shared" si="25"/>
        <v>6.6898954703832754</v>
      </c>
      <c r="G42" s="180">
        <f t="shared" si="25"/>
        <v>27.062182446428075</v>
      </c>
      <c r="H42" s="180">
        <f t="shared" si="25"/>
        <v>8.3485902599780299</v>
      </c>
      <c r="I42" s="180">
        <f t="shared" si="25"/>
        <v>0</v>
      </c>
      <c r="J42" s="180">
        <f t="shared" si="25"/>
        <v>0</v>
      </c>
      <c r="K42" s="180">
        <f t="shared" si="25"/>
        <v>25.497076023391813</v>
      </c>
      <c r="L42" s="180">
        <f t="shared" ref="L42" si="26">+L46/L$48*100</f>
        <v>18.829948398855372</v>
      </c>
      <c r="M42" s="180">
        <f t="shared" si="25"/>
        <v>24.858134538041984</v>
      </c>
      <c r="N42" s="180">
        <f t="shared" si="25"/>
        <v>16.937707276141765</v>
      </c>
      <c r="O42" s="180">
        <f t="shared" si="25"/>
        <v>4.3201739413578135</v>
      </c>
      <c r="P42" s="180">
        <f t="shared" si="25"/>
        <v>16.675574559059328</v>
      </c>
      <c r="Q42" s="180">
        <f t="shared" si="25"/>
        <v>16.621147093250098</v>
      </c>
      <c r="R42" s="180">
        <f t="shared" si="25"/>
        <v>6.6988560245869344</v>
      </c>
      <c r="S42" s="180">
        <f t="shared" si="25"/>
        <v>21.066319895968793</v>
      </c>
      <c r="T42" s="180">
        <f t="shared" si="25"/>
        <v>18.013442867811801</v>
      </c>
      <c r="U42" s="180">
        <f t="shared" si="25"/>
        <v>20.52461749402438</v>
      </c>
      <c r="V42" s="180">
        <f t="shared" si="25"/>
        <v>17.559164273690467</v>
      </c>
    </row>
    <row r="43" spans="1:22" s="9" customFormat="1">
      <c r="A43" s="216" t="s">
        <v>56</v>
      </c>
      <c r="B43" s="180">
        <f t="shared" ref="B43:V43" si="27">+(B47/6)/B$48*100</f>
        <v>67.755064698512243</v>
      </c>
      <c r="C43" s="180">
        <f t="shared" si="27"/>
        <v>33.213989937861591</v>
      </c>
      <c r="D43" s="180">
        <f t="shared" si="27"/>
        <v>20.812447685525477</v>
      </c>
      <c r="E43" s="180">
        <f t="shared" si="27"/>
        <v>15.12339875906382</v>
      </c>
      <c r="F43" s="180">
        <f t="shared" si="27"/>
        <v>69.268292682926827</v>
      </c>
      <c r="G43" s="180">
        <f t="shared" si="27"/>
        <v>41.682534669651403</v>
      </c>
      <c r="H43" s="180">
        <f t="shared" si="27"/>
        <v>35.042109117539361</v>
      </c>
      <c r="I43" s="180">
        <f t="shared" si="27"/>
        <v>40.395708890660963</v>
      </c>
      <c r="J43" s="180">
        <f t="shared" si="27"/>
        <v>37.577887405511774</v>
      </c>
      <c r="K43" s="180">
        <f t="shared" si="27"/>
        <v>39.1812865497076</v>
      </c>
      <c r="L43" s="180">
        <f t="shared" ref="L43" si="28">+(L47/6)/L$48*100</f>
        <v>16.57470557164665</v>
      </c>
      <c r="M43" s="180">
        <f t="shared" si="27"/>
        <v>45.589774668062368</v>
      </c>
      <c r="N43" s="180">
        <f t="shared" si="27"/>
        <v>27.430375194789626</v>
      </c>
      <c r="O43" s="180">
        <f t="shared" si="27"/>
        <v>95.330052676081479</v>
      </c>
      <c r="P43" s="180">
        <f t="shared" si="27"/>
        <v>30.090860502405132</v>
      </c>
      <c r="Q43" s="180">
        <f t="shared" si="27"/>
        <v>32.579008973858755</v>
      </c>
      <c r="R43" s="180">
        <f t="shared" si="27"/>
        <v>32.74498279439964</v>
      </c>
      <c r="S43" s="180">
        <f t="shared" si="27"/>
        <v>41.74252275682705</v>
      </c>
      <c r="T43" s="180">
        <f t="shared" si="27"/>
        <v>24.540702016430171</v>
      </c>
      <c r="U43" s="180">
        <f t="shared" si="27"/>
        <v>17.718910942270281</v>
      </c>
      <c r="V43" s="180">
        <f t="shared" si="27"/>
        <v>78.225566887810672</v>
      </c>
    </row>
    <row r="44" spans="1:22" s="9" customFormat="1">
      <c r="A44" s="216"/>
      <c r="B44" s="180"/>
      <c r="C44" s="180"/>
      <c r="D44" s="180"/>
      <c r="E44" s="180"/>
      <c r="F44" s="180"/>
      <c r="G44" s="180"/>
      <c r="H44" s="180"/>
      <c r="I44" s="180"/>
      <c r="J44" s="180"/>
      <c r="K44" s="180"/>
      <c r="L44" s="180"/>
      <c r="M44" s="180"/>
      <c r="N44" s="180"/>
      <c r="O44" s="180"/>
      <c r="P44" s="180"/>
      <c r="Q44" s="180"/>
      <c r="R44" s="180"/>
      <c r="S44" s="180"/>
      <c r="T44" s="180"/>
      <c r="U44" s="180"/>
      <c r="V44" s="180"/>
    </row>
    <row r="45" spans="1:22" s="9" customFormat="1">
      <c r="A45" s="216" t="s">
        <v>62</v>
      </c>
      <c r="B45" s="180">
        <v>9.4079999999999995</v>
      </c>
      <c r="C45" s="180">
        <f>228.44-$C$59</f>
        <v>210.904</v>
      </c>
      <c r="D45" s="180">
        <f>SUM(D64:D70)</f>
        <v>931.54599999999994</v>
      </c>
      <c r="E45" s="180">
        <f>354.595+4.929</f>
        <v>359.524</v>
      </c>
      <c r="F45" s="180">
        <v>115</v>
      </c>
      <c r="G45" s="180">
        <v>89.730999999999995</v>
      </c>
      <c r="H45" s="180">
        <f>710+63</f>
        <v>773</v>
      </c>
      <c r="I45" s="180">
        <v>198.07400000000001</v>
      </c>
      <c r="J45" s="180">
        <v>205.87</v>
      </c>
      <c r="K45" s="180">
        <v>151</v>
      </c>
      <c r="L45" s="180">
        <v>185.47800000000001</v>
      </c>
      <c r="M45" s="180">
        <v>178.8</v>
      </c>
      <c r="N45" s="180">
        <v>464.1</v>
      </c>
      <c r="O45" s="180">
        <f>222/$D$2</f>
        <v>2.4130434782608696</v>
      </c>
      <c r="P45" s="180">
        <v>166</v>
      </c>
      <c r="Q45" s="180">
        <f>SUM(Q66:Q67)</f>
        <v>217</v>
      </c>
      <c r="R45" s="180">
        <v>122.95</v>
      </c>
      <c r="S45" s="180">
        <v>143</v>
      </c>
      <c r="T45" s="180">
        <f>486+120+35</f>
        <v>641</v>
      </c>
      <c r="U45" s="180">
        <v>209.666</v>
      </c>
      <c r="V45" s="180">
        <f>1419/$D$2</f>
        <v>15.423913043478262</v>
      </c>
    </row>
    <row r="46" spans="1:22" s="9" customFormat="1">
      <c r="A46" s="216" t="s">
        <v>63</v>
      </c>
      <c r="B46" s="180">
        <f>124.701+46.814</f>
        <v>171.51499999999999</v>
      </c>
      <c r="C46" s="180">
        <v>74.436000000000007</v>
      </c>
      <c r="D46" s="180"/>
      <c r="E46" s="180">
        <v>21.175000000000001</v>
      </c>
      <c r="F46" s="180">
        <v>32</v>
      </c>
      <c r="G46" s="180">
        <v>77.692999999999998</v>
      </c>
      <c r="H46" s="180">
        <v>114</v>
      </c>
      <c r="I46" s="180"/>
      <c r="J46" s="180"/>
      <c r="K46" s="180">
        <v>109</v>
      </c>
      <c r="L46" s="180">
        <v>54.067999999999998</v>
      </c>
      <c r="M46" s="180">
        <v>150.4</v>
      </c>
      <c r="N46" s="180">
        <v>141.30000000000001</v>
      </c>
      <c r="O46" s="180">
        <f>(1768+974)/$D$2</f>
        <v>29.804347826086957</v>
      </c>
      <c r="P46" s="180">
        <v>52</v>
      </c>
      <c r="Q46" s="180">
        <f>SUM(Q73:Q74)</f>
        <v>71</v>
      </c>
      <c r="R46" s="180">
        <v>13.601000000000001</v>
      </c>
      <c r="S46" s="180">
        <v>81</v>
      </c>
      <c r="T46" s="180">
        <f>168+33</f>
        <v>201</v>
      </c>
      <c r="U46" s="180">
        <v>69.682000000000002</v>
      </c>
      <c r="V46" s="180">
        <f>5911/$D$2</f>
        <v>64.25</v>
      </c>
    </row>
    <row r="47" spans="1:22" s="9" customFormat="1">
      <c r="A47" s="216" t="s">
        <v>64</v>
      </c>
      <c r="B47" s="180">
        <v>2281</v>
      </c>
      <c r="C47" s="180">
        <f>886.606-$C$60</f>
        <v>851.43100000000004</v>
      </c>
      <c r="D47" s="180">
        <v>1469</v>
      </c>
      <c r="E47" s="180">
        <v>407</v>
      </c>
      <c r="F47" s="180">
        <v>1988</v>
      </c>
      <c r="G47" s="180">
        <v>718</v>
      </c>
      <c r="H47" s="180">
        <v>2871</v>
      </c>
      <c r="I47" s="180">
        <v>805.44600000000003</v>
      </c>
      <c r="J47" s="180">
        <v>743.59799999999996</v>
      </c>
      <c r="K47" s="180">
        <v>1005</v>
      </c>
      <c r="L47" s="180">
        <v>285.55399999999997</v>
      </c>
      <c r="M47" s="180">
        <v>1655</v>
      </c>
      <c r="N47" s="180">
        <v>1373</v>
      </c>
      <c r="O47" s="180">
        <f>363.034*1000/$D$2</f>
        <v>3946.021739130435</v>
      </c>
      <c r="P47" s="180">
        <v>563</v>
      </c>
      <c r="Q47" s="180">
        <f>SUM(Q80:Q81)</f>
        <v>835</v>
      </c>
      <c r="R47" s="180">
        <v>398.90199999999999</v>
      </c>
      <c r="S47" s="180">
        <v>963</v>
      </c>
      <c r="T47" s="180">
        <f>1085+550+8</f>
        <v>1643</v>
      </c>
      <c r="U47" s="180">
        <v>360.93900000000002</v>
      </c>
      <c r="V47" s="180">
        <f>158*1000/$D$2</f>
        <v>1717.391304347826</v>
      </c>
    </row>
    <row r="48" spans="1:22" s="9" customFormat="1">
      <c r="A48" s="216" t="s">
        <v>65</v>
      </c>
      <c r="B48" s="180">
        <f t="shared" ref="B48:V48" si="29">+B45+B46+B47/6</f>
        <v>561.08966666666663</v>
      </c>
      <c r="C48" s="180">
        <f t="shared" si="29"/>
        <v>427.24516666666671</v>
      </c>
      <c r="D48" s="180">
        <f t="shared" si="29"/>
        <v>1176.3793333333333</v>
      </c>
      <c r="E48" s="180">
        <f t="shared" si="29"/>
        <v>448.53233333333333</v>
      </c>
      <c r="F48" s="180">
        <f t="shared" si="29"/>
        <v>478.33333333333331</v>
      </c>
      <c r="G48" s="180">
        <f t="shared" si="29"/>
        <v>287.09066666666666</v>
      </c>
      <c r="H48" s="180">
        <f t="shared" si="29"/>
        <v>1365.5</v>
      </c>
      <c r="I48" s="180">
        <f t="shared" si="29"/>
        <v>332.31500000000005</v>
      </c>
      <c r="J48" s="180">
        <f t="shared" si="29"/>
        <v>329.803</v>
      </c>
      <c r="K48" s="180">
        <f t="shared" si="29"/>
        <v>427.5</v>
      </c>
      <c r="L48" s="180">
        <f t="shared" ref="L48" si="30">+L45+L46+L47/6</f>
        <v>287.13833333333332</v>
      </c>
      <c r="M48" s="180">
        <f t="shared" si="29"/>
        <v>605.0333333333333</v>
      </c>
      <c r="N48" s="180">
        <f t="shared" si="29"/>
        <v>834.23333333333346</v>
      </c>
      <c r="O48" s="180">
        <f t="shared" si="29"/>
        <v>689.88768115942037</v>
      </c>
      <c r="P48" s="180">
        <f t="shared" si="29"/>
        <v>311.83333333333331</v>
      </c>
      <c r="Q48" s="180">
        <f t="shared" si="29"/>
        <v>427.16666666666663</v>
      </c>
      <c r="R48" s="180">
        <f t="shared" si="29"/>
        <v>203.03466666666668</v>
      </c>
      <c r="S48" s="180">
        <f t="shared" si="29"/>
        <v>384.5</v>
      </c>
      <c r="T48" s="180">
        <f t="shared" si="29"/>
        <v>1115.8333333333333</v>
      </c>
      <c r="U48" s="180">
        <f t="shared" si="29"/>
        <v>339.50450000000001</v>
      </c>
      <c r="V48" s="180">
        <f t="shared" si="29"/>
        <v>365.90579710144925</v>
      </c>
    </row>
    <row r="49" spans="1:22" s="9" customFormat="1">
      <c r="A49" s="216" t="s">
        <v>66</v>
      </c>
      <c r="B49" s="180">
        <f t="shared" ref="B49:V49" si="31">+B48*$D$2/1000</f>
        <v>51.620249333333334</v>
      </c>
      <c r="C49" s="180">
        <f t="shared" si="31"/>
        <v>39.306555333333336</v>
      </c>
      <c r="D49" s="180">
        <f t="shared" si="31"/>
        <v>108.22689866666666</v>
      </c>
      <c r="E49" s="180">
        <f t="shared" si="31"/>
        <v>41.264974666666667</v>
      </c>
      <c r="F49" s="180">
        <f t="shared" si="31"/>
        <v>44.006666666666668</v>
      </c>
      <c r="G49" s="180">
        <f t="shared" si="31"/>
        <v>26.412341333333334</v>
      </c>
      <c r="H49" s="180">
        <f t="shared" si="31"/>
        <v>125.626</v>
      </c>
      <c r="I49" s="180">
        <f t="shared" si="31"/>
        <v>30.572980000000005</v>
      </c>
      <c r="J49" s="180">
        <f t="shared" si="31"/>
        <v>30.341875999999999</v>
      </c>
      <c r="K49" s="180">
        <f t="shared" si="31"/>
        <v>39.33</v>
      </c>
      <c r="L49" s="180">
        <f t="shared" si="31"/>
        <v>26.416726666666666</v>
      </c>
      <c r="M49" s="180">
        <f t="shared" si="31"/>
        <v>55.663066666666666</v>
      </c>
      <c r="N49" s="180">
        <f t="shared" si="31"/>
        <v>76.749466666666677</v>
      </c>
      <c r="O49" s="180">
        <f t="shared" si="31"/>
        <v>63.469666666666669</v>
      </c>
      <c r="P49" s="180">
        <f t="shared" si="31"/>
        <v>28.688666666666663</v>
      </c>
      <c r="Q49" s="180">
        <f t="shared" si="31"/>
        <v>39.29933333333333</v>
      </c>
      <c r="R49" s="180">
        <f t="shared" si="31"/>
        <v>18.679189333333337</v>
      </c>
      <c r="S49" s="180">
        <f t="shared" si="31"/>
        <v>35.374000000000002</v>
      </c>
      <c r="T49" s="180">
        <f t="shared" si="31"/>
        <v>102.65666666666665</v>
      </c>
      <c r="U49" s="180">
        <f t="shared" si="31"/>
        <v>31.234414000000001</v>
      </c>
      <c r="V49" s="180">
        <f t="shared" si="31"/>
        <v>33.663333333333327</v>
      </c>
    </row>
    <row r="50" spans="1:22" s="9" customFormat="1">
      <c r="A50" s="216"/>
      <c r="B50" s="180"/>
      <c r="C50" s="260"/>
      <c r="D50" s="260"/>
      <c r="E50" s="260"/>
      <c r="F50" s="260"/>
      <c r="G50" s="260"/>
      <c r="H50" s="260"/>
      <c r="I50" s="260"/>
      <c r="J50" s="260"/>
      <c r="K50" s="260"/>
      <c r="L50" s="260"/>
      <c r="M50" s="260"/>
      <c r="N50" s="260"/>
      <c r="O50" s="260"/>
      <c r="P50" s="260"/>
      <c r="Q50" s="260"/>
      <c r="R50" s="260"/>
      <c r="S50" s="260"/>
      <c r="T50" s="260"/>
      <c r="U50" s="260"/>
      <c r="V50" s="260"/>
    </row>
    <row r="51" spans="1:22" s="9" customFormat="1">
      <c r="A51" s="216" t="s">
        <v>106</v>
      </c>
      <c r="B51" s="180">
        <f t="shared" ref="B51:V51" si="32">+B37*B49*4</f>
        <v>579.16527232000055</v>
      </c>
      <c r="C51" s="180">
        <f t="shared" si="32"/>
        <v>3245.3327832</v>
      </c>
      <c r="D51" s="180">
        <f t="shared" si="32"/>
        <v>9757.5757575757598</v>
      </c>
      <c r="E51" s="180">
        <f t="shared" si="32"/>
        <v>2992.9834831515145</v>
      </c>
      <c r="F51" s="180">
        <f t="shared" si="32"/>
        <v>1907.9999999999998</v>
      </c>
      <c r="G51" s="180">
        <f t="shared" si="32"/>
        <v>1426.8960000000002</v>
      </c>
      <c r="H51" s="180">
        <f t="shared" si="32"/>
        <v>15360.831359999995</v>
      </c>
      <c r="I51" s="180">
        <f t="shared" si="32"/>
        <v>3085.5520000000001</v>
      </c>
      <c r="J51" s="180">
        <f t="shared" si="32"/>
        <v>2959.04209696</v>
      </c>
      <c r="K51" s="180">
        <f t="shared" si="32"/>
        <v>2179.3075999999992</v>
      </c>
      <c r="L51" s="180">
        <f t="shared" ref="L51" si="33">+L37*L49*4</f>
        <v>2989.3167896</v>
      </c>
      <c r="M51" s="180">
        <f t="shared" si="32"/>
        <v>3210.6456853333339</v>
      </c>
      <c r="N51" s="180">
        <f t="shared" si="32"/>
        <v>7354.7879999999986</v>
      </c>
      <c r="O51" s="180">
        <f t="shared" si="32"/>
        <v>1004.3879999999997</v>
      </c>
      <c r="P51" s="180">
        <f t="shared" si="32"/>
        <v>2260.8708799999995</v>
      </c>
      <c r="Q51" s="180">
        <f t="shared" si="32"/>
        <v>3140</v>
      </c>
      <c r="R51" s="180">
        <f t="shared" si="32"/>
        <v>2212.3079999999995</v>
      </c>
      <c r="S51" s="180">
        <f t="shared" si="32"/>
        <v>2167.9999999999995</v>
      </c>
      <c r="T51" s="180">
        <f t="shared" si="32"/>
        <v>8124.5850133333333</v>
      </c>
      <c r="U51" s="180">
        <f t="shared" si="32"/>
        <v>3282.7182084799997</v>
      </c>
      <c r="V51" s="180">
        <f t="shared" si="32"/>
        <v>408.00000000000017</v>
      </c>
    </row>
    <row r="52" spans="1:22" s="9" customFormat="1">
      <c r="A52" s="214" t="s">
        <v>143</v>
      </c>
      <c r="B52" s="180">
        <v>3703.828</v>
      </c>
      <c r="C52" s="180">
        <f>19+8393-(18+235)</f>
        <v>8159</v>
      </c>
      <c r="D52" s="180">
        <f>(4036+18453)/D62</f>
        <v>17037.121212121212</v>
      </c>
      <c r="E52" s="180">
        <f>(662+6577+(169+1510-1093))/D62-500-13</f>
        <v>5415.030303030303</v>
      </c>
      <c r="F52" s="180">
        <f>208+9133</f>
        <v>9341</v>
      </c>
      <c r="G52" s="180">
        <v>2000</v>
      </c>
      <c r="H52" s="180">
        <f>121+14799</f>
        <v>14920</v>
      </c>
      <c r="I52" s="180">
        <f>2.416+5568.413</f>
        <v>5570.8289999999997</v>
      </c>
      <c r="J52" s="180">
        <f>55+4349</f>
        <v>4404</v>
      </c>
      <c r="K52" s="180">
        <v>4295</v>
      </c>
      <c r="L52" s="180">
        <f>1250+800+1629</f>
        <v>3679</v>
      </c>
      <c r="M52" s="180">
        <f>7024+(144+88-39)</f>
        <v>7217</v>
      </c>
      <c r="N52" s="180">
        <v>4163.1149999999998</v>
      </c>
      <c r="O52" s="180">
        <f>4.916+161+999.239+3887.907</f>
        <v>5053.0619999999999</v>
      </c>
      <c r="P52" s="180">
        <f>(15+6526-1152)+(258-308)+(615-527)</f>
        <v>5427</v>
      </c>
      <c r="Q52" s="180">
        <f>600+4903</f>
        <v>5503</v>
      </c>
      <c r="R52" s="180">
        <f>2779.228</f>
        <v>2779.2280000000001</v>
      </c>
      <c r="S52" s="180">
        <v>6601</v>
      </c>
      <c r="T52" s="180">
        <f>39946+31+10000*0.75</f>
        <v>47477</v>
      </c>
      <c r="U52" s="180">
        <f>450+1838</f>
        <v>2288</v>
      </c>
      <c r="V52" s="180">
        <f>52+2219</f>
        <v>2271</v>
      </c>
    </row>
    <row r="53" spans="1:22" s="9" customFormat="1">
      <c r="A53" s="214" t="s">
        <v>142</v>
      </c>
      <c r="B53" s="260">
        <f>+B52/B51</f>
        <v>6.3951141013053698</v>
      </c>
      <c r="C53" s="260">
        <f t="shared" ref="C53:V53" si="34">+C52/C51</f>
        <v>2.5140719134371698</v>
      </c>
      <c r="D53" s="260">
        <f t="shared" si="34"/>
        <v>1.7460403726708071</v>
      </c>
      <c r="E53" s="260">
        <f>+E52/E51</f>
        <v>1.8092416257935549</v>
      </c>
      <c r="F53" s="260">
        <f t="shared" si="34"/>
        <v>4.8957023060796647</v>
      </c>
      <c r="G53" s="260">
        <f t="shared" si="34"/>
        <v>1.4016438479048225</v>
      </c>
      <c r="H53" s="260">
        <f t="shared" si="34"/>
        <v>0.97130159496783941</v>
      </c>
      <c r="I53" s="260">
        <f t="shared" si="34"/>
        <v>1.8054562036225608</v>
      </c>
      <c r="J53" s="260">
        <f t="shared" si="34"/>
        <v>1.4883194816743199</v>
      </c>
      <c r="K53" s="260">
        <f t="shared" si="34"/>
        <v>1.9708094442473387</v>
      </c>
      <c r="L53" s="260">
        <f t="shared" si="34"/>
        <v>1.2307159993211314</v>
      </c>
      <c r="M53" s="260">
        <f t="shared" si="34"/>
        <v>2.247834456778659</v>
      </c>
      <c r="N53" s="260">
        <f t="shared" si="34"/>
        <v>0.56604146849644077</v>
      </c>
      <c r="O53" s="260">
        <f t="shared" si="34"/>
        <v>5.0309860332859424</v>
      </c>
      <c r="P53" s="260">
        <f t="shared" si="34"/>
        <v>2.4004024502274985</v>
      </c>
      <c r="Q53" s="260">
        <f t="shared" si="34"/>
        <v>1.7525477707006369</v>
      </c>
      <c r="R53" s="260">
        <f t="shared" si="34"/>
        <v>1.2562572661672791</v>
      </c>
      <c r="S53" s="260">
        <f t="shared" si="34"/>
        <v>3.044741697416975</v>
      </c>
      <c r="T53" s="260">
        <f t="shared" si="34"/>
        <v>5.8436215415415118</v>
      </c>
      <c r="U53" s="260">
        <f t="shared" si="34"/>
        <v>0.69698337008933064</v>
      </c>
      <c r="V53" s="260">
        <f t="shared" si="34"/>
        <v>5.5661764705882328</v>
      </c>
    </row>
    <row r="54" spans="1:22" s="9" customFormat="1">
      <c r="A54" s="214"/>
      <c r="B54" s="260"/>
      <c r="C54" s="260"/>
      <c r="D54" s="260"/>
      <c r="E54" s="260"/>
      <c r="F54" s="260"/>
      <c r="G54" s="260"/>
      <c r="H54" s="260"/>
      <c r="I54" s="260"/>
      <c r="J54" s="260"/>
      <c r="K54" s="260"/>
      <c r="L54" s="260"/>
      <c r="M54" s="260"/>
      <c r="N54" s="260"/>
      <c r="O54" s="260"/>
      <c r="P54" s="260"/>
      <c r="Q54" s="260"/>
      <c r="R54" s="260"/>
      <c r="S54" s="260"/>
      <c r="T54" s="260"/>
      <c r="U54" s="260"/>
      <c r="V54" s="260"/>
    </row>
    <row r="55" spans="1:22" s="9" customFormat="1">
      <c r="A55" s="214" t="s">
        <v>171</v>
      </c>
      <c r="B55" s="260"/>
      <c r="C55" s="260"/>
      <c r="D55" s="74">
        <f>+(798+357)/B5/D49</f>
        <v>8.0848662465599741</v>
      </c>
      <c r="E55" s="260"/>
      <c r="F55" s="260"/>
      <c r="G55" s="260"/>
      <c r="H55" s="260"/>
      <c r="I55" s="260"/>
      <c r="J55" s="260"/>
      <c r="K55" s="260"/>
      <c r="L55" s="260"/>
      <c r="M55" s="260"/>
      <c r="N55" s="260"/>
      <c r="O55" s="260"/>
      <c r="P55" s="260"/>
      <c r="Q55" s="260"/>
      <c r="R55" s="260"/>
      <c r="S55" s="260"/>
      <c r="T55" s="260"/>
      <c r="U55" s="260"/>
      <c r="V55" s="217"/>
    </row>
    <row r="56" spans="1:22" s="9" customFormat="1" ht="24.75" customHeight="1">
      <c r="A56" s="214" t="s">
        <v>127</v>
      </c>
      <c r="B56" s="261"/>
      <c r="C56" s="261"/>
      <c r="D56" s="261"/>
      <c r="E56" s="261"/>
      <c r="F56" s="261"/>
      <c r="G56" s="261"/>
      <c r="H56" s="261"/>
      <c r="I56" s="261"/>
      <c r="J56" s="261"/>
      <c r="K56" s="261"/>
      <c r="L56" s="261"/>
      <c r="M56" s="261"/>
      <c r="N56" s="261"/>
      <c r="O56" s="269"/>
      <c r="P56" s="261"/>
      <c r="Q56" s="261"/>
      <c r="R56" s="261"/>
      <c r="S56" s="261"/>
      <c r="T56" s="261"/>
      <c r="U56" s="261"/>
      <c r="V56" s="217"/>
    </row>
    <row r="57" spans="1:22" s="9" customFormat="1" ht="14.25" customHeight="1">
      <c r="A57" s="214" t="s">
        <v>199</v>
      </c>
      <c r="B57" s="261"/>
      <c r="C57" s="261"/>
      <c r="D57" s="261"/>
      <c r="E57" s="261"/>
      <c r="F57" s="261"/>
      <c r="G57" s="261"/>
      <c r="H57" s="261"/>
      <c r="I57" s="261"/>
      <c r="J57" s="261"/>
      <c r="K57" s="261"/>
      <c r="L57" s="261"/>
      <c r="M57" s="261"/>
      <c r="N57" s="261"/>
      <c r="O57" s="261"/>
      <c r="P57" s="261"/>
      <c r="Q57" s="261"/>
      <c r="R57" s="261"/>
      <c r="S57" s="261"/>
      <c r="T57" s="269"/>
      <c r="U57" s="261"/>
      <c r="V57" s="217"/>
    </row>
    <row r="58" spans="1:22" s="9" customFormat="1" ht="14.25" customHeight="1">
      <c r="A58" s="214"/>
      <c r="B58" s="188"/>
      <c r="C58" s="188" t="s">
        <v>222</v>
      </c>
      <c r="D58" s="261"/>
      <c r="E58" s="261"/>
      <c r="F58" s="261"/>
      <c r="G58" s="261"/>
      <c r="H58" s="261"/>
      <c r="I58" s="261"/>
      <c r="J58" s="261"/>
      <c r="K58" s="261"/>
      <c r="L58" s="261"/>
      <c r="M58" s="261"/>
      <c r="N58" s="261"/>
      <c r="O58" s="261"/>
      <c r="P58" s="261"/>
      <c r="Q58" s="261"/>
      <c r="R58" s="261"/>
      <c r="S58" s="261"/>
      <c r="T58" s="261"/>
      <c r="U58" s="261"/>
      <c r="V58" s="217"/>
    </row>
    <row r="59" spans="1:22" s="9" customFormat="1" ht="14.25" customHeight="1">
      <c r="A59" s="214"/>
      <c r="B59" s="189" t="s">
        <v>223</v>
      </c>
      <c r="C59" s="222">
        <v>17.536000000000001</v>
      </c>
      <c r="D59" s="261"/>
      <c r="E59" s="261"/>
      <c r="F59" s="261"/>
      <c r="G59" s="261"/>
      <c r="H59" s="261"/>
      <c r="I59" s="261"/>
      <c r="J59" s="261"/>
      <c r="K59" s="261"/>
      <c r="L59" s="261"/>
      <c r="M59" s="261"/>
      <c r="N59" s="261"/>
      <c r="O59" s="261"/>
      <c r="P59" s="261"/>
      <c r="Q59" s="261"/>
      <c r="R59" s="261"/>
      <c r="S59" s="261"/>
      <c r="T59" s="261"/>
      <c r="U59" s="261"/>
      <c r="V59" s="217"/>
    </row>
    <row r="60" spans="1:22" s="9" customFormat="1" ht="14.25" customHeight="1">
      <c r="A60" s="214"/>
      <c r="B60" s="189" t="s">
        <v>59</v>
      </c>
      <c r="C60" s="222">
        <v>35.174999999999997</v>
      </c>
      <c r="D60" s="261"/>
      <c r="E60" s="261"/>
      <c r="F60" s="261"/>
      <c r="G60" s="261"/>
      <c r="H60" s="261"/>
      <c r="I60" s="261"/>
      <c r="J60" s="261"/>
      <c r="K60" s="261"/>
      <c r="L60" s="261"/>
      <c r="M60" s="261"/>
      <c r="N60" s="261"/>
      <c r="O60" s="261"/>
      <c r="P60" s="261"/>
      <c r="Q60" s="261"/>
      <c r="R60" s="261"/>
      <c r="S60" s="261"/>
      <c r="T60" s="261"/>
      <c r="U60" s="261"/>
      <c r="V60" s="217"/>
    </row>
    <row r="61" spans="1:22" s="9" customFormat="1" ht="33.75">
      <c r="A61" s="214"/>
      <c r="B61" s="189"/>
      <c r="C61" s="189"/>
      <c r="D61" s="186" t="str">
        <f>$B$1&amp;" Average Rate (CAD/USD)"</f>
        <v>3Q19 Average Rate (CAD/USD)</v>
      </c>
      <c r="E61" s="186"/>
      <c r="F61" s="186"/>
      <c r="G61" s="186"/>
      <c r="H61" s="186"/>
      <c r="I61" s="186"/>
      <c r="J61" s="186"/>
      <c r="K61" s="186"/>
      <c r="L61" s="186"/>
      <c r="M61" s="186"/>
      <c r="N61" s="186"/>
      <c r="O61" s="186"/>
      <c r="P61" s="186"/>
      <c r="Q61" s="186"/>
      <c r="R61" s="186"/>
      <c r="S61" s="186"/>
      <c r="T61" s="186"/>
      <c r="U61" s="186"/>
      <c r="V61" s="217"/>
    </row>
    <row r="62" spans="1:22">
      <c r="A62" s="262" t="s">
        <v>94</v>
      </c>
      <c r="B62" s="261"/>
      <c r="C62" s="187"/>
      <c r="D62" s="74">
        <f>B5</f>
        <v>1.32</v>
      </c>
      <c r="E62" s="187"/>
      <c r="F62" s="187"/>
      <c r="G62" s="187"/>
      <c r="H62" s="187"/>
      <c r="I62" s="187"/>
      <c r="J62" s="187"/>
      <c r="K62" s="187"/>
      <c r="L62" s="187"/>
      <c r="M62" s="187"/>
      <c r="N62" s="187"/>
      <c r="O62" s="187"/>
      <c r="P62" s="187">
        <f>P45*$D$2/1000</f>
        <v>15.272</v>
      </c>
      <c r="Q62" s="219" t="s">
        <v>213</v>
      </c>
      <c r="R62" s="218" t="s">
        <v>208</v>
      </c>
      <c r="S62" s="219" t="s">
        <v>213</v>
      </c>
      <c r="T62" s="187"/>
      <c r="U62" s="187"/>
      <c r="V62" s="220"/>
    </row>
    <row r="63" spans="1:22" s="9" customFormat="1">
      <c r="A63" s="261"/>
      <c r="B63" s="261"/>
      <c r="C63" s="188" t="s">
        <v>184</v>
      </c>
      <c r="D63" s="188"/>
      <c r="E63" s="221"/>
      <c r="F63" s="221"/>
      <c r="G63" s="221"/>
      <c r="H63" s="187">
        <f>H45*$D$2/1000</f>
        <v>71.116</v>
      </c>
      <c r="I63" s="221"/>
      <c r="J63" s="221"/>
      <c r="K63" s="221"/>
      <c r="L63" s="221"/>
      <c r="M63" s="221"/>
      <c r="N63" s="221"/>
      <c r="O63" s="221"/>
      <c r="P63" s="187">
        <f>P46*$D$2/1000</f>
        <v>4.7839999999999998</v>
      </c>
      <c r="Q63" s="221">
        <v>55.09</v>
      </c>
      <c r="R63" s="200">
        <v>40.582000000000001</v>
      </c>
      <c r="S63" s="200">
        <v>55.13</v>
      </c>
      <c r="T63" s="200">
        <f>T45*$D$2/1000</f>
        <v>58.972000000000001</v>
      </c>
      <c r="U63" s="221"/>
      <c r="V63" s="201">
        <f>V45*$D$2/1000</f>
        <v>1.419</v>
      </c>
    </row>
    <row r="64" spans="1:22" s="9" customFormat="1">
      <c r="A64" s="261"/>
      <c r="B64" s="263"/>
      <c r="C64" s="189" t="s">
        <v>178</v>
      </c>
      <c r="D64" s="222">
        <f>53.965+42.148</f>
        <v>96.113</v>
      </c>
      <c r="E64" s="221"/>
      <c r="F64" s="221"/>
      <c r="G64" s="221"/>
      <c r="H64" s="200">
        <f>H46*$D$2/1000</f>
        <v>10.488</v>
      </c>
      <c r="I64" s="221"/>
      <c r="J64" s="221"/>
      <c r="K64" s="221"/>
      <c r="L64" s="221"/>
      <c r="M64" s="221"/>
      <c r="N64" s="221"/>
      <c r="O64" s="221"/>
      <c r="P64" s="187">
        <f>P47*$D$2/1000</f>
        <v>51.795999999999999</v>
      </c>
      <c r="Q64" s="221">
        <v>46.04</v>
      </c>
      <c r="R64" s="200">
        <v>70.582999999999998</v>
      </c>
      <c r="S64" s="200">
        <v>0</v>
      </c>
      <c r="T64" s="200">
        <f>T46*$D$2/1000</f>
        <v>18.492000000000001</v>
      </c>
      <c r="U64" s="221"/>
      <c r="V64" s="201">
        <f>V46*$D$2/1000</f>
        <v>5.9109999999999996</v>
      </c>
    </row>
    <row r="65" spans="1:22" s="9" customFormat="1">
      <c r="A65" s="261"/>
      <c r="B65" s="263"/>
      <c r="C65" s="189" t="s">
        <v>179</v>
      </c>
      <c r="D65" s="222">
        <v>60.146000000000001</v>
      </c>
      <c r="E65" s="221"/>
      <c r="F65" s="221"/>
      <c r="G65" s="221"/>
      <c r="H65" s="200">
        <f>H47*$D$2/1000</f>
        <v>264.13200000000001</v>
      </c>
      <c r="I65" s="221"/>
      <c r="J65" s="221"/>
      <c r="K65" s="221"/>
      <c r="L65" s="221"/>
      <c r="M65" s="221"/>
      <c r="N65" s="221"/>
      <c r="O65" s="221"/>
      <c r="P65" s="200"/>
      <c r="Q65" s="203" t="s">
        <v>216</v>
      </c>
      <c r="R65" s="200">
        <v>7.101</v>
      </c>
      <c r="S65" s="200">
        <v>58.62</v>
      </c>
      <c r="T65" s="200">
        <f>T47*$D$2/1000</f>
        <v>151.15600000000001</v>
      </c>
      <c r="U65" s="221"/>
      <c r="V65" s="201">
        <f>V47*$D$2/1000</f>
        <v>158</v>
      </c>
    </row>
    <row r="66" spans="1:22" s="9" customFormat="1">
      <c r="A66" s="261"/>
      <c r="B66" s="263"/>
      <c r="C66" s="189" t="s">
        <v>180</v>
      </c>
      <c r="D66" s="222">
        <v>88.007999999999996</v>
      </c>
      <c r="E66" s="221"/>
      <c r="F66" s="221"/>
      <c r="G66" s="221"/>
      <c r="H66" s="200"/>
      <c r="I66" s="221"/>
      <c r="J66" s="221"/>
      <c r="K66" s="221"/>
      <c r="L66" s="221"/>
      <c r="M66" s="221"/>
      <c r="N66" s="221"/>
      <c r="O66" s="221"/>
      <c r="P66" s="200">
        <f>P62*P10</f>
        <v>853.85751999999991</v>
      </c>
      <c r="Q66" s="221">
        <v>201</v>
      </c>
      <c r="R66" s="200">
        <v>4.3330000000000002</v>
      </c>
      <c r="S66" s="203" t="s">
        <v>216</v>
      </c>
      <c r="T66" s="200"/>
      <c r="U66" s="221"/>
      <c r="V66" s="201"/>
    </row>
    <row r="67" spans="1:22" s="9" customFormat="1">
      <c r="A67" s="261"/>
      <c r="B67" s="263"/>
      <c r="C67" s="189" t="s">
        <v>181</v>
      </c>
      <c r="D67" s="222">
        <v>206.39500000000001</v>
      </c>
      <c r="E67" s="221"/>
      <c r="F67" s="221"/>
      <c r="G67" s="221"/>
      <c r="H67" s="200">
        <f>H63*H10</f>
        <v>4079.7142399999993</v>
      </c>
      <c r="I67" s="221"/>
      <c r="J67" s="221"/>
      <c r="K67" s="221"/>
      <c r="L67" s="221"/>
      <c r="M67" s="221"/>
      <c r="N67" s="221"/>
      <c r="O67" s="221"/>
      <c r="P67" s="200">
        <f>P63*P12</f>
        <v>45.017440000000001</v>
      </c>
      <c r="Q67" s="221">
        <v>16</v>
      </c>
      <c r="R67" s="200">
        <v>0.35099999999999998</v>
      </c>
      <c r="S67" s="200">
        <v>127</v>
      </c>
      <c r="T67" s="200">
        <f>T63*T10</f>
        <v>3317.7647200000001</v>
      </c>
      <c r="U67" s="221"/>
      <c r="V67" s="201">
        <f>V63*V10</f>
        <v>66.040260000000004</v>
      </c>
    </row>
    <row r="68" spans="1:22" s="9" customFormat="1">
      <c r="A68" s="261"/>
      <c r="B68" s="263"/>
      <c r="C68" s="189" t="s">
        <v>61</v>
      </c>
      <c r="D68" s="222">
        <v>432.20299999999997</v>
      </c>
      <c r="E68" s="221"/>
      <c r="F68" s="221"/>
      <c r="G68" s="221"/>
      <c r="H68" s="200">
        <f>H64*H12</f>
        <v>163.50791999999998</v>
      </c>
      <c r="I68" s="221"/>
      <c r="J68" s="221"/>
      <c r="K68" s="221"/>
      <c r="L68" s="221"/>
      <c r="M68" s="221"/>
      <c r="N68" s="221"/>
      <c r="O68" s="221"/>
      <c r="P68" s="200">
        <f>P64*P14</f>
        <v>197.34276</v>
      </c>
      <c r="Q68" s="202">
        <f>+SUMPRODUCT(Q63:Q64,Q66:Q67)/SUM(Q66:Q67)</f>
        <v>54.422718894009215</v>
      </c>
      <c r="R68" s="200"/>
      <c r="S68" s="200">
        <v>0</v>
      </c>
      <c r="T68" s="200">
        <f>T64*T12</f>
        <v>276.64032000000003</v>
      </c>
      <c r="U68" s="221"/>
      <c r="V68" s="201">
        <f>V64*V12</f>
        <v>52.548789999999997</v>
      </c>
    </row>
    <row r="69" spans="1:22" s="9" customFormat="1">
      <c r="A69" s="261"/>
      <c r="B69" s="263"/>
      <c r="C69" s="189" t="s">
        <v>182</v>
      </c>
      <c r="D69" s="222">
        <v>27.454000000000001</v>
      </c>
      <c r="E69" s="221"/>
      <c r="F69" s="221"/>
      <c r="G69" s="221"/>
      <c r="H69" s="200">
        <f>H65*H14</f>
        <v>1251.98568</v>
      </c>
      <c r="I69" s="221"/>
      <c r="J69" s="221"/>
      <c r="K69" s="221"/>
      <c r="L69" s="221"/>
      <c r="M69" s="221"/>
      <c r="N69" s="221"/>
      <c r="O69" s="221"/>
      <c r="P69" s="200">
        <f>P68+P67+P66</f>
        <v>1096.2177199999999</v>
      </c>
      <c r="Q69" s="203" t="s">
        <v>214</v>
      </c>
      <c r="R69" s="200"/>
      <c r="S69" s="200">
        <f>15+1</f>
        <v>16</v>
      </c>
      <c r="T69" s="200">
        <f>T65*T14</f>
        <v>208.59528</v>
      </c>
      <c r="U69" s="221"/>
      <c r="V69" s="201">
        <f>V65*V14</f>
        <v>229.1</v>
      </c>
    </row>
    <row r="70" spans="1:22" s="9" customFormat="1">
      <c r="A70" s="261"/>
      <c r="B70" s="263"/>
      <c r="C70" s="189" t="s">
        <v>183</v>
      </c>
      <c r="D70" s="222">
        <v>21.227</v>
      </c>
      <c r="E70" s="221"/>
      <c r="F70" s="221"/>
      <c r="G70" s="221"/>
      <c r="H70" s="200">
        <f>H69+H68+H67</f>
        <v>5495.2078399999991</v>
      </c>
      <c r="I70" s="221"/>
      <c r="J70" s="221"/>
      <c r="K70" s="221"/>
      <c r="L70" s="221"/>
      <c r="M70" s="221"/>
      <c r="N70" s="221"/>
      <c r="O70" s="221"/>
      <c r="P70" s="200">
        <f>P69/P49</f>
        <v>38.210828433992518</v>
      </c>
      <c r="Q70" s="221">
        <v>11.37</v>
      </c>
      <c r="R70" s="218" t="s">
        <v>211</v>
      </c>
      <c r="S70" s="200">
        <f>+SUMPRODUCT(S63:S65,S67:S69)/SUM(S67:S69)</f>
        <v>55.520489510489512</v>
      </c>
      <c r="T70" s="200">
        <f>T69+T68+T67</f>
        <v>3803.0003200000001</v>
      </c>
      <c r="U70" s="221"/>
      <c r="V70" s="201">
        <f>V69+V68+V67</f>
        <v>347.68904999999995</v>
      </c>
    </row>
    <row r="71" spans="1:22" s="9" customFormat="1">
      <c r="A71" s="261"/>
      <c r="B71" s="263"/>
      <c r="C71" s="188" t="s">
        <v>185</v>
      </c>
      <c r="D71" s="188"/>
      <c r="E71" s="221"/>
      <c r="F71" s="221"/>
      <c r="G71" s="221"/>
      <c r="H71" s="200">
        <f>H70/H49</f>
        <v>43.742599780300246</v>
      </c>
      <c r="I71" s="221"/>
      <c r="J71" s="221"/>
      <c r="K71" s="221"/>
      <c r="L71" s="221"/>
      <c r="M71" s="221"/>
      <c r="N71" s="221"/>
      <c r="O71" s="221"/>
      <c r="P71" s="200"/>
      <c r="Q71" s="221">
        <v>1</v>
      </c>
      <c r="R71" s="200">
        <v>5.5819999999999999</v>
      </c>
      <c r="S71" s="203" t="s">
        <v>214</v>
      </c>
      <c r="T71" s="200">
        <f>T70/T49</f>
        <v>37.045819268110534</v>
      </c>
      <c r="U71" s="221"/>
      <c r="V71" s="201">
        <f>V70/V49</f>
        <v>10.328420140607982</v>
      </c>
    </row>
    <row r="72" spans="1:22" s="9" customFormat="1">
      <c r="A72" s="261"/>
      <c r="B72" s="263"/>
      <c r="C72" s="189" t="s">
        <v>178</v>
      </c>
      <c r="D72" s="189">
        <v>48.21</v>
      </c>
      <c r="E72" s="221"/>
      <c r="F72" s="221"/>
      <c r="G72" s="221"/>
      <c r="H72" s="200"/>
      <c r="I72" s="221"/>
      <c r="J72" s="221"/>
      <c r="K72" s="221"/>
      <c r="L72" s="221"/>
      <c r="M72" s="221"/>
      <c r="N72" s="221"/>
      <c r="O72" s="221"/>
      <c r="P72" s="200"/>
      <c r="Q72" s="203" t="s">
        <v>218</v>
      </c>
      <c r="R72" s="200">
        <v>6.5970000000000004</v>
      </c>
      <c r="S72" s="200">
        <v>11.18</v>
      </c>
      <c r="T72" s="221"/>
      <c r="U72" s="221"/>
      <c r="V72" s="217"/>
    </row>
    <row r="73" spans="1:22" s="9" customFormat="1">
      <c r="A73" s="261"/>
      <c r="B73" s="187"/>
      <c r="C73" s="189" t="s">
        <v>179</v>
      </c>
      <c r="D73" s="189">
        <v>64.489999999999995</v>
      </c>
      <c r="E73" s="221"/>
      <c r="F73" s="221"/>
      <c r="G73" s="221"/>
      <c r="H73" s="221"/>
      <c r="I73" s="221"/>
      <c r="J73" s="221"/>
      <c r="K73" s="221"/>
      <c r="L73" s="221"/>
      <c r="M73" s="221"/>
      <c r="N73" s="221"/>
      <c r="O73" s="221"/>
      <c r="P73" s="221"/>
      <c r="Q73" s="221">
        <v>61</v>
      </c>
      <c r="R73" s="200">
        <v>1.4219999999999999</v>
      </c>
      <c r="S73" s="200">
        <v>0</v>
      </c>
      <c r="T73" s="221"/>
      <c r="U73" s="221"/>
      <c r="V73" s="217"/>
    </row>
    <row r="74" spans="1:22" s="9" customFormat="1">
      <c r="A74" s="261"/>
      <c r="B74" s="187"/>
      <c r="C74" s="189" t="s">
        <v>180</v>
      </c>
      <c r="D74" s="189">
        <v>68.22</v>
      </c>
      <c r="E74" s="221"/>
      <c r="F74" s="221"/>
      <c r="G74" s="221"/>
      <c r="H74" s="221"/>
      <c r="I74" s="221"/>
      <c r="J74" s="221"/>
      <c r="K74" s="221"/>
      <c r="L74" s="221"/>
      <c r="M74" s="221"/>
      <c r="N74" s="221"/>
      <c r="O74" s="221"/>
      <c r="P74" s="221"/>
      <c r="Q74" s="221">
        <v>10</v>
      </c>
      <c r="R74" s="200"/>
      <c r="S74" s="203" t="s">
        <v>218</v>
      </c>
      <c r="T74" s="221"/>
      <c r="U74" s="221"/>
      <c r="V74" s="217"/>
    </row>
    <row r="75" spans="1:22" s="9" customFormat="1">
      <c r="A75" s="261"/>
      <c r="B75" s="263"/>
      <c r="C75" s="189" t="s">
        <v>181</v>
      </c>
      <c r="D75" s="189">
        <v>73.13</v>
      </c>
      <c r="E75" s="221"/>
      <c r="F75" s="221"/>
      <c r="G75" s="221"/>
      <c r="H75" s="221"/>
      <c r="I75" s="221"/>
      <c r="J75" s="221"/>
      <c r="K75" s="221"/>
      <c r="L75" s="221"/>
      <c r="M75" s="221"/>
      <c r="N75" s="221"/>
      <c r="O75" s="221"/>
      <c r="P75" s="221"/>
      <c r="Q75" s="202">
        <f>+SUMPRODUCT(Q70:Q71,Q73:Q74)/SUM(Q73:Q74)</f>
        <v>9.9094366197183081</v>
      </c>
      <c r="R75" s="218" t="s">
        <v>212</v>
      </c>
      <c r="S75" s="200">
        <v>76</v>
      </c>
      <c r="T75" s="221"/>
      <c r="U75" s="221"/>
      <c r="V75" s="217"/>
    </row>
    <row r="76" spans="1:22" s="9" customFormat="1">
      <c r="A76" s="261"/>
      <c r="B76" s="263"/>
      <c r="C76" s="189" t="s">
        <v>61</v>
      </c>
      <c r="D76" s="189">
        <v>71.790000000000006</v>
      </c>
      <c r="E76" s="221"/>
      <c r="F76" s="221"/>
      <c r="G76" s="221"/>
      <c r="H76" s="221"/>
      <c r="I76" s="221"/>
      <c r="J76" s="221"/>
      <c r="K76" s="221"/>
      <c r="L76" s="221"/>
      <c r="M76" s="221"/>
      <c r="N76" s="221"/>
      <c r="O76" s="221"/>
      <c r="P76" s="221"/>
      <c r="Q76" s="203" t="s">
        <v>215</v>
      </c>
      <c r="R76" s="200">
        <v>29.122</v>
      </c>
      <c r="S76" s="200">
        <v>0</v>
      </c>
      <c r="T76" s="221"/>
      <c r="U76" s="221"/>
      <c r="V76" s="217"/>
    </row>
    <row r="77" spans="1:22" s="9" customFormat="1">
      <c r="A77" s="261"/>
      <c r="B77" s="263"/>
      <c r="C77" s="189" t="s">
        <v>182</v>
      </c>
      <c r="D77" s="189">
        <v>83.64</v>
      </c>
      <c r="E77" s="221"/>
      <c r="F77" s="221"/>
      <c r="G77" s="221"/>
      <c r="H77" s="221"/>
      <c r="I77" s="221"/>
      <c r="J77" s="221"/>
      <c r="K77" s="221"/>
      <c r="L77" s="221"/>
      <c r="M77" s="221"/>
      <c r="N77" s="221"/>
      <c r="O77" s="221"/>
      <c r="P77" s="221"/>
      <c r="Q77" s="221">
        <v>1.92</v>
      </c>
      <c r="R77" s="200">
        <v>72.897000000000006</v>
      </c>
      <c r="S77" s="200">
        <f>+SUMPRODUCT(S72:S73,S75:S76)/SUM(S75:S76)</f>
        <v>11.18</v>
      </c>
      <c r="T77" s="221"/>
      <c r="U77" s="221"/>
      <c r="V77" s="217"/>
    </row>
    <row r="78" spans="1:22" s="9" customFormat="1">
      <c r="A78" s="261"/>
      <c r="B78" s="263"/>
      <c r="C78" s="189" t="s">
        <v>183</v>
      </c>
      <c r="D78" s="189">
        <v>82.97</v>
      </c>
      <c r="E78" s="221"/>
      <c r="F78" s="221"/>
      <c r="G78" s="221"/>
      <c r="H78" s="221"/>
      <c r="I78" s="221"/>
      <c r="J78" s="221"/>
      <c r="K78" s="221"/>
      <c r="L78" s="221"/>
      <c r="M78" s="221"/>
      <c r="N78" s="221"/>
      <c r="O78" s="221"/>
      <c r="P78" s="221"/>
      <c r="Q78" s="221">
        <v>0.24</v>
      </c>
      <c r="R78" s="200">
        <v>296.88299999999998</v>
      </c>
      <c r="S78" s="203" t="s">
        <v>215</v>
      </c>
      <c r="T78" s="221"/>
      <c r="U78" s="221"/>
      <c r="V78" s="217"/>
    </row>
    <row r="79" spans="1:22" s="9" customFormat="1">
      <c r="A79" s="261"/>
      <c r="B79" s="263"/>
      <c r="C79" s="189" t="s">
        <v>70</v>
      </c>
      <c r="D79" s="223">
        <f>+SUMPRODUCT(D64:D70,D72:D78)/SUM(D64:D70)</f>
        <v>69.449394340161419</v>
      </c>
      <c r="E79" s="221"/>
      <c r="F79" s="221"/>
      <c r="G79" s="221"/>
      <c r="H79" s="221"/>
      <c r="I79" s="221"/>
      <c r="J79" s="221"/>
      <c r="K79" s="221"/>
      <c r="L79" s="221"/>
      <c r="M79" s="221"/>
      <c r="N79" s="221"/>
      <c r="O79" s="221"/>
      <c r="P79" s="221"/>
      <c r="Q79" s="203" t="s">
        <v>217</v>
      </c>
      <c r="R79" s="200"/>
      <c r="S79" s="200">
        <v>1.57</v>
      </c>
      <c r="T79" s="221"/>
      <c r="U79" s="221"/>
      <c r="V79" s="217"/>
    </row>
    <row r="80" spans="1:22">
      <c r="A80" s="262"/>
      <c r="B80" s="263"/>
      <c r="C80" s="187"/>
      <c r="D80" s="187"/>
      <c r="E80" s="187"/>
      <c r="F80" s="187"/>
      <c r="G80" s="187"/>
      <c r="H80" s="187"/>
      <c r="I80" s="187"/>
      <c r="J80" s="187"/>
      <c r="K80" s="187"/>
      <c r="L80" s="187"/>
      <c r="M80" s="187"/>
      <c r="N80" s="187"/>
      <c r="O80" s="187"/>
      <c r="P80" s="187"/>
      <c r="Q80" s="221">
        <v>462</v>
      </c>
      <c r="R80" s="200"/>
      <c r="S80" s="200">
        <v>0</v>
      </c>
      <c r="T80" s="187"/>
      <c r="U80" s="187"/>
      <c r="V80" s="220"/>
    </row>
    <row r="81" spans="1:22">
      <c r="A81" s="262"/>
      <c r="B81" s="263"/>
      <c r="C81" s="187"/>
      <c r="D81" s="187"/>
      <c r="E81" s="187"/>
      <c r="F81" s="187"/>
      <c r="G81" s="187"/>
      <c r="H81" s="187"/>
      <c r="I81" s="187"/>
      <c r="J81" s="187"/>
      <c r="K81" s="187"/>
      <c r="L81" s="187"/>
      <c r="M81" s="187"/>
      <c r="N81" s="187"/>
      <c r="O81" s="187"/>
      <c r="P81" s="187"/>
      <c r="Q81" s="221">
        <v>373</v>
      </c>
      <c r="R81" s="218" t="s">
        <v>207</v>
      </c>
      <c r="S81" s="200">
        <v>5.55</v>
      </c>
      <c r="T81" s="187"/>
      <c r="U81" s="187"/>
      <c r="V81" s="220"/>
    </row>
    <row r="82" spans="1:22">
      <c r="A82" s="262"/>
      <c r="B82" s="187"/>
      <c r="C82" s="187"/>
      <c r="D82" s="187"/>
      <c r="E82" s="187"/>
      <c r="F82" s="187"/>
      <c r="G82" s="187"/>
      <c r="H82" s="187"/>
      <c r="I82" s="187"/>
      <c r="J82" s="187"/>
      <c r="K82" s="187"/>
      <c r="L82" s="187"/>
      <c r="M82" s="187"/>
      <c r="N82" s="187"/>
      <c r="O82" s="187"/>
      <c r="P82" s="187"/>
      <c r="Q82" s="202">
        <f>+SUMPRODUCT(Q77:Q78,Q80:Q81)/SUM(Q80:Q81)</f>
        <v>1.1695329341317364</v>
      </c>
      <c r="R82" s="202">
        <v>58.8</v>
      </c>
      <c r="S82" s="201">
        <v>0.27</v>
      </c>
      <c r="T82" s="187"/>
      <c r="U82" s="187"/>
      <c r="V82" s="220"/>
    </row>
    <row r="83" spans="1:22">
      <c r="A83" s="262"/>
      <c r="B83" s="187"/>
      <c r="C83" s="187"/>
      <c r="D83" s="187"/>
      <c r="E83" s="187"/>
      <c r="F83" s="187"/>
      <c r="G83" s="187"/>
      <c r="H83" s="187"/>
      <c r="I83" s="187"/>
      <c r="J83" s="187"/>
      <c r="K83" s="187"/>
      <c r="L83" s="187"/>
      <c r="M83" s="187"/>
      <c r="N83" s="187"/>
      <c r="O83" s="187"/>
      <c r="P83" s="187"/>
      <c r="Q83" s="187"/>
      <c r="R83" s="202">
        <v>60.69</v>
      </c>
      <c r="S83" s="203" t="s">
        <v>217</v>
      </c>
      <c r="T83" s="187"/>
      <c r="U83" s="187"/>
      <c r="V83" s="220"/>
    </row>
    <row r="84" spans="1:22">
      <c r="A84" s="262"/>
      <c r="B84" s="187"/>
      <c r="C84" s="187"/>
      <c r="D84" s="187"/>
      <c r="E84" s="187"/>
      <c r="F84" s="187"/>
      <c r="G84" s="187"/>
      <c r="H84" s="187"/>
      <c r="I84" s="187"/>
      <c r="J84" s="187"/>
      <c r="K84" s="187"/>
      <c r="L84" s="187"/>
      <c r="M84" s="187"/>
      <c r="N84" s="187"/>
      <c r="O84" s="187"/>
      <c r="P84" s="187"/>
      <c r="Q84" s="187"/>
      <c r="R84" s="202">
        <v>48.61</v>
      </c>
      <c r="S84" s="200">
        <v>542</v>
      </c>
      <c r="T84" s="187"/>
      <c r="U84" s="187"/>
      <c r="V84" s="220"/>
    </row>
    <row r="85" spans="1:22">
      <c r="A85" s="262"/>
      <c r="B85" s="190"/>
      <c r="C85" s="187"/>
      <c r="D85" s="187"/>
      <c r="E85" s="187"/>
      <c r="F85" s="187"/>
      <c r="G85" s="187"/>
      <c r="H85" s="187"/>
      <c r="I85" s="187"/>
      <c r="J85" s="187"/>
      <c r="K85" s="187"/>
      <c r="L85" s="187"/>
      <c r="M85" s="187"/>
      <c r="N85" s="187"/>
      <c r="O85" s="187"/>
      <c r="P85" s="187"/>
      <c r="Q85" s="187"/>
      <c r="R85" s="202">
        <v>62.44</v>
      </c>
      <c r="S85" s="202">
        <v>0</v>
      </c>
      <c r="T85" s="187"/>
      <c r="U85" s="187"/>
      <c r="V85" s="220"/>
    </row>
    <row r="86" spans="1:22">
      <c r="A86" s="262"/>
      <c r="B86" s="190"/>
      <c r="C86" s="187"/>
      <c r="D86" s="187"/>
      <c r="E86" s="187"/>
      <c r="F86" s="187"/>
      <c r="G86" s="187"/>
      <c r="H86" s="187"/>
      <c r="I86" s="187"/>
      <c r="J86" s="187"/>
      <c r="K86" s="187"/>
      <c r="L86" s="187"/>
      <c r="M86" s="187"/>
      <c r="N86" s="187"/>
      <c r="O86" s="187"/>
      <c r="P86" s="187"/>
      <c r="Q86" s="187"/>
      <c r="R86" s="202">
        <v>67.959999999999994</v>
      </c>
      <c r="S86" s="202">
        <v>231</v>
      </c>
      <c r="T86" s="187"/>
      <c r="U86" s="187"/>
      <c r="V86" s="220"/>
    </row>
    <row r="87" spans="1:22">
      <c r="A87" s="262"/>
      <c r="B87" s="190"/>
      <c r="C87" s="187"/>
      <c r="D87" s="187"/>
      <c r="E87" s="187"/>
      <c r="F87" s="187"/>
      <c r="G87" s="187"/>
      <c r="H87" s="187"/>
      <c r="I87" s="187"/>
      <c r="J87" s="187"/>
      <c r="K87" s="187"/>
      <c r="L87" s="187"/>
      <c r="M87" s="187"/>
      <c r="N87" s="187"/>
      <c r="O87" s="187"/>
      <c r="P87" s="187"/>
      <c r="Q87" s="187"/>
      <c r="R87" s="202">
        <v>0</v>
      </c>
      <c r="S87" s="202">
        <v>190</v>
      </c>
      <c r="T87" s="187"/>
      <c r="U87" s="187"/>
      <c r="V87" s="220"/>
    </row>
    <row r="88" spans="1:22">
      <c r="A88" s="262"/>
      <c r="B88" s="190"/>
      <c r="C88" s="187"/>
      <c r="D88" s="187"/>
      <c r="E88" s="187"/>
      <c r="F88" s="187"/>
      <c r="G88" s="187"/>
      <c r="H88" s="187"/>
      <c r="I88" s="187"/>
      <c r="J88" s="187"/>
      <c r="K88" s="187"/>
      <c r="L88" s="187"/>
      <c r="M88" s="187"/>
      <c r="N88" s="187"/>
      <c r="O88" s="187"/>
      <c r="P88" s="187"/>
      <c r="Q88" s="187"/>
      <c r="R88" s="202">
        <v>69.239999999999995</v>
      </c>
      <c r="S88" s="202">
        <f>+SUMPRODUCT(S79:S82,S84:S87)/SUM(S84:S87)</f>
        <v>2.2682139148494289</v>
      </c>
      <c r="T88" s="187"/>
      <c r="U88" s="187"/>
      <c r="V88" s="220"/>
    </row>
    <row r="89" spans="1:22">
      <c r="A89" s="262"/>
      <c r="B89" s="187"/>
      <c r="C89" s="187"/>
      <c r="D89" s="187"/>
      <c r="E89" s="187"/>
      <c r="F89" s="187"/>
      <c r="G89" s="187"/>
      <c r="H89" s="187"/>
      <c r="I89" s="187"/>
      <c r="J89" s="187"/>
      <c r="K89" s="187"/>
      <c r="L89" s="187"/>
      <c r="M89" s="187"/>
      <c r="N89" s="187"/>
      <c r="O89" s="187"/>
      <c r="P89" s="187"/>
      <c r="Q89" s="187"/>
      <c r="R89" s="202">
        <f>+SUMPRODUCT(R63:R69,R82:R88)/SUM(R63:R69)</f>
        <v>59.450914680764541</v>
      </c>
      <c r="S89" s="202"/>
      <c r="T89" s="187"/>
      <c r="U89" s="187"/>
      <c r="V89" s="220"/>
    </row>
    <row r="90" spans="1:22">
      <c r="A90" s="262"/>
      <c r="B90" s="187"/>
      <c r="C90" s="187"/>
      <c r="D90" s="187"/>
      <c r="E90" s="187"/>
      <c r="F90" s="187"/>
      <c r="G90" s="187"/>
      <c r="H90" s="187"/>
      <c r="I90" s="187"/>
      <c r="J90" s="187"/>
      <c r="K90" s="187"/>
      <c r="L90" s="187"/>
      <c r="M90" s="187"/>
      <c r="N90" s="187"/>
      <c r="O90" s="187"/>
      <c r="P90" s="187"/>
      <c r="Q90" s="187"/>
      <c r="R90" s="224" t="s">
        <v>209</v>
      </c>
      <c r="S90" s="187"/>
      <c r="T90" s="187"/>
      <c r="U90" s="187"/>
      <c r="V90" s="220"/>
    </row>
    <row r="91" spans="1:22">
      <c r="A91" s="262"/>
      <c r="B91" s="187"/>
      <c r="C91" s="187"/>
      <c r="D91" s="187"/>
      <c r="E91" s="187"/>
      <c r="F91" s="187"/>
      <c r="G91" s="187"/>
      <c r="H91" s="187"/>
      <c r="I91" s="187"/>
      <c r="J91" s="187"/>
      <c r="K91" s="187"/>
      <c r="L91" s="187"/>
      <c r="M91" s="187"/>
      <c r="N91" s="187"/>
      <c r="O91" s="187"/>
      <c r="P91" s="187"/>
      <c r="Q91" s="187"/>
      <c r="R91" s="202">
        <v>10.82</v>
      </c>
      <c r="S91" s="187"/>
      <c r="T91" s="187"/>
      <c r="U91" s="187"/>
      <c r="V91" s="220"/>
    </row>
    <row r="92" spans="1:22">
      <c r="A92" s="262"/>
      <c r="B92" s="187"/>
      <c r="C92" s="187"/>
      <c r="D92" s="187"/>
      <c r="E92" s="187"/>
      <c r="F92" s="187"/>
      <c r="G92" s="187"/>
      <c r="H92" s="187"/>
      <c r="I92" s="187"/>
      <c r="J92" s="187"/>
      <c r="K92" s="187"/>
      <c r="L92" s="187"/>
      <c r="M92" s="187"/>
      <c r="N92" s="187"/>
      <c r="O92" s="187"/>
      <c r="P92" s="187"/>
      <c r="Q92" s="187"/>
      <c r="R92" s="202">
        <v>13.86</v>
      </c>
      <c r="S92" s="187"/>
      <c r="T92" s="187"/>
      <c r="U92" s="187"/>
      <c r="V92" s="220"/>
    </row>
    <row r="93" spans="1:22">
      <c r="A93" s="262"/>
      <c r="B93" s="190"/>
      <c r="C93" s="187"/>
      <c r="D93" s="187"/>
      <c r="E93" s="187"/>
      <c r="F93" s="187"/>
      <c r="G93" s="187"/>
      <c r="H93" s="187"/>
      <c r="I93" s="187"/>
      <c r="J93" s="187"/>
      <c r="K93" s="187"/>
      <c r="L93" s="187"/>
      <c r="M93" s="187"/>
      <c r="N93" s="187"/>
      <c r="O93" s="187"/>
      <c r="P93" s="187"/>
      <c r="Q93" s="187"/>
      <c r="R93" s="202">
        <v>21.03</v>
      </c>
      <c r="S93" s="187"/>
      <c r="T93" s="187"/>
      <c r="U93" s="187"/>
      <c r="V93" s="220"/>
    </row>
    <row r="94" spans="1:22">
      <c r="A94" s="262"/>
      <c r="B94" s="190"/>
      <c r="C94" s="187"/>
      <c r="D94" s="187"/>
      <c r="E94" s="187"/>
      <c r="F94" s="187"/>
      <c r="G94" s="187"/>
      <c r="H94" s="187"/>
      <c r="I94" s="187"/>
      <c r="J94" s="187"/>
      <c r="K94" s="187"/>
      <c r="L94" s="187"/>
      <c r="M94" s="187"/>
      <c r="N94" s="187"/>
      <c r="O94" s="187"/>
      <c r="P94" s="187"/>
      <c r="Q94" s="187"/>
      <c r="R94" s="202">
        <v>54.11</v>
      </c>
      <c r="S94" s="187"/>
      <c r="T94" s="187"/>
      <c r="U94" s="187"/>
      <c r="V94" s="220"/>
    </row>
    <row r="95" spans="1:22">
      <c r="A95" s="262"/>
      <c r="B95" s="187"/>
      <c r="C95" s="187"/>
      <c r="D95" s="187"/>
      <c r="E95" s="187"/>
      <c r="F95" s="187"/>
      <c r="G95" s="187"/>
      <c r="H95" s="187"/>
      <c r="I95" s="187"/>
      <c r="J95" s="187"/>
      <c r="K95" s="187"/>
      <c r="L95" s="187"/>
      <c r="M95" s="187"/>
      <c r="N95" s="187"/>
      <c r="O95" s="187"/>
      <c r="P95" s="187"/>
      <c r="Q95" s="187"/>
      <c r="R95" s="202">
        <f>+SUMPRODUCT(R71:R74,R91:R94)/SUM(R71:R74)</f>
        <v>13.361982207190648</v>
      </c>
      <c r="S95" s="187"/>
      <c r="T95" s="187"/>
      <c r="U95" s="187"/>
      <c r="V95" s="220"/>
    </row>
    <row r="96" spans="1:22">
      <c r="A96" s="262"/>
      <c r="B96" s="187"/>
      <c r="C96" s="187"/>
      <c r="D96" s="187"/>
      <c r="E96" s="187"/>
      <c r="F96" s="187"/>
      <c r="G96" s="187"/>
      <c r="H96" s="187"/>
      <c r="I96" s="187"/>
      <c r="J96" s="187"/>
      <c r="K96" s="187"/>
      <c r="L96" s="187"/>
      <c r="M96" s="187"/>
      <c r="N96" s="187"/>
      <c r="O96" s="187"/>
      <c r="P96" s="187"/>
      <c r="Q96" s="187"/>
      <c r="R96" s="224" t="s">
        <v>210</v>
      </c>
      <c r="S96" s="187"/>
      <c r="T96" s="187"/>
      <c r="U96" s="187"/>
      <c r="V96" s="220"/>
    </row>
    <row r="97" spans="1:22">
      <c r="A97" s="262"/>
      <c r="B97" s="187"/>
      <c r="C97" s="187"/>
      <c r="D97" s="187"/>
      <c r="E97" s="187"/>
      <c r="F97" s="187"/>
      <c r="G97" s="187"/>
      <c r="H97" s="187"/>
      <c r="I97" s="187"/>
      <c r="J97" s="187"/>
      <c r="K97" s="187"/>
      <c r="L97" s="187"/>
      <c r="M97" s="187"/>
      <c r="N97" s="187"/>
      <c r="O97" s="187"/>
      <c r="P97" s="187"/>
      <c r="Q97" s="187"/>
      <c r="R97" s="202">
        <v>2.1800000000000002</v>
      </c>
      <c r="S97" s="187"/>
      <c r="T97" s="187"/>
      <c r="U97" s="187"/>
      <c r="V97" s="220"/>
    </row>
    <row r="98" spans="1:22">
      <c r="A98" s="262"/>
      <c r="B98" s="187"/>
      <c r="C98" s="187"/>
      <c r="D98" s="187"/>
      <c r="E98" s="187"/>
      <c r="F98" s="187"/>
      <c r="G98" s="187"/>
      <c r="H98" s="187"/>
      <c r="I98" s="187"/>
      <c r="J98" s="187"/>
      <c r="K98" s="187"/>
      <c r="L98" s="187"/>
      <c r="M98" s="187"/>
      <c r="N98" s="187"/>
      <c r="O98" s="187"/>
      <c r="P98" s="187"/>
      <c r="Q98" s="187"/>
      <c r="R98" s="202">
        <v>2.37</v>
      </c>
      <c r="S98" s="187"/>
      <c r="T98" s="187"/>
      <c r="U98" s="187"/>
      <c r="V98" s="220"/>
    </row>
    <row r="99" spans="1:22">
      <c r="A99" s="264"/>
      <c r="B99" s="190"/>
      <c r="D99" s="190"/>
      <c r="E99" s="190"/>
      <c r="F99" s="190"/>
      <c r="G99" s="190"/>
      <c r="H99" s="190"/>
      <c r="I99" s="190"/>
      <c r="J99" s="190"/>
      <c r="K99" s="190"/>
      <c r="L99" s="190"/>
      <c r="M99" s="190"/>
      <c r="N99" s="190"/>
      <c r="O99" s="190"/>
      <c r="P99" s="190"/>
      <c r="Q99" s="190"/>
      <c r="R99" s="202">
        <v>1.1599999999999999</v>
      </c>
      <c r="S99" s="190"/>
      <c r="T99" s="190"/>
      <c r="U99" s="190"/>
      <c r="V99" s="190"/>
    </row>
    <row r="100" spans="1:22">
      <c r="A100" s="264"/>
      <c r="B100" s="190"/>
      <c r="D100" s="190"/>
      <c r="E100" s="190"/>
      <c r="F100" s="190"/>
      <c r="G100" s="190"/>
      <c r="H100" s="190"/>
      <c r="I100" s="190"/>
      <c r="J100" s="190"/>
      <c r="K100" s="190"/>
      <c r="L100" s="190"/>
      <c r="M100" s="190"/>
      <c r="N100" s="190"/>
      <c r="O100" s="190"/>
      <c r="P100" s="190"/>
      <c r="Q100" s="190"/>
      <c r="R100" s="202">
        <v>3.69</v>
      </c>
      <c r="S100" s="190"/>
      <c r="T100" s="190"/>
      <c r="U100" s="190"/>
      <c r="V100" s="190"/>
    </row>
    <row r="101" spans="1:22">
      <c r="A101" s="264"/>
      <c r="B101" s="190"/>
      <c r="D101" s="190"/>
      <c r="E101" s="190"/>
      <c r="F101" s="190"/>
      <c r="G101" s="190"/>
      <c r="H101" s="190"/>
      <c r="I101" s="190"/>
      <c r="J101" s="190"/>
      <c r="K101" s="190"/>
      <c r="L101" s="190"/>
      <c r="M101" s="190"/>
      <c r="N101" s="190"/>
      <c r="O101" s="190"/>
      <c r="P101" s="190"/>
      <c r="Q101" s="190"/>
      <c r="R101" s="202">
        <v>0.23</v>
      </c>
      <c r="S101" s="190"/>
      <c r="T101" s="190"/>
      <c r="U101" s="190"/>
      <c r="V101" s="190"/>
    </row>
    <row r="102" spans="1:22">
      <c r="A102" s="264"/>
      <c r="B102" s="190"/>
      <c r="D102" s="190"/>
      <c r="E102" s="190"/>
      <c r="F102" s="190"/>
      <c r="G102" s="190"/>
      <c r="H102" s="190"/>
      <c r="I102" s="190"/>
      <c r="J102" s="190"/>
      <c r="K102" s="190"/>
      <c r="L102" s="190"/>
      <c r="M102" s="190"/>
      <c r="N102" s="190"/>
      <c r="O102" s="190"/>
      <c r="P102" s="190"/>
      <c r="Q102" s="190"/>
      <c r="R102" s="202">
        <f>+SUMPRODUCT(R76:R80,R97:R101)/SUM(R76:R80)</f>
        <v>1.4555859083183338</v>
      </c>
      <c r="S102" s="190"/>
      <c r="T102" s="190"/>
      <c r="U102" s="190"/>
      <c r="V102" s="190"/>
    </row>
    <row r="103" spans="1:22">
      <c r="A103" s="264"/>
      <c r="B103" s="190"/>
      <c r="D103" s="190"/>
      <c r="E103" s="190"/>
      <c r="F103" s="190"/>
      <c r="G103" s="190"/>
      <c r="H103" s="190"/>
      <c r="I103" s="190"/>
      <c r="J103" s="190"/>
      <c r="K103" s="190"/>
      <c r="L103" s="190"/>
      <c r="M103" s="190"/>
      <c r="N103" s="190"/>
      <c r="O103" s="190"/>
      <c r="P103" s="190"/>
      <c r="Q103" s="190"/>
      <c r="R103" s="190"/>
      <c r="S103" s="190"/>
      <c r="T103" s="190"/>
      <c r="U103" s="190"/>
      <c r="V103" s="190"/>
    </row>
    <row r="104" spans="1:22">
      <c r="A104" s="264"/>
      <c r="B104" s="190"/>
      <c r="D104" s="190"/>
      <c r="E104" s="190"/>
      <c r="F104" s="190"/>
      <c r="G104" s="190"/>
      <c r="H104" s="190"/>
      <c r="I104" s="190"/>
      <c r="J104" s="190"/>
      <c r="K104" s="190"/>
      <c r="L104" s="190"/>
      <c r="M104" s="190"/>
      <c r="N104" s="190"/>
      <c r="O104" s="190"/>
      <c r="P104" s="190"/>
      <c r="Q104" s="190"/>
      <c r="R104" s="190"/>
      <c r="S104" s="190"/>
      <c r="T104" s="190"/>
      <c r="U104" s="190"/>
      <c r="V104" s="190"/>
    </row>
    <row r="105" spans="1:22" ht="15" thickBot="1">
      <c r="A105" s="264"/>
      <c r="B105" s="190"/>
      <c r="D105" s="190"/>
      <c r="E105" s="190"/>
      <c r="F105" s="190"/>
      <c r="G105" s="190"/>
      <c r="H105" s="190"/>
      <c r="I105" s="190"/>
      <c r="J105" s="190"/>
      <c r="K105" s="190"/>
      <c r="L105" s="190"/>
      <c r="M105" s="190"/>
      <c r="N105" s="190"/>
      <c r="O105" s="190"/>
      <c r="P105" s="190"/>
      <c r="Q105" s="190"/>
      <c r="R105" s="190"/>
      <c r="S105" s="190"/>
      <c r="T105" s="190"/>
      <c r="U105" s="190"/>
      <c r="V105" s="190"/>
    </row>
    <row r="106" spans="1:22">
      <c r="A106" s="265" t="s">
        <v>109</v>
      </c>
      <c r="B106" s="191"/>
      <c r="C106" s="191"/>
      <c r="D106" s="191"/>
      <c r="E106" s="191"/>
      <c r="F106" s="191"/>
      <c r="G106" s="191"/>
      <c r="H106" s="191"/>
      <c r="I106" s="191"/>
      <c r="J106" s="191"/>
      <c r="K106" s="191"/>
      <c r="L106" s="191"/>
      <c r="M106" s="191"/>
      <c r="N106" s="191"/>
      <c r="O106" s="191"/>
      <c r="P106" s="191"/>
      <c r="Q106" s="191"/>
      <c r="R106" s="225"/>
      <c r="S106" s="225"/>
      <c r="T106" s="191"/>
      <c r="U106" s="191"/>
      <c r="V106" s="226"/>
    </row>
    <row r="107" spans="1:22">
      <c r="A107" s="266"/>
      <c r="B107" s="192" t="str">
        <f>B8</f>
        <v>AR</v>
      </c>
      <c r="C107" s="192" t="str">
        <f t="shared" ref="C107:V107" si="35">C8</f>
        <v>APA</v>
      </c>
      <c r="D107" s="192" t="str">
        <f t="shared" si="35"/>
        <v>CNQCN</v>
      </c>
      <c r="E107" s="192" t="str">
        <f t="shared" si="35"/>
        <v>CVECN</v>
      </c>
      <c r="F107" s="192" t="str">
        <f t="shared" si="35"/>
        <v>CHK</v>
      </c>
      <c r="G107" s="192" t="str">
        <f t="shared" si="35"/>
        <v>XEC</v>
      </c>
      <c r="H107" s="192" t="str">
        <f t="shared" si="35"/>
        <v>COP</v>
      </c>
      <c r="I107" s="192" t="str">
        <f t="shared" si="35"/>
        <v>CLR</v>
      </c>
      <c r="J107" s="192" t="str">
        <f t="shared" si="35"/>
        <v>CXO</v>
      </c>
      <c r="K107" s="192" t="str">
        <f t="shared" si="35"/>
        <v>DVN</v>
      </c>
      <c r="L107" s="192" t="str">
        <f t="shared" ref="L107" si="36">L8</f>
        <v>FANG</v>
      </c>
      <c r="M107" s="192" t="str">
        <f t="shared" si="35"/>
        <v>ECACN</v>
      </c>
      <c r="N107" s="192" t="str">
        <f t="shared" si="35"/>
        <v>EOG</v>
      </c>
      <c r="O107" s="192" t="str">
        <f t="shared" si="35"/>
        <v>EQT</v>
      </c>
      <c r="P107" s="192" t="str">
        <f t="shared" si="35"/>
        <v>HES</v>
      </c>
      <c r="Q107" s="192" t="str">
        <f t="shared" si="35"/>
        <v>MRO</v>
      </c>
      <c r="R107" s="192" t="str">
        <f t="shared" si="35"/>
        <v>MUR</v>
      </c>
      <c r="S107" s="192" t="str">
        <f t="shared" si="35"/>
        <v>NBL</v>
      </c>
      <c r="T107" s="192" t="str">
        <f t="shared" si="35"/>
        <v>OXY</v>
      </c>
      <c r="U107" s="192" t="str">
        <f t="shared" si="35"/>
        <v>PXD</v>
      </c>
      <c r="V107" s="227" t="str">
        <f t="shared" si="35"/>
        <v>SWN</v>
      </c>
    </row>
    <row r="108" spans="1:22">
      <c r="A108" s="266" t="s">
        <v>110</v>
      </c>
      <c r="B108" s="192">
        <f t="shared" ref="B108:V108" si="37">RANK(B36,$B$36:$V$36)</f>
        <v>19</v>
      </c>
      <c r="C108" s="192">
        <f t="shared" si="37"/>
        <v>15</v>
      </c>
      <c r="D108" s="192">
        <f t="shared" si="37"/>
        <v>5</v>
      </c>
      <c r="E108" s="192">
        <f t="shared" si="37"/>
        <v>7</v>
      </c>
      <c r="F108" s="192">
        <f t="shared" si="37"/>
        <v>21</v>
      </c>
      <c r="G108" s="192">
        <f t="shared" si="37"/>
        <v>10</v>
      </c>
      <c r="H108" s="192">
        <f t="shared" si="37"/>
        <v>1</v>
      </c>
      <c r="I108" s="192">
        <f t="shared" si="37"/>
        <v>8</v>
      </c>
      <c r="J108" s="192">
        <f t="shared" si="37"/>
        <v>9</v>
      </c>
      <c r="K108" s="192">
        <f t="shared" si="37"/>
        <v>13</v>
      </c>
      <c r="L108" s="192">
        <f t="shared" si="37"/>
        <v>2</v>
      </c>
      <c r="M108" s="192">
        <f t="shared" si="37"/>
        <v>11</v>
      </c>
      <c r="N108" s="192">
        <f t="shared" si="37"/>
        <v>4</v>
      </c>
      <c r="O108" s="192">
        <f t="shared" si="37"/>
        <v>20</v>
      </c>
      <c r="P108" s="192">
        <f t="shared" si="37"/>
        <v>16</v>
      </c>
      <c r="Q108" s="192">
        <f t="shared" si="37"/>
        <v>12</v>
      </c>
      <c r="R108" s="192">
        <f t="shared" si="37"/>
        <v>6</v>
      </c>
      <c r="S108" s="192">
        <f t="shared" si="37"/>
        <v>18</v>
      </c>
      <c r="T108" s="192">
        <f t="shared" si="37"/>
        <v>14</v>
      </c>
      <c r="U108" s="192">
        <f t="shared" si="37"/>
        <v>3</v>
      </c>
      <c r="V108" s="227">
        <f t="shared" si="37"/>
        <v>17</v>
      </c>
    </row>
    <row r="109" spans="1:22">
      <c r="A109" s="266"/>
      <c r="B109" s="192" t="str">
        <f>B107</f>
        <v>AR</v>
      </c>
      <c r="C109" s="192" t="str">
        <f t="shared" ref="C109:V109" si="38">C107</f>
        <v>APA</v>
      </c>
      <c r="D109" s="192" t="str">
        <f t="shared" si="38"/>
        <v>CNQCN</v>
      </c>
      <c r="E109" s="192" t="str">
        <f t="shared" si="38"/>
        <v>CVECN</v>
      </c>
      <c r="F109" s="192" t="str">
        <f t="shared" si="38"/>
        <v>CHK</v>
      </c>
      <c r="G109" s="192" t="str">
        <f t="shared" si="38"/>
        <v>XEC</v>
      </c>
      <c r="H109" s="192" t="str">
        <f t="shared" si="38"/>
        <v>COP</v>
      </c>
      <c r="I109" s="192" t="str">
        <f t="shared" si="38"/>
        <v>CLR</v>
      </c>
      <c r="J109" s="192" t="str">
        <f t="shared" si="38"/>
        <v>CXO</v>
      </c>
      <c r="K109" s="192" t="str">
        <f t="shared" si="38"/>
        <v>DVN</v>
      </c>
      <c r="L109" s="192" t="str">
        <f t="shared" ref="L109" si="39">L107</f>
        <v>FANG</v>
      </c>
      <c r="M109" s="192" t="str">
        <f t="shared" si="38"/>
        <v>ECACN</v>
      </c>
      <c r="N109" s="192" t="str">
        <f t="shared" si="38"/>
        <v>EOG</v>
      </c>
      <c r="O109" s="192" t="str">
        <f t="shared" si="38"/>
        <v>EQT</v>
      </c>
      <c r="P109" s="192" t="str">
        <f t="shared" si="38"/>
        <v>HES</v>
      </c>
      <c r="Q109" s="192" t="str">
        <f t="shared" si="38"/>
        <v>MRO</v>
      </c>
      <c r="R109" s="192" t="str">
        <f t="shared" si="38"/>
        <v>MUR</v>
      </c>
      <c r="S109" s="192" t="str">
        <f t="shared" si="38"/>
        <v>NBL</v>
      </c>
      <c r="T109" s="192" t="str">
        <f t="shared" si="38"/>
        <v>OXY</v>
      </c>
      <c r="U109" s="192" t="str">
        <f t="shared" si="38"/>
        <v>PXD</v>
      </c>
      <c r="V109" s="227" t="str">
        <f t="shared" si="38"/>
        <v>SWN</v>
      </c>
    </row>
    <row r="110" spans="1:22">
      <c r="A110" s="266" t="s">
        <v>107</v>
      </c>
      <c r="B110" s="192">
        <f t="shared" ref="B110:V110" si="40">RANK(B38,$B$38:$V$38)</f>
        <v>20</v>
      </c>
      <c r="C110" s="192">
        <f t="shared" si="40"/>
        <v>14</v>
      </c>
      <c r="D110" s="192">
        <f t="shared" si="40"/>
        <v>8</v>
      </c>
      <c r="E110" s="192">
        <f t="shared" si="40"/>
        <v>11</v>
      </c>
      <c r="F110" s="192">
        <f t="shared" si="40"/>
        <v>21</v>
      </c>
      <c r="G110" s="192">
        <f t="shared" si="40"/>
        <v>7</v>
      </c>
      <c r="H110" s="192">
        <f t="shared" si="40"/>
        <v>3</v>
      </c>
      <c r="I110" s="192">
        <f t="shared" si="40"/>
        <v>10</v>
      </c>
      <c r="J110" s="192">
        <f t="shared" si="40"/>
        <v>6</v>
      </c>
      <c r="K110" s="192">
        <f t="shared" si="40"/>
        <v>12</v>
      </c>
      <c r="L110" s="192">
        <f t="shared" si="40"/>
        <v>4</v>
      </c>
      <c r="M110" s="192">
        <f t="shared" si="40"/>
        <v>13</v>
      </c>
      <c r="N110" s="192">
        <f t="shared" si="40"/>
        <v>1</v>
      </c>
      <c r="O110" s="192">
        <f t="shared" si="40"/>
        <v>19</v>
      </c>
      <c r="P110" s="192">
        <f t="shared" si="40"/>
        <v>15</v>
      </c>
      <c r="Q110" s="192">
        <f t="shared" si="40"/>
        <v>9</v>
      </c>
      <c r="R110" s="192">
        <f t="shared" si="40"/>
        <v>5</v>
      </c>
      <c r="S110" s="192">
        <f t="shared" si="40"/>
        <v>16</v>
      </c>
      <c r="T110" s="192">
        <f t="shared" si="40"/>
        <v>18</v>
      </c>
      <c r="U110" s="192">
        <f t="shared" si="40"/>
        <v>2</v>
      </c>
      <c r="V110" s="227">
        <f t="shared" si="40"/>
        <v>17</v>
      </c>
    </row>
    <row r="111" spans="1:22">
      <c r="A111" s="266"/>
      <c r="B111" s="192" t="str">
        <f>B109</f>
        <v>AR</v>
      </c>
      <c r="C111" s="192" t="str">
        <f t="shared" ref="C111:V111" si="41">C109</f>
        <v>APA</v>
      </c>
      <c r="D111" s="192" t="str">
        <f t="shared" si="41"/>
        <v>CNQCN</v>
      </c>
      <c r="E111" s="192" t="str">
        <f t="shared" si="41"/>
        <v>CVECN</v>
      </c>
      <c r="F111" s="192" t="str">
        <f t="shared" si="41"/>
        <v>CHK</v>
      </c>
      <c r="G111" s="192" t="str">
        <f t="shared" si="41"/>
        <v>XEC</v>
      </c>
      <c r="H111" s="192" t="str">
        <f t="shared" si="41"/>
        <v>COP</v>
      </c>
      <c r="I111" s="192" t="str">
        <f t="shared" si="41"/>
        <v>CLR</v>
      </c>
      <c r="J111" s="192" t="str">
        <f t="shared" si="41"/>
        <v>CXO</v>
      </c>
      <c r="K111" s="192" t="str">
        <f t="shared" si="41"/>
        <v>DVN</v>
      </c>
      <c r="L111" s="192" t="str">
        <f t="shared" ref="L111" si="42">L109</f>
        <v>FANG</v>
      </c>
      <c r="M111" s="192" t="str">
        <f t="shared" si="41"/>
        <v>ECACN</v>
      </c>
      <c r="N111" s="192" t="str">
        <f t="shared" si="41"/>
        <v>EOG</v>
      </c>
      <c r="O111" s="192" t="str">
        <f t="shared" si="41"/>
        <v>EQT</v>
      </c>
      <c r="P111" s="192" t="str">
        <f t="shared" si="41"/>
        <v>HES</v>
      </c>
      <c r="Q111" s="192" t="str">
        <f t="shared" si="41"/>
        <v>MRO</v>
      </c>
      <c r="R111" s="192" t="str">
        <f t="shared" si="41"/>
        <v>MUR</v>
      </c>
      <c r="S111" s="192" t="str">
        <f t="shared" si="41"/>
        <v>NBL</v>
      </c>
      <c r="T111" s="192" t="str">
        <f t="shared" si="41"/>
        <v>OXY</v>
      </c>
      <c r="U111" s="192" t="str">
        <f t="shared" si="41"/>
        <v>PXD</v>
      </c>
      <c r="V111" s="227" t="str">
        <f t="shared" si="41"/>
        <v>SWN</v>
      </c>
    </row>
    <row r="112" spans="1:22" ht="15" thickBot="1">
      <c r="A112" s="267" t="s">
        <v>111</v>
      </c>
      <c r="B112" s="193">
        <f t="shared" ref="B112:V112" si="43">RANK(B35,$B$35:$V$35)</f>
        <v>21</v>
      </c>
      <c r="C112" s="193">
        <f t="shared" si="43"/>
        <v>10</v>
      </c>
      <c r="D112" s="193">
        <f t="shared" si="43"/>
        <v>8</v>
      </c>
      <c r="E112" s="193">
        <f t="shared" si="43"/>
        <v>12</v>
      </c>
      <c r="F112" s="193">
        <f t="shared" si="43"/>
        <v>18</v>
      </c>
      <c r="G112" s="193">
        <f t="shared" si="43"/>
        <v>16</v>
      </c>
      <c r="H112" s="193">
        <f t="shared" si="43"/>
        <v>1</v>
      </c>
      <c r="I112" s="193">
        <f t="shared" si="43"/>
        <v>6</v>
      </c>
      <c r="J112" s="193">
        <f t="shared" si="43"/>
        <v>7</v>
      </c>
      <c r="K112" s="193">
        <f t="shared" si="43"/>
        <v>17</v>
      </c>
      <c r="L112" s="193">
        <f t="shared" si="43"/>
        <v>3</v>
      </c>
      <c r="M112" s="193">
        <f t="shared" si="43"/>
        <v>15</v>
      </c>
      <c r="N112" s="193">
        <f t="shared" si="43"/>
        <v>5</v>
      </c>
      <c r="O112" s="193">
        <f t="shared" si="43"/>
        <v>19</v>
      </c>
      <c r="P112" s="193">
        <f t="shared" si="43"/>
        <v>11</v>
      </c>
      <c r="Q112" s="193">
        <f t="shared" si="43"/>
        <v>9</v>
      </c>
      <c r="R112" s="193">
        <f t="shared" si="43"/>
        <v>2</v>
      </c>
      <c r="S112" s="193">
        <f t="shared" si="43"/>
        <v>14</v>
      </c>
      <c r="T112" s="193">
        <f t="shared" si="43"/>
        <v>13</v>
      </c>
      <c r="U112" s="193">
        <f t="shared" si="43"/>
        <v>4</v>
      </c>
      <c r="V112" s="228">
        <f t="shared" si="43"/>
        <v>20</v>
      </c>
    </row>
    <row r="113" spans="1:22">
      <c r="A113" s="264"/>
      <c r="B113" s="190"/>
      <c r="D113" s="190"/>
      <c r="E113" s="190"/>
      <c r="F113" s="190"/>
      <c r="G113" s="190"/>
      <c r="H113" s="190"/>
      <c r="I113" s="190"/>
      <c r="J113" s="190"/>
      <c r="K113" s="190"/>
      <c r="L113" s="190"/>
      <c r="M113" s="190"/>
      <c r="N113" s="190"/>
      <c r="O113" s="190"/>
      <c r="P113" s="190"/>
      <c r="Q113" s="190"/>
      <c r="R113" s="190"/>
      <c r="S113" s="190"/>
      <c r="T113" s="190"/>
      <c r="U113" s="190"/>
      <c r="V113" s="190"/>
    </row>
    <row r="114" spans="1:22">
      <c r="A114" s="264"/>
      <c r="B114" s="190"/>
      <c r="D114" s="190"/>
      <c r="E114" s="190"/>
      <c r="F114" s="190"/>
      <c r="G114" s="190"/>
      <c r="H114" s="190"/>
      <c r="I114" s="190"/>
      <c r="J114" s="190"/>
      <c r="K114" s="190"/>
      <c r="L114" s="190"/>
      <c r="M114" s="190"/>
      <c r="N114" s="190"/>
      <c r="O114" s="190"/>
      <c r="P114" s="190"/>
      <c r="Q114" s="190"/>
      <c r="R114" s="190"/>
      <c r="S114" s="190"/>
      <c r="T114" s="190"/>
      <c r="U114" s="190"/>
      <c r="V114" s="190"/>
    </row>
    <row r="115" spans="1:22">
      <c r="A115" s="264"/>
      <c r="B115" s="190"/>
      <c r="D115" s="190"/>
      <c r="E115" s="190"/>
      <c r="F115" s="190"/>
      <c r="G115" s="190"/>
      <c r="H115" s="190"/>
      <c r="I115" s="190"/>
      <c r="J115" s="190"/>
      <c r="K115" s="190"/>
      <c r="L115" s="190"/>
      <c r="M115" s="190"/>
      <c r="N115" s="190"/>
      <c r="O115" s="190"/>
      <c r="P115" s="190"/>
      <c r="Q115" s="190"/>
      <c r="R115" s="190"/>
      <c r="S115" s="190"/>
      <c r="T115" s="190"/>
      <c r="U115" s="190"/>
      <c r="V115" s="190"/>
    </row>
    <row r="116" spans="1:22">
      <c r="A116" s="264" t="s">
        <v>130</v>
      </c>
      <c r="B116" s="194">
        <f>B16-'4Q18 Actual'!C15</f>
        <v>16.383548387096774</v>
      </c>
      <c r="C116" s="194">
        <f>C16-'4Q18 Actual'!C15</f>
        <v>34.780821309833854</v>
      </c>
      <c r="D116" s="194">
        <f>D16-'4Q18 Actual'!D15</f>
        <v>46.366801220694143</v>
      </c>
      <c r="E116" s="194">
        <f>E16-'4Q18 Actual'!E15</f>
        <v>40.155366387096763</v>
      </c>
      <c r="F116" s="194">
        <f>F16-'4Q18 Actual'!F15</f>
        <v>25.021881599034359</v>
      </c>
      <c r="G116" s="194">
        <f>G16-'4Q18 Actual'!F15</f>
        <v>23.832546837568209</v>
      </c>
      <c r="H116" s="194">
        <f>H16-'4Q18 Actual'!G15</f>
        <v>43.574372468681659</v>
      </c>
      <c r="I116" s="194">
        <f>I16-'4Q18 Actual'!H15</f>
        <v>36.98465058256479</v>
      </c>
      <c r="J116" s="194">
        <f>J16-'4Q18 Actual'!I15</f>
        <v>34.463548387096779</v>
      </c>
      <c r="K116" s="194">
        <f>K16-'4Q18 Actual'!J15</f>
        <v>26.356618614150655</v>
      </c>
      <c r="L116" s="194">
        <f>L16-'4Q18 Actual'!K15</f>
        <v>37.153548387096777</v>
      </c>
      <c r="M116" s="194">
        <f>M16-'4Q18 Actual'!K15</f>
        <v>27.413548387096775</v>
      </c>
      <c r="N116" s="194">
        <f>N16-'4Q18 Actual'!L15</f>
        <v>38.071005429143526</v>
      </c>
      <c r="O116" s="194">
        <f>O16-'4Q18 Actual'!N15</f>
        <v>13.27945104926085</v>
      </c>
      <c r="P116" s="194">
        <f>P16-'4Q18 Actual'!N15</f>
        <v>39.364376821089294</v>
      </c>
      <c r="Q116" s="194">
        <f>Q16-'4Q18 Actual'!O15</f>
        <v>32.135258000491405</v>
      </c>
      <c r="R116" s="194">
        <f>R16-'4Q18 Actual'!P15</f>
        <v>40.345366692987554</v>
      </c>
      <c r="S116" s="194">
        <f>S16-'4Q18 Actual'!Q15</f>
        <v>27.307706808536246</v>
      </c>
      <c r="T116" s="194">
        <f>T16-'4Q18 Actual'!R15</f>
        <v>38.921012313070456</v>
      </c>
      <c r="U116" s="194">
        <f>U16-'4Q18 Actual'!S15</f>
        <v>39.574585839813437</v>
      </c>
      <c r="V116" s="194">
        <f>V16-'4Q18 Actual'!T15</f>
        <v>11.192415626540438</v>
      </c>
    </row>
    <row r="117" spans="1:22">
      <c r="A117" s="264" t="s">
        <v>132</v>
      </c>
      <c r="B117" s="194">
        <f>B29-'4Q18 Actual'!C28</f>
        <v>0.6269410459167748</v>
      </c>
      <c r="C117" s="194">
        <f>C29-'4Q18 Actual'!C28</f>
        <v>2.9850691065377362</v>
      </c>
      <c r="D117" s="194">
        <f>D29-'4Q18 Actual'!D28</f>
        <v>10.150086516587184</v>
      </c>
      <c r="E117" s="194">
        <f>E29-'4Q18 Actual'!E28</f>
        <v>4.4008752904960247</v>
      </c>
      <c r="F117" s="194">
        <f>F29-'4Q18 Actual'!F28</f>
        <v>3.3416155504608263</v>
      </c>
      <c r="G117" s="194">
        <f>G29-'4Q18 Actual'!F28</f>
        <v>-3.605676598015533</v>
      </c>
      <c r="H117" s="194">
        <f>H29-'4Q18 Actual'!G28</f>
        <v>0.53202508161196072</v>
      </c>
      <c r="I117" s="194">
        <f>I29-'4Q18 Actual'!H28</f>
        <v>3.5935011960693739</v>
      </c>
      <c r="J117" s="194">
        <f>J29-'4Q18 Actual'!I28</f>
        <v>-1.9448928938826526</v>
      </c>
      <c r="K117" s="194">
        <f>K29-'4Q18 Actual'!J28</f>
        <v>3.7773278367670979</v>
      </c>
      <c r="L117" s="194">
        <f>L29-'4Q18 Actual'!K28</f>
        <v>-3.3581875584973151</v>
      </c>
      <c r="M117" s="194">
        <f>M29-'4Q18 Actual'!K28</f>
        <v>1.1118880386006431</v>
      </c>
      <c r="N117" s="194">
        <f>N29-'4Q18 Actual'!L28</f>
        <v>-1.0182311277733103</v>
      </c>
      <c r="O117" s="194">
        <f>O29-'4Q18 Actual'!N28</f>
        <v>-0.38858872217174678</v>
      </c>
      <c r="P117" s="194">
        <f>P29-'4Q18 Actual'!N28</f>
        <v>11.813323960681341</v>
      </c>
      <c r="Q117" s="194">
        <f>Q29-'4Q18 Actual'!O28</f>
        <v>-0.24294746319444549</v>
      </c>
      <c r="R117" s="194">
        <f>R29-'4Q18 Actual'!P28</f>
        <v>2.4532515056218447</v>
      </c>
      <c r="S117" s="194">
        <f>S29-'4Q18 Actual'!Q28</f>
        <v>-4.8306224010508334</v>
      </c>
      <c r="T117" s="194">
        <f>T29-'4Q18 Actual'!R28</f>
        <v>6.6483238080498772</v>
      </c>
      <c r="U117" s="194">
        <f>U29-'4Q18 Actual'!S28</f>
        <v>1.8002317890575359</v>
      </c>
      <c r="V117" s="194">
        <f>V29-'4Q18 Actual'!T28</f>
        <v>-5.1743389643569158</v>
      </c>
    </row>
    <row r="118" spans="1:22">
      <c r="A118" s="264" t="s">
        <v>129</v>
      </c>
      <c r="B118" s="195">
        <f>B49-'4Q18 Actual'!C48</f>
        <v>-483.79008399999992</v>
      </c>
      <c r="C118" s="195">
        <f>C49-'4Q18 Actual'!C48</f>
        <v>-496.10377799999992</v>
      </c>
      <c r="D118" s="195">
        <f>D49-'4Q18 Actual'!D48</f>
        <v>-349.990768</v>
      </c>
      <c r="E118" s="195">
        <f>E49-'4Q18 Actual'!E48</f>
        <v>-1040.0930253333333</v>
      </c>
      <c r="F118" s="195">
        <f>F49-'4Q18 Actual'!F48</f>
        <v>-388.75200000000001</v>
      </c>
      <c r="G118" s="195">
        <f>G49-'4Q18 Actual'!F48</f>
        <v>-406.34632533333331</v>
      </c>
      <c r="H118" s="195">
        <f>H49-'4Q18 Actual'!G48</f>
        <v>-293.54066666666665</v>
      </c>
      <c r="I118" s="195">
        <f>I49-'4Q18 Actual'!H48</f>
        <v>-220.68701999999999</v>
      </c>
      <c r="J118" s="195">
        <f>J49-'4Q18 Actual'!I48</f>
        <v>-1142.4914573333333</v>
      </c>
      <c r="K118" s="195">
        <f>K49-'4Q18 Actual'!J48</f>
        <v>-284.67099999999999</v>
      </c>
      <c r="L118" s="195">
        <f>L49-'4Q18 Actual'!K48</f>
        <v>-280.67977333333334</v>
      </c>
      <c r="M118" s="195">
        <f>M49-'4Q18 Actual'!K48</f>
        <v>-251.43343333333331</v>
      </c>
      <c r="N118" s="195">
        <f>N49-'4Q18 Actual'!L48</f>
        <v>-444.08386666666672</v>
      </c>
      <c r="O118" s="195">
        <f>O49-'4Q18 Actual'!N48</f>
        <v>-340.06366666666662</v>
      </c>
      <c r="P118" s="195">
        <f>P49-'4Q18 Actual'!N48</f>
        <v>-374.84466666666663</v>
      </c>
      <c r="Q118" s="195">
        <f>Q49-'4Q18 Actual'!O48</f>
        <v>-725.1006666666666</v>
      </c>
      <c r="R118" s="195">
        <f>R49-'4Q18 Actual'!P48</f>
        <v>-694.91863675362322</v>
      </c>
      <c r="S118" s="195">
        <f>S49-'4Q18 Actual'!Q48</f>
        <v>-253.45933333333332</v>
      </c>
      <c r="T118" s="195">
        <f>T49-'4Q18 Actual'!R48</f>
        <v>-310.17666666666673</v>
      </c>
      <c r="U118" s="195">
        <f>U49-'4Q18 Actual'!S48</f>
        <v>-150.06525266666665</v>
      </c>
      <c r="V118" s="195">
        <f>V49-'4Q18 Actual'!T48</f>
        <v>-317.3366666666667</v>
      </c>
    </row>
    <row r="119" spans="1:22">
      <c r="A119" s="264"/>
      <c r="B119" s="190"/>
      <c r="D119" s="190"/>
      <c r="E119" s="190"/>
      <c r="F119" s="190"/>
      <c r="G119" s="190"/>
      <c r="H119" s="190"/>
      <c r="I119" s="190"/>
      <c r="J119" s="190"/>
      <c r="K119" s="190"/>
      <c r="L119" s="190"/>
      <c r="M119" s="190"/>
      <c r="N119" s="190"/>
      <c r="O119" s="190"/>
      <c r="P119" s="190"/>
      <c r="Q119" s="190"/>
      <c r="R119" s="190"/>
      <c r="S119" s="190"/>
      <c r="T119" s="190"/>
      <c r="U119" s="190"/>
      <c r="V119" s="190"/>
    </row>
    <row r="120" spans="1:22">
      <c r="A120" s="264"/>
      <c r="B120" s="190"/>
      <c r="D120" s="190"/>
      <c r="E120" s="190"/>
      <c r="F120" s="190"/>
      <c r="G120" s="190"/>
      <c r="H120" s="190"/>
      <c r="I120" s="190"/>
      <c r="J120" s="190"/>
      <c r="K120" s="190"/>
      <c r="L120" s="190"/>
      <c r="M120" s="190"/>
      <c r="N120" s="190"/>
      <c r="O120" s="190"/>
      <c r="P120" s="190"/>
      <c r="Q120" s="190"/>
      <c r="R120" s="190"/>
      <c r="S120" s="190"/>
      <c r="T120" s="190"/>
      <c r="U120" s="190"/>
      <c r="V120" s="190"/>
    </row>
    <row r="121" spans="1:22">
      <c r="A121" s="264"/>
      <c r="B121" s="190"/>
      <c r="D121" s="190"/>
      <c r="E121" s="190"/>
      <c r="F121" s="190"/>
      <c r="G121" s="190"/>
      <c r="H121" s="190"/>
      <c r="I121" s="190"/>
      <c r="J121" s="190"/>
      <c r="K121" s="190"/>
      <c r="L121" s="190"/>
      <c r="M121" s="190"/>
      <c r="N121" s="190"/>
      <c r="O121" s="190"/>
      <c r="P121" s="190"/>
      <c r="Q121" s="190"/>
      <c r="R121" s="190"/>
      <c r="S121" s="190"/>
      <c r="T121" s="190"/>
      <c r="U121" s="190"/>
      <c r="V121" s="190"/>
    </row>
    <row r="202" spans="3:20" ht="14.25" hidden="1" customHeight="1">
      <c r="N202" s="2" t="s">
        <v>58</v>
      </c>
    </row>
    <row r="203" spans="3:20" ht="14.25" hidden="1" customHeight="1">
      <c r="N203" s="2" t="s">
        <v>54</v>
      </c>
      <c r="P203" s="2">
        <v>52.63</v>
      </c>
      <c r="Q203" s="2">
        <v>176</v>
      </c>
      <c r="T203" s="2">
        <f>+Q203*P203</f>
        <v>9262.880000000001</v>
      </c>
    </row>
    <row r="204" spans="3:20" ht="14.25" hidden="1" customHeight="1">
      <c r="D204" s="2" t="s">
        <v>72</v>
      </c>
      <c r="E204" s="2" t="s">
        <v>73</v>
      </c>
      <c r="N204" s="2" t="s">
        <v>55</v>
      </c>
      <c r="P204" s="2">
        <v>14.77</v>
      </c>
      <c r="Q204" s="2">
        <v>37</v>
      </c>
      <c r="T204" s="2">
        <f>+Q204*P204</f>
        <v>546.49</v>
      </c>
    </row>
    <row r="205" spans="3:20" ht="14.25" hidden="1" customHeight="1">
      <c r="C205" s="190">
        <v>95.057000000000002</v>
      </c>
      <c r="D205" s="2">
        <f>73.05</f>
        <v>73.05</v>
      </c>
      <c r="G205" s="2">
        <f>+D205*C205</f>
        <v>6943.9138499999999</v>
      </c>
      <c r="N205" s="2" t="s">
        <v>59</v>
      </c>
      <c r="P205" s="2">
        <v>2.76</v>
      </c>
      <c r="Q205" s="2">
        <v>361</v>
      </c>
      <c r="S205" s="2">
        <f>+Q205/6</f>
        <v>60.166666666666664</v>
      </c>
      <c r="T205" s="2">
        <f>+Q205*P205</f>
        <v>996.3599999999999</v>
      </c>
    </row>
    <row r="206" spans="3:20" ht="14.25" hidden="1" customHeight="1">
      <c r="C206" s="190">
        <f>458.144-C205</f>
        <v>363.08699999999999</v>
      </c>
      <c r="D206" s="2">
        <f>53.09</f>
        <v>53.09</v>
      </c>
      <c r="G206" s="2">
        <f>+D206*C206</f>
        <v>19276.288830000001</v>
      </c>
      <c r="H206" s="2">
        <f>+SUM(G205:G206)/(C205+C206)</f>
        <v>57.231356691345958</v>
      </c>
    </row>
    <row r="207" spans="3:20" ht="14.25" hidden="1" customHeight="1">
      <c r="N207" s="2" t="s">
        <v>60</v>
      </c>
    </row>
    <row r="208" spans="3:20" ht="14.25" hidden="1" customHeight="1">
      <c r="N208" s="2" t="s">
        <v>54</v>
      </c>
      <c r="P208" s="2">
        <v>56.7</v>
      </c>
      <c r="Q208" s="2">
        <v>33</v>
      </c>
      <c r="T208" s="2">
        <f>+Q208*P208</f>
        <v>1871.1000000000001</v>
      </c>
    </row>
    <row r="209" spans="4:20" ht="14.25" hidden="1" customHeight="1">
      <c r="D209" s="2">
        <v>608</v>
      </c>
      <c r="E209" s="2">
        <v>58</v>
      </c>
      <c r="N209" s="2" t="s">
        <v>55</v>
      </c>
      <c r="P209" s="2">
        <v>3.1</v>
      </c>
      <c r="Q209" s="2">
        <v>9</v>
      </c>
      <c r="T209" s="2">
        <f>+Q209*P209</f>
        <v>27.900000000000002</v>
      </c>
    </row>
    <row r="210" spans="4:20" ht="14.25" hidden="1" customHeight="1">
      <c r="D210" s="2">
        <v>138</v>
      </c>
      <c r="E210" s="2">
        <v>33.299999999999997</v>
      </c>
      <c r="N210" s="2" t="s">
        <v>59</v>
      </c>
      <c r="P210" s="2">
        <v>0.78</v>
      </c>
      <c r="Q210" s="2">
        <v>396</v>
      </c>
      <c r="S210" s="2">
        <f>+Q210/6</f>
        <v>66</v>
      </c>
      <c r="T210" s="2">
        <f>+Q210*P210</f>
        <v>308.88</v>
      </c>
    </row>
    <row r="211" spans="4:20" ht="14.25" hidden="1" customHeight="1">
      <c r="E211" s="2">
        <f>+SUMPRODUCT(D209:D210,E209:E210)/SUM(D209:D210)</f>
        <v>53.430831099195714</v>
      </c>
    </row>
    <row r="212" spans="4:20" ht="14.25" hidden="1" customHeight="1">
      <c r="N212" s="2" t="s">
        <v>61</v>
      </c>
    </row>
    <row r="213" spans="4:20" ht="14.25" hidden="1" customHeight="1">
      <c r="N213" s="2" t="s">
        <v>54</v>
      </c>
      <c r="P213" s="2">
        <v>52.46</v>
      </c>
      <c r="Q213" s="2">
        <v>29</v>
      </c>
      <c r="T213" s="2">
        <f>+Q213*P213</f>
        <v>1521.34</v>
      </c>
    </row>
  </sheetData>
  <pageMargins left="0.7" right="0.24" top="0.75" bottom="0.75" header="0.3" footer="0.3"/>
  <pageSetup orientation="portrait" r:id="rId1"/>
  <headerFooter>
    <oddFooter>&amp;C&amp;"Expert Sans Regular,Regular"&amp;10&amp;K000000 Restricted - External_x000D_&amp;1#&amp;"Calibri"&amp;10 Restricted - External</oddFooter>
    <evenFooter>&amp;C&amp;"Expert Sans Regular,Regular"&amp;10&amp;K000000 Restricted - External</evenFooter>
    <firstFooter>&amp;C&amp;"Expert Sans Regular,Regular"&amp;10&amp;K000000 Restricted - External</first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Y213"/>
  <sheetViews>
    <sheetView showGridLines="0" zoomScale="90" zoomScaleNormal="90" workbookViewId="0">
      <pane xSplit="1" ySplit="8" topLeftCell="C18" activePane="bottomRight" state="frozen"/>
      <selection pane="topRight" activeCell="B1" sqref="B1"/>
      <selection pane="bottomLeft" activeCell="A8" sqref="A8"/>
      <selection pane="bottomRight" activeCell="P22" sqref="P22"/>
    </sheetView>
  </sheetViews>
  <sheetFormatPr defaultRowHeight="14.25"/>
  <cols>
    <col min="1" max="1" width="20.5" style="1" customWidth="1"/>
    <col min="2" max="2" width="9.25" style="2" customWidth="1"/>
    <col min="3" max="3" width="11.875" style="2" customWidth="1"/>
    <col min="4" max="4" width="9.25" style="190" customWidth="1"/>
    <col min="5" max="8" width="9.25" style="2" customWidth="1"/>
    <col min="9" max="9" width="10.25" style="2" customWidth="1"/>
    <col min="10" max="12" width="9.25" style="2" customWidth="1"/>
    <col min="13" max="13" width="10.25" style="2" customWidth="1"/>
    <col min="14" max="19" width="9.25" style="2" customWidth="1"/>
    <col min="20" max="20" width="11" style="2" customWidth="1"/>
    <col min="21" max="22" width="9.25" style="2" customWidth="1"/>
    <col min="23" max="23" width="10.875" style="2" customWidth="1"/>
    <col min="24" max="25" width="11.5" style="1" customWidth="1"/>
    <col min="26" max="26" width="10.75" style="1" bestFit="1" customWidth="1"/>
    <col min="27" max="16384" width="9" style="1"/>
  </cols>
  <sheetData>
    <row r="1" spans="1:25" s="9" customFormat="1" ht="15" thickBot="1">
      <c r="A1" s="259" t="str">
        <f>$B$1&amp;" Benchmarks"</f>
        <v>2Q19 Benchmarks</v>
      </c>
      <c r="B1" s="258" t="s">
        <v>224</v>
      </c>
      <c r="D1" s="183" t="str">
        <f>"Days in "&amp;$B$1</f>
        <v>Days in 2Q19</v>
      </c>
      <c r="E1" s="8"/>
      <c r="F1" s="8"/>
      <c r="G1" s="8"/>
      <c r="H1" s="8"/>
      <c r="I1" s="8"/>
      <c r="J1" s="8"/>
      <c r="K1" s="8"/>
      <c r="L1" s="8"/>
      <c r="M1" s="8"/>
      <c r="N1" s="8"/>
      <c r="O1" s="8"/>
      <c r="P1" s="8"/>
      <c r="Q1" s="19"/>
      <c r="R1" s="8"/>
      <c r="S1" s="8"/>
      <c r="T1" s="8"/>
      <c r="U1" s="8"/>
      <c r="V1" s="8"/>
      <c r="W1" s="8"/>
    </row>
    <row r="2" spans="1:25" s="9" customFormat="1" ht="15" thickBot="1">
      <c r="A2" s="259" t="s">
        <v>1</v>
      </c>
      <c r="B2" s="10">
        <v>59.89</v>
      </c>
      <c r="D2" s="198">
        <f>30+31+30</f>
        <v>91</v>
      </c>
      <c r="E2" s="8"/>
      <c r="F2" s="8"/>
      <c r="G2" s="8"/>
      <c r="H2" s="8"/>
      <c r="I2" s="8"/>
      <c r="J2" s="8"/>
      <c r="K2" s="8"/>
      <c r="L2" s="8"/>
      <c r="M2" s="8"/>
      <c r="N2" s="8"/>
      <c r="O2" s="8"/>
      <c r="P2" s="8"/>
      <c r="Q2" s="19"/>
      <c r="R2" s="8"/>
      <c r="S2" s="8"/>
      <c r="T2" s="8"/>
      <c r="U2" s="8"/>
      <c r="V2" s="8"/>
      <c r="W2" s="8"/>
    </row>
    <row r="3" spans="1:25" s="9" customFormat="1">
      <c r="A3" s="259" t="s">
        <v>0</v>
      </c>
      <c r="B3" s="10">
        <v>22.2</v>
      </c>
      <c r="C3" s="10"/>
      <c r="D3" s="8"/>
      <c r="E3" s="8"/>
      <c r="F3" s="8"/>
      <c r="G3" s="8"/>
      <c r="H3" s="8"/>
      <c r="I3" s="8"/>
      <c r="J3" s="8"/>
      <c r="K3" s="8"/>
      <c r="L3" s="135"/>
      <c r="M3" s="135"/>
      <c r="N3" s="8"/>
      <c r="O3" s="8"/>
      <c r="P3" s="8"/>
      <c r="Q3" s="19"/>
      <c r="R3" s="8"/>
      <c r="S3" s="8"/>
      <c r="T3" s="8"/>
      <c r="U3" s="8"/>
      <c r="V3" s="8"/>
      <c r="W3" s="8"/>
    </row>
    <row r="4" spans="1:25" s="9" customFormat="1">
      <c r="A4" s="259" t="s">
        <v>2</v>
      </c>
      <c r="B4" s="10">
        <v>2.56</v>
      </c>
      <c r="C4" s="10"/>
      <c r="D4" s="8"/>
      <c r="E4" s="8"/>
      <c r="F4" s="8"/>
      <c r="G4" s="8"/>
      <c r="H4" s="8"/>
      <c r="I4" s="8"/>
      <c r="J4" s="135"/>
      <c r="K4" s="8"/>
      <c r="L4" s="8"/>
      <c r="M4" s="8"/>
      <c r="N4" s="8"/>
      <c r="O4" s="8"/>
      <c r="P4" s="8"/>
      <c r="Q4" s="197"/>
      <c r="R4" s="8"/>
      <c r="S4" s="8"/>
      <c r="T4" s="8"/>
      <c r="U4" s="8"/>
      <c r="V4" s="8"/>
      <c r="W4" s="8"/>
    </row>
    <row r="5" spans="1:25" s="9" customFormat="1">
      <c r="A5" s="259" t="s">
        <v>205</v>
      </c>
      <c r="B5" s="10">
        <v>1.34</v>
      </c>
      <c r="C5" s="10"/>
      <c r="D5" s="8"/>
      <c r="E5" s="8"/>
      <c r="F5" s="8"/>
      <c r="G5" s="8"/>
      <c r="H5" s="8"/>
      <c r="I5" s="8"/>
      <c r="J5" s="135"/>
      <c r="K5" s="8"/>
      <c r="L5" s="8"/>
      <c r="M5" s="8"/>
      <c r="N5" s="8"/>
      <c r="O5" s="8"/>
      <c r="P5" s="8"/>
      <c r="Q5" s="19"/>
      <c r="R5" s="8"/>
      <c r="S5" s="8"/>
      <c r="T5" s="8"/>
      <c r="U5" s="8"/>
      <c r="V5" s="8"/>
      <c r="W5" s="8"/>
    </row>
    <row r="6" spans="1:25" s="9" customFormat="1" ht="38.25" customHeight="1" thickBot="1">
      <c r="A6" s="259"/>
      <c r="B6" s="8"/>
      <c r="C6" s="181"/>
      <c r="D6" s="8"/>
      <c r="E6" s="8"/>
      <c r="F6" s="8"/>
      <c r="G6" s="8"/>
      <c r="H6" s="8"/>
      <c r="I6" s="8"/>
      <c r="J6" s="175"/>
      <c r="K6" s="175"/>
      <c r="L6" s="175"/>
      <c r="M6" s="175"/>
      <c r="N6" s="181"/>
      <c r="O6" s="175"/>
      <c r="P6" s="175"/>
      <c r="Q6" s="176"/>
      <c r="R6" s="175"/>
      <c r="S6" s="175"/>
      <c r="T6" s="175"/>
      <c r="U6" s="181"/>
      <c r="V6" s="181"/>
      <c r="W6" s="175"/>
      <c r="X6" s="177"/>
      <c r="Y6" s="177"/>
    </row>
    <row r="7" spans="1:25" ht="26.25" thickBot="1">
      <c r="A7" s="173" t="s">
        <v>15</v>
      </c>
      <c r="B7" s="258" t="s">
        <v>17</v>
      </c>
      <c r="C7" s="258" t="s">
        <v>189</v>
      </c>
      <c r="D7" s="258" t="s">
        <v>18</v>
      </c>
      <c r="E7" s="258" t="s">
        <v>19</v>
      </c>
      <c r="F7" s="258" t="s">
        <v>21</v>
      </c>
      <c r="G7" s="258" t="s">
        <v>191</v>
      </c>
      <c r="H7" s="258" t="s">
        <v>22</v>
      </c>
      <c r="I7" s="258" t="s">
        <v>20</v>
      </c>
      <c r="J7" s="258" t="s">
        <v>23</v>
      </c>
      <c r="K7" s="258" t="s">
        <v>139</v>
      </c>
      <c r="L7" s="258" t="s">
        <v>24</v>
      </c>
      <c r="M7" s="258" t="s">
        <v>227</v>
      </c>
      <c r="N7" s="258" t="s">
        <v>25</v>
      </c>
      <c r="O7" s="258" t="s">
        <v>26</v>
      </c>
      <c r="P7" s="258" t="s">
        <v>187</v>
      </c>
      <c r="Q7" s="258" t="s">
        <v>27</v>
      </c>
      <c r="R7" s="258" t="s">
        <v>28</v>
      </c>
      <c r="S7" s="258" t="s">
        <v>193</v>
      </c>
      <c r="T7" s="258" t="s">
        <v>29</v>
      </c>
      <c r="U7" s="258" t="s">
        <v>30</v>
      </c>
      <c r="V7" s="258" t="s">
        <v>31</v>
      </c>
      <c r="W7" s="258" t="s">
        <v>32</v>
      </c>
    </row>
    <row r="8" spans="1:25" ht="18" customHeight="1" thickBot="1">
      <c r="A8" s="178" t="s">
        <v>16</v>
      </c>
      <c r="B8" s="179" t="s">
        <v>33</v>
      </c>
      <c r="C8" s="179" t="s">
        <v>190</v>
      </c>
      <c r="D8" s="179" t="s">
        <v>34</v>
      </c>
      <c r="E8" s="179" t="s">
        <v>35</v>
      </c>
      <c r="F8" s="179" t="s">
        <v>37</v>
      </c>
      <c r="G8" s="179" t="s">
        <v>192</v>
      </c>
      <c r="H8" s="179" t="s">
        <v>38</v>
      </c>
      <c r="I8" s="179" t="s">
        <v>36</v>
      </c>
      <c r="J8" s="179" t="s">
        <v>39</v>
      </c>
      <c r="K8" s="179" t="s">
        <v>140</v>
      </c>
      <c r="L8" s="179" t="s">
        <v>40</v>
      </c>
      <c r="M8" s="179" t="s">
        <v>226</v>
      </c>
      <c r="N8" s="179" t="s">
        <v>41</v>
      </c>
      <c r="O8" s="179" t="s">
        <v>42</v>
      </c>
      <c r="P8" s="179" t="s">
        <v>188</v>
      </c>
      <c r="Q8" s="179" t="s">
        <v>43</v>
      </c>
      <c r="R8" s="179" t="s">
        <v>44</v>
      </c>
      <c r="S8" s="179" t="s">
        <v>194</v>
      </c>
      <c r="T8" s="179" t="s">
        <v>45</v>
      </c>
      <c r="U8" s="179" t="s">
        <v>46</v>
      </c>
      <c r="V8" s="179" t="s">
        <v>47</v>
      </c>
      <c r="W8" s="179" t="s">
        <v>48</v>
      </c>
    </row>
    <row r="9" spans="1:25" s="9" customFormat="1">
      <c r="A9" s="214"/>
      <c r="B9" s="186"/>
      <c r="C9" s="186"/>
      <c r="D9" s="186"/>
      <c r="E9" s="186"/>
      <c r="F9" s="186"/>
      <c r="G9" s="186"/>
      <c r="H9" s="186"/>
      <c r="I9" s="186"/>
      <c r="J9" s="186"/>
      <c r="K9" s="186"/>
      <c r="L9" s="186"/>
      <c r="M9" s="186"/>
      <c r="N9" s="186"/>
      <c r="O9" s="186"/>
      <c r="P9" s="186"/>
      <c r="Q9" s="186"/>
      <c r="R9" s="186"/>
      <c r="S9" s="186"/>
      <c r="T9" s="186"/>
      <c r="U9" s="186"/>
      <c r="V9" s="186"/>
      <c r="W9" s="186"/>
    </row>
    <row r="10" spans="1:25" s="215" customFormat="1">
      <c r="A10" s="214" t="s">
        <v>50</v>
      </c>
      <c r="B10" s="74">
        <v>62.45</v>
      </c>
      <c r="C10" s="74">
        <v>52.19</v>
      </c>
      <c r="D10" s="74">
        <v>63.71</v>
      </c>
      <c r="E10" s="74">
        <f>+E79/E62</f>
        <v>55.905827982085803</v>
      </c>
      <c r="F10" s="74">
        <f>62.68/E62</f>
        <v>46.776119402985074</v>
      </c>
      <c r="G10" s="74">
        <f>700/((G45*$D$2)/1000)</f>
        <v>63.051702395964689</v>
      </c>
      <c r="H10" s="74">
        <v>54.24</v>
      </c>
      <c r="I10" s="74">
        <f>+((64.88*702)+(37.2*51))/I45</f>
        <v>63.005258964143415</v>
      </c>
      <c r="J10" s="74">
        <f>1005.146/(J45*$D$2/1000)</f>
        <v>57.057640736212527</v>
      </c>
      <c r="K10" s="74">
        <v>56.02</v>
      </c>
      <c r="L10" s="74">
        <v>57.09</v>
      </c>
      <c r="M10" s="74">
        <v>54.41</v>
      </c>
      <c r="N10" s="74">
        <v>59.27</v>
      </c>
      <c r="O10" s="74">
        <v>60.99</v>
      </c>
      <c r="P10" s="74">
        <v>48.78</v>
      </c>
      <c r="Q10" s="74">
        <v>61.37</v>
      </c>
      <c r="R10" s="74">
        <f>R68</f>
        <v>59.047727272727272</v>
      </c>
      <c r="S10" s="74">
        <f>+S89</f>
        <v>62.452576270238531</v>
      </c>
      <c r="T10" s="74">
        <f>+T70</f>
        <v>58.978000000000002</v>
      </c>
      <c r="U10" s="74">
        <v>58.91</v>
      </c>
      <c r="V10" s="74">
        <v>55.5</v>
      </c>
      <c r="W10" s="74">
        <v>49.55</v>
      </c>
    </row>
    <row r="11" spans="1:25" s="215" customFormat="1">
      <c r="A11" s="214" t="s">
        <v>3</v>
      </c>
      <c r="B11" s="74">
        <f t="shared" ref="B11:W11" si="0">+B10-$B$2</f>
        <v>2.5600000000000023</v>
      </c>
      <c r="C11" s="74">
        <f>+C10-$B$2</f>
        <v>-7.7000000000000028</v>
      </c>
      <c r="D11" s="74">
        <f t="shared" si="0"/>
        <v>3.8200000000000003</v>
      </c>
      <c r="E11" s="74">
        <f t="shared" si="0"/>
        <v>-3.9841720179141973</v>
      </c>
      <c r="F11" s="74">
        <f t="shared" si="0"/>
        <v>-13.113880597014926</v>
      </c>
      <c r="G11" s="74">
        <f t="shared" si="0"/>
        <v>3.1617023959646886</v>
      </c>
      <c r="H11" s="74">
        <f t="shared" si="0"/>
        <v>-5.6499999999999986</v>
      </c>
      <c r="I11" s="74">
        <f t="shared" si="0"/>
        <v>3.1152589641434147</v>
      </c>
      <c r="J11" s="74">
        <f t="shared" si="0"/>
        <v>-2.8323592637874739</v>
      </c>
      <c r="K11" s="74">
        <f t="shared" si="0"/>
        <v>-3.8699999999999974</v>
      </c>
      <c r="L11" s="74">
        <f t="shared" si="0"/>
        <v>-2.7999999999999972</v>
      </c>
      <c r="M11" s="74">
        <f t="shared" si="0"/>
        <v>-5.480000000000004</v>
      </c>
      <c r="N11" s="74">
        <f t="shared" si="0"/>
        <v>-0.61999999999999744</v>
      </c>
      <c r="O11" s="74">
        <f t="shared" si="0"/>
        <v>1.1000000000000014</v>
      </c>
      <c r="P11" s="74">
        <f t="shared" si="0"/>
        <v>-11.11</v>
      </c>
      <c r="Q11" s="74">
        <f t="shared" si="0"/>
        <v>1.4799999999999969</v>
      </c>
      <c r="R11" s="74">
        <f t="shared" si="0"/>
        <v>-0.84227272727272862</v>
      </c>
      <c r="S11" s="74">
        <f t="shared" si="0"/>
        <v>2.5625762702385302</v>
      </c>
      <c r="T11" s="74">
        <f t="shared" si="0"/>
        <v>-0.91199999999999903</v>
      </c>
      <c r="U11" s="74">
        <f t="shared" si="0"/>
        <v>-0.98000000000000398</v>
      </c>
      <c r="V11" s="74">
        <f t="shared" si="0"/>
        <v>-4.3900000000000006</v>
      </c>
      <c r="W11" s="74">
        <f t="shared" si="0"/>
        <v>-10.340000000000003</v>
      </c>
    </row>
    <row r="12" spans="1:25" s="215" customFormat="1">
      <c r="A12" s="214" t="s">
        <v>51</v>
      </c>
      <c r="B12" s="74">
        <v>20.63</v>
      </c>
      <c r="C12" s="74">
        <f>(28.57*105.228+8.16*40.882)/(105.228+40.882)</f>
        <v>22.859223051125863</v>
      </c>
      <c r="D12" s="74">
        <v>14.37</v>
      </c>
      <c r="E12" s="74"/>
      <c r="F12" s="74">
        <f>27.36/E62</f>
        <v>20.417910447761191</v>
      </c>
      <c r="G12" s="74">
        <f>43/((G46*$D$2)/1000)</f>
        <v>13.500784929356358</v>
      </c>
      <c r="H12" s="74">
        <v>13.08</v>
      </c>
      <c r="I12" s="74">
        <v>21.65</v>
      </c>
      <c r="J12" s="74"/>
      <c r="K12" s="74"/>
      <c r="L12" s="74">
        <v>14.79</v>
      </c>
      <c r="M12" s="74">
        <v>13.6</v>
      </c>
      <c r="N12" s="74">
        <v>27.72</v>
      </c>
      <c r="O12" s="74">
        <v>15.63</v>
      </c>
      <c r="P12" s="74">
        <f>+(21.15*1867+6.54*1076)/(1867+1076)</f>
        <v>15.808389398572883</v>
      </c>
      <c r="Q12" s="74">
        <v>12.18</v>
      </c>
      <c r="R12" s="74">
        <f>R75</f>
        <v>12.852702702702704</v>
      </c>
      <c r="S12" s="74">
        <f>+S95</f>
        <v>13.117993705743507</v>
      </c>
      <c r="T12" s="74">
        <f>+T77</f>
        <v>14.54</v>
      </c>
      <c r="U12" s="74">
        <v>18</v>
      </c>
      <c r="V12" s="74">
        <v>19.63</v>
      </c>
      <c r="W12" s="74">
        <v>10.51</v>
      </c>
    </row>
    <row r="13" spans="1:25" s="215" customFormat="1">
      <c r="A13" s="214" t="s">
        <v>3</v>
      </c>
      <c r="B13" s="74">
        <f t="shared" ref="B13:W13" si="1">+B12-$B$3</f>
        <v>-1.5700000000000003</v>
      </c>
      <c r="C13" s="74">
        <f t="shared" si="1"/>
        <v>0.65922305112586344</v>
      </c>
      <c r="D13" s="74">
        <f t="shared" si="1"/>
        <v>-7.83</v>
      </c>
      <c r="E13" s="74"/>
      <c r="F13" s="74">
        <f t="shared" si="1"/>
        <v>-1.7820895522388085</v>
      </c>
      <c r="G13" s="74">
        <f t="shared" si="1"/>
        <v>-8.6992150706436409</v>
      </c>
      <c r="H13" s="74">
        <f t="shared" si="1"/>
        <v>-9.1199999999999992</v>
      </c>
      <c r="I13" s="74">
        <f t="shared" si="1"/>
        <v>-0.55000000000000071</v>
      </c>
      <c r="J13" s="74"/>
      <c r="K13" s="74"/>
      <c r="L13" s="74">
        <f t="shared" si="1"/>
        <v>-7.41</v>
      </c>
      <c r="M13" s="74">
        <f t="shared" si="1"/>
        <v>-8.6</v>
      </c>
      <c r="N13" s="74">
        <f t="shared" si="1"/>
        <v>5.52</v>
      </c>
      <c r="O13" s="74">
        <f t="shared" si="1"/>
        <v>-6.5699999999999985</v>
      </c>
      <c r="P13" s="74">
        <f t="shared" si="1"/>
        <v>-6.3916106014271161</v>
      </c>
      <c r="Q13" s="74">
        <f t="shared" si="1"/>
        <v>-10.02</v>
      </c>
      <c r="R13" s="74">
        <f t="shared" si="1"/>
        <v>-9.3472972972972954</v>
      </c>
      <c r="S13" s="74">
        <f t="shared" si="1"/>
        <v>-9.0820062942564928</v>
      </c>
      <c r="T13" s="74">
        <f t="shared" si="1"/>
        <v>-7.66</v>
      </c>
      <c r="U13" s="74">
        <f t="shared" si="1"/>
        <v>-4.1999999999999993</v>
      </c>
      <c r="V13" s="74">
        <f t="shared" si="1"/>
        <v>-2.5700000000000003</v>
      </c>
      <c r="W13" s="74">
        <f t="shared" si="1"/>
        <v>-11.69</v>
      </c>
    </row>
    <row r="14" spans="1:25" s="215" customFormat="1">
      <c r="A14" s="214" t="s">
        <v>52</v>
      </c>
      <c r="B14" s="74">
        <v>1.93</v>
      </c>
      <c r="C14" s="74">
        <v>2.66</v>
      </c>
      <c r="D14" s="74">
        <v>1.41</v>
      </c>
      <c r="E14" s="74">
        <f>1.98/E62</f>
        <v>1.4776119402985073</v>
      </c>
      <c r="F14" s="74">
        <f>1.29/E62</f>
        <v>0.96268656716417911</v>
      </c>
      <c r="G14" s="74">
        <f>436/((G47*$D$2)/1000)</f>
        <v>2.3544023544023545</v>
      </c>
      <c r="H14" s="74">
        <v>0.5</v>
      </c>
      <c r="I14" s="74">
        <v>4.76</v>
      </c>
      <c r="J14" s="74">
        <f>132.279/(J47*$D$2/1000)</f>
        <v>1.7577628479609084</v>
      </c>
      <c r="K14" s="74">
        <v>1.1599999999999999</v>
      </c>
      <c r="L14" s="74">
        <v>1.61</v>
      </c>
      <c r="M14" s="74">
        <v>-0.41</v>
      </c>
      <c r="N14" s="74">
        <v>1.76</v>
      </c>
      <c r="O14" s="74">
        <v>2.19</v>
      </c>
      <c r="P14" s="74">
        <f>2.76-0.36</f>
        <v>2.4</v>
      </c>
      <c r="Q14" s="74">
        <v>3.92</v>
      </c>
      <c r="R14" s="74">
        <f>R82</f>
        <v>1.1700232018561485</v>
      </c>
      <c r="S14" s="74">
        <f>+S102</f>
        <v>1.2497681882690539</v>
      </c>
      <c r="T14" s="74">
        <f>+T88</f>
        <v>2.2219822812846068</v>
      </c>
      <c r="U14" s="74">
        <v>1.03</v>
      </c>
      <c r="V14" s="74">
        <v>0.89</v>
      </c>
      <c r="W14" s="74">
        <v>1.8</v>
      </c>
    </row>
    <row r="15" spans="1:25" s="215" customFormat="1">
      <c r="A15" s="214" t="s">
        <v>3</v>
      </c>
      <c r="B15" s="74">
        <f t="shared" ref="B15:W15" si="2">+B14-$B$4</f>
        <v>-0.63000000000000012</v>
      </c>
      <c r="C15" s="74">
        <f t="shared" si="2"/>
        <v>0.10000000000000009</v>
      </c>
      <c r="D15" s="74">
        <f t="shared" si="2"/>
        <v>-1.1500000000000001</v>
      </c>
      <c r="E15" s="74">
        <f t="shared" si="2"/>
        <v>-1.0823880597014928</v>
      </c>
      <c r="F15" s="74">
        <f t="shared" si="2"/>
        <v>-1.5973134328358209</v>
      </c>
      <c r="G15" s="74">
        <f t="shared" si="2"/>
        <v>-0.2055976455976456</v>
      </c>
      <c r="H15" s="74">
        <f t="shared" si="2"/>
        <v>-2.06</v>
      </c>
      <c r="I15" s="74">
        <f t="shared" si="2"/>
        <v>2.1999999999999997</v>
      </c>
      <c r="J15" s="74">
        <f t="shared" si="2"/>
        <v>-0.80223715203909163</v>
      </c>
      <c r="K15" s="74">
        <f t="shared" si="2"/>
        <v>-1.4000000000000001</v>
      </c>
      <c r="L15" s="74">
        <f t="shared" si="2"/>
        <v>-0.95</v>
      </c>
      <c r="M15" s="74">
        <f t="shared" si="2"/>
        <v>-2.97</v>
      </c>
      <c r="N15" s="74">
        <f t="shared" si="2"/>
        <v>-0.8</v>
      </c>
      <c r="O15" s="74">
        <f t="shared" si="2"/>
        <v>-0.37000000000000011</v>
      </c>
      <c r="P15" s="74">
        <f t="shared" si="2"/>
        <v>-0.16000000000000014</v>
      </c>
      <c r="Q15" s="74">
        <f t="shared" si="2"/>
        <v>1.3599999999999999</v>
      </c>
      <c r="R15" s="74">
        <f t="shared" si="2"/>
        <v>-1.3899767981438516</v>
      </c>
      <c r="S15" s="74">
        <f t="shared" si="2"/>
        <v>-1.3102318117309462</v>
      </c>
      <c r="T15" s="74">
        <f t="shared" si="2"/>
        <v>-0.33801771871539321</v>
      </c>
      <c r="U15" s="74">
        <f t="shared" si="2"/>
        <v>-1.53</v>
      </c>
      <c r="V15" s="74">
        <f t="shared" si="2"/>
        <v>-1.67</v>
      </c>
      <c r="W15" s="74">
        <f t="shared" si="2"/>
        <v>-0.76</v>
      </c>
    </row>
    <row r="16" spans="1:25" s="215" customFormat="1">
      <c r="A16" s="214" t="s">
        <v>49</v>
      </c>
      <c r="B16" s="74">
        <f>+(2470+205+216)/B$49</f>
        <v>42.729294914903519</v>
      </c>
      <c r="C16" s="74">
        <f>3.09*6</f>
        <v>18.54</v>
      </c>
      <c r="D16" s="74">
        <f>(1603-68.6*$D$59*$D$2/1000-2.8*$D$60*$D$2/1000)/D49</f>
        <v>37.816855609216084</v>
      </c>
      <c r="E16" s="74">
        <f>(2996+2739)/E49/E62</f>
        <v>45.851014776036813</v>
      </c>
      <c r="F16" s="74">
        <f>58.22/$E$62</f>
        <v>43.447761194029844</v>
      </c>
      <c r="G16" s="74">
        <f>1179/G49</f>
        <v>26.112282074660307</v>
      </c>
      <c r="H16" s="74">
        <f>+(537.81)/H49</f>
        <v>21.509785557264795</v>
      </c>
      <c r="I16" s="74">
        <f>I71</f>
        <v>47.415566675006247</v>
      </c>
      <c r="J16" s="74">
        <f>1137.425/J$49</f>
        <v>37.714669683228657</v>
      </c>
      <c r="K16" s="74">
        <v>37.68</v>
      </c>
      <c r="L16" s="74">
        <v>27.24</v>
      </c>
      <c r="M16" s="74">
        <v>39.19</v>
      </c>
      <c r="N16" s="74">
        <v>29.52</v>
      </c>
      <c r="O16" s="74">
        <f>+(2528.866+186.374+269.892)/O$49</f>
        <v>40.35881933027602</v>
      </c>
      <c r="P16" s="74">
        <f>+(900.527)/P$49</f>
        <v>14.598524250439727</v>
      </c>
      <c r="Q16" s="74">
        <f>Q70</f>
        <v>42.64301307561113</v>
      </c>
      <c r="R16" s="74">
        <f>1381/R$49</f>
        <v>34.674388825188522</v>
      </c>
      <c r="S16" s="74">
        <f>646.114/S$49</f>
        <v>41.549269516198578</v>
      </c>
      <c r="T16" s="74">
        <f>954/T$49</f>
        <v>30.081826351553755</v>
      </c>
      <c r="U16" s="74">
        <f>U71</f>
        <v>40.915155195681507</v>
      </c>
      <c r="V16" s="74">
        <v>39.35</v>
      </c>
      <c r="W16" s="74">
        <f>371/W49</f>
        <v>11.929004737304666</v>
      </c>
    </row>
    <row r="17" spans="1:24" s="215" customFormat="1">
      <c r="A17" s="214"/>
      <c r="B17" s="74"/>
      <c r="C17" s="74"/>
      <c r="D17" s="74"/>
      <c r="E17" s="74"/>
      <c r="F17" s="74"/>
      <c r="G17" s="74"/>
      <c r="H17" s="74"/>
      <c r="I17" s="74"/>
      <c r="J17" s="74"/>
      <c r="K17" s="74"/>
      <c r="L17" s="74"/>
      <c r="M17" s="74"/>
      <c r="N17" s="74"/>
      <c r="O17" s="74"/>
      <c r="P17" s="74"/>
      <c r="Q17" s="74"/>
      <c r="R17" s="74"/>
      <c r="S17" s="74"/>
      <c r="T17" s="74"/>
      <c r="U17" s="74"/>
      <c r="V17" s="74"/>
      <c r="W17" s="74"/>
    </row>
    <row r="18" spans="1:24" s="215" customFormat="1">
      <c r="A18" s="214" t="s">
        <v>4</v>
      </c>
      <c r="B18" s="74"/>
      <c r="C18" s="74"/>
      <c r="D18" s="74"/>
      <c r="E18" s="74"/>
      <c r="F18" s="74"/>
      <c r="G18" s="74"/>
      <c r="H18" s="74"/>
      <c r="I18" s="74"/>
      <c r="J18" s="74"/>
      <c r="K18" s="74"/>
      <c r="L18" s="74"/>
      <c r="M18" s="74"/>
      <c r="N18" s="74"/>
      <c r="O18" s="74"/>
      <c r="P18" s="74"/>
      <c r="Q18" s="74"/>
      <c r="R18" s="74"/>
      <c r="S18" s="74"/>
      <c r="T18" s="74"/>
      <c r="U18" s="74"/>
      <c r="V18" s="74"/>
      <c r="W18" s="74"/>
    </row>
    <row r="19" spans="1:24" s="215" customFormat="1">
      <c r="A19" s="216" t="s">
        <v>75</v>
      </c>
      <c r="B19" s="74">
        <f>(310+222)/B$49</f>
        <v>7.8630179504422939</v>
      </c>
      <c r="C19" s="74">
        <f>(0.14+1.93)*6</f>
        <v>12.419999999999998</v>
      </c>
      <c r="D19" s="74">
        <f>(389+76)/D49</f>
        <v>11.845706036007957</v>
      </c>
      <c r="E19" s="74">
        <f>(695+580+814+259)/E49/E62</f>
        <v>18.772132989386996</v>
      </c>
      <c r="F19" s="74">
        <f>(7.76+9.07)/$E$62</f>
        <v>12.559701492537311</v>
      </c>
      <c r="G19" s="74">
        <f>+(166+271)/G49</f>
        <v>9.6785981905229459</v>
      </c>
      <c r="H19" s="74">
        <f>+(87.726+48.331)/H49</f>
        <v>5.4416185893991873</v>
      </c>
      <c r="I19" s="74">
        <f>1418/I49</f>
        <v>11.695584875469789</v>
      </c>
      <c r="J19" s="74">
        <f>(112.43+53.393)/J$49</f>
        <v>5.4983490523612772</v>
      </c>
      <c r="K19" s="74">
        <f>(188+22)/K$49</f>
        <v>7.021066436802152</v>
      </c>
      <c r="L19" s="74">
        <f>(133+161)/L$49</f>
        <v>7.6317383403997576</v>
      </c>
      <c r="M19" s="74">
        <v>4.9800000000000004</v>
      </c>
      <c r="N19" s="74">
        <f>6.54+3.39</f>
        <v>9.93</v>
      </c>
      <c r="O19" s="74">
        <f>+(347.281+174.101+112.643)/O$49</f>
        <v>8.5719828891580878</v>
      </c>
      <c r="P19" s="74">
        <f>+(436.984+36.316)/P$49</f>
        <v>7.6727089001585975</v>
      </c>
      <c r="Q19" s="74">
        <f>(231+165)/Q$49</f>
        <v>14.843598698061459</v>
      </c>
      <c r="R19" s="74">
        <f>(193+170)/R49</f>
        <v>9.1142673016244995</v>
      </c>
      <c r="S19" s="74">
        <f>137.2/S$49</f>
        <v>8.8228389690092524</v>
      </c>
      <c r="T19" s="74">
        <f>+(114+9+10+124)/T$49</f>
        <v>8.1038043735317764</v>
      </c>
      <c r="U19" s="74">
        <v>10.97</v>
      </c>
      <c r="V19" s="74">
        <v>7.21</v>
      </c>
      <c r="W19" s="74">
        <f>169/W49</f>
        <v>5.4339671175323137</v>
      </c>
    </row>
    <row r="20" spans="1:24" s="215" customFormat="1">
      <c r="A20" s="216" t="s">
        <v>74</v>
      </c>
      <c r="B20" s="74"/>
      <c r="C20" s="74"/>
      <c r="D20" s="74"/>
      <c r="E20" s="74">
        <f>(242+127)/E49/E62</f>
        <v>2.9501350396438681</v>
      </c>
      <c r="F20" s="74">
        <f>9.24/$E$62</f>
        <v>6.8955223880597014</v>
      </c>
      <c r="G20" s="74"/>
      <c r="H20" s="74"/>
      <c r="I20" s="74"/>
      <c r="J20" s="74"/>
      <c r="K20" s="74"/>
      <c r="L20" s="74"/>
      <c r="M20" s="74"/>
      <c r="N20" s="74"/>
      <c r="O20" s="74"/>
      <c r="P20" s="74"/>
      <c r="Q20" s="74"/>
      <c r="R20" s="74"/>
      <c r="S20" s="74"/>
      <c r="T20" s="74">
        <f>1/T$49</f>
        <v>3.1532312737477732E-2</v>
      </c>
      <c r="U20" s="74"/>
      <c r="V20" s="74"/>
      <c r="W20" s="74"/>
    </row>
    <row r="21" spans="1:24" s="215" customFormat="1">
      <c r="A21" s="216" t="s">
        <v>10</v>
      </c>
      <c r="B21" s="74">
        <f>(182-14.282)/B$49</f>
        <v>2.4788903094215802</v>
      </c>
      <c r="C21" s="74">
        <f>0.11*6</f>
        <v>0.66</v>
      </c>
      <c r="D21" s="74">
        <f>46/D49</f>
        <v>1.1718332852825075</v>
      </c>
      <c r="E21" s="74"/>
      <c r="F21" s="74">
        <f>0.01/$E$62</f>
        <v>7.462686567164179E-3</v>
      </c>
      <c r="G21" s="74">
        <f>40/G49</f>
        <v>0.88591287785107065</v>
      </c>
      <c r="H21" s="74">
        <f>41.033/H49</f>
        <v>1.641120527270312</v>
      </c>
      <c r="I21" s="74">
        <f>194/I49</f>
        <v>1.6001011747821856</v>
      </c>
      <c r="J21" s="74">
        <f>93.866/J$49</f>
        <v>3.1124031777795822</v>
      </c>
      <c r="K21" s="74">
        <f>84/K$49</f>
        <v>2.8084265747208605</v>
      </c>
      <c r="L21" s="74">
        <f>(66+11)/L$49</f>
        <v>1.9987886129618413</v>
      </c>
      <c r="M21" s="74">
        <v>2.5099999999999998</v>
      </c>
      <c r="N21" s="74">
        <v>1.36</v>
      </c>
      <c r="O21" s="74">
        <f>204.414/O$49</f>
        <v>2.7636659600242277</v>
      </c>
      <c r="P21" s="74">
        <f>19.161/P$49</f>
        <v>0.3106206956178722</v>
      </c>
      <c r="Q21" s="74">
        <f>46/Q$49</f>
        <v>1.7242564144212806</v>
      </c>
      <c r="R21" s="74">
        <f>79/R$49</f>
        <v>1.9835457763865989</v>
      </c>
      <c r="S21" s="74">
        <f>13.1/S$49</f>
        <v>0.84241392488353661</v>
      </c>
      <c r="T21" s="74">
        <f>40/T$49</f>
        <v>1.2612925094991092</v>
      </c>
      <c r="U21" s="74">
        <v>1.76</v>
      </c>
      <c r="V21" s="74">
        <v>2.2599999999999998</v>
      </c>
      <c r="W21" s="74">
        <f>17/W49</f>
        <v>0.54661207691153457</v>
      </c>
    </row>
    <row r="22" spans="1:24" s="215" customFormat="1">
      <c r="A22" s="216" t="s">
        <v>11</v>
      </c>
      <c r="B22" s="74">
        <f>(368-30.027)/B$49</f>
        <v>4.9952777551970557</v>
      </c>
      <c r="C22" s="74">
        <f>(0.12*6)+(6.549/C49)</f>
        <v>0.85382385232287572</v>
      </c>
      <c r="D22" s="74">
        <f>102/D49</f>
        <v>2.5984129369307776</v>
      </c>
      <c r="E22" s="74">
        <f>(84-7)/E49/E62</f>
        <v>0.61561083483083423</v>
      </c>
      <c r="F22" s="74">
        <f>65/F49/E62</f>
        <v>1.2022125905224001</v>
      </c>
      <c r="G22" s="74">
        <f>89/G49</f>
        <v>1.9711561532186321</v>
      </c>
      <c r="H22" s="74">
        <f>+(46.93+11.924)/H49</f>
        <v>2.3538738944743729</v>
      </c>
      <c r="I22" s="74">
        <f>129/I49</f>
        <v>1.0639848017881544</v>
      </c>
      <c r="J22" s="74">
        <f>47.226/J$49</f>
        <v>1.5659168652527917</v>
      </c>
      <c r="K22" s="74">
        <f>88/K$49</f>
        <v>2.9421611735170923</v>
      </c>
      <c r="L22" s="74">
        <f>(114)/L$49</f>
        <v>2.9592454789305185</v>
      </c>
      <c r="M22" s="74">
        <v>0.86</v>
      </c>
      <c r="N22" s="74">
        <v>1.51</v>
      </c>
      <c r="O22" s="74">
        <f>121.78/O$49</f>
        <v>1.6464588561045255</v>
      </c>
      <c r="P22" s="74">
        <f>(86.208-37.786)/P$49</f>
        <v>0.78497340030314733</v>
      </c>
      <c r="Q22" s="74">
        <f>48/Q$49</f>
        <v>1.7992240846135101</v>
      </c>
      <c r="R22" s="74">
        <f>87/R$49</f>
        <v>2.1844111714637231</v>
      </c>
      <c r="S22" s="74">
        <f>25.1/S$49</f>
        <v>1.614090802639448</v>
      </c>
      <c r="T22" s="74">
        <f>(105)/T$49</f>
        <v>3.3108928374351616</v>
      </c>
      <c r="U22" s="74">
        <v>3.59</v>
      </c>
      <c r="V22" s="74">
        <f>80/V49</f>
        <v>2.6336768066717005</v>
      </c>
      <c r="W22" s="74">
        <f>35/W49</f>
        <v>1.1253778054061006</v>
      </c>
    </row>
    <row r="23" spans="1:24" s="215" customFormat="1">
      <c r="A23" s="216" t="s">
        <v>12</v>
      </c>
      <c r="B23" s="74">
        <f>(249-79.472)/B$49</f>
        <v>2.5056423065837996</v>
      </c>
      <c r="C23" s="74">
        <f>54.164/C49</f>
        <v>1.106800295803366</v>
      </c>
      <c r="D23" s="74">
        <f>109/D49</f>
        <v>2.7767353933868115</v>
      </c>
      <c r="E23" s="74">
        <f>(197)/E49/E62</f>
        <v>1.5750043436581085</v>
      </c>
      <c r="F23" s="74">
        <f>(107)/F49/E62</f>
        <v>1.9790268797830282</v>
      </c>
      <c r="G23" s="74">
        <f>175/G49</f>
        <v>3.8758688405984341</v>
      </c>
      <c r="H23" s="74">
        <f>24.674/H49</f>
        <v>0.98684005288103904</v>
      </c>
      <c r="I23" s="74">
        <f>165/I49</f>
        <v>1.3609107929848485</v>
      </c>
      <c r="J23" s="74">
        <f>68.471/J$49</f>
        <v>2.2703572964198515</v>
      </c>
      <c r="K23" s="74">
        <f>48/K$49</f>
        <v>1.6048151855547774</v>
      </c>
      <c r="L23" s="74">
        <f>(66)/L$49</f>
        <v>1.7132473825387211</v>
      </c>
      <c r="M23" s="74">
        <f>49/M$49</f>
        <v>1.9205710351548635</v>
      </c>
      <c r="N23" s="74">
        <f>99/N$49</f>
        <v>1.8382068508793377</v>
      </c>
      <c r="O23" s="74">
        <f>49.908/O$49</f>
        <v>0.67475339621008912</v>
      </c>
      <c r="P23" s="74">
        <f>50.503/P$49</f>
        <v>0.81870867860703511</v>
      </c>
      <c r="Q23" s="74">
        <f>(89-17)/Q$49</f>
        <v>2.6988361269202654</v>
      </c>
      <c r="R23" s="74">
        <f>64/R$49</f>
        <v>1.6069231606169916</v>
      </c>
      <c r="S23" s="74">
        <f>(102.802+0.079)/S$49</f>
        <v>6.6159074050338269</v>
      </c>
      <c r="T23" s="74">
        <f>(90-8.162)/T$49</f>
        <v>2.5805414098097024</v>
      </c>
      <c r="U23" s="74">
        <f>153/U49</f>
        <v>2.2689860746540909</v>
      </c>
      <c r="V23" s="74">
        <f>29/V49</f>
        <v>0.95470784241849138</v>
      </c>
      <c r="W23" s="74">
        <f>15/W49</f>
        <v>0.48230477374547165</v>
      </c>
    </row>
    <row r="24" spans="1:24" s="215" customFormat="1">
      <c r="A24" s="216" t="s">
        <v>13</v>
      </c>
      <c r="B24" s="74">
        <f>(1161-121.117)/B$49</f>
        <v>15.369584013834181</v>
      </c>
      <c r="C24" s="74">
        <f>0.83*6</f>
        <v>4.9799999999999995</v>
      </c>
      <c r="D24" s="74">
        <f>(562+25+15)/D49</f>
        <v>15.335731255218903</v>
      </c>
      <c r="E24" s="74">
        <f>(929+374)/E49/E62</f>
        <v>10.417414516682818</v>
      </c>
      <c r="F24" s="74">
        <f>(367+83)/F49/E62</f>
        <v>8.3230102420781549</v>
      </c>
      <c r="G24" s="74">
        <f>580/G49</f>
        <v>12.845736728840524</v>
      </c>
      <c r="H24" s="74">
        <f>213.327/H49</f>
        <v>8.532042958618522</v>
      </c>
      <c r="I24" s="74">
        <f>1490/I49</f>
        <v>12.289436857863178</v>
      </c>
      <c r="J24" s="74">
        <f>485.621/J$49</f>
        <v>16.102191886268706</v>
      </c>
      <c r="K24" s="74">
        <f>478/K$49</f>
        <v>15.98128455614966</v>
      </c>
      <c r="L24" s="74">
        <f>+(394)/L$49</f>
        <v>10.227567707882669</v>
      </c>
      <c r="M24" s="74">
        <v>13.53</v>
      </c>
      <c r="N24" s="74">
        <f>(95+429)/N$49</f>
        <v>9.7294988874825545</v>
      </c>
      <c r="O24" s="74">
        <f>957.304/O$49</f>
        <v>12.942697066712816</v>
      </c>
      <c r="P24" s="74">
        <f>372.413/P$49</f>
        <v>6.0372206626553231</v>
      </c>
      <c r="Q24" s="74">
        <f>(459)/Q$49</f>
        <v>17.205080309116692</v>
      </c>
      <c r="R24" s="74">
        <f>605/R$49</f>
        <v>15.190445502707499</v>
      </c>
      <c r="S24" s="74">
        <f>259.3/S$49</f>
        <v>16.674651200175653</v>
      </c>
      <c r="T24" s="74">
        <f>(457+17+19)/T$49</f>
        <v>15.54543017957652</v>
      </c>
      <c r="U24" s="74">
        <v>12.58</v>
      </c>
      <c r="V24" s="74">
        <f>412/V49</f>
        <v>13.563435554359256</v>
      </c>
      <c r="W24" s="74">
        <f>118/W49</f>
        <v>3.7941308867977104</v>
      </c>
    </row>
    <row r="25" spans="1:24" s="215" customFormat="1">
      <c r="A25" s="216"/>
      <c r="B25" s="74"/>
      <c r="C25" s="74"/>
      <c r="D25" s="74"/>
      <c r="E25" s="74"/>
      <c r="F25" s="74"/>
      <c r="G25" s="74"/>
      <c r="H25" s="74"/>
      <c r="I25" s="74"/>
      <c r="J25" s="74"/>
      <c r="K25" s="74"/>
      <c r="L25" s="74"/>
      <c r="M25" s="74"/>
      <c r="N25" s="74"/>
      <c r="O25" s="74"/>
      <c r="P25" s="74"/>
      <c r="Q25" s="74"/>
      <c r="R25" s="74"/>
      <c r="S25" s="74"/>
      <c r="T25" s="74"/>
      <c r="U25" s="74"/>
      <c r="V25" s="74"/>
      <c r="W25" s="74"/>
    </row>
    <row r="26" spans="1:24" s="9" customFormat="1">
      <c r="A26" s="214" t="s">
        <v>9</v>
      </c>
      <c r="B26" s="186"/>
      <c r="C26" s="186"/>
      <c r="D26" s="186"/>
      <c r="E26" s="186"/>
      <c r="F26" s="186"/>
      <c r="G26" s="186"/>
      <c r="H26" s="186"/>
      <c r="I26" s="186"/>
      <c r="J26" s="186"/>
      <c r="K26" s="186"/>
      <c r="L26" s="186"/>
      <c r="M26" s="186"/>
      <c r="N26" s="186"/>
      <c r="O26" s="186"/>
      <c r="P26" s="186"/>
      <c r="Q26" s="186"/>
      <c r="R26" s="186"/>
      <c r="S26" s="186"/>
      <c r="T26" s="186"/>
      <c r="U26" s="186"/>
      <c r="V26" s="186"/>
      <c r="W26" s="186"/>
    </row>
    <row r="27" spans="1:24" s="9" customFormat="1">
      <c r="A27" s="216" t="s">
        <v>165</v>
      </c>
      <c r="B27" s="74">
        <f>+B19+B21</f>
        <v>10.341908259863875</v>
      </c>
      <c r="C27" s="74">
        <f>+C19+C21</f>
        <v>13.079999999999998</v>
      </c>
      <c r="D27" s="74">
        <f>+D19+D21</f>
        <v>13.017539321290466</v>
      </c>
      <c r="E27" s="74">
        <f>+E19+E21+E20</f>
        <v>21.722268029030865</v>
      </c>
      <c r="F27" s="74">
        <f>+F19+F21+F20</f>
        <v>19.462686567164177</v>
      </c>
      <c r="G27" s="74">
        <f>+G19+G21+G20</f>
        <v>10.564511068374017</v>
      </c>
      <c r="H27" s="74">
        <f>+H19+H21</f>
        <v>7.0827391166694991</v>
      </c>
      <c r="I27" s="74">
        <f>+I19+I21</f>
        <v>13.295686050251975</v>
      </c>
      <c r="J27" s="74">
        <f t="shared" ref="J27:W27" si="3">+J19+J21</f>
        <v>8.610752230140859</v>
      </c>
      <c r="K27" s="74">
        <f>+K19+K21</f>
        <v>9.829493011523013</v>
      </c>
      <c r="L27" s="74">
        <f t="shared" si="3"/>
        <v>9.6305269533615991</v>
      </c>
      <c r="M27" s="74">
        <f t="shared" si="3"/>
        <v>7.49</v>
      </c>
      <c r="N27" s="74">
        <f t="shared" si="3"/>
        <v>11.29</v>
      </c>
      <c r="O27" s="74">
        <f t="shared" si="3"/>
        <v>11.335648849182316</v>
      </c>
      <c r="P27" s="74">
        <f t="shared" si="3"/>
        <v>7.9833295957764694</v>
      </c>
      <c r="Q27" s="74">
        <f t="shared" si="3"/>
        <v>16.567855112482739</v>
      </c>
      <c r="R27" s="74">
        <f t="shared" si="3"/>
        <v>11.097813078011098</v>
      </c>
      <c r="S27" s="74">
        <f t="shared" si="3"/>
        <v>9.6652528938927897</v>
      </c>
      <c r="T27" s="74">
        <f t="shared" si="3"/>
        <v>9.3650968830308852</v>
      </c>
      <c r="U27" s="74">
        <f t="shared" si="3"/>
        <v>12.73</v>
      </c>
      <c r="V27" s="74">
        <f t="shared" si="3"/>
        <v>9.4699999999999989</v>
      </c>
      <c r="W27" s="74">
        <f t="shared" si="3"/>
        <v>5.9805791944438482</v>
      </c>
    </row>
    <row r="28" spans="1:24" s="9" customFormat="1">
      <c r="A28" s="216" t="s">
        <v>6</v>
      </c>
      <c r="B28" s="74">
        <f t="shared" ref="B28:W30" si="4">+B27+B22</f>
        <v>15.337186015060929</v>
      </c>
      <c r="C28" s="74">
        <f t="shared" si="4"/>
        <v>13.933823852322874</v>
      </c>
      <c r="D28" s="74">
        <f t="shared" si="4"/>
        <v>15.615952258221244</v>
      </c>
      <c r="E28" s="74">
        <f t="shared" si="4"/>
        <v>22.3378788638617</v>
      </c>
      <c r="F28" s="74">
        <f t="shared" si="4"/>
        <v>20.664899157686577</v>
      </c>
      <c r="G28" s="74">
        <f t="shared" si="4"/>
        <v>12.53566722159265</v>
      </c>
      <c r="H28" s="74">
        <f t="shared" si="4"/>
        <v>9.4366130111438729</v>
      </c>
      <c r="I28" s="74">
        <f t="shared" si="4"/>
        <v>14.359670852040129</v>
      </c>
      <c r="J28" s="74">
        <f t="shared" si="4"/>
        <v>10.176669095393651</v>
      </c>
      <c r="K28" s="74">
        <f t="shared" si="4"/>
        <v>12.771654185040106</v>
      </c>
      <c r="L28" s="74">
        <f t="shared" si="4"/>
        <v>12.589772432292119</v>
      </c>
      <c r="M28" s="74">
        <f t="shared" si="4"/>
        <v>8.35</v>
      </c>
      <c r="N28" s="74">
        <f t="shared" si="4"/>
        <v>12.799999999999999</v>
      </c>
      <c r="O28" s="74">
        <f t="shared" si="4"/>
        <v>12.982107705286841</v>
      </c>
      <c r="P28" s="74">
        <f t="shared" si="4"/>
        <v>8.7683029960796173</v>
      </c>
      <c r="Q28" s="74">
        <f t="shared" si="4"/>
        <v>18.367079197096249</v>
      </c>
      <c r="R28" s="74">
        <f t="shared" si="4"/>
        <v>13.282224249474822</v>
      </c>
      <c r="S28" s="74">
        <f t="shared" si="4"/>
        <v>11.279343696532237</v>
      </c>
      <c r="T28" s="74">
        <f t="shared" si="4"/>
        <v>12.675989720466047</v>
      </c>
      <c r="U28" s="74">
        <f t="shared" si="4"/>
        <v>16.32</v>
      </c>
      <c r="V28" s="74">
        <f t="shared" si="4"/>
        <v>12.1036768066717</v>
      </c>
      <c r="W28" s="74">
        <f t="shared" si="4"/>
        <v>7.1059569998499486</v>
      </c>
    </row>
    <row r="29" spans="1:24" s="9" customFormat="1">
      <c r="A29" s="216" t="s">
        <v>7</v>
      </c>
      <c r="B29" s="74">
        <f t="shared" si="4"/>
        <v>17.842828321644728</v>
      </c>
      <c r="C29" s="74">
        <f>+C28+C23</f>
        <v>15.040624148126239</v>
      </c>
      <c r="D29" s="74">
        <f t="shared" si="4"/>
        <v>18.392687651608057</v>
      </c>
      <c r="E29" s="74">
        <f t="shared" si="4"/>
        <v>23.912883207519808</v>
      </c>
      <c r="F29" s="74">
        <f t="shared" si="4"/>
        <v>22.643926037469605</v>
      </c>
      <c r="G29" s="74">
        <f t="shared" si="4"/>
        <v>16.411536062191082</v>
      </c>
      <c r="H29" s="74">
        <f t="shared" si="4"/>
        <v>10.423453064024912</v>
      </c>
      <c r="I29" s="74">
        <f t="shared" si="4"/>
        <v>15.720581645024977</v>
      </c>
      <c r="J29" s="74">
        <f t="shared" si="4"/>
        <v>12.447026391813502</v>
      </c>
      <c r="K29" s="74">
        <f t="shared" si="4"/>
        <v>14.376469370594883</v>
      </c>
      <c r="L29" s="74">
        <f t="shared" si="4"/>
        <v>14.30301981483084</v>
      </c>
      <c r="M29" s="74">
        <f t="shared" si="4"/>
        <v>10.270571035154862</v>
      </c>
      <c r="N29" s="74">
        <f t="shared" si="4"/>
        <v>14.638206850879337</v>
      </c>
      <c r="O29" s="74">
        <f t="shared" si="4"/>
        <v>13.656861101496931</v>
      </c>
      <c r="P29" s="74">
        <f t="shared" si="4"/>
        <v>9.5870116746866518</v>
      </c>
      <c r="Q29" s="74">
        <f t="shared" si="4"/>
        <v>21.065915324016515</v>
      </c>
      <c r="R29" s="74">
        <f t="shared" si="4"/>
        <v>14.889147410091814</v>
      </c>
      <c r="S29" s="74">
        <f t="shared" si="4"/>
        <v>17.895251101566064</v>
      </c>
      <c r="T29" s="74">
        <f t="shared" si="4"/>
        <v>15.25653113027575</v>
      </c>
      <c r="U29" s="74">
        <f t="shared" si="4"/>
        <v>18.588986074654091</v>
      </c>
      <c r="V29" s="74">
        <f t="shared" si="4"/>
        <v>13.058384649090192</v>
      </c>
      <c r="W29" s="74">
        <f t="shared" si="4"/>
        <v>7.5882617735954199</v>
      </c>
      <c r="X29" s="65"/>
    </row>
    <row r="30" spans="1:24" s="9" customFormat="1">
      <c r="A30" s="216" t="s">
        <v>8</v>
      </c>
      <c r="B30" s="74">
        <f t="shared" si="4"/>
        <v>33.212412335478909</v>
      </c>
      <c r="C30" s="74">
        <f t="shared" si="4"/>
        <v>20.020624148126238</v>
      </c>
      <c r="D30" s="74">
        <f t="shared" si="4"/>
        <v>33.72841890682696</v>
      </c>
      <c r="E30" s="74">
        <f t="shared" si="4"/>
        <v>34.330297724202623</v>
      </c>
      <c r="F30" s="74">
        <f>+F29+F24</f>
        <v>30.96693627954776</v>
      </c>
      <c r="G30" s="74">
        <f t="shared" si="4"/>
        <v>29.257272791031607</v>
      </c>
      <c r="H30" s="74">
        <f t="shared" si="4"/>
        <v>18.955496022643434</v>
      </c>
      <c r="I30" s="74">
        <f t="shared" si="4"/>
        <v>28.010018502888155</v>
      </c>
      <c r="J30" s="74">
        <f t="shared" si="4"/>
        <v>28.549218278082208</v>
      </c>
      <c r="K30" s="74">
        <f t="shared" si="4"/>
        <v>30.357753926744543</v>
      </c>
      <c r="L30" s="74">
        <f t="shared" si="4"/>
        <v>24.53058752271351</v>
      </c>
      <c r="M30" s="74">
        <f t="shared" si="4"/>
        <v>23.80057103515486</v>
      </c>
      <c r="N30" s="74">
        <f t="shared" si="4"/>
        <v>24.367705738361892</v>
      </c>
      <c r="O30" s="74">
        <f t="shared" si="4"/>
        <v>26.599558168209747</v>
      </c>
      <c r="P30" s="74">
        <f t="shared" si="4"/>
        <v>15.624232337341976</v>
      </c>
      <c r="Q30" s="74">
        <f t="shared" si="4"/>
        <v>38.270995633133211</v>
      </c>
      <c r="R30" s="74">
        <f t="shared" si="4"/>
        <v>30.079592912799313</v>
      </c>
      <c r="S30" s="74">
        <f t="shared" si="4"/>
        <v>34.56990230174172</v>
      </c>
      <c r="T30" s="74">
        <f t="shared" si="4"/>
        <v>30.80196130985227</v>
      </c>
      <c r="U30" s="74">
        <f t="shared" si="4"/>
        <v>31.168986074654093</v>
      </c>
      <c r="V30" s="74">
        <f t="shared" si="4"/>
        <v>26.621820203449445</v>
      </c>
      <c r="W30" s="74">
        <f t="shared" si="4"/>
        <v>11.38239266039313</v>
      </c>
      <c r="X30" s="65"/>
    </row>
    <row r="31" spans="1:24" s="9" customFormat="1">
      <c r="A31" s="214"/>
      <c r="B31" s="74"/>
      <c r="C31" s="74"/>
      <c r="D31" s="74"/>
      <c r="E31" s="74"/>
      <c r="F31" s="74"/>
      <c r="G31" s="74"/>
      <c r="H31" s="74"/>
      <c r="I31" s="74"/>
      <c r="J31" s="74"/>
      <c r="K31" s="74"/>
      <c r="L31" s="74"/>
      <c r="M31" s="74"/>
      <c r="N31" s="74"/>
      <c r="O31" s="74"/>
      <c r="P31" s="74"/>
      <c r="Q31" s="74"/>
      <c r="R31" s="74"/>
      <c r="S31" s="74"/>
      <c r="T31" s="74"/>
      <c r="U31" s="74"/>
      <c r="V31" s="74"/>
      <c r="W31" s="74"/>
    </row>
    <row r="32" spans="1:24" s="9" customFormat="1">
      <c r="A32" s="216" t="s">
        <v>14</v>
      </c>
      <c r="B32" s="74"/>
      <c r="C32" s="74"/>
      <c r="D32" s="74"/>
      <c r="E32" s="74"/>
      <c r="F32" s="74"/>
      <c r="G32" s="74"/>
      <c r="H32" s="74"/>
      <c r="I32" s="74"/>
      <c r="J32" s="74"/>
      <c r="K32" s="74"/>
      <c r="L32" s="74"/>
      <c r="M32" s="74"/>
      <c r="N32" s="74"/>
      <c r="O32" s="74"/>
      <c r="P32" s="74"/>
      <c r="Q32" s="74"/>
      <c r="R32" s="74"/>
      <c r="S32" s="74"/>
      <c r="T32" s="74"/>
      <c r="U32" s="74"/>
      <c r="V32" s="74"/>
      <c r="W32" s="74"/>
    </row>
    <row r="33" spans="1:23" s="9" customFormat="1">
      <c r="A33" s="216" t="s">
        <v>67</v>
      </c>
      <c r="B33" s="74">
        <f t="shared" ref="B33:W36" si="5">+B$16-B27</f>
        <v>32.387386655039649</v>
      </c>
      <c r="C33" s="74">
        <f t="shared" si="5"/>
        <v>5.4600000000000009</v>
      </c>
      <c r="D33" s="74">
        <f t="shared" si="5"/>
        <v>24.79931628792562</v>
      </c>
      <c r="E33" s="74">
        <f t="shared" si="5"/>
        <v>24.128746747005948</v>
      </c>
      <c r="F33" s="74">
        <f t="shared" si="5"/>
        <v>23.985074626865668</v>
      </c>
      <c r="G33" s="74">
        <f t="shared" si="5"/>
        <v>15.54777100628629</v>
      </c>
      <c r="H33" s="74">
        <f t="shared" si="5"/>
        <v>14.427046440595296</v>
      </c>
      <c r="I33" s="74">
        <f t="shared" si="5"/>
        <v>34.119880624754273</v>
      </c>
      <c r="J33" s="74">
        <f t="shared" si="5"/>
        <v>29.103917453087796</v>
      </c>
      <c r="K33" s="74">
        <f t="shared" si="5"/>
        <v>27.850506988476987</v>
      </c>
      <c r="L33" s="74">
        <f t="shared" si="5"/>
        <v>17.609473046638399</v>
      </c>
      <c r="M33" s="74">
        <f t="shared" si="5"/>
        <v>31.699999999999996</v>
      </c>
      <c r="N33" s="74">
        <f t="shared" si="5"/>
        <v>18.23</v>
      </c>
      <c r="O33" s="74">
        <f t="shared" si="5"/>
        <v>29.023170481093704</v>
      </c>
      <c r="P33" s="74">
        <f t="shared" si="5"/>
        <v>6.6151946546632576</v>
      </c>
      <c r="Q33" s="74">
        <f t="shared" si="5"/>
        <v>26.07515796312839</v>
      </c>
      <c r="R33" s="74">
        <f t="shared" si="5"/>
        <v>23.576575747177422</v>
      </c>
      <c r="S33" s="74">
        <f t="shared" si="5"/>
        <v>31.884016622305786</v>
      </c>
      <c r="T33" s="74">
        <f t="shared" si="5"/>
        <v>20.716729468522871</v>
      </c>
      <c r="U33" s="74">
        <f t="shared" si="5"/>
        <v>28.185155195681507</v>
      </c>
      <c r="V33" s="74">
        <f t="shared" si="5"/>
        <v>29.880000000000003</v>
      </c>
      <c r="W33" s="74">
        <f t="shared" si="5"/>
        <v>5.9484255428608179</v>
      </c>
    </row>
    <row r="34" spans="1:23" s="9" customFormat="1">
      <c r="A34" s="216" t="s">
        <v>68</v>
      </c>
      <c r="B34" s="74">
        <f>+B$16-B28</f>
        <v>27.39210889984259</v>
      </c>
      <c r="C34" s="74">
        <f t="shared" si="5"/>
        <v>4.6061761476771252</v>
      </c>
      <c r="D34" s="74">
        <f t="shared" si="5"/>
        <v>22.200903350994842</v>
      </c>
      <c r="E34" s="74">
        <f t="shared" si="5"/>
        <v>23.513135912175112</v>
      </c>
      <c r="F34" s="74">
        <f t="shared" si="5"/>
        <v>22.782862036343268</v>
      </c>
      <c r="G34" s="74">
        <f t="shared" si="5"/>
        <v>13.576614853067657</v>
      </c>
      <c r="H34" s="74">
        <f t="shared" si="5"/>
        <v>12.073172546120922</v>
      </c>
      <c r="I34" s="74">
        <f t="shared" si="5"/>
        <v>33.055895822966122</v>
      </c>
      <c r="J34" s="74">
        <f t="shared" si="5"/>
        <v>27.538000587835008</v>
      </c>
      <c r="K34" s="74">
        <f t="shared" si="5"/>
        <v>24.908345814959894</v>
      </c>
      <c r="L34" s="74">
        <f t="shared" si="5"/>
        <v>14.65022756770788</v>
      </c>
      <c r="M34" s="74">
        <f t="shared" si="5"/>
        <v>30.839999999999996</v>
      </c>
      <c r="N34" s="74">
        <f t="shared" si="5"/>
        <v>16.72</v>
      </c>
      <c r="O34" s="74">
        <f t="shared" si="5"/>
        <v>27.376711624989177</v>
      </c>
      <c r="P34" s="74">
        <f t="shared" si="5"/>
        <v>5.8302212543601097</v>
      </c>
      <c r="Q34" s="74">
        <f t="shared" si="5"/>
        <v>24.275933878514881</v>
      </c>
      <c r="R34" s="74">
        <f t="shared" si="5"/>
        <v>21.3921645757137</v>
      </c>
      <c r="S34" s="74">
        <f t="shared" si="5"/>
        <v>30.269925819666341</v>
      </c>
      <c r="T34" s="74">
        <f t="shared" si="5"/>
        <v>17.405836631087709</v>
      </c>
      <c r="U34" s="74">
        <f t="shared" si="5"/>
        <v>24.595155195681507</v>
      </c>
      <c r="V34" s="74">
        <f t="shared" si="5"/>
        <v>27.246323193328301</v>
      </c>
      <c r="W34" s="74">
        <f t="shared" si="5"/>
        <v>4.8230477374547176</v>
      </c>
    </row>
    <row r="35" spans="1:23" s="9" customFormat="1">
      <c r="A35" s="216" t="s">
        <v>69</v>
      </c>
      <c r="B35" s="74">
        <f t="shared" si="5"/>
        <v>24.886466593258792</v>
      </c>
      <c r="C35" s="74">
        <f t="shared" si="5"/>
        <v>3.4993758518737597</v>
      </c>
      <c r="D35" s="74">
        <f t="shared" si="5"/>
        <v>19.424167957608027</v>
      </c>
      <c r="E35" s="74">
        <f t="shared" si="5"/>
        <v>21.938131568517004</v>
      </c>
      <c r="F35" s="74">
        <f t="shared" si="5"/>
        <v>20.80383515656024</v>
      </c>
      <c r="G35" s="74">
        <f t="shared" si="5"/>
        <v>9.7007460124692244</v>
      </c>
      <c r="H35" s="74">
        <f t="shared" si="5"/>
        <v>11.086332493239883</v>
      </c>
      <c r="I35" s="74">
        <f t="shared" si="5"/>
        <v>31.694985029981268</v>
      </c>
      <c r="J35" s="74">
        <f t="shared" si="5"/>
        <v>25.267643291415155</v>
      </c>
      <c r="K35" s="74">
        <f t="shared" si="5"/>
        <v>23.303530629405117</v>
      </c>
      <c r="L35" s="74">
        <f t="shared" si="5"/>
        <v>12.936980185169158</v>
      </c>
      <c r="M35" s="74">
        <f t="shared" si="5"/>
        <v>28.919428964845135</v>
      </c>
      <c r="N35" s="74">
        <f t="shared" si="5"/>
        <v>14.881793149120663</v>
      </c>
      <c r="O35" s="74">
        <f t="shared" si="5"/>
        <v>26.701958228779091</v>
      </c>
      <c r="P35" s="74">
        <f t="shared" si="5"/>
        <v>5.0115125757530752</v>
      </c>
      <c r="Q35" s="74">
        <f t="shared" si="5"/>
        <v>21.577097751594614</v>
      </c>
      <c r="R35" s="74">
        <f t="shared" si="5"/>
        <v>19.785241415096706</v>
      </c>
      <c r="S35" s="74">
        <f t="shared" si="5"/>
        <v>23.654018414632514</v>
      </c>
      <c r="T35" s="74">
        <f t="shared" si="5"/>
        <v>14.825295221278004</v>
      </c>
      <c r="U35" s="74">
        <f t="shared" si="5"/>
        <v>22.326169121027416</v>
      </c>
      <c r="V35" s="74">
        <f t="shared" si="5"/>
        <v>26.291615350909808</v>
      </c>
      <c r="W35" s="74">
        <f t="shared" si="5"/>
        <v>4.3407429637092463</v>
      </c>
    </row>
    <row r="36" spans="1:23" s="9" customFormat="1">
      <c r="A36" s="216" t="s">
        <v>70</v>
      </c>
      <c r="B36" s="74">
        <f t="shared" si="5"/>
        <v>9.5168825794246104</v>
      </c>
      <c r="C36" s="74">
        <f t="shared" si="5"/>
        <v>-1.480624148126239</v>
      </c>
      <c r="D36" s="74">
        <f t="shared" si="5"/>
        <v>4.0884367023891244</v>
      </c>
      <c r="E36" s="74">
        <f t="shared" si="5"/>
        <v>11.52071705183419</v>
      </c>
      <c r="F36" s="74">
        <f t="shared" si="5"/>
        <v>12.480824914482085</v>
      </c>
      <c r="G36" s="74">
        <f t="shared" si="5"/>
        <v>-3.1449907163713</v>
      </c>
      <c r="H36" s="74">
        <f t="shared" si="5"/>
        <v>2.5542895346213612</v>
      </c>
      <c r="I36" s="74">
        <f t="shared" si="5"/>
        <v>19.405548172118092</v>
      </c>
      <c r="J36" s="74">
        <f t="shared" si="5"/>
        <v>9.1654514051464488</v>
      </c>
      <c r="K36" s="74">
        <f t="shared" si="5"/>
        <v>7.3222460732554566</v>
      </c>
      <c r="L36" s="74">
        <f t="shared" si="5"/>
        <v>2.709412477286488</v>
      </c>
      <c r="M36" s="74">
        <f t="shared" si="5"/>
        <v>15.389428964845138</v>
      </c>
      <c r="N36" s="74">
        <f t="shared" si="5"/>
        <v>5.152294261638108</v>
      </c>
      <c r="O36" s="74">
        <f t="shared" si="5"/>
        <v>13.759261162066274</v>
      </c>
      <c r="P36" s="74">
        <f t="shared" si="5"/>
        <v>-1.0257080869022488</v>
      </c>
      <c r="Q36" s="74">
        <f t="shared" si="5"/>
        <v>4.3720174424779188</v>
      </c>
      <c r="R36" s="74">
        <f t="shared" si="5"/>
        <v>4.594795912389209</v>
      </c>
      <c r="S36" s="74">
        <f t="shared" si="5"/>
        <v>6.9793672144568575</v>
      </c>
      <c r="T36" s="74">
        <f t="shared" si="5"/>
        <v>-0.72013495829851593</v>
      </c>
      <c r="U36" s="74">
        <f t="shared" si="5"/>
        <v>9.746169121027414</v>
      </c>
      <c r="V36" s="74">
        <f t="shared" si="5"/>
        <v>12.728179796550556</v>
      </c>
      <c r="W36" s="74">
        <f t="shared" si="5"/>
        <v>0.54661207691153635</v>
      </c>
    </row>
    <row r="37" spans="1:23" s="9" customFormat="1">
      <c r="A37" s="216" t="s">
        <v>112</v>
      </c>
      <c r="B37" s="74">
        <f>+B16-B19-B20-B21-B22</f>
        <v>27.392108899842594</v>
      </c>
      <c r="C37" s="74">
        <f>+C16-C19-C20-C21-C22</f>
        <v>4.6061761476771252</v>
      </c>
      <c r="D37" s="74">
        <f t="shared" ref="D37:W37" si="6">+D16-D19-D20-D21-D22</f>
        <v>22.200903350994842</v>
      </c>
      <c r="E37" s="74">
        <f t="shared" si="6"/>
        <v>23.513135912175112</v>
      </c>
      <c r="F37" s="74">
        <f t="shared" si="6"/>
        <v>22.782862036343271</v>
      </c>
      <c r="G37" s="74">
        <f t="shared" si="6"/>
        <v>13.576614853067657</v>
      </c>
      <c r="H37" s="74">
        <f t="shared" si="6"/>
        <v>12.073172546120922</v>
      </c>
      <c r="I37" s="74">
        <f t="shared" si="6"/>
        <v>33.055895822966122</v>
      </c>
      <c r="J37" s="74">
        <f t="shared" si="6"/>
        <v>27.538000587835004</v>
      </c>
      <c r="K37" s="74">
        <f t="shared" si="6"/>
        <v>24.908345814959894</v>
      </c>
      <c r="L37" s="74">
        <f t="shared" si="6"/>
        <v>14.65022756770788</v>
      </c>
      <c r="M37" s="74">
        <f t="shared" si="6"/>
        <v>30.839999999999996</v>
      </c>
      <c r="N37" s="74">
        <f t="shared" si="6"/>
        <v>16.72</v>
      </c>
      <c r="O37" s="74">
        <f t="shared" si="6"/>
        <v>27.376711624989181</v>
      </c>
      <c r="P37" s="74">
        <f t="shared" si="6"/>
        <v>5.8302212543601106</v>
      </c>
      <c r="Q37" s="74">
        <f t="shared" si="6"/>
        <v>24.275933878514881</v>
      </c>
      <c r="R37" s="74">
        <f t="shared" si="6"/>
        <v>21.3921645757137</v>
      </c>
      <c r="S37" s="74">
        <f t="shared" si="6"/>
        <v>30.269925819666337</v>
      </c>
      <c r="T37" s="74">
        <f t="shared" si="6"/>
        <v>17.374304318350227</v>
      </c>
      <c r="U37" s="74">
        <f t="shared" si="6"/>
        <v>24.595155195681507</v>
      </c>
      <c r="V37" s="74">
        <f t="shared" si="6"/>
        <v>27.246323193328301</v>
      </c>
      <c r="W37" s="74">
        <f t="shared" si="6"/>
        <v>4.8230477374547176</v>
      </c>
    </row>
    <row r="38" spans="1:23" s="9" customFormat="1">
      <c r="A38" s="216" t="s">
        <v>105</v>
      </c>
      <c r="B38" s="260">
        <f>+(B35+B23)/B23</f>
        <v>10.932170496909064</v>
      </c>
      <c r="C38" s="260">
        <f>+(C35+C23)/C23</f>
        <v>4.1617048397459566</v>
      </c>
      <c r="D38" s="260">
        <f t="shared" ref="D38:W38" si="7">+(D35+D23)/D23</f>
        <v>7.9953255192660535</v>
      </c>
      <c r="E38" s="260">
        <f t="shared" si="7"/>
        <v>14.928934010152284</v>
      </c>
      <c r="F38" s="260">
        <f t="shared" si="7"/>
        <v>11.512153912149531</v>
      </c>
      <c r="G38" s="260">
        <f t="shared" si="7"/>
        <v>3.5028571428571431</v>
      </c>
      <c r="H38" s="260">
        <f t="shared" si="7"/>
        <v>12.234173624057709</v>
      </c>
      <c r="I38" s="260">
        <f t="shared" si="7"/>
        <v>24.289539030303022</v>
      </c>
      <c r="J38" s="260">
        <f t="shared" si="7"/>
        <v>12.129368637817469</v>
      </c>
      <c r="K38" s="260">
        <f t="shared" si="7"/>
        <v>15.521005807500002</v>
      </c>
      <c r="L38" s="260">
        <f t="shared" si="7"/>
        <v>8.5511454545454537</v>
      </c>
      <c r="M38" s="260">
        <f t="shared" si="7"/>
        <v>16.05772420571429</v>
      </c>
      <c r="N38" s="260">
        <f t="shared" si="7"/>
        <v>9.0958207407407397</v>
      </c>
      <c r="O38" s="260">
        <f t="shared" si="7"/>
        <v>40.572914162058183</v>
      </c>
      <c r="P38" s="260">
        <f t="shared" si="7"/>
        <v>7.1212403223570906</v>
      </c>
      <c r="Q38" s="260">
        <f t="shared" si="7"/>
        <v>8.9949640277777743</v>
      </c>
      <c r="R38" s="260">
        <f t="shared" si="7"/>
        <v>13.312499999999998</v>
      </c>
      <c r="S38" s="260">
        <f t="shared" si="7"/>
        <v>4.5753248899213652</v>
      </c>
      <c r="T38" s="260">
        <f t="shared" si="7"/>
        <v>6.7450328698159776</v>
      </c>
      <c r="U38" s="260">
        <f t="shared" si="7"/>
        <v>10.839711830065358</v>
      </c>
      <c r="V38" s="260">
        <f t="shared" si="7"/>
        <v>28.538912097241379</v>
      </c>
      <c r="W38" s="260">
        <f t="shared" si="7"/>
        <v>10.000000000000002</v>
      </c>
    </row>
    <row r="39" spans="1:23" s="9" customFormat="1">
      <c r="A39" s="214"/>
      <c r="B39" s="74"/>
      <c r="C39" s="74"/>
      <c r="D39" s="74"/>
      <c r="E39" s="74"/>
      <c r="F39" s="74"/>
      <c r="G39" s="74"/>
      <c r="H39" s="74"/>
      <c r="I39" s="74"/>
      <c r="J39" s="74"/>
      <c r="K39" s="74"/>
      <c r="L39" s="74"/>
      <c r="M39" s="74"/>
      <c r="N39" s="74"/>
      <c r="O39" s="74"/>
      <c r="P39" s="74"/>
      <c r="Q39" s="74"/>
      <c r="R39" s="74"/>
      <c r="S39" s="74"/>
      <c r="T39" s="74"/>
      <c r="U39" s="74"/>
      <c r="V39" s="74"/>
      <c r="W39" s="74"/>
    </row>
    <row r="40" spans="1:23" s="9" customFormat="1">
      <c r="A40" s="216" t="s">
        <v>53</v>
      </c>
      <c r="B40" s="180"/>
      <c r="C40" s="180"/>
      <c r="D40" s="180"/>
      <c r="E40" s="180"/>
      <c r="F40" s="180"/>
      <c r="G40" s="180"/>
      <c r="H40" s="180"/>
      <c r="I40" s="180"/>
      <c r="J40" s="180"/>
      <c r="K40" s="180"/>
      <c r="L40" s="180"/>
      <c r="M40" s="180"/>
      <c r="N40" s="180"/>
      <c r="O40" s="180"/>
      <c r="P40" s="180"/>
      <c r="Q40" s="180"/>
      <c r="R40" s="180"/>
      <c r="S40" s="180"/>
      <c r="T40" s="180"/>
      <c r="U40" s="180"/>
      <c r="V40" s="180"/>
      <c r="W40" s="180"/>
    </row>
    <row r="41" spans="1:23" s="9" customFormat="1">
      <c r="A41" s="216" t="s">
        <v>54</v>
      </c>
      <c r="B41" s="180">
        <f>+B45/B$48*100</f>
        <v>58.372562205783453</v>
      </c>
      <c r="C41" s="180">
        <f t="shared" ref="C41:W42" si="8">+C45/C$48*100</f>
        <v>1.9210660233567614</v>
      </c>
      <c r="D41" s="180">
        <f t="shared" si="8"/>
        <v>50.850930985880659</v>
      </c>
      <c r="E41" s="180">
        <f t="shared" si="8"/>
        <v>75.107458760760906</v>
      </c>
      <c r="F41" s="180">
        <f t="shared" si="8"/>
        <v>78.909537878617016</v>
      </c>
      <c r="G41" s="180">
        <f t="shared" si="8"/>
        <v>24.588511924756464</v>
      </c>
      <c r="H41" s="180">
        <f t="shared" si="8"/>
        <v>30.364829256220006</v>
      </c>
      <c r="I41" s="180">
        <f t="shared" si="8"/>
        <v>56.517388041030777</v>
      </c>
      <c r="J41" s="180">
        <f t="shared" si="8"/>
        <v>58.412107710141136</v>
      </c>
      <c r="K41" s="180">
        <f t="shared" si="8"/>
        <v>62.607785559156362</v>
      </c>
      <c r="L41" s="180">
        <f t="shared" si="8"/>
        <v>34.251968503937</v>
      </c>
      <c r="M41" s="180">
        <f t="shared" si="8"/>
        <v>68.207077432302611</v>
      </c>
      <c r="N41" s="180">
        <f t="shared" si="8"/>
        <v>30.295691354548023</v>
      </c>
      <c r="O41" s="180">
        <f t="shared" si="8"/>
        <v>56.065452755905511</v>
      </c>
      <c r="P41" s="180">
        <f t="shared" si="8"/>
        <v>0.33719067213881015</v>
      </c>
      <c r="Q41" s="180">
        <f t="shared" si="8"/>
        <v>54.917566799317783</v>
      </c>
      <c r="R41" s="180">
        <f t="shared" si="8"/>
        <v>50.266565118050266</v>
      </c>
      <c r="S41" s="180">
        <f t="shared" si="8"/>
        <v>62.78075627785131</v>
      </c>
      <c r="T41" s="180">
        <f t="shared" si="8"/>
        <v>37.302725968436157</v>
      </c>
      <c r="U41" s="180">
        <f t="shared" si="8"/>
        <v>62.213225371120103</v>
      </c>
      <c r="V41" s="180">
        <f t="shared" si="8"/>
        <v>61.968275398579678</v>
      </c>
      <c r="W41" s="180">
        <f t="shared" si="8"/>
        <v>3.0127971533300468</v>
      </c>
    </row>
    <row r="42" spans="1:23" s="9" customFormat="1">
      <c r="A42" s="216" t="s">
        <v>55</v>
      </c>
      <c r="B42" s="180">
        <f t="shared" ref="B42" si="9">+B46/B$48*100</f>
        <v>15.46738399462004</v>
      </c>
      <c r="C42" s="180">
        <f t="shared" si="8"/>
        <v>27.169388894846225</v>
      </c>
      <c r="D42" s="180">
        <f t="shared" si="8"/>
        <v>14.96276983754111</v>
      </c>
      <c r="E42" s="180">
        <f t="shared" si="8"/>
        <v>0</v>
      </c>
      <c r="F42" s="180">
        <f t="shared" si="8"/>
        <v>4.8519362186788157</v>
      </c>
      <c r="G42" s="180">
        <f t="shared" si="8"/>
        <v>7.0540812898891501</v>
      </c>
      <c r="H42" s="180">
        <f t="shared" si="8"/>
        <v>29.248212977206663</v>
      </c>
      <c r="I42" s="180">
        <f t="shared" si="8"/>
        <v>8.856642481861396</v>
      </c>
      <c r="J42" s="180">
        <f t="shared" si="8"/>
        <v>0</v>
      </c>
      <c r="K42" s="180">
        <f t="shared" si="8"/>
        <v>0</v>
      </c>
      <c r="L42" s="180">
        <f t="shared" si="8"/>
        <v>26.456692913385826</v>
      </c>
      <c r="M42" s="180">
        <f t="shared" si="8"/>
        <v>17.78750582573214</v>
      </c>
      <c r="N42" s="180">
        <f t="shared" si="8"/>
        <v>24.449450858912982</v>
      </c>
      <c r="O42" s="180">
        <f t="shared" si="8"/>
        <v>16.129429133858267</v>
      </c>
      <c r="P42" s="180">
        <f t="shared" si="8"/>
        <v>4.7709237889640308</v>
      </c>
      <c r="Q42" s="180">
        <f t="shared" si="8"/>
        <v>14.667424673109721</v>
      </c>
      <c r="R42" s="180">
        <f t="shared" si="8"/>
        <v>16.907844630616907</v>
      </c>
      <c r="S42" s="180">
        <f t="shared" si="8"/>
        <v>5.9501946238750971</v>
      </c>
      <c r="T42" s="180">
        <f t="shared" si="8"/>
        <v>19.512195121951219</v>
      </c>
      <c r="U42" s="180">
        <f t="shared" si="8"/>
        <v>16.329284750337379</v>
      </c>
      <c r="V42" s="180">
        <f t="shared" si="8"/>
        <v>20.093778756630094</v>
      </c>
      <c r="W42" s="180">
        <f t="shared" si="8"/>
        <v>17.674862275192389</v>
      </c>
    </row>
    <row r="43" spans="1:23" s="9" customFormat="1">
      <c r="A43" s="216" t="s">
        <v>56</v>
      </c>
      <c r="B43" s="180">
        <f>+(B47/6)/B$48*100</f>
        <v>26.160053799596504</v>
      </c>
      <c r="C43" s="180">
        <f t="shared" ref="C43:W43" si="10">+(C47/6)/C$48*100</f>
        <v>70.909545081797006</v>
      </c>
      <c r="D43" s="180">
        <f t="shared" si="10"/>
        <v>34.186299176578224</v>
      </c>
      <c r="E43" s="180">
        <f t="shared" si="10"/>
        <v>24.892541239239094</v>
      </c>
      <c r="F43" s="180">
        <f t="shared" si="10"/>
        <v>16.238525902704165</v>
      </c>
      <c r="G43" s="180">
        <f t="shared" si="10"/>
        <v>68.357406785354385</v>
      </c>
      <c r="H43" s="180">
        <f t="shared" si="10"/>
        <v>40.386957766573332</v>
      </c>
      <c r="I43" s="180">
        <f t="shared" si="10"/>
        <v>34.62596947710783</v>
      </c>
      <c r="J43" s="180">
        <f t="shared" si="10"/>
        <v>41.587892289858864</v>
      </c>
      <c r="K43" s="180">
        <f t="shared" si="10"/>
        <v>37.392214440843638</v>
      </c>
      <c r="L43" s="180">
        <f t="shared" si="10"/>
        <v>39.291338582677163</v>
      </c>
      <c r="M43" s="180">
        <f t="shared" si="10"/>
        <v>14.005416741965245</v>
      </c>
      <c r="N43" s="180">
        <f t="shared" si="10"/>
        <v>45.254857786539006</v>
      </c>
      <c r="O43" s="180">
        <f t="shared" si="10"/>
        <v>27.805118110236222</v>
      </c>
      <c r="P43" s="180">
        <f t="shared" si="10"/>
        <v>94.891885538897156</v>
      </c>
      <c r="Q43" s="180">
        <f t="shared" si="10"/>
        <v>30.415008527572486</v>
      </c>
      <c r="R43" s="180">
        <f t="shared" si="10"/>
        <v>32.825590251332827</v>
      </c>
      <c r="S43" s="180">
        <f t="shared" si="10"/>
        <v>31.269049098273598</v>
      </c>
      <c r="T43" s="180">
        <f t="shared" si="10"/>
        <v>43.185078909612621</v>
      </c>
      <c r="U43" s="180">
        <f t="shared" si="10"/>
        <v>21.457489878542511</v>
      </c>
      <c r="V43" s="180">
        <f t="shared" si="10"/>
        <v>17.937945844790214</v>
      </c>
      <c r="W43" s="180">
        <f t="shared" si="10"/>
        <v>79.312340571477563</v>
      </c>
    </row>
    <row r="44" spans="1:23" s="9" customFormat="1">
      <c r="A44" s="216"/>
      <c r="B44" s="180"/>
      <c r="C44" s="180"/>
      <c r="D44" s="180"/>
      <c r="E44" s="180"/>
      <c r="F44" s="180"/>
      <c r="G44" s="180"/>
      <c r="H44" s="180"/>
      <c r="I44" s="180"/>
      <c r="J44" s="180"/>
      <c r="K44" s="180"/>
      <c r="L44" s="180"/>
      <c r="M44" s="180"/>
      <c r="N44" s="180"/>
      <c r="O44" s="180"/>
      <c r="P44" s="180"/>
      <c r="Q44" s="180"/>
      <c r="R44" s="180"/>
      <c r="S44" s="180"/>
      <c r="T44" s="180"/>
      <c r="U44" s="180"/>
      <c r="V44" s="180"/>
      <c r="W44" s="180"/>
    </row>
    <row r="45" spans="1:23" s="9" customFormat="1">
      <c r="A45" s="216" t="s">
        <v>62</v>
      </c>
      <c r="B45" s="180">
        <v>434</v>
      </c>
      <c r="C45" s="180">
        <v>10.331</v>
      </c>
      <c r="D45" s="180">
        <f>236.826-$D$59</f>
        <v>219.35599999999999</v>
      </c>
      <c r="E45" s="180">
        <f>SUM(E64:E70)</f>
        <v>770.40899999999999</v>
      </c>
      <c r="F45" s="180">
        <f>344.973+4.904</f>
        <v>349.87700000000001</v>
      </c>
      <c r="G45" s="180">
        <v>122</v>
      </c>
      <c r="H45" s="180">
        <v>83.43</v>
      </c>
      <c r="I45" s="180">
        <f>702+51</f>
        <v>753</v>
      </c>
      <c r="J45" s="180">
        <v>193.58600000000001</v>
      </c>
      <c r="K45" s="180">
        <v>205.78</v>
      </c>
      <c r="L45" s="180">
        <v>145</v>
      </c>
      <c r="M45" s="180">
        <v>191.22900000000001</v>
      </c>
      <c r="N45" s="180">
        <v>179.3</v>
      </c>
      <c r="O45" s="180">
        <v>455.7</v>
      </c>
      <c r="P45" s="180">
        <f>208/$D$2</f>
        <v>2.2857142857142856</v>
      </c>
      <c r="Q45" s="180">
        <v>161</v>
      </c>
      <c r="R45" s="180">
        <f>SUM(R66:R67)</f>
        <v>220</v>
      </c>
      <c r="S45" s="180">
        <v>107.283</v>
      </c>
      <c r="T45" s="180">
        <v>130</v>
      </c>
      <c r="U45" s="180">
        <f>289+34+138</f>
        <v>461</v>
      </c>
      <c r="V45" s="180">
        <v>206.85</v>
      </c>
      <c r="W45" s="180">
        <f>937/$D$2</f>
        <v>10.296703296703297</v>
      </c>
    </row>
    <row r="46" spans="1:23" s="9" customFormat="1">
      <c r="A46" s="216" t="s">
        <v>63</v>
      </c>
      <c r="B46" s="180">
        <v>115</v>
      </c>
      <c r="C46" s="180">
        <f>105.228+40.882</f>
        <v>146.10999999999999</v>
      </c>
      <c r="D46" s="180">
        <v>64.545000000000002</v>
      </c>
      <c r="E46" s="180"/>
      <c r="F46" s="180">
        <v>21.513000000000002</v>
      </c>
      <c r="G46" s="180">
        <v>35</v>
      </c>
      <c r="H46" s="180">
        <v>80.361999999999995</v>
      </c>
      <c r="I46" s="180">
        <v>118</v>
      </c>
      <c r="J46" s="180"/>
      <c r="K46" s="180"/>
      <c r="L46" s="180">
        <v>112</v>
      </c>
      <c r="M46" s="180">
        <v>49.87</v>
      </c>
      <c r="N46" s="180">
        <v>144.69999999999999</v>
      </c>
      <c r="O46" s="180">
        <v>131.1</v>
      </c>
      <c r="P46" s="180">
        <f>(1867+1076)/$D$2</f>
        <v>32.340659340659343</v>
      </c>
      <c r="Q46" s="180">
        <v>43</v>
      </c>
      <c r="R46" s="180">
        <f>SUM(R73:R74)</f>
        <v>74</v>
      </c>
      <c r="S46" s="180">
        <v>10.167999999999999</v>
      </c>
      <c r="T46" s="180">
        <v>68</v>
      </c>
      <c r="U46" s="180">
        <f>87+34</f>
        <v>121</v>
      </c>
      <c r="V46" s="180">
        <v>67.072999999999993</v>
      </c>
      <c r="W46" s="180">
        <f>5497/$D$2</f>
        <v>60.406593406593409</v>
      </c>
    </row>
    <row r="47" spans="1:23" s="9" customFormat="1">
      <c r="A47" s="216" t="s">
        <v>64</v>
      </c>
      <c r="B47" s="180">
        <v>1167</v>
      </c>
      <c r="C47" s="180">
        <v>2288</v>
      </c>
      <c r="D47" s="180">
        <f>921.911-$D$60</f>
        <v>884.81799999999998</v>
      </c>
      <c r="E47" s="180">
        <v>1532</v>
      </c>
      <c r="F47" s="180">
        <v>432</v>
      </c>
      <c r="G47" s="180">
        <v>2035</v>
      </c>
      <c r="H47" s="180">
        <v>665.8</v>
      </c>
      <c r="I47" s="180">
        <v>2768</v>
      </c>
      <c r="J47" s="180">
        <v>826.96900000000005</v>
      </c>
      <c r="K47" s="180">
        <v>737.40700000000004</v>
      </c>
      <c r="L47" s="180">
        <v>998</v>
      </c>
      <c r="M47" s="180">
        <v>235.59800000000001</v>
      </c>
      <c r="N47" s="180">
        <v>1607</v>
      </c>
      <c r="O47" s="180">
        <v>1356</v>
      </c>
      <c r="P47" s="180">
        <f>351.211*1000/$D$2</f>
        <v>3859.4615384615386</v>
      </c>
      <c r="Q47" s="180">
        <v>535</v>
      </c>
      <c r="R47" s="180">
        <f>SUM(R80:R81)</f>
        <v>862</v>
      </c>
      <c r="S47" s="180">
        <v>320.60500000000002</v>
      </c>
      <c r="T47" s="180">
        <v>903</v>
      </c>
      <c r="U47" s="180">
        <f>419+7+528</f>
        <v>954</v>
      </c>
      <c r="V47" s="180">
        <v>359.26100000000002</v>
      </c>
      <c r="W47" s="180">
        <f>148*1000/$D$2</f>
        <v>1626.3736263736264</v>
      </c>
    </row>
    <row r="48" spans="1:23" s="9" customFormat="1">
      <c r="A48" s="216" t="s">
        <v>65</v>
      </c>
      <c r="B48" s="180">
        <f t="shared" ref="B48:W48" si="11">+B45+B46+B47/6</f>
        <v>743.5</v>
      </c>
      <c r="C48" s="180">
        <f t="shared" si="11"/>
        <v>537.77433333333329</v>
      </c>
      <c r="D48" s="180">
        <f t="shared" si="11"/>
        <v>431.37066666666669</v>
      </c>
      <c r="E48" s="180">
        <f t="shared" si="11"/>
        <v>1025.7423333333334</v>
      </c>
      <c r="F48" s="180">
        <f t="shared" si="11"/>
        <v>443.39</v>
      </c>
      <c r="G48" s="180">
        <f t="shared" si="11"/>
        <v>496.16666666666669</v>
      </c>
      <c r="H48" s="180">
        <f t="shared" si="11"/>
        <v>274.75866666666667</v>
      </c>
      <c r="I48" s="180">
        <f t="shared" si="11"/>
        <v>1332.3333333333333</v>
      </c>
      <c r="J48" s="180">
        <f t="shared" si="11"/>
        <v>331.41416666666669</v>
      </c>
      <c r="K48" s="180">
        <f t="shared" si="11"/>
        <v>328.68116666666668</v>
      </c>
      <c r="L48" s="180">
        <f t="shared" si="11"/>
        <v>423.33333333333337</v>
      </c>
      <c r="M48" s="180">
        <f t="shared" si="11"/>
        <v>280.36533333333335</v>
      </c>
      <c r="N48" s="180">
        <f t="shared" si="11"/>
        <v>591.83333333333326</v>
      </c>
      <c r="O48" s="180">
        <f t="shared" si="11"/>
        <v>812.8</v>
      </c>
      <c r="P48" s="180">
        <f t="shared" si="11"/>
        <v>677.86996336996333</v>
      </c>
      <c r="Q48" s="180">
        <f t="shared" si="11"/>
        <v>293.16666666666669</v>
      </c>
      <c r="R48" s="180">
        <f t="shared" si="11"/>
        <v>437.66666666666663</v>
      </c>
      <c r="S48" s="180">
        <f t="shared" si="11"/>
        <v>170.88516666666666</v>
      </c>
      <c r="T48" s="180">
        <f t="shared" si="11"/>
        <v>348.5</v>
      </c>
      <c r="U48" s="180">
        <f t="shared" si="11"/>
        <v>741</v>
      </c>
      <c r="V48" s="180">
        <f t="shared" si="11"/>
        <v>333.79983333333337</v>
      </c>
      <c r="W48" s="180">
        <f t="shared" si="11"/>
        <v>341.76556776556777</v>
      </c>
    </row>
    <row r="49" spans="1:23" s="9" customFormat="1">
      <c r="A49" s="216" t="s">
        <v>66</v>
      </c>
      <c r="B49" s="180">
        <f t="shared" ref="B49:I49" si="12">+B48*$D$2/1000</f>
        <v>67.658500000000004</v>
      </c>
      <c r="C49" s="180">
        <f t="shared" si="12"/>
        <v>48.937464333333331</v>
      </c>
      <c r="D49" s="180">
        <f t="shared" si="12"/>
        <v>39.254730666666667</v>
      </c>
      <c r="E49" s="180">
        <f t="shared" si="12"/>
        <v>93.342552333333344</v>
      </c>
      <c r="F49" s="180">
        <f t="shared" si="12"/>
        <v>40.348489999999998</v>
      </c>
      <c r="G49" s="180">
        <f t="shared" si="12"/>
        <v>45.151166666666668</v>
      </c>
      <c r="H49" s="180">
        <f t="shared" si="12"/>
        <v>25.003038666666669</v>
      </c>
      <c r="I49" s="180">
        <f t="shared" si="12"/>
        <v>121.24233333333333</v>
      </c>
      <c r="J49" s="180">
        <f>+J48*$D$2/1000</f>
        <v>30.158689166666669</v>
      </c>
      <c r="K49" s="180">
        <f t="shared" ref="K49:W49" si="13">+K48*$D$2/1000</f>
        <v>29.90998616666667</v>
      </c>
      <c r="L49" s="180">
        <f t="shared" si="13"/>
        <v>38.523333333333333</v>
      </c>
      <c r="M49" s="180">
        <f t="shared" si="13"/>
        <v>25.513245333333337</v>
      </c>
      <c r="N49" s="180">
        <f t="shared" si="13"/>
        <v>53.856833333333327</v>
      </c>
      <c r="O49" s="180">
        <f t="shared" si="13"/>
        <v>73.964799999999997</v>
      </c>
      <c r="P49" s="180">
        <f t="shared" si="13"/>
        <v>61.686166666666665</v>
      </c>
      <c r="Q49" s="180">
        <f t="shared" si="13"/>
        <v>26.678166666666669</v>
      </c>
      <c r="R49" s="180">
        <f t="shared" si="13"/>
        <v>39.827666666666666</v>
      </c>
      <c r="S49" s="180">
        <f t="shared" si="13"/>
        <v>15.550550166666666</v>
      </c>
      <c r="T49" s="180">
        <f t="shared" si="13"/>
        <v>31.7135</v>
      </c>
      <c r="U49" s="180">
        <f t="shared" si="13"/>
        <v>67.430999999999997</v>
      </c>
      <c r="V49" s="180">
        <f t="shared" si="13"/>
        <v>30.375784833333334</v>
      </c>
      <c r="W49" s="180">
        <f t="shared" si="13"/>
        <v>31.100666666666669</v>
      </c>
    </row>
    <row r="50" spans="1:23" s="9" customFormat="1">
      <c r="A50" s="216"/>
      <c r="B50" s="180"/>
      <c r="C50" s="180"/>
      <c r="D50" s="180"/>
      <c r="E50" s="180"/>
      <c r="F50" s="180"/>
      <c r="G50" s="180"/>
      <c r="H50" s="180"/>
      <c r="I50" s="180"/>
      <c r="J50" s="180"/>
      <c r="K50" s="180"/>
      <c r="L50" s="180"/>
      <c r="M50" s="180"/>
      <c r="N50" s="180"/>
      <c r="O50" s="180"/>
      <c r="P50" s="180"/>
      <c r="Q50" s="180"/>
      <c r="R50" s="180"/>
      <c r="S50" s="180"/>
      <c r="T50" s="180"/>
      <c r="U50" s="180"/>
      <c r="V50" s="180"/>
      <c r="W50" s="180"/>
    </row>
    <row r="51" spans="1:23" s="9" customFormat="1">
      <c r="A51" s="216" t="s">
        <v>106</v>
      </c>
      <c r="B51" s="180">
        <f t="shared" ref="B51:W51" si="14">+B37*B49*4</f>
        <v>7413.2360000000008</v>
      </c>
      <c r="C51" s="180">
        <f t="shared" si="14"/>
        <v>901.65832376000014</v>
      </c>
      <c r="D51" s="180">
        <f t="shared" si="14"/>
        <v>3485.9619264000003</v>
      </c>
      <c r="E51" s="180">
        <f t="shared" si="14"/>
        <v>8779.1044776119397</v>
      </c>
      <c r="F51" s="180">
        <f t="shared" si="14"/>
        <v>3677.0163241791042</v>
      </c>
      <c r="G51" s="180">
        <f t="shared" si="14"/>
        <v>2452</v>
      </c>
      <c r="H51" s="180">
        <f t="shared" si="14"/>
        <v>1207.4639999999995</v>
      </c>
      <c r="I51" s="180">
        <f t="shared" si="14"/>
        <v>16031.095759999998</v>
      </c>
      <c r="J51" s="180">
        <f t="shared" si="14"/>
        <v>3322.0399999999995</v>
      </c>
      <c r="K51" s="180">
        <f t="shared" si="14"/>
        <v>2980.0331150400002</v>
      </c>
      <c r="L51" s="180">
        <f t="shared" si="14"/>
        <v>2257.5023999999994</v>
      </c>
      <c r="M51" s="180">
        <f t="shared" si="14"/>
        <v>3147.3139443200002</v>
      </c>
      <c r="N51" s="180">
        <f t="shared" si="14"/>
        <v>3601.9450133333326</v>
      </c>
      <c r="O51" s="180">
        <f t="shared" si="14"/>
        <v>8099.6519999999982</v>
      </c>
      <c r="P51" s="180">
        <f t="shared" si="14"/>
        <v>1438.5760000000007</v>
      </c>
      <c r="Q51" s="180">
        <f t="shared" si="14"/>
        <v>2590.5496399999993</v>
      </c>
      <c r="R51" s="180">
        <f t="shared" si="14"/>
        <v>3408</v>
      </c>
      <c r="S51" s="180">
        <f t="shared" si="14"/>
        <v>1882.8559999999998</v>
      </c>
      <c r="T51" s="180">
        <f t="shared" si="14"/>
        <v>2203.9999999999995</v>
      </c>
      <c r="U51" s="180">
        <f t="shared" si="14"/>
        <v>6633.9036399999986</v>
      </c>
      <c r="V51" s="180">
        <f t="shared" si="14"/>
        <v>3310.5138032800005</v>
      </c>
      <c r="W51" s="180">
        <f t="shared" si="14"/>
        <v>600.00000000000011</v>
      </c>
    </row>
    <row r="52" spans="1:23" s="9" customFormat="1">
      <c r="A52" s="214" t="s">
        <v>143</v>
      </c>
      <c r="B52" s="180">
        <f>31+10709</f>
        <v>10740</v>
      </c>
      <c r="C52" s="180">
        <v>3602.3789999999999</v>
      </c>
      <c r="D52" s="180">
        <f>175+8157</f>
        <v>8332</v>
      </c>
      <c r="E52" s="180">
        <f>(3964+19543)/E62</f>
        <v>17542.537313432837</v>
      </c>
      <c r="F52" s="180">
        <f>(654+6498+(149+1397-956))/E62</f>
        <v>5777.6119402985069</v>
      </c>
      <c r="G52" s="180">
        <v>9701</v>
      </c>
      <c r="H52" s="180">
        <v>2000</v>
      </c>
      <c r="I52" s="180">
        <f>114+14809</f>
        <v>14923</v>
      </c>
      <c r="J52" s="180">
        <f>2.397+5767.316</f>
        <v>5769.7129999999997</v>
      </c>
      <c r="K52" s="180">
        <f>143+4350</f>
        <v>4493</v>
      </c>
      <c r="L52" s="180">
        <v>4294</v>
      </c>
      <c r="M52" s="180">
        <f>1250+800+1639</f>
        <v>3689</v>
      </c>
      <c r="N52" s="180">
        <v>7052</v>
      </c>
      <c r="O52" s="180">
        <v>4165.2839999999997</v>
      </c>
      <c r="P52" s="180">
        <f>4.83+999.125+3886.249</f>
        <v>4890.2039999999997</v>
      </c>
      <c r="Q52" s="180">
        <f>14+6511-1137+(262-322)+(708-615)</f>
        <v>5421</v>
      </c>
      <c r="R52" s="180">
        <f>600+4902</f>
        <v>5502</v>
      </c>
      <c r="S52" s="180">
        <f>0.687+4185.875</f>
        <v>4186.5619999999999</v>
      </c>
      <c r="T52" s="180">
        <v>6335</v>
      </c>
      <c r="U52" s="180">
        <f>116+10155</f>
        <v>10271</v>
      </c>
      <c r="V52" s="180">
        <f>449+1837</f>
        <v>2286</v>
      </c>
      <c r="W52" s="180">
        <f>52+2267</f>
        <v>2319</v>
      </c>
    </row>
    <row r="53" spans="1:23" s="9" customFormat="1">
      <c r="A53" s="214" t="s">
        <v>142</v>
      </c>
      <c r="B53" s="74">
        <f>+B52/B51</f>
        <v>1.4487600286838296</v>
      </c>
      <c r="C53" s="74">
        <f>+C52/C51</f>
        <v>3.9952816993667182</v>
      </c>
      <c r="D53" s="74">
        <f t="shared" ref="D53:W53" si="15">+D52/D51</f>
        <v>2.3901580613660256</v>
      </c>
      <c r="E53" s="74">
        <f t="shared" si="15"/>
        <v>1.9982148928935739</v>
      </c>
      <c r="F53" s="74">
        <f>+F52/F51</f>
        <v>1.5712772070949024</v>
      </c>
      <c r="G53" s="74">
        <f t="shared" si="15"/>
        <v>3.9563621533442088</v>
      </c>
      <c r="H53" s="74">
        <f t="shared" si="15"/>
        <v>1.6563640820761536</v>
      </c>
      <c r="I53" s="74">
        <f t="shared" si="15"/>
        <v>0.93087835188628443</v>
      </c>
      <c r="J53" s="74">
        <f t="shared" si="15"/>
        <v>1.736798172207439</v>
      </c>
      <c r="K53" s="74">
        <f t="shared" si="15"/>
        <v>1.5077013665801804</v>
      </c>
      <c r="L53" s="74">
        <f t="shared" si="15"/>
        <v>1.9021020752846158</v>
      </c>
      <c r="M53" s="74">
        <f t="shared" si="15"/>
        <v>1.1721105886680252</v>
      </c>
      <c r="N53" s="74">
        <f t="shared" si="15"/>
        <v>1.9578311089968299</v>
      </c>
      <c r="O53" s="74">
        <f t="shared" si="15"/>
        <v>0.51425468649764217</v>
      </c>
      <c r="P53" s="74">
        <f t="shared" si="15"/>
        <v>3.3993365661598673</v>
      </c>
      <c r="Q53" s="74">
        <f t="shared" si="15"/>
        <v>2.0926061080999019</v>
      </c>
      <c r="R53" s="74">
        <f t="shared" si="15"/>
        <v>1.6144366197183098</v>
      </c>
      <c r="S53" s="74">
        <f t="shared" si="15"/>
        <v>2.2235168276278166</v>
      </c>
      <c r="T53" s="74">
        <f t="shared" si="15"/>
        <v>2.8743194192377501</v>
      </c>
      <c r="U53" s="74">
        <f t="shared" si="15"/>
        <v>1.5482588468831004</v>
      </c>
      <c r="V53" s="74">
        <f t="shared" si="15"/>
        <v>0.69052725221537226</v>
      </c>
      <c r="W53" s="74">
        <f t="shared" si="15"/>
        <v>3.8649999999999993</v>
      </c>
    </row>
    <row r="54" spans="1:23" s="9" customFormat="1">
      <c r="A54" s="214"/>
      <c r="B54" s="260"/>
      <c r="C54" s="260"/>
      <c r="D54" s="260"/>
      <c r="E54" s="260"/>
      <c r="F54" s="260"/>
      <c r="G54" s="260"/>
      <c r="H54" s="260"/>
      <c r="I54" s="260"/>
      <c r="J54" s="260"/>
      <c r="K54" s="260"/>
      <c r="L54" s="260"/>
      <c r="M54" s="260"/>
      <c r="N54" s="260"/>
      <c r="O54" s="260"/>
      <c r="P54" s="260"/>
      <c r="Q54" s="260"/>
      <c r="R54" s="260"/>
      <c r="S54" s="260"/>
      <c r="T54" s="260"/>
      <c r="U54" s="260"/>
      <c r="V54" s="260"/>
      <c r="W54" s="260"/>
    </row>
    <row r="55" spans="1:23" s="9" customFormat="1">
      <c r="A55" s="214" t="s">
        <v>171</v>
      </c>
      <c r="B55" s="260"/>
      <c r="C55" s="260"/>
      <c r="D55" s="260"/>
      <c r="E55" s="74">
        <f>+(580+259)/B5/E49</f>
        <v>6.7077596158840249</v>
      </c>
      <c r="F55" s="260"/>
      <c r="G55" s="260"/>
      <c r="H55" s="260"/>
      <c r="I55" s="260"/>
      <c r="J55" s="260"/>
      <c r="K55" s="260"/>
      <c r="L55" s="260"/>
      <c r="M55" s="260"/>
      <c r="N55" s="260"/>
      <c r="O55" s="260"/>
      <c r="P55" s="260"/>
      <c r="Q55" s="260"/>
      <c r="R55" s="260"/>
      <c r="S55" s="260"/>
      <c r="T55" s="260"/>
      <c r="U55" s="260"/>
      <c r="V55" s="260"/>
      <c r="W55" s="217"/>
    </row>
    <row r="56" spans="1:23" s="9" customFormat="1" ht="24.75" customHeight="1">
      <c r="A56" s="214" t="s">
        <v>127</v>
      </c>
      <c r="B56" s="261"/>
      <c r="C56" s="261"/>
      <c r="D56" s="261"/>
      <c r="E56" s="261"/>
      <c r="F56" s="261"/>
      <c r="G56" s="261"/>
      <c r="H56" s="261"/>
      <c r="I56" s="261"/>
      <c r="J56" s="261"/>
      <c r="K56" s="261"/>
      <c r="L56" s="261"/>
      <c r="M56" s="261"/>
      <c r="N56" s="261"/>
      <c r="O56" s="261"/>
      <c r="P56" s="261"/>
      <c r="Q56" s="261"/>
      <c r="R56" s="261"/>
      <c r="S56" s="261"/>
      <c r="T56" s="261"/>
      <c r="U56" s="261"/>
      <c r="V56" s="261"/>
      <c r="W56" s="217"/>
    </row>
    <row r="57" spans="1:23" s="9" customFormat="1" ht="14.25" customHeight="1">
      <c r="A57" s="214" t="s">
        <v>199</v>
      </c>
      <c r="B57" s="261"/>
      <c r="C57" s="261"/>
      <c r="D57" s="261"/>
      <c r="E57" s="261"/>
      <c r="F57" s="261"/>
      <c r="G57" s="261"/>
      <c r="H57" s="261"/>
      <c r="I57" s="261"/>
      <c r="J57" s="261"/>
      <c r="K57" s="261"/>
      <c r="L57" s="261"/>
      <c r="M57" s="261"/>
      <c r="N57" s="261"/>
      <c r="O57" s="261"/>
      <c r="P57" s="261"/>
      <c r="Q57" s="261"/>
      <c r="R57" s="261"/>
      <c r="S57" s="261"/>
      <c r="T57" s="261"/>
      <c r="U57" s="261"/>
      <c r="V57" s="261"/>
      <c r="W57" s="217"/>
    </row>
    <row r="58" spans="1:23" s="9" customFormat="1" ht="14.25" customHeight="1">
      <c r="A58" s="214"/>
      <c r="B58" s="261"/>
      <c r="C58" s="188"/>
      <c r="D58" s="188" t="s">
        <v>222</v>
      </c>
      <c r="E58" s="261"/>
      <c r="F58" s="261"/>
      <c r="G58" s="261"/>
      <c r="H58" s="261"/>
      <c r="I58" s="261"/>
      <c r="J58" s="261"/>
      <c r="K58" s="261"/>
      <c r="L58" s="261"/>
      <c r="M58" s="261"/>
      <c r="N58" s="261"/>
      <c r="O58" s="261"/>
      <c r="P58" s="261"/>
      <c r="Q58" s="261"/>
      <c r="R58" s="261"/>
      <c r="S58" s="261"/>
      <c r="T58" s="261"/>
      <c r="U58" s="261"/>
      <c r="V58" s="261"/>
      <c r="W58" s="217"/>
    </row>
    <row r="59" spans="1:23" s="9" customFormat="1" ht="14.25" customHeight="1">
      <c r="A59" s="214"/>
      <c r="B59" s="261"/>
      <c r="C59" s="189" t="s">
        <v>223</v>
      </c>
      <c r="D59" s="222">
        <v>17.47</v>
      </c>
      <c r="E59" s="261"/>
      <c r="F59" s="261"/>
      <c r="G59" s="261"/>
      <c r="H59" s="261"/>
      <c r="I59" s="261"/>
      <c r="J59" s="261"/>
      <c r="K59" s="261"/>
      <c r="L59" s="261"/>
      <c r="M59" s="261"/>
      <c r="N59" s="261"/>
      <c r="O59" s="261"/>
      <c r="P59" s="261"/>
      <c r="Q59" s="261"/>
      <c r="R59" s="261"/>
      <c r="S59" s="261"/>
      <c r="T59" s="261"/>
      <c r="U59" s="261"/>
      <c r="V59" s="261"/>
      <c r="W59" s="217"/>
    </row>
    <row r="60" spans="1:23" s="9" customFormat="1" ht="14.25" customHeight="1">
      <c r="A60" s="214"/>
      <c r="B60" s="261"/>
      <c r="C60" s="189" t="s">
        <v>59</v>
      </c>
      <c r="D60" s="222">
        <v>37.093000000000004</v>
      </c>
      <c r="E60" s="261"/>
      <c r="F60" s="261"/>
      <c r="G60" s="261"/>
      <c r="H60" s="261"/>
      <c r="I60" s="261"/>
      <c r="J60" s="261"/>
      <c r="K60" s="261"/>
      <c r="L60" s="261"/>
      <c r="M60" s="261"/>
      <c r="N60" s="261"/>
      <c r="O60" s="261"/>
      <c r="P60" s="261"/>
      <c r="Q60" s="261"/>
      <c r="R60" s="261"/>
      <c r="S60" s="261"/>
      <c r="T60" s="261"/>
      <c r="U60" s="261"/>
      <c r="V60" s="261"/>
      <c r="W60" s="217"/>
    </row>
    <row r="61" spans="1:23" s="9" customFormat="1" ht="33.75">
      <c r="A61" s="214"/>
      <c r="B61" s="261"/>
      <c r="C61" s="189"/>
      <c r="D61" s="189"/>
      <c r="E61" s="186" t="str">
        <f>$B$1&amp;" Average Rate (CAD/USD)"</f>
        <v>2Q19 Average Rate (CAD/USD)</v>
      </c>
      <c r="F61" s="186"/>
      <c r="G61" s="186"/>
      <c r="H61" s="186"/>
      <c r="I61" s="186"/>
      <c r="J61" s="186"/>
      <c r="K61" s="186"/>
      <c r="L61" s="186"/>
      <c r="M61" s="186"/>
      <c r="N61" s="186"/>
      <c r="O61" s="186"/>
      <c r="P61" s="186"/>
      <c r="Q61" s="186"/>
      <c r="R61" s="186"/>
      <c r="S61" s="186"/>
      <c r="T61" s="186"/>
      <c r="U61" s="186"/>
      <c r="V61" s="186"/>
      <c r="W61" s="217"/>
    </row>
    <row r="62" spans="1:23">
      <c r="A62" s="262" t="s">
        <v>94</v>
      </c>
      <c r="B62" s="261"/>
      <c r="C62" s="261"/>
      <c r="D62" s="187"/>
      <c r="E62" s="74">
        <f>B5</f>
        <v>1.34</v>
      </c>
      <c r="F62" s="187"/>
      <c r="G62" s="187"/>
      <c r="H62" s="187"/>
      <c r="I62" s="187"/>
      <c r="J62" s="187"/>
      <c r="K62" s="187"/>
      <c r="L62" s="187"/>
      <c r="M62" s="187"/>
      <c r="N62" s="187"/>
      <c r="O62" s="187"/>
      <c r="P62" s="187"/>
      <c r="Q62" s="187">
        <f>Q45*$D$2/1000</f>
        <v>14.651</v>
      </c>
      <c r="R62" s="219" t="s">
        <v>213</v>
      </c>
      <c r="S62" s="218" t="s">
        <v>208</v>
      </c>
      <c r="T62" s="219" t="s">
        <v>213</v>
      </c>
      <c r="U62" s="187"/>
      <c r="V62" s="187"/>
      <c r="W62" s="220"/>
    </row>
    <row r="63" spans="1:23" s="9" customFormat="1">
      <c r="A63" s="261"/>
      <c r="B63" s="261"/>
      <c r="C63" s="261"/>
      <c r="D63" s="188" t="s">
        <v>184</v>
      </c>
      <c r="E63" s="188"/>
      <c r="F63" s="221"/>
      <c r="G63" s="221"/>
      <c r="H63" s="221"/>
      <c r="I63" s="187">
        <f>I45*$D$2/1000</f>
        <v>68.522999999999996</v>
      </c>
      <c r="J63" s="221"/>
      <c r="K63" s="221"/>
      <c r="L63" s="221"/>
      <c r="M63" s="221"/>
      <c r="N63" s="221"/>
      <c r="O63" s="221"/>
      <c r="P63" s="221"/>
      <c r="Q63" s="187">
        <f>Q46*$D$2/1000</f>
        <v>3.9129999999999998</v>
      </c>
      <c r="R63" s="221">
        <v>59.18</v>
      </c>
      <c r="S63" s="200">
        <v>33.145000000000003</v>
      </c>
      <c r="T63" s="200">
        <v>58.13</v>
      </c>
      <c r="U63" s="200">
        <f>U45*$D$2/1000</f>
        <v>41.951000000000001</v>
      </c>
      <c r="V63" s="221"/>
      <c r="W63" s="201">
        <f>W45*$D$2/1000</f>
        <v>0.93700000000000017</v>
      </c>
    </row>
    <row r="64" spans="1:23" s="9" customFormat="1">
      <c r="A64" s="261"/>
      <c r="B64" s="263"/>
      <c r="C64" s="263"/>
      <c r="D64" s="189" t="s">
        <v>178</v>
      </c>
      <c r="E64" s="222">
        <f>56.118+46.25</f>
        <v>102.36799999999999</v>
      </c>
      <c r="F64" s="221"/>
      <c r="G64" s="221"/>
      <c r="H64" s="221"/>
      <c r="I64" s="200">
        <f>I46*$D$2/1000</f>
        <v>10.738</v>
      </c>
      <c r="J64" s="221"/>
      <c r="K64" s="221"/>
      <c r="L64" s="221"/>
      <c r="M64" s="221"/>
      <c r="N64" s="221"/>
      <c r="O64" s="221"/>
      <c r="P64" s="221"/>
      <c r="Q64" s="187">
        <f>Q47*$D$2/1000</f>
        <v>48.685000000000002</v>
      </c>
      <c r="R64" s="221">
        <v>58.21</v>
      </c>
      <c r="S64" s="200">
        <v>61.061999999999998</v>
      </c>
      <c r="T64" s="200">
        <v>0</v>
      </c>
      <c r="U64" s="200">
        <f>U46*$D$2/1000</f>
        <v>11.010999999999999</v>
      </c>
      <c r="V64" s="221"/>
      <c r="W64" s="201">
        <f>W46*$D$2/1000</f>
        <v>5.4969999999999999</v>
      </c>
    </row>
    <row r="65" spans="1:23" s="9" customFormat="1">
      <c r="A65" s="261"/>
      <c r="B65" s="263"/>
      <c r="C65" s="263"/>
      <c r="D65" s="189" t="s">
        <v>179</v>
      </c>
      <c r="E65" s="222">
        <v>55.030999999999999</v>
      </c>
      <c r="F65" s="221"/>
      <c r="G65" s="221"/>
      <c r="H65" s="221"/>
      <c r="I65" s="200">
        <f>I47*$D$2/1000</f>
        <v>251.88800000000001</v>
      </c>
      <c r="J65" s="221"/>
      <c r="K65" s="221"/>
      <c r="L65" s="221"/>
      <c r="M65" s="221"/>
      <c r="N65" s="221"/>
      <c r="O65" s="221"/>
      <c r="P65" s="221"/>
      <c r="Q65" s="200"/>
      <c r="R65" s="203" t="s">
        <v>216</v>
      </c>
      <c r="S65" s="200">
        <v>5.9429999999999996</v>
      </c>
      <c r="T65" s="200">
        <v>66.61</v>
      </c>
      <c r="U65" s="200">
        <f>U47*$D$2/1000</f>
        <v>86.813999999999993</v>
      </c>
      <c r="V65" s="221"/>
      <c r="W65" s="201">
        <f>W47*$D$2/1000</f>
        <v>148</v>
      </c>
    </row>
    <row r="66" spans="1:23" s="9" customFormat="1">
      <c r="A66" s="261"/>
      <c r="B66" s="263"/>
      <c r="C66" s="263"/>
      <c r="D66" s="189" t="s">
        <v>180</v>
      </c>
      <c r="E66" s="222">
        <v>77.667000000000002</v>
      </c>
      <c r="F66" s="221"/>
      <c r="G66" s="221"/>
      <c r="H66" s="221"/>
      <c r="I66" s="200"/>
      <c r="J66" s="221"/>
      <c r="K66" s="221"/>
      <c r="L66" s="221"/>
      <c r="M66" s="221"/>
      <c r="N66" s="221"/>
      <c r="O66" s="221"/>
      <c r="P66" s="221"/>
      <c r="Q66" s="200">
        <f>Q62*Q10</f>
        <v>899.13186999999994</v>
      </c>
      <c r="R66" s="221">
        <v>190</v>
      </c>
      <c r="S66" s="200">
        <v>6.6849999999999996</v>
      </c>
      <c r="T66" s="203" t="s">
        <v>216</v>
      </c>
      <c r="U66" s="200"/>
      <c r="V66" s="221"/>
      <c r="W66" s="201"/>
    </row>
    <row r="67" spans="1:23" s="9" customFormat="1">
      <c r="A67" s="261"/>
      <c r="B67" s="187"/>
      <c r="C67" s="263"/>
      <c r="D67" s="189" t="s">
        <v>181</v>
      </c>
      <c r="E67" s="222">
        <v>109.599</v>
      </c>
      <c r="F67" s="221"/>
      <c r="G67" s="221"/>
      <c r="H67" s="221"/>
      <c r="I67" s="200">
        <f>I63*I10</f>
        <v>4317.3093599999993</v>
      </c>
      <c r="J67" s="221"/>
      <c r="K67" s="221"/>
      <c r="L67" s="221"/>
      <c r="M67" s="221"/>
      <c r="N67" s="221"/>
      <c r="O67" s="221"/>
      <c r="P67" s="221"/>
      <c r="Q67" s="200">
        <f>Q63*Q12</f>
        <v>47.660339999999998</v>
      </c>
      <c r="R67" s="221">
        <v>30</v>
      </c>
      <c r="S67" s="200">
        <v>0.44800000000000001</v>
      </c>
      <c r="T67" s="200">
        <v>117</v>
      </c>
      <c r="U67" s="200">
        <f>U63*U10</f>
        <v>2471.3334099999997</v>
      </c>
      <c r="V67" s="221"/>
      <c r="W67" s="201">
        <f>W63*W10</f>
        <v>46.428350000000009</v>
      </c>
    </row>
    <row r="68" spans="1:23" s="9" customFormat="1">
      <c r="A68" s="261"/>
      <c r="B68" s="187"/>
      <c r="C68" s="263"/>
      <c r="D68" s="189" t="s">
        <v>61</v>
      </c>
      <c r="E68" s="222">
        <v>374.5</v>
      </c>
      <c r="F68" s="221"/>
      <c r="G68" s="221"/>
      <c r="H68" s="221"/>
      <c r="I68" s="200">
        <f>I64*I12</f>
        <v>232.47769999999997</v>
      </c>
      <c r="J68" s="221"/>
      <c r="K68" s="221"/>
      <c r="L68" s="221"/>
      <c r="M68" s="221"/>
      <c r="N68" s="221"/>
      <c r="O68" s="221"/>
      <c r="P68" s="221"/>
      <c r="Q68" s="200">
        <f>Q64*Q14</f>
        <v>190.84520000000001</v>
      </c>
      <c r="R68" s="202">
        <f>+SUMPRODUCT(R63:R64,R66:R67)/SUM(R66:R67)</f>
        <v>59.047727272727272</v>
      </c>
      <c r="S68" s="200"/>
      <c r="T68" s="200">
        <v>0</v>
      </c>
      <c r="U68" s="200">
        <f>U64*U12</f>
        <v>198.19799999999998</v>
      </c>
      <c r="V68" s="221"/>
      <c r="W68" s="201">
        <f>W64*W12</f>
        <v>57.773469999999996</v>
      </c>
    </row>
    <row r="69" spans="1:23" s="9" customFormat="1">
      <c r="A69" s="261"/>
      <c r="B69" s="187"/>
      <c r="C69" s="263"/>
      <c r="D69" s="189" t="s">
        <v>182</v>
      </c>
      <c r="E69" s="222">
        <v>27.594000000000001</v>
      </c>
      <c r="F69" s="221"/>
      <c r="G69" s="221"/>
      <c r="H69" s="221"/>
      <c r="I69" s="200">
        <f>I65*I14</f>
        <v>1198.9868799999999</v>
      </c>
      <c r="J69" s="221"/>
      <c r="K69" s="221"/>
      <c r="L69" s="221"/>
      <c r="M69" s="221"/>
      <c r="N69" s="221"/>
      <c r="O69" s="221"/>
      <c r="P69" s="221"/>
      <c r="Q69" s="200">
        <f>Q68+Q67+Q66</f>
        <v>1137.6374099999998</v>
      </c>
      <c r="R69" s="203" t="s">
        <v>214</v>
      </c>
      <c r="S69" s="200"/>
      <c r="T69" s="200">
        <f>11+2</f>
        <v>13</v>
      </c>
      <c r="U69" s="200">
        <f>U65*U14</f>
        <v>89.418419999999998</v>
      </c>
      <c r="V69" s="221"/>
      <c r="W69" s="201">
        <f>W65*W14</f>
        <v>266.40000000000003</v>
      </c>
    </row>
    <row r="70" spans="1:23" s="9" customFormat="1">
      <c r="A70" s="261"/>
      <c r="B70" s="187"/>
      <c r="C70" s="263"/>
      <c r="D70" s="189" t="s">
        <v>183</v>
      </c>
      <c r="E70" s="222">
        <v>23.65</v>
      </c>
      <c r="F70" s="221"/>
      <c r="G70" s="221"/>
      <c r="H70" s="221"/>
      <c r="I70" s="200">
        <f>I69+I68+I67</f>
        <v>5748.7739399999991</v>
      </c>
      <c r="J70" s="221"/>
      <c r="K70" s="221"/>
      <c r="L70" s="221"/>
      <c r="M70" s="221"/>
      <c r="N70" s="221"/>
      <c r="O70" s="221"/>
      <c r="P70" s="221"/>
      <c r="Q70" s="200">
        <f>Q69/Q49</f>
        <v>42.64301307561113</v>
      </c>
      <c r="R70" s="221">
        <v>14.6</v>
      </c>
      <c r="S70" s="218" t="s">
        <v>211</v>
      </c>
      <c r="T70" s="200">
        <f>+SUMPRODUCT(T63:T65,T67:T69)/SUM(T67:T69)</f>
        <v>58.978000000000002</v>
      </c>
      <c r="U70" s="200">
        <f>U69+U68+U67</f>
        <v>2758.9498299999996</v>
      </c>
      <c r="V70" s="221"/>
      <c r="W70" s="201">
        <f>W69+W68+W67</f>
        <v>370.60182000000003</v>
      </c>
    </row>
    <row r="71" spans="1:23" s="9" customFormat="1">
      <c r="A71" s="261"/>
      <c r="B71" s="187"/>
      <c r="C71" s="263"/>
      <c r="D71" s="188" t="s">
        <v>185</v>
      </c>
      <c r="E71" s="188"/>
      <c r="F71" s="221"/>
      <c r="G71" s="221"/>
      <c r="H71" s="221"/>
      <c r="I71" s="200">
        <f>I70/I49</f>
        <v>47.415566675006247</v>
      </c>
      <c r="J71" s="221"/>
      <c r="K71" s="221"/>
      <c r="L71" s="221"/>
      <c r="M71" s="221"/>
      <c r="N71" s="221"/>
      <c r="O71" s="221"/>
      <c r="P71" s="221"/>
      <c r="Q71" s="200"/>
      <c r="R71" s="221">
        <v>1.67</v>
      </c>
      <c r="S71" s="200">
        <v>5.9770000000000003</v>
      </c>
      <c r="T71" s="203" t="s">
        <v>214</v>
      </c>
      <c r="U71" s="200">
        <f>U70/U49</f>
        <v>40.915155195681507</v>
      </c>
      <c r="V71" s="221"/>
      <c r="W71" s="201">
        <f>W70/W49</f>
        <v>11.916201796317335</v>
      </c>
    </row>
    <row r="72" spans="1:23" s="9" customFormat="1">
      <c r="A72" s="261"/>
      <c r="B72" s="187"/>
      <c r="C72" s="263"/>
      <c r="D72" s="189" t="s">
        <v>178</v>
      </c>
      <c r="E72" s="189">
        <v>53.23</v>
      </c>
      <c r="F72" s="221"/>
      <c r="G72" s="221"/>
      <c r="H72" s="221"/>
      <c r="I72" s="200"/>
      <c r="J72" s="221"/>
      <c r="K72" s="221"/>
      <c r="L72" s="221"/>
      <c r="M72" s="221"/>
      <c r="N72" s="221"/>
      <c r="O72" s="221"/>
      <c r="P72" s="221"/>
      <c r="Q72" s="200"/>
      <c r="R72" s="203" t="s">
        <v>218</v>
      </c>
      <c r="S72" s="200">
        <v>3.1179999999999999</v>
      </c>
      <c r="T72" s="200">
        <v>14.54</v>
      </c>
      <c r="U72" s="221"/>
      <c r="V72" s="221"/>
      <c r="W72" s="217"/>
    </row>
    <row r="73" spans="1:23" s="9" customFormat="1">
      <c r="A73" s="261"/>
      <c r="B73" s="187"/>
      <c r="C73" s="187"/>
      <c r="D73" s="189" t="s">
        <v>179</v>
      </c>
      <c r="E73" s="189">
        <v>78.08</v>
      </c>
      <c r="F73" s="221"/>
      <c r="G73" s="221"/>
      <c r="H73" s="221"/>
      <c r="I73" s="221"/>
      <c r="J73" s="221"/>
      <c r="K73" s="221"/>
      <c r="L73" s="221"/>
      <c r="M73" s="221"/>
      <c r="N73" s="221"/>
      <c r="O73" s="221"/>
      <c r="P73" s="221"/>
      <c r="Q73" s="221"/>
      <c r="R73" s="221">
        <v>64</v>
      </c>
      <c r="S73" s="200">
        <v>1.073</v>
      </c>
      <c r="T73" s="200">
        <v>0</v>
      </c>
      <c r="U73" s="221"/>
      <c r="V73" s="221"/>
      <c r="W73" s="217"/>
    </row>
    <row r="74" spans="1:23" s="9" customFormat="1">
      <c r="A74" s="261"/>
      <c r="B74" s="187"/>
      <c r="C74" s="187"/>
      <c r="D74" s="189" t="s">
        <v>180</v>
      </c>
      <c r="E74" s="189">
        <v>82.88</v>
      </c>
      <c r="F74" s="221"/>
      <c r="G74" s="221"/>
      <c r="H74" s="221"/>
      <c r="I74" s="221"/>
      <c r="J74" s="221"/>
      <c r="K74" s="221"/>
      <c r="L74" s="221"/>
      <c r="M74" s="221"/>
      <c r="N74" s="221"/>
      <c r="O74" s="221"/>
      <c r="P74" s="221"/>
      <c r="Q74" s="221"/>
      <c r="R74" s="221">
        <v>10</v>
      </c>
      <c r="S74" s="200"/>
      <c r="T74" s="203" t="s">
        <v>218</v>
      </c>
      <c r="U74" s="221"/>
      <c r="V74" s="221"/>
      <c r="W74" s="217"/>
    </row>
    <row r="75" spans="1:23" s="9" customFormat="1">
      <c r="A75" s="261"/>
      <c r="B75" s="187"/>
      <c r="C75" s="263"/>
      <c r="D75" s="189" t="s">
        <v>181</v>
      </c>
      <c r="E75" s="189">
        <v>79.02</v>
      </c>
      <c r="F75" s="221"/>
      <c r="G75" s="221"/>
      <c r="H75" s="221"/>
      <c r="I75" s="221"/>
      <c r="J75" s="221"/>
      <c r="K75" s="221"/>
      <c r="L75" s="221"/>
      <c r="M75" s="221"/>
      <c r="N75" s="221"/>
      <c r="O75" s="221"/>
      <c r="P75" s="221"/>
      <c r="Q75" s="221"/>
      <c r="R75" s="202">
        <f>+SUMPRODUCT(R70:R71,R73:R74)/SUM(R73:R74)</f>
        <v>12.852702702702704</v>
      </c>
      <c r="S75" s="218" t="s">
        <v>212</v>
      </c>
      <c r="T75" s="200">
        <v>64</v>
      </c>
      <c r="U75" s="221"/>
      <c r="V75" s="221"/>
      <c r="W75" s="217"/>
    </row>
    <row r="76" spans="1:23" s="9" customFormat="1">
      <c r="A76" s="261"/>
      <c r="B76" s="187"/>
      <c r="C76" s="263"/>
      <c r="D76" s="189" t="s">
        <v>61</v>
      </c>
      <c r="E76" s="189">
        <v>75.25</v>
      </c>
      <c r="F76" s="221"/>
      <c r="G76" s="221"/>
      <c r="H76" s="221"/>
      <c r="I76" s="221"/>
      <c r="J76" s="221"/>
      <c r="K76" s="221"/>
      <c r="L76" s="221"/>
      <c r="M76" s="221"/>
      <c r="N76" s="221"/>
      <c r="O76" s="221"/>
      <c r="P76" s="221"/>
      <c r="Q76" s="221"/>
      <c r="R76" s="203" t="s">
        <v>215</v>
      </c>
      <c r="S76" s="200">
        <v>32.209000000000003</v>
      </c>
      <c r="T76" s="200">
        <v>0</v>
      </c>
      <c r="U76" s="221"/>
      <c r="V76" s="221"/>
      <c r="W76" s="217"/>
    </row>
    <row r="77" spans="1:23" s="9" customFormat="1">
      <c r="A77" s="261"/>
      <c r="B77" s="187"/>
      <c r="C77" s="263"/>
      <c r="D77" s="189" t="s">
        <v>182</v>
      </c>
      <c r="E77" s="189">
        <v>88.25</v>
      </c>
      <c r="F77" s="221"/>
      <c r="G77" s="221"/>
      <c r="H77" s="221"/>
      <c r="I77" s="221"/>
      <c r="J77" s="221"/>
      <c r="K77" s="221"/>
      <c r="L77" s="221"/>
      <c r="M77" s="221"/>
      <c r="N77" s="221"/>
      <c r="O77" s="221"/>
      <c r="P77" s="221"/>
      <c r="Q77" s="221"/>
      <c r="R77" s="221">
        <v>1.89</v>
      </c>
      <c r="S77" s="200">
        <v>39.029000000000003</v>
      </c>
      <c r="T77" s="200">
        <f>+SUMPRODUCT(T72:T73,T75:T76)/SUM(T75:T76)</f>
        <v>14.54</v>
      </c>
      <c r="U77" s="221"/>
      <c r="V77" s="221"/>
      <c r="W77" s="217"/>
    </row>
    <row r="78" spans="1:23" s="9" customFormat="1">
      <c r="A78" s="261"/>
      <c r="B78" s="187"/>
      <c r="C78" s="263"/>
      <c r="D78" s="189" t="s">
        <v>183</v>
      </c>
      <c r="E78" s="189">
        <v>95.33</v>
      </c>
      <c r="F78" s="221"/>
      <c r="G78" s="221"/>
      <c r="H78" s="221"/>
      <c r="I78" s="221"/>
      <c r="J78" s="221"/>
      <c r="K78" s="221"/>
      <c r="L78" s="221"/>
      <c r="M78" s="221"/>
      <c r="N78" s="221"/>
      <c r="O78" s="221"/>
      <c r="P78" s="221"/>
      <c r="Q78" s="221"/>
      <c r="R78" s="221">
        <v>0.35</v>
      </c>
      <c r="S78" s="200">
        <v>249.36699999999999</v>
      </c>
      <c r="T78" s="203" t="s">
        <v>215</v>
      </c>
      <c r="U78" s="221"/>
      <c r="V78" s="221"/>
      <c r="W78" s="217"/>
    </row>
    <row r="79" spans="1:23" s="9" customFormat="1">
      <c r="A79" s="261"/>
      <c r="B79" s="187"/>
      <c r="C79" s="263"/>
      <c r="D79" s="189" t="s">
        <v>70</v>
      </c>
      <c r="E79" s="223">
        <f>+SUMPRODUCT(E64:E70,E72:E78)/SUM(E64:E70)</f>
        <v>74.913809495994983</v>
      </c>
      <c r="F79" s="221"/>
      <c r="G79" s="221"/>
      <c r="H79" s="221"/>
      <c r="I79" s="221"/>
      <c r="J79" s="221"/>
      <c r="K79" s="221"/>
      <c r="L79" s="221"/>
      <c r="M79" s="221"/>
      <c r="N79" s="221"/>
      <c r="O79" s="221"/>
      <c r="P79" s="221"/>
      <c r="Q79" s="221"/>
      <c r="R79" s="203" t="s">
        <v>217</v>
      </c>
      <c r="S79" s="200"/>
      <c r="T79" s="200">
        <v>1.61</v>
      </c>
      <c r="U79" s="221"/>
      <c r="V79" s="221"/>
      <c r="W79" s="217"/>
    </row>
    <row r="80" spans="1:23">
      <c r="A80" s="262"/>
      <c r="B80" s="187"/>
      <c r="C80" s="263"/>
      <c r="D80" s="187"/>
      <c r="E80" s="187"/>
      <c r="F80" s="187"/>
      <c r="G80" s="187"/>
      <c r="H80" s="187"/>
      <c r="I80" s="187"/>
      <c r="J80" s="187"/>
      <c r="K80" s="187"/>
      <c r="L80" s="187"/>
      <c r="M80" s="187"/>
      <c r="N80" s="187"/>
      <c r="O80" s="187"/>
      <c r="P80" s="187"/>
      <c r="Q80" s="187"/>
      <c r="R80" s="221">
        <v>459</v>
      </c>
      <c r="S80" s="200"/>
      <c r="T80" s="200">
        <v>0</v>
      </c>
      <c r="U80" s="187"/>
      <c r="V80" s="187"/>
      <c r="W80" s="220"/>
    </row>
    <row r="81" spans="1:23">
      <c r="A81" s="262"/>
      <c r="B81" s="187"/>
      <c r="C81" s="263"/>
      <c r="D81" s="187"/>
      <c r="E81" s="187"/>
      <c r="F81" s="187"/>
      <c r="G81" s="187"/>
      <c r="H81" s="187"/>
      <c r="I81" s="187"/>
      <c r="J81" s="187"/>
      <c r="K81" s="187"/>
      <c r="L81" s="187"/>
      <c r="M81" s="187"/>
      <c r="N81" s="187"/>
      <c r="O81" s="187"/>
      <c r="P81" s="187"/>
      <c r="Q81" s="187"/>
      <c r="R81" s="221">
        <v>403</v>
      </c>
      <c r="S81" s="218" t="s">
        <v>207</v>
      </c>
      <c r="T81" s="200">
        <v>5.53</v>
      </c>
      <c r="U81" s="187"/>
      <c r="V81" s="187"/>
      <c r="W81" s="220"/>
    </row>
    <row r="82" spans="1:23">
      <c r="A82" s="262"/>
      <c r="B82" s="187"/>
      <c r="C82" s="187"/>
      <c r="D82" s="187"/>
      <c r="E82" s="187"/>
      <c r="F82" s="187"/>
      <c r="G82" s="187"/>
      <c r="H82" s="187"/>
      <c r="I82" s="187"/>
      <c r="J82" s="187"/>
      <c r="K82" s="187"/>
      <c r="L82" s="187"/>
      <c r="M82" s="187"/>
      <c r="N82" s="187"/>
      <c r="O82" s="187"/>
      <c r="P82" s="187"/>
      <c r="Q82" s="187"/>
      <c r="R82" s="202">
        <f>+SUMPRODUCT(R77:R78,R80:R81)/SUM(R80:R81)</f>
        <v>1.1700232018561485</v>
      </c>
      <c r="S82" s="202">
        <v>63.72</v>
      </c>
      <c r="T82" s="201">
        <v>0.27</v>
      </c>
      <c r="U82" s="187"/>
      <c r="V82" s="187"/>
      <c r="W82" s="220"/>
    </row>
    <row r="83" spans="1:23">
      <c r="A83" s="262"/>
      <c r="B83" s="187"/>
      <c r="C83" s="187"/>
      <c r="D83" s="187"/>
      <c r="E83" s="187"/>
      <c r="F83" s="187"/>
      <c r="G83" s="187"/>
      <c r="H83" s="187"/>
      <c r="I83" s="187"/>
      <c r="J83" s="187"/>
      <c r="K83" s="187"/>
      <c r="L83" s="187"/>
      <c r="M83" s="187"/>
      <c r="N83" s="187"/>
      <c r="O83" s="187"/>
      <c r="P83" s="187"/>
      <c r="Q83" s="187"/>
      <c r="R83" s="187"/>
      <c r="S83" s="202">
        <v>62.41</v>
      </c>
      <c r="T83" s="203" t="s">
        <v>217</v>
      </c>
      <c r="U83" s="187"/>
      <c r="V83" s="187"/>
      <c r="W83" s="220"/>
    </row>
    <row r="84" spans="1:23">
      <c r="A84" s="262"/>
      <c r="B84" s="187"/>
      <c r="C84" s="187"/>
      <c r="D84" s="187"/>
      <c r="E84" s="187"/>
      <c r="F84" s="187"/>
      <c r="G84" s="187"/>
      <c r="H84" s="187"/>
      <c r="I84" s="187"/>
      <c r="J84" s="187"/>
      <c r="K84" s="187"/>
      <c r="L84" s="187"/>
      <c r="M84" s="187"/>
      <c r="N84" s="187"/>
      <c r="O84" s="187"/>
      <c r="P84" s="187"/>
      <c r="Q84" s="187"/>
      <c r="R84" s="187"/>
      <c r="S84" s="202">
        <v>48.94</v>
      </c>
      <c r="T84" s="200">
        <v>495</v>
      </c>
      <c r="U84" s="187"/>
      <c r="V84" s="187"/>
      <c r="W84" s="220"/>
    </row>
    <row r="85" spans="1:23">
      <c r="A85" s="262"/>
      <c r="B85" s="190"/>
      <c r="C85" s="190"/>
      <c r="D85" s="187"/>
      <c r="E85" s="187"/>
      <c r="F85" s="187"/>
      <c r="G85" s="187"/>
      <c r="H85" s="187"/>
      <c r="I85" s="187"/>
      <c r="J85" s="187"/>
      <c r="K85" s="187"/>
      <c r="L85" s="187"/>
      <c r="M85" s="187"/>
      <c r="N85" s="187"/>
      <c r="O85" s="187"/>
      <c r="P85" s="187"/>
      <c r="Q85" s="187"/>
      <c r="R85" s="187"/>
      <c r="S85" s="202">
        <v>67.86</v>
      </c>
      <c r="T85" s="202">
        <v>0</v>
      </c>
      <c r="U85" s="187"/>
      <c r="V85" s="187"/>
      <c r="W85" s="220"/>
    </row>
    <row r="86" spans="1:23">
      <c r="A86" s="262"/>
      <c r="B86" s="190"/>
      <c r="C86" s="190"/>
      <c r="D86" s="187"/>
      <c r="E86" s="187"/>
      <c r="F86" s="187"/>
      <c r="G86" s="187"/>
      <c r="H86" s="187"/>
      <c r="I86" s="187"/>
      <c r="J86" s="187"/>
      <c r="K86" s="187"/>
      <c r="L86" s="187"/>
      <c r="M86" s="187"/>
      <c r="N86" s="187"/>
      <c r="O86" s="187"/>
      <c r="P86" s="187"/>
      <c r="Q86" s="187"/>
      <c r="R86" s="187"/>
      <c r="S86" s="202">
        <v>73.05</v>
      </c>
      <c r="T86" s="202">
        <v>209</v>
      </c>
      <c r="U86" s="187"/>
      <c r="V86" s="187"/>
      <c r="W86" s="220"/>
    </row>
    <row r="87" spans="1:23">
      <c r="A87" s="262"/>
      <c r="B87" s="190"/>
      <c r="C87" s="190"/>
      <c r="D87" s="187"/>
      <c r="E87" s="187"/>
      <c r="F87" s="187"/>
      <c r="G87" s="187"/>
      <c r="H87" s="187"/>
      <c r="I87" s="187"/>
      <c r="J87" s="187"/>
      <c r="K87" s="187"/>
      <c r="L87" s="187"/>
      <c r="M87" s="187"/>
      <c r="N87" s="187"/>
      <c r="O87" s="187"/>
      <c r="P87" s="187"/>
      <c r="Q87" s="187"/>
      <c r="R87" s="187"/>
      <c r="S87" s="202">
        <v>78.25</v>
      </c>
      <c r="T87" s="202">
        <v>199</v>
      </c>
      <c r="U87" s="187"/>
      <c r="V87" s="187"/>
      <c r="W87" s="220"/>
    </row>
    <row r="88" spans="1:23">
      <c r="A88" s="262"/>
      <c r="B88" s="190"/>
      <c r="C88" s="190"/>
      <c r="D88" s="187"/>
      <c r="E88" s="187"/>
      <c r="F88" s="187"/>
      <c r="G88" s="187"/>
      <c r="H88" s="187"/>
      <c r="I88" s="187"/>
      <c r="J88" s="187"/>
      <c r="K88" s="187"/>
      <c r="L88" s="187"/>
      <c r="M88" s="187"/>
      <c r="N88" s="187"/>
      <c r="O88" s="187"/>
      <c r="P88" s="187"/>
      <c r="Q88" s="187"/>
      <c r="R88" s="187"/>
      <c r="S88" s="202">
        <v>65.790000000000006</v>
      </c>
      <c r="T88" s="202">
        <f>+SUMPRODUCT(T79:T82,T84:T87)/SUM(T84:T87)</f>
        <v>2.2219822812846068</v>
      </c>
      <c r="U88" s="187"/>
      <c r="V88" s="187"/>
      <c r="W88" s="220"/>
    </row>
    <row r="89" spans="1:23">
      <c r="A89" s="262"/>
      <c r="B89" s="187"/>
      <c r="C89" s="187"/>
      <c r="D89" s="187"/>
      <c r="E89" s="187"/>
      <c r="F89" s="187"/>
      <c r="G89" s="187"/>
      <c r="H89" s="187"/>
      <c r="I89" s="187"/>
      <c r="J89" s="187"/>
      <c r="K89" s="187"/>
      <c r="L89" s="187"/>
      <c r="M89" s="187"/>
      <c r="N89" s="187"/>
      <c r="O89" s="187"/>
      <c r="P89" s="187"/>
      <c r="Q89" s="187"/>
      <c r="R89" s="187"/>
      <c r="S89" s="202">
        <f>+SUMPRODUCT(S63:S69,S82:S88)/SUM(S63:S69)</f>
        <v>62.452576270238531</v>
      </c>
      <c r="T89" s="202"/>
      <c r="U89" s="187"/>
      <c r="V89" s="187"/>
      <c r="W89" s="220"/>
    </row>
    <row r="90" spans="1:23">
      <c r="A90" s="262"/>
      <c r="B90" s="187"/>
      <c r="C90" s="187"/>
      <c r="D90" s="187"/>
      <c r="E90" s="187"/>
      <c r="F90" s="187"/>
      <c r="G90" s="187"/>
      <c r="H90" s="187"/>
      <c r="I90" s="187"/>
      <c r="J90" s="187"/>
      <c r="K90" s="187"/>
      <c r="L90" s="187"/>
      <c r="M90" s="187"/>
      <c r="N90" s="187"/>
      <c r="O90" s="187"/>
      <c r="P90" s="187"/>
      <c r="Q90" s="187"/>
      <c r="R90" s="187"/>
      <c r="S90" s="224" t="s">
        <v>209</v>
      </c>
      <c r="T90" s="187"/>
      <c r="U90" s="187"/>
      <c r="V90" s="187"/>
      <c r="W90" s="220"/>
    </row>
    <row r="91" spans="1:23">
      <c r="A91" s="262"/>
      <c r="B91" s="187"/>
      <c r="C91" s="187"/>
      <c r="D91" s="187"/>
      <c r="E91" s="187"/>
      <c r="F91" s="187"/>
      <c r="G91" s="187"/>
      <c r="H91" s="187"/>
      <c r="I91" s="187"/>
      <c r="J91" s="187"/>
      <c r="K91" s="187"/>
      <c r="L91" s="187"/>
      <c r="M91" s="187"/>
      <c r="N91" s="187"/>
      <c r="O91" s="187"/>
      <c r="P91" s="187"/>
      <c r="Q91" s="187"/>
      <c r="R91" s="187"/>
      <c r="S91" s="202">
        <v>11.73</v>
      </c>
      <c r="T91" s="187"/>
      <c r="U91" s="187"/>
      <c r="V91" s="187"/>
      <c r="W91" s="220"/>
    </row>
    <row r="92" spans="1:23">
      <c r="A92" s="262"/>
      <c r="B92" s="187"/>
      <c r="C92" s="187"/>
      <c r="D92" s="187"/>
      <c r="E92" s="187"/>
      <c r="F92" s="187"/>
      <c r="G92" s="187"/>
      <c r="H92" s="187"/>
      <c r="I92" s="187"/>
      <c r="J92" s="187"/>
      <c r="K92" s="187"/>
      <c r="L92" s="187"/>
      <c r="M92" s="187"/>
      <c r="N92" s="187"/>
      <c r="O92" s="187"/>
      <c r="P92" s="187"/>
      <c r="Q92" s="187"/>
      <c r="R92" s="187"/>
      <c r="S92" s="202">
        <v>10.53</v>
      </c>
      <c r="T92" s="187"/>
      <c r="U92" s="187"/>
      <c r="V92" s="187"/>
      <c r="W92" s="220"/>
    </row>
    <row r="93" spans="1:23">
      <c r="A93" s="262"/>
      <c r="B93" s="190"/>
      <c r="C93" s="190"/>
      <c r="D93" s="187"/>
      <c r="E93" s="187"/>
      <c r="F93" s="187"/>
      <c r="G93" s="187"/>
      <c r="H93" s="187"/>
      <c r="I93" s="187"/>
      <c r="J93" s="187"/>
      <c r="K93" s="187"/>
      <c r="L93" s="187"/>
      <c r="M93" s="187"/>
      <c r="N93" s="187"/>
      <c r="O93" s="187"/>
      <c r="P93" s="187"/>
      <c r="Q93" s="187"/>
      <c r="R93" s="187"/>
      <c r="S93" s="202">
        <v>28.37</v>
      </c>
      <c r="T93" s="187"/>
      <c r="U93" s="187"/>
      <c r="V93" s="187"/>
      <c r="W93" s="220"/>
    </row>
    <row r="94" spans="1:23">
      <c r="A94" s="262"/>
      <c r="B94" s="190"/>
      <c r="C94" s="190"/>
      <c r="D94" s="187"/>
      <c r="E94" s="187"/>
      <c r="F94" s="187"/>
      <c r="G94" s="187"/>
      <c r="H94" s="187"/>
      <c r="I94" s="187"/>
      <c r="J94" s="187"/>
      <c r="K94" s="187"/>
      <c r="L94" s="187"/>
      <c r="M94" s="187"/>
      <c r="N94" s="187"/>
      <c r="O94" s="187"/>
      <c r="P94" s="187"/>
      <c r="Q94" s="187"/>
      <c r="R94" s="187"/>
      <c r="S94" s="202">
        <v>40.81</v>
      </c>
      <c r="T94" s="187"/>
      <c r="U94" s="187"/>
      <c r="V94" s="187"/>
      <c r="W94" s="220"/>
    </row>
    <row r="95" spans="1:23">
      <c r="A95" s="262"/>
      <c r="B95" s="187"/>
      <c r="C95" s="187"/>
      <c r="D95" s="187"/>
      <c r="E95" s="187"/>
      <c r="F95" s="187"/>
      <c r="G95" s="187"/>
      <c r="H95" s="187"/>
      <c r="I95" s="187"/>
      <c r="J95" s="187"/>
      <c r="K95" s="187"/>
      <c r="L95" s="187"/>
      <c r="M95" s="187"/>
      <c r="N95" s="187"/>
      <c r="O95" s="187"/>
      <c r="P95" s="187"/>
      <c r="Q95" s="187"/>
      <c r="R95" s="187"/>
      <c r="S95" s="202">
        <f>+SUMPRODUCT(S71:S74,S91:S94)/SUM(S71:S74)</f>
        <v>13.117993705743507</v>
      </c>
      <c r="T95" s="187"/>
      <c r="U95" s="187"/>
      <c r="V95" s="187"/>
      <c r="W95" s="220"/>
    </row>
    <row r="96" spans="1:23">
      <c r="A96" s="262"/>
      <c r="B96" s="187"/>
      <c r="C96" s="187"/>
      <c r="D96" s="187"/>
      <c r="E96" s="187"/>
      <c r="F96" s="187"/>
      <c r="G96" s="187"/>
      <c r="H96" s="187"/>
      <c r="I96" s="187"/>
      <c r="J96" s="187"/>
      <c r="K96" s="187"/>
      <c r="L96" s="187"/>
      <c r="M96" s="187"/>
      <c r="N96" s="187"/>
      <c r="O96" s="187"/>
      <c r="P96" s="187"/>
      <c r="Q96" s="187"/>
      <c r="R96" s="187"/>
      <c r="S96" s="224" t="s">
        <v>210</v>
      </c>
      <c r="T96" s="187"/>
      <c r="U96" s="187"/>
      <c r="V96" s="187"/>
      <c r="W96" s="220"/>
    </row>
    <row r="97" spans="1:23">
      <c r="A97" s="262"/>
      <c r="B97" s="187"/>
      <c r="C97" s="187"/>
      <c r="D97" s="187"/>
      <c r="E97" s="187"/>
      <c r="F97" s="187"/>
      <c r="G97" s="187"/>
      <c r="H97" s="187"/>
      <c r="I97" s="187"/>
      <c r="J97" s="187"/>
      <c r="K97" s="187"/>
      <c r="L97" s="187"/>
      <c r="M97" s="187"/>
      <c r="N97" s="187"/>
      <c r="O97" s="187"/>
      <c r="P97" s="187"/>
      <c r="Q97" s="187"/>
      <c r="R97" s="187"/>
      <c r="S97" s="202">
        <v>1.89</v>
      </c>
      <c r="T97" s="187"/>
      <c r="U97" s="187"/>
      <c r="V97" s="187"/>
      <c r="W97" s="220"/>
    </row>
    <row r="98" spans="1:23">
      <c r="A98" s="262"/>
      <c r="B98" s="187"/>
      <c r="C98" s="187"/>
      <c r="D98" s="187"/>
      <c r="E98" s="187"/>
      <c r="F98" s="187"/>
      <c r="G98" s="187"/>
      <c r="H98" s="187"/>
      <c r="I98" s="187"/>
      <c r="J98" s="187"/>
      <c r="K98" s="187"/>
      <c r="L98" s="187"/>
      <c r="M98" s="187"/>
      <c r="N98" s="187"/>
      <c r="O98" s="187"/>
      <c r="P98" s="187"/>
      <c r="Q98" s="187"/>
      <c r="R98" s="187"/>
      <c r="S98" s="202">
        <v>1.87</v>
      </c>
      <c r="T98" s="187"/>
      <c r="U98" s="187"/>
      <c r="V98" s="187"/>
      <c r="W98" s="220"/>
    </row>
    <row r="99" spans="1:23">
      <c r="A99" s="264"/>
      <c r="B99" s="190"/>
      <c r="C99" s="190"/>
      <c r="E99" s="190"/>
      <c r="F99" s="190"/>
      <c r="G99" s="190"/>
      <c r="H99" s="190"/>
      <c r="I99" s="190"/>
      <c r="J99" s="190"/>
      <c r="K99" s="190"/>
      <c r="L99" s="190"/>
      <c r="M99" s="190"/>
      <c r="N99" s="190"/>
      <c r="O99" s="190"/>
      <c r="P99" s="190"/>
      <c r="Q99" s="190"/>
      <c r="R99" s="190"/>
      <c r="S99" s="202">
        <v>1.07</v>
      </c>
      <c r="T99" s="190"/>
      <c r="U99" s="190"/>
      <c r="V99" s="190"/>
      <c r="W99" s="190"/>
    </row>
    <row r="100" spans="1:23">
      <c r="A100" s="264"/>
      <c r="B100" s="190"/>
      <c r="C100" s="190"/>
      <c r="E100" s="190"/>
      <c r="F100" s="190"/>
      <c r="G100" s="190"/>
      <c r="H100" s="190"/>
      <c r="I100" s="190"/>
      <c r="J100" s="190"/>
      <c r="K100" s="190"/>
      <c r="L100" s="190"/>
      <c r="M100" s="190"/>
      <c r="N100" s="190"/>
      <c r="O100" s="190"/>
      <c r="P100" s="190"/>
      <c r="Q100" s="190"/>
      <c r="R100" s="190"/>
      <c r="S100" s="202">
        <v>2.57</v>
      </c>
      <c r="T100" s="190"/>
      <c r="U100" s="190"/>
      <c r="V100" s="190"/>
      <c r="W100" s="190"/>
    </row>
    <row r="101" spans="1:23">
      <c r="A101" s="264"/>
      <c r="B101" s="190"/>
      <c r="C101" s="190"/>
      <c r="E101" s="190"/>
      <c r="F101" s="190"/>
      <c r="G101" s="190"/>
      <c r="H101" s="190"/>
      <c r="I101" s="190"/>
      <c r="J101" s="190"/>
      <c r="K101" s="190"/>
      <c r="L101" s="190"/>
      <c r="M101" s="190"/>
      <c r="N101" s="190"/>
      <c r="O101" s="190"/>
      <c r="P101" s="190"/>
      <c r="Q101" s="190"/>
      <c r="R101" s="190"/>
      <c r="S101" s="202">
        <v>0.24</v>
      </c>
      <c r="T101" s="190"/>
      <c r="U101" s="190"/>
      <c r="V101" s="190"/>
      <c r="W101" s="190"/>
    </row>
    <row r="102" spans="1:23">
      <c r="A102" s="264"/>
      <c r="B102" s="190"/>
      <c r="C102" s="190"/>
      <c r="E102" s="190"/>
      <c r="F102" s="190"/>
      <c r="G102" s="190"/>
      <c r="H102" s="190"/>
      <c r="I102" s="190"/>
      <c r="J102" s="190"/>
      <c r="K102" s="190"/>
      <c r="L102" s="190"/>
      <c r="M102" s="190"/>
      <c r="N102" s="190"/>
      <c r="O102" s="190"/>
      <c r="P102" s="190"/>
      <c r="Q102" s="190"/>
      <c r="R102" s="190"/>
      <c r="S102" s="202">
        <f>+SUMPRODUCT(S76:S80,S97:S101)/SUM(S76:S80)</f>
        <v>1.2497681882690539</v>
      </c>
      <c r="T102" s="190"/>
      <c r="U102" s="190"/>
      <c r="V102" s="190"/>
      <c r="W102" s="190"/>
    </row>
    <row r="103" spans="1:23">
      <c r="A103" s="264"/>
      <c r="B103" s="190"/>
      <c r="C103" s="190"/>
      <c r="E103" s="190"/>
      <c r="F103" s="190"/>
      <c r="G103" s="190"/>
      <c r="H103" s="190"/>
      <c r="I103" s="190"/>
      <c r="J103" s="190"/>
      <c r="K103" s="190"/>
      <c r="L103" s="190"/>
      <c r="M103" s="190"/>
      <c r="N103" s="190"/>
      <c r="O103" s="190"/>
      <c r="P103" s="190"/>
      <c r="Q103" s="190"/>
      <c r="R103" s="190"/>
      <c r="S103" s="190"/>
      <c r="T103" s="190"/>
      <c r="U103" s="190"/>
      <c r="V103" s="190"/>
      <c r="W103" s="190"/>
    </row>
    <row r="104" spans="1:23">
      <c r="A104" s="264"/>
      <c r="B104" s="190"/>
      <c r="C104" s="190"/>
      <c r="E104" s="190"/>
      <c r="F104" s="190"/>
      <c r="G104" s="190"/>
      <c r="H104" s="190"/>
      <c r="I104" s="190"/>
      <c r="J104" s="190"/>
      <c r="K104" s="190"/>
      <c r="L104" s="190"/>
      <c r="M104" s="190"/>
      <c r="N104" s="190"/>
      <c r="O104" s="190"/>
      <c r="P104" s="190"/>
      <c r="Q104" s="190"/>
      <c r="R104" s="190"/>
      <c r="S104" s="190"/>
      <c r="T104" s="190"/>
      <c r="U104" s="190"/>
      <c r="V104" s="190"/>
      <c r="W104" s="190"/>
    </row>
    <row r="105" spans="1:23" ht="15" thickBot="1">
      <c r="A105" s="264"/>
      <c r="B105" s="190"/>
      <c r="C105" s="190"/>
      <c r="E105" s="190"/>
      <c r="F105" s="190"/>
      <c r="G105" s="190"/>
      <c r="H105" s="190"/>
      <c r="I105" s="190"/>
      <c r="J105" s="190"/>
      <c r="K105" s="190"/>
      <c r="L105" s="190"/>
      <c r="M105" s="190"/>
      <c r="N105" s="190"/>
      <c r="O105" s="190"/>
      <c r="P105" s="190"/>
      <c r="Q105" s="190"/>
      <c r="R105" s="190"/>
      <c r="S105" s="190"/>
      <c r="T105" s="190"/>
      <c r="U105" s="190"/>
      <c r="V105" s="190"/>
      <c r="W105" s="190"/>
    </row>
    <row r="106" spans="1:23">
      <c r="A106" s="265" t="s">
        <v>109</v>
      </c>
      <c r="B106" s="191"/>
      <c r="C106" s="191"/>
      <c r="D106" s="191"/>
      <c r="E106" s="191"/>
      <c r="F106" s="191"/>
      <c r="G106" s="191"/>
      <c r="H106" s="191"/>
      <c r="I106" s="191"/>
      <c r="J106" s="191"/>
      <c r="K106" s="191"/>
      <c r="L106" s="191"/>
      <c r="M106" s="191"/>
      <c r="N106" s="191"/>
      <c r="O106" s="191"/>
      <c r="P106" s="191"/>
      <c r="Q106" s="191"/>
      <c r="R106" s="191"/>
      <c r="S106" s="225"/>
      <c r="T106" s="225"/>
      <c r="U106" s="191"/>
      <c r="V106" s="191"/>
      <c r="W106" s="226"/>
    </row>
    <row r="107" spans="1:23">
      <c r="A107" s="266"/>
      <c r="B107" s="192" t="str">
        <f>B8</f>
        <v>APC</v>
      </c>
      <c r="C107" s="192" t="str">
        <f>C8</f>
        <v>AR</v>
      </c>
      <c r="D107" s="192" t="str">
        <f t="shared" ref="D107:W107" si="16">D8</f>
        <v>APA</v>
      </c>
      <c r="E107" s="192" t="str">
        <f t="shared" si="16"/>
        <v>CNQCN</v>
      </c>
      <c r="F107" s="192" t="str">
        <f t="shared" si="16"/>
        <v>CVECN</v>
      </c>
      <c r="G107" s="192" t="str">
        <f t="shared" si="16"/>
        <v>CHK</v>
      </c>
      <c r="H107" s="192" t="str">
        <f t="shared" si="16"/>
        <v>XEC</v>
      </c>
      <c r="I107" s="192" t="str">
        <f t="shared" si="16"/>
        <v>COP</v>
      </c>
      <c r="J107" s="192" t="str">
        <f t="shared" si="16"/>
        <v>CLR</v>
      </c>
      <c r="K107" s="192" t="str">
        <f t="shared" si="16"/>
        <v>CXO</v>
      </c>
      <c r="L107" s="192" t="str">
        <f t="shared" si="16"/>
        <v>DVN</v>
      </c>
      <c r="M107" s="192" t="str">
        <f t="shared" si="16"/>
        <v>FANG</v>
      </c>
      <c r="N107" s="192" t="str">
        <f t="shared" si="16"/>
        <v>ECACN</v>
      </c>
      <c r="O107" s="192" t="str">
        <f t="shared" si="16"/>
        <v>EOG</v>
      </c>
      <c r="P107" s="192" t="str">
        <f t="shared" si="16"/>
        <v>EQT</v>
      </c>
      <c r="Q107" s="192" t="str">
        <f t="shared" si="16"/>
        <v>HES</v>
      </c>
      <c r="R107" s="192" t="str">
        <f t="shared" si="16"/>
        <v>MRO</v>
      </c>
      <c r="S107" s="192" t="str">
        <f t="shared" si="16"/>
        <v>MUR</v>
      </c>
      <c r="T107" s="192" t="str">
        <f t="shared" si="16"/>
        <v>NBL</v>
      </c>
      <c r="U107" s="192" t="str">
        <f t="shared" si="16"/>
        <v>OXY</v>
      </c>
      <c r="V107" s="192" t="str">
        <f t="shared" si="16"/>
        <v>PXD</v>
      </c>
      <c r="W107" s="227" t="str">
        <f t="shared" si="16"/>
        <v>SWN</v>
      </c>
    </row>
    <row r="108" spans="1:23">
      <c r="A108" s="266" t="s">
        <v>110</v>
      </c>
      <c r="B108" s="192">
        <f t="shared" ref="B108:W108" si="17">RANK(B36,$B$36:$W$36)</f>
        <v>8</v>
      </c>
      <c r="C108" s="192">
        <f t="shared" si="17"/>
        <v>21</v>
      </c>
      <c r="D108" s="192">
        <f t="shared" si="17"/>
        <v>15</v>
      </c>
      <c r="E108" s="192">
        <f t="shared" si="17"/>
        <v>6</v>
      </c>
      <c r="F108" s="192">
        <f t="shared" si="17"/>
        <v>5</v>
      </c>
      <c r="G108" s="192">
        <f t="shared" si="17"/>
        <v>22</v>
      </c>
      <c r="H108" s="192">
        <f t="shared" si="17"/>
        <v>17</v>
      </c>
      <c r="I108" s="192">
        <f t="shared" si="17"/>
        <v>1</v>
      </c>
      <c r="J108" s="192">
        <f t="shared" si="17"/>
        <v>9</v>
      </c>
      <c r="K108" s="192">
        <f t="shared" si="17"/>
        <v>10</v>
      </c>
      <c r="L108" s="192">
        <f t="shared" si="17"/>
        <v>16</v>
      </c>
      <c r="M108" s="192">
        <f t="shared" si="17"/>
        <v>2</v>
      </c>
      <c r="N108" s="192">
        <f t="shared" si="17"/>
        <v>12</v>
      </c>
      <c r="O108" s="192">
        <f t="shared" si="17"/>
        <v>3</v>
      </c>
      <c r="P108" s="192">
        <f t="shared" si="17"/>
        <v>20</v>
      </c>
      <c r="Q108" s="192">
        <f t="shared" si="17"/>
        <v>14</v>
      </c>
      <c r="R108" s="192">
        <f t="shared" si="17"/>
        <v>13</v>
      </c>
      <c r="S108" s="192">
        <f t="shared" si="17"/>
        <v>11</v>
      </c>
      <c r="T108" s="192">
        <f t="shared" si="17"/>
        <v>19</v>
      </c>
      <c r="U108" s="192">
        <f t="shared" si="17"/>
        <v>7</v>
      </c>
      <c r="V108" s="192">
        <f t="shared" si="17"/>
        <v>4</v>
      </c>
      <c r="W108" s="227">
        <f t="shared" si="17"/>
        <v>18</v>
      </c>
    </row>
    <row r="109" spans="1:23">
      <c r="A109" s="266"/>
      <c r="B109" s="192" t="str">
        <f>B107</f>
        <v>APC</v>
      </c>
      <c r="C109" s="192" t="str">
        <f>C107</f>
        <v>AR</v>
      </c>
      <c r="D109" s="192" t="str">
        <f t="shared" ref="D109:W109" si="18">D107</f>
        <v>APA</v>
      </c>
      <c r="E109" s="192" t="str">
        <f t="shared" si="18"/>
        <v>CNQCN</v>
      </c>
      <c r="F109" s="192" t="str">
        <f t="shared" si="18"/>
        <v>CVECN</v>
      </c>
      <c r="G109" s="192" t="str">
        <f t="shared" si="18"/>
        <v>CHK</v>
      </c>
      <c r="H109" s="192" t="str">
        <f t="shared" si="18"/>
        <v>XEC</v>
      </c>
      <c r="I109" s="192" t="str">
        <f t="shared" si="18"/>
        <v>COP</v>
      </c>
      <c r="J109" s="192" t="str">
        <f t="shared" si="18"/>
        <v>CLR</v>
      </c>
      <c r="K109" s="192" t="str">
        <f t="shared" si="18"/>
        <v>CXO</v>
      </c>
      <c r="L109" s="192" t="str">
        <f t="shared" si="18"/>
        <v>DVN</v>
      </c>
      <c r="M109" s="192" t="str">
        <f t="shared" si="18"/>
        <v>FANG</v>
      </c>
      <c r="N109" s="192" t="str">
        <f t="shared" si="18"/>
        <v>ECACN</v>
      </c>
      <c r="O109" s="192" t="str">
        <f t="shared" si="18"/>
        <v>EOG</v>
      </c>
      <c r="P109" s="192" t="str">
        <f t="shared" si="18"/>
        <v>EQT</v>
      </c>
      <c r="Q109" s="192" t="str">
        <f t="shared" si="18"/>
        <v>HES</v>
      </c>
      <c r="R109" s="192" t="str">
        <f t="shared" si="18"/>
        <v>MRO</v>
      </c>
      <c r="S109" s="192" t="str">
        <f t="shared" si="18"/>
        <v>MUR</v>
      </c>
      <c r="T109" s="192" t="str">
        <f t="shared" si="18"/>
        <v>NBL</v>
      </c>
      <c r="U109" s="192" t="str">
        <f t="shared" si="18"/>
        <v>OXY</v>
      </c>
      <c r="V109" s="192" t="str">
        <f t="shared" si="18"/>
        <v>PXD</v>
      </c>
      <c r="W109" s="227" t="str">
        <f t="shared" si="18"/>
        <v>SWN</v>
      </c>
    </row>
    <row r="110" spans="1:23">
      <c r="A110" s="266" t="s">
        <v>107</v>
      </c>
      <c r="B110" s="192">
        <f t="shared" ref="B110:W110" si="19">RANK(B38,$B$38:$W$38)</f>
        <v>11</v>
      </c>
      <c r="C110" s="192">
        <f t="shared" si="19"/>
        <v>21</v>
      </c>
      <c r="D110" s="192">
        <f t="shared" si="19"/>
        <v>17</v>
      </c>
      <c r="E110" s="192">
        <f t="shared" si="19"/>
        <v>6</v>
      </c>
      <c r="F110" s="192">
        <f t="shared" si="19"/>
        <v>10</v>
      </c>
      <c r="G110" s="192">
        <f t="shared" si="19"/>
        <v>22</v>
      </c>
      <c r="H110" s="192">
        <f t="shared" si="19"/>
        <v>8</v>
      </c>
      <c r="I110" s="192">
        <f t="shared" si="19"/>
        <v>3</v>
      </c>
      <c r="J110" s="192">
        <f t="shared" si="19"/>
        <v>9</v>
      </c>
      <c r="K110" s="192">
        <f t="shared" si="19"/>
        <v>5</v>
      </c>
      <c r="L110" s="192">
        <f t="shared" si="19"/>
        <v>16</v>
      </c>
      <c r="M110" s="192">
        <f t="shared" si="19"/>
        <v>4</v>
      </c>
      <c r="N110" s="192">
        <f t="shared" si="19"/>
        <v>14</v>
      </c>
      <c r="O110" s="192">
        <f t="shared" si="19"/>
        <v>1</v>
      </c>
      <c r="P110" s="192">
        <f t="shared" si="19"/>
        <v>18</v>
      </c>
      <c r="Q110" s="192">
        <f t="shared" si="19"/>
        <v>15</v>
      </c>
      <c r="R110" s="192">
        <f t="shared" si="19"/>
        <v>7</v>
      </c>
      <c r="S110" s="192">
        <f t="shared" si="19"/>
        <v>20</v>
      </c>
      <c r="T110" s="192">
        <f t="shared" si="19"/>
        <v>19</v>
      </c>
      <c r="U110" s="192">
        <f t="shared" si="19"/>
        <v>12</v>
      </c>
      <c r="V110" s="192">
        <f t="shared" si="19"/>
        <v>2</v>
      </c>
      <c r="W110" s="227">
        <f t="shared" si="19"/>
        <v>13</v>
      </c>
    </row>
    <row r="111" spans="1:23">
      <c r="A111" s="266"/>
      <c r="B111" s="192" t="str">
        <f>B109</f>
        <v>APC</v>
      </c>
      <c r="C111" s="192" t="str">
        <f>C109</f>
        <v>AR</v>
      </c>
      <c r="D111" s="192" t="str">
        <f t="shared" ref="D111:W111" si="20">D109</f>
        <v>APA</v>
      </c>
      <c r="E111" s="192" t="str">
        <f t="shared" si="20"/>
        <v>CNQCN</v>
      </c>
      <c r="F111" s="192" t="str">
        <f t="shared" si="20"/>
        <v>CVECN</v>
      </c>
      <c r="G111" s="192" t="str">
        <f t="shared" si="20"/>
        <v>CHK</v>
      </c>
      <c r="H111" s="192" t="str">
        <f t="shared" si="20"/>
        <v>XEC</v>
      </c>
      <c r="I111" s="192" t="str">
        <f t="shared" si="20"/>
        <v>COP</v>
      </c>
      <c r="J111" s="192" t="str">
        <f t="shared" si="20"/>
        <v>CLR</v>
      </c>
      <c r="K111" s="192" t="str">
        <f t="shared" si="20"/>
        <v>CXO</v>
      </c>
      <c r="L111" s="192" t="str">
        <f t="shared" si="20"/>
        <v>DVN</v>
      </c>
      <c r="M111" s="192" t="str">
        <f t="shared" si="20"/>
        <v>FANG</v>
      </c>
      <c r="N111" s="192" t="str">
        <f t="shared" si="20"/>
        <v>ECACN</v>
      </c>
      <c r="O111" s="192" t="str">
        <f t="shared" si="20"/>
        <v>EOG</v>
      </c>
      <c r="P111" s="192" t="str">
        <f t="shared" si="20"/>
        <v>EQT</v>
      </c>
      <c r="Q111" s="192" t="str">
        <f t="shared" si="20"/>
        <v>HES</v>
      </c>
      <c r="R111" s="192" t="str">
        <f t="shared" si="20"/>
        <v>MRO</v>
      </c>
      <c r="S111" s="192" t="str">
        <f t="shared" si="20"/>
        <v>MUR</v>
      </c>
      <c r="T111" s="192" t="str">
        <f t="shared" si="20"/>
        <v>NBL</v>
      </c>
      <c r="U111" s="192" t="str">
        <f t="shared" si="20"/>
        <v>OXY</v>
      </c>
      <c r="V111" s="192" t="str">
        <f t="shared" si="20"/>
        <v>PXD</v>
      </c>
      <c r="W111" s="227" t="str">
        <f t="shared" si="20"/>
        <v>SWN</v>
      </c>
    </row>
    <row r="112" spans="1:23" ht="15" thickBot="1">
      <c r="A112" s="267" t="s">
        <v>111</v>
      </c>
      <c r="B112" s="193">
        <f t="shared" ref="B112:W112" si="21">RANK(B35,$B$35:$W$35)</f>
        <v>6</v>
      </c>
      <c r="C112" s="193">
        <f t="shared" si="21"/>
        <v>22</v>
      </c>
      <c r="D112" s="193">
        <f t="shared" si="21"/>
        <v>14</v>
      </c>
      <c r="E112" s="193">
        <f t="shared" si="21"/>
        <v>10</v>
      </c>
      <c r="F112" s="193">
        <f t="shared" si="21"/>
        <v>12</v>
      </c>
      <c r="G112" s="193">
        <f t="shared" si="21"/>
        <v>19</v>
      </c>
      <c r="H112" s="193">
        <f t="shared" si="21"/>
        <v>18</v>
      </c>
      <c r="I112" s="193">
        <f t="shared" si="21"/>
        <v>1</v>
      </c>
      <c r="J112" s="193">
        <f t="shared" si="21"/>
        <v>5</v>
      </c>
      <c r="K112" s="193">
        <f t="shared" si="21"/>
        <v>8</v>
      </c>
      <c r="L112" s="193">
        <f t="shared" si="21"/>
        <v>17</v>
      </c>
      <c r="M112" s="193">
        <f t="shared" si="21"/>
        <v>2</v>
      </c>
      <c r="N112" s="193">
        <f t="shared" si="21"/>
        <v>15</v>
      </c>
      <c r="O112" s="193">
        <f t="shared" si="21"/>
        <v>3</v>
      </c>
      <c r="P112" s="193">
        <f t="shared" si="21"/>
        <v>20</v>
      </c>
      <c r="Q112" s="193">
        <f t="shared" si="21"/>
        <v>11</v>
      </c>
      <c r="R112" s="193">
        <f t="shared" si="21"/>
        <v>13</v>
      </c>
      <c r="S112" s="193">
        <f t="shared" si="21"/>
        <v>7</v>
      </c>
      <c r="T112" s="193">
        <f t="shared" si="21"/>
        <v>16</v>
      </c>
      <c r="U112" s="193">
        <f t="shared" si="21"/>
        <v>9</v>
      </c>
      <c r="V112" s="193">
        <f t="shared" si="21"/>
        <v>4</v>
      </c>
      <c r="W112" s="228">
        <f t="shared" si="21"/>
        <v>21</v>
      </c>
    </row>
    <row r="113" spans="1:23">
      <c r="A113" s="264"/>
      <c r="B113" s="190"/>
      <c r="C113" s="190"/>
      <c r="E113" s="190"/>
      <c r="F113" s="190"/>
      <c r="G113" s="190"/>
      <c r="H113" s="190"/>
      <c r="I113" s="190"/>
      <c r="J113" s="190"/>
      <c r="K113" s="190"/>
      <c r="L113" s="190"/>
      <c r="M113" s="190"/>
      <c r="N113" s="190"/>
      <c r="O113" s="190"/>
      <c r="P113" s="190"/>
      <c r="Q113" s="190"/>
      <c r="R113" s="190"/>
      <c r="S113" s="190"/>
      <c r="T113" s="190"/>
      <c r="U113" s="190"/>
      <c r="V113" s="190"/>
      <c r="W113" s="190"/>
    </row>
    <row r="114" spans="1:23">
      <c r="A114" s="264"/>
      <c r="B114" s="190"/>
      <c r="C114" s="190"/>
      <c r="E114" s="190"/>
      <c r="F114" s="190"/>
      <c r="G114" s="190"/>
      <c r="H114" s="190"/>
      <c r="I114" s="190"/>
      <c r="J114" s="190"/>
      <c r="K114" s="190"/>
      <c r="L114" s="190"/>
      <c r="M114" s="190"/>
      <c r="N114" s="190"/>
      <c r="O114" s="190"/>
      <c r="P114" s="190"/>
      <c r="Q114" s="190"/>
      <c r="R114" s="190"/>
      <c r="S114" s="190"/>
      <c r="T114" s="190"/>
      <c r="U114" s="190"/>
      <c r="V114" s="190"/>
      <c r="W114" s="190"/>
    </row>
    <row r="115" spans="1:23">
      <c r="A115" s="264"/>
      <c r="B115" s="190"/>
      <c r="C115" s="190"/>
      <c r="E115" s="190"/>
      <c r="F115" s="190"/>
      <c r="G115" s="190"/>
      <c r="H115" s="190"/>
      <c r="I115" s="190"/>
      <c r="J115" s="190"/>
      <c r="K115" s="190"/>
      <c r="L115" s="190"/>
      <c r="M115" s="190"/>
      <c r="N115" s="190"/>
      <c r="O115" s="190"/>
      <c r="P115" s="190"/>
      <c r="Q115" s="190"/>
      <c r="R115" s="190"/>
      <c r="S115" s="190"/>
      <c r="T115" s="190"/>
      <c r="U115" s="190"/>
      <c r="V115" s="190"/>
      <c r="W115" s="190"/>
    </row>
    <row r="116" spans="1:23">
      <c r="A116" s="264" t="s">
        <v>130</v>
      </c>
      <c r="B116" s="194">
        <f>B16-'4Q18 Actual'!B15</f>
        <v>43.362843302000293</v>
      </c>
      <c r="C116" s="194">
        <f>C16-'4Q18 Actual'!C15</f>
        <v>18.483548387096771</v>
      </c>
      <c r="D116" s="194">
        <f>D16-'4Q18 Actual'!C15</f>
        <v>37.76040399631286</v>
      </c>
      <c r="E116" s="194">
        <f>E16-'4Q18 Actual'!D15</f>
        <v>47.054563163133587</v>
      </c>
      <c r="F116" s="194">
        <f>F16-'4Q18 Actual'!E15</f>
        <v>44.603127581126614</v>
      </c>
      <c r="G116" s="194">
        <f>G16-'4Q18 Actual'!F15</f>
        <v>28.342162461757081</v>
      </c>
      <c r="H116" s="194">
        <f>H16-'4Q18 Actual'!F15</f>
        <v>23.739665944361569</v>
      </c>
      <c r="I116" s="194">
        <f>I16-'4Q18 Actual'!G15</f>
        <v>47.24733936338766</v>
      </c>
      <c r="J116" s="194">
        <f>J16-'4Q18 Actual'!H15</f>
        <v>39.328218070325427</v>
      </c>
      <c r="K116" s="194">
        <f>K16-'4Q18 Actual'!I15</f>
        <v>35.403548387096777</v>
      </c>
      <c r="L116" s="194">
        <f>L16-'4Q18 Actual'!J15</f>
        <v>27.66661861415065</v>
      </c>
      <c r="M116" s="194">
        <f>M16-'4Q18 Actual'!K15</f>
        <v>40.143548387096772</v>
      </c>
      <c r="N116" s="194">
        <f>N16-'4Q18 Actual'!K15</f>
        <v>30.473548387096773</v>
      </c>
      <c r="O116" s="194">
        <f>O16-'4Q18 Actual'!L15</f>
        <v>41.252367717372792</v>
      </c>
      <c r="P116" s="194">
        <f>P16-'4Q18 Actual'!N15</f>
        <v>15.7520726375365</v>
      </c>
      <c r="Q116" s="194">
        <f>Q16-'4Q18 Actual'!N15</f>
        <v>43.796561462707899</v>
      </c>
      <c r="R116" s="194">
        <f>R16-'4Q18 Actual'!O15</f>
        <v>35.027937212285295</v>
      </c>
      <c r="S116" s="194">
        <f>S16-'4Q18 Actual'!P15</f>
        <v>41.722817903295351</v>
      </c>
      <c r="T116" s="194">
        <f>T16-'4Q18 Actual'!Q15</f>
        <v>29.035374738650528</v>
      </c>
      <c r="U116" s="194">
        <f>U16-'4Q18 Actual'!R15</f>
        <v>42.790348240641428</v>
      </c>
      <c r="V116" s="194">
        <f>V16-'4Q18 Actual'!S15</f>
        <v>40.644585839813438</v>
      </c>
      <c r="W116" s="194">
        <f>W16-'4Q18 Actual'!T15</f>
        <v>12.783763170063541</v>
      </c>
    </row>
    <row r="117" spans="1:23">
      <c r="A117" s="264" t="s">
        <v>132</v>
      </c>
      <c r="B117" s="194">
        <f>B29-'4Q18 Actual'!B28</f>
        <v>2.5445765444914787</v>
      </c>
      <c r="C117" s="194">
        <f>C29-'4Q18 Actual'!C28</f>
        <v>1.1073956740042785</v>
      </c>
      <c r="D117" s="194">
        <f>D29-'4Q18 Actual'!C28</f>
        <v>4.4594591774860959</v>
      </c>
      <c r="E117" s="194">
        <f>E29-'4Q18 Actual'!D28</f>
        <v>9.8223707528193813</v>
      </c>
      <c r="F117" s="194">
        <f>F29-'4Q18 Actual'!E28</f>
        <v>4.39670818732192</v>
      </c>
      <c r="G117" s="194">
        <f>G29-'4Q18 Actual'!F28</f>
        <v>3.7782993175451054</v>
      </c>
      <c r="H117" s="194">
        <f>H29-'4Q18 Actual'!F28</f>
        <v>-2.2097836806210651</v>
      </c>
      <c r="I117" s="194">
        <f>I29-'4Q18 Actual'!G28</f>
        <v>1.613917283368826</v>
      </c>
      <c r="J117" s="194">
        <f>J29-'4Q18 Actual'!H28</f>
        <v>3.6733327642183209</v>
      </c>
      <c r="K117" s="194">
        <f>K29-'4Q18 Actual'!I28</f>
        <v>-1.4436367764168772</v>
      </c>
      <c r="L117" s="194">
        <f>L29-'4Q18 Actual'!J28</f>
        <v>4.4774999526403985</v>
      </c>
      <c r="M117" s="194">
        <f>M29-'4Q18 Actual'!K28</f>
        <v>-2.4360990605429986</v>
      </c>
      <c r="N117" s="194">
        <f>N29-'4Q18 Actual'!K28</f>
        <v>1.9315367551814759</v>
      </c>
      <c r="O117" s="194">
        <f>O29-'4Q18 Actual'!L28</f>
        <v>-1.0979215071987216</v>
      </c>
      <c r="P117" s="194">
        <f>P29-'4Q18 Actual'!N28</f>
        <v>0.27701167468665311</v>
      </c>
      <c r="Q117" s="194">
        <f>Q29-'4Q18 Actual'!N28</f>
        <v>11.755915324016517</v>
      </c>
      <c r="R117" s="194">
        <f>R29-'4Q18 Actual'!O28</f>
        <v>1.2108575322677737</v>
      </c>
      <c r="S117" s="194">
        <f>S29-'4Q18 Actual'!P28</f>
        <v>8.1974399486514091</v>
      </c>
      <c r="T117" s="194">
        <f>T29-'4Q18 Actual'!Q28</f>
        <v>-4.8167271050036113</v>
      </c>
      <c r="U117" s="194">
        <f>U29-'4Q18 Actual'!R28</f>
        <v>4.2659094216200941</v>
      </c>
      <c r="V117" s="194">
        <f>V29-'4Q18 Actual'!S28</f>
        <v>1.9250036673110476</v>
      </c>
      <c r="W117" s="194">
        <f>W29-'4Q18 Actual'!T28</f>
        <v>-5.3987319090504364</v>
      </c>
    </row>
    <row r="118" spans="1:23">
      <c r="A118" s="264" t="s">
        <v>129</v>
      </c>
      <c r="B118" s="195">
        <f>B49-'4Q18 Actual'!B48</f>
        <v>-633.67483333333337</v>
      </c>
      <c r="C118" s="195">
        <f>C49-'4Q18 Actual'!C48</f>
        <v>-486.47286899999995</v>
      </c>
      <c r="D118" s="195">
        <f>D49-'4Q18 Actual'!C48</f>
        <v>-496.1556026666666</v>
      </c>
      <c r="E118" s="195">
        <f>E49-'4Q18 Actual'!D48</f>
        <v>-364.87511433333333</v>
      </c>
      <c r="F118" s="195">
        <f>F49-'4Q18 Actual'!E48</f>
        <v>-1041.0095099999999</v>
      </c>
      <c r="G118" s="195">
        <f>G49-'4Q18 Actual'!F48</f>
        <v>-387.60750000000002</v>
      </c>
      <c r="H118" s="195">
        <f>H49-'4Q18 Actual'!F48</f>
        <v>-407.755628</v>
      </c>
      <c r="I118" s="195">
        <f>I49-'4Q18 Actual'!G48</f>
        <v>-297.92433333333338</v>
      </c>
      <c r="J118" s="195">
        <f>J49-'4Q18 Actual'!H48</f>
        <v>-221.10131083333332</v>
      </c>
      <c r="K118" s="195">
        <f>K49-'4Q18 Actual'!I48</f>
        <v>-1142.9233471666666</v>
      </c>
      <c r="L118" s="195">
        <f>L49-'4Q18 Actual'!J48</f>
        <v>-285.47766666666666</v>
      </c>
      <c r="M118" s="195">
        <f>M49-'4Q18 Actual'!K48</f>
        <v>-281.58325466666668</v>
      </c>
      <c r="N118" s="195">
        <f>N49-'4Q18 Actual'!K48</f>
        <v>-253.23966666666666</v>
      </c>
      <c r="O118" s="195">
        <f>O49-'4Q18 Actual'!L48</f>
        <v>-446.8685333333334</v>
      </c>
      <c r="P118" s="195">
        <f>P49-'4Q18 Actual'!N48</f>
        <v>-341.84716666666662</v>
      </c>
      <c r="Q118" s="195">
        <f>Q49-'4Q18 Actual'!N48</f>
        <v>-376.85516666666661</v>
      </c>
      <c r="R118" s="195">
        <f>R49-'4Q18 Actual'!O48</f>
        <v>-724.57233333333329</v>
      </c>
      <c r="S118" s="195">
        <f>S49-'4Q18 Actual'!P48</f>
        <v>-698.04727592028985</v>
      </c>
      <c r="T118" s="195">
        <f>T49-'4Q18 Actual'!Q48</f>
        <v>-257.1198333333333</v>
      </c>
      <c r="U118" s="195">
        <f>U49-'4Q18 Actual'!R48</f>
        <v>-345.40233333333339</v>
      </c>
      <c r="V118" s="195">
        <f>V49-'4Q18 Actual'!S48</f>
        <v>-150.92388183333333</v>
      </c>
      <c r="W118" s="195">
        <f>W49-'4Q18 Actual'!T48</f>
        <v>-319.89933333333335</v>
      </c>
    </row>
    <row r="119" spans="1:23">
      <c r="A119" s="264"/>
      <c r="B119" s="190"/>
      <c r="C119" s="190"/>
      <c r="E119" s="190"/>
      <c r="F119" s="190"/>
      <c r="G119" s="190"/>
      <c r="H119" s="190"/>
      <c r="I119" s="190"/>
      <c r="J119" s="190"/>
      <c r="K119" s="190"/>
      <c r="L119" s="190"/>
      <c r="M119" s="190"/>
      <c r="N119" s="190"/>
      <c r="O119" s="190"/>
      <c r="P119" s="190"/>
      <c r="Q119" s="190"/>
      <c r="R119" s="190"/>
      <c r="S119" s="190"/>
      <c r="T119" s="190"/>
      <c r="U119" s="190"/>
      <c r="V119" s="190"/>
      <c r="W119" s="190"/>
    </row>
    <row r="120" spans="1:23">
      <c r="A120" s="264"/>
      <c r="B120" s="190"/>
      <c r="C120" s="190"/>
      <c r="E120" s="190"/>
      <c r="F120" s="190"/>
      <c r="G120" s="190"/>
      <c r="H120" s="190"/>
      <c r="I120" s="190"/>
      <c r="J120" s="190"/>
      <c r="K120" s="190"/>
      <c r="L120" s="190"/>
      <c r="M120" s="190"/>
      <c r="N120" s="190"/>
      <c r="O120" s="190"/>
      <c r="P120" s="190"/>
      <c r="Q120" s="190"/>
      <c r="R120" s="190"/>
      <c r="S120" s="190"/>
      <c r="T120" s="190"/>
      <c r="U120" s="190"/>
      <c r="V120" s="190"/>
      <c r="W120" s="190"/>
    </row>
    <row r="202" spans="2:21" ht="14.25" hidden="1" customHeight="1">
      <c r="O202" s="2" t="s">
        <v>58</v>
      </c>
    </row>
    <row r="203" spans="2:21" ht="14.25" hidden="1" customHeight="1">
      <c r="O203" s="2" t="s">
        <v>54</v>
      </c>
      <c r="Q203" s="2">
        <v>52.63</v>
      </c>
      <c r="R203" s="2">
        <v>176</v>
      </c>
      <c r="U203" s="2">
        <f>+R203*Q203</f>
        <v>9262.880000000001</v>
      </c>
    </row>
    <row r="204" spans="2:21" ht="14.25" hidden="1" customHeight="1">
      <c r="E204" s="2" t="s">
        <v>72</v>
      </c>
      <c r="F204" s="2" t="s">
        <v>73</v>
      </c>
      <c r="O204" s="2" t="s">
        <v>55</v>
      </c>
      <c r="Q204" s="2">
        <v>14.77</v>
      </c>
      <c r="R204" s="2">
        <v>37</v>
      </c>
      <c r="U204" s="2">
        <f>+R204*Q204</f>
        <v>546.49</v>
      </c>
    </row>
    <row r="205" spans="2:21" ht="14.25" hidden="1" customHeight="1">
      <c r="B205" s="2" t="s">
        <v>61</v>
      </c>
      <c r="D205" s="190">
        <v>95.057000000000002</v>
      </c>
      <c r="E205" s="2">
        <f>73.05</f>
        <v>73.05</v>
      </c>
      <c r="H205" s="2">
        <f>+E205*D205</f>
        <v>6943.9138499999999</v>
      </c>
      <c r="O205" s="2" t="s">
        <v>59</v>
      </c>
      <c r="Q205" s="2">
        <v>2.76</v>
      </c>
      <c r="R205" s="2">
        <v>361</v>
      </c>
      <c r="T205" s="2">
        <f>+R205/6</f>
        <v>60.166666666666664</v>
      </c>
      <c r="U205" s="2">
        <f>+R205*Q205</f>
        <v>996.3599999999999</v>
      </c>
    </row>
    <row r="206" spans="2:21" ht="14.25" hidden="1" customHeight="1">
      <c r="B206" s="2" t="s">
        <v>71</v>
      </c>
      <c r="D206" s="190">
        <f>458.144-D205</f>
        <v>363.08699999999999</v>
      </c>
      <c r="E206" s="2">
        <f>53.09</f>
        <v>53.09</v>
      </c>
      <c r="H206" s="2">
        <f>+E206*D206</f>
        <v>19276.288830000001</v>
      </c>
      <c r="I206" s="2">
        <f>+SUM(H205:H206)/(D205+D206)</f>
        <v>57.231356691345958</v>
      </c>
    </row>
    <row r="207" spans="2:21" ht="14.25" hidden="1" customHeight="1">
      <c r="O207" s="2" t="s">
        <v>60</v>
      </c>
    </row>
    <row r="208" spans="2:21" ht="14.25" hidden="1" customHeight="1">
      <c r="O208" s="2" t="s">
        <v>54</v>
      </c>
      <c r="Q208" s="2">
        <v>56.7</v>
      </c>
      <c r="R208" s="2">
        <v>33</v>
      </c>
      <c r="U208" s="2">
        <f>+R208*Q208</f>
        <v>1871.1000000000001</v>
      </c>
    </row>
    <row r="209" spans="5:21" ht="14.25" hidden="1" customHeight="1">
      <c r="E209" s="2">
        <v>608</v>
      </c>
      <c r="F209" s="2">
        <v>58</v>
      </c>
      <c r="O209" s="2" t="s">
        <v>55</v>
      </c>
      <c r="Q209" s="2">
        <v>3.1</v>
      </c>
      <c r="R209" s="2">
        <v>9</v>
      </c>
      <c r="U209" s="2">
        <f>+R209*Q209</f>
        <v>27.900000000000002</v>
      </c>
    </row>
    <row r="210" spans="5:21" ht="14.25" hidden="1" customHeight="1">
      <c r="E210" s="2">
        <v>138</v>
      </c>
      <c r="F210" s="2">
        <v>33.299999999999997</v>
      </c>
      <c r="O210" s="2" t="s">
        <v>59</v>
      </c>
      <c r="Q210" s="2">
        <v>0.78</v>
      </c>
      <c r="R210" s="2">
        <v>396</v>
      </c>
      <c r="T210" s="2">
        <f>+R210/6</f>
        <v>66</v>
      </c>
      <c r="U210" s="2">
        <f>+R210*Q210</f>
        <v>308.88</v>
      </c>
    </row>
    <row r="211" spans="5:21" ht="14.25" hidden="1" customHeight="1">
      <c r="F211" s="2">
        <f>+SUMPRODUCT(E209:E210,F209:F210)/SUM(E209:E210)</f>
        <v>53.430831099195714</v>
      </c>
    </row>
    <row r="212" spans="5:21" ht="14.25" hidden="1" customHeight="1">
      <c r="O212" s="2" t="s">
        <v>61</v>
      </c>
    </row>
    <row r="213" spans="5:21" ht="14.25" hidden="1" customHeight="1">
      <c r="O213" s="2" t="s">
        <v>54</v>
      </c>
      <c r="Q213" s="2">
        <v>52.46</v>
      </c>
      <c r="R213" s="2">
        <v>29</v>
      </c>
      <c r="U213" s="2">
        <f>+R213*Q213</f>
        <v>1521.34</v>
      </c>
    </row>
  </sheetData>
  <pageMargins left="0.7" right="0.24" top="0.75" bottom="0.75" header="0.3" footer="0.3"/>
  <pageSetup orientation="portrait" r:id="rId1"/>
  <headerFooter>
    <oddFooter>&amp;C&amp;"Expert Sans Regular,Regular"&amp;10&amp;K000000 Restricted - External_x000D_&amp;1#&amp;"Calibri"&amp;10 Restricted - External</oddFooter>
    <evenFooter>&amp;C&amp;"Expert Sans Regular,Regular"&amp;10&amp;K000000 Restricted - External</evenFooter>
    <firstFooter>&amp;C&amp;"Expert Sans Regular,Regular"&amp;10&amp;K000000 Restricted - External</first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13"/>
  <sheetViews>
    <sheetView showGridLines="0" zoomScale="80" zoomScaleNormal="80" workbookViewId="0">
      <selection activeCell="P22" sqref="P22"/>
    </sheetView>
  </sheetViews>
  <sheetFormatPr defaultRowHeight="14.25"/>
  <cols>
    <col min="1" max="1" width="20.5" style="1" customWidth="1"/>
    <col min="2" max="2" width="9.25" style="2" customWidth="1"/>
    <col min="3" max="3" width="11.875" style="2" customWidth="1"/>
    <col min="4" max="4" width="9.25" style="190" customWidth="1"/>
    <col min="5" max="8" width="9.25" style="2" customWidth="1"/>
    <col min="9" max="9" width="10.25" style="2" customWidth="1"/>
    <col min="10" max="12" width="9.25" style="2" customWidth="1"/>
    <col min="13" max="13" width="10.25" style="2" customWidth="1"/>
    <col min="14" max="19" width="9.25" style="2" customWidth="1"/>
    <col min="20" max="20" width="15.75" style="2" customWidth="1"/>
    <col min="21" max="23" width="9.25" style="2" customWidth="1"/>
    <col min="24" max="25" width="11.5" style="1" customWidth="1"/>
    <col min="26" max="26" width="10.75" style="1" bestFit="1" customWidth="1"/>
    <col min="27" max="16384" width="9" style="1"/>
  </cols>
  <sheetData>
    <row r="1" spans="1:25" s="9" customFormat="1" ht="15" thickBot="1">
      <c r="A1" s="230" t="str">
        <f>$B$1&amp;" Benchmarks"</f>
        <v>1Q19 Benchmarks</v>
      </c>
      <c r="B1" s="229" t="s">
        <v>221</v>
      </c>
      <c r="D1" s="183" t="str">
        <f>"Days in "&amp;$B$1</f>
        <v>Days in 1Q19</v>
      </c>
      <c r="E1" s="8"/>
      <c r="F1" s="8"/>
      <c r="G1" s="8"/>
      <c r="H1" s="8"/>
      <c r="I1" s="8"/>
      <c r="J1" s="8"/>
      <c r="K1" s="8"/>
      <c r="L1" s="8"/>
      <c r="M1" s="8"/>
      <c r="N1" s="8"/>
      <c r="O1" s="8"/>
      <c r="P1" s="8"/>
      <c r="Q1" s="19"/>
      <c r="R1" s="8"/>
      <c r="S1" s="8"/>
      <c r="T1" s="8"/>
      <c r="U1" s="8"/>
      <c r="V1" s="8"/>
      <c r="W1" s="8"/>
    </row>
    <row r="2" spans="1:25" s="9" customFormat="1" ht="15" thickBot="1">
      <c r="A2" s="230" t="s">
        <v>1</v>
      </c>
      <c r="B2" s="10">
        <v>54.874918032786894</v>
      </c>
      <c r="D2" s="198">
        <f>31+28+31</f>
        <v>90</v>
      </c>
      <c r="E2" s="8"/>
      <c r="F2" s="8"/>
      <c r="G2" s="8"/>
      <c r="H2" s="8"/>
      <c r="I2" s="8"/>
      <c r="J2" s="8"/>
      <c r="K2" s="8"/>
      <c r="L2" s="8"/>
      <c r="M2" s="8"/>
      <c r="N2" s="8"/>
      <c r="O2" s="8"/>
      <c r="P2" s="8"/>
      <c r="Q2" s="19"/>
      <c r="R2" s="8"/>
      <c r="S2" s="8"/>
      <c r="T2" s="8"/>
      <c r="U2" s="8"/>
      <c r="V2" s="8"/>
      <c r="W2" s="8"/>
    </row>
    <row r="3" spans="1:25" s="9" customFormat="1">
      <c r="A3" s="230" t="s">
        <v>0</v>
      </c>
      <c r="B3" s="10">
        <v>26.118673076923088</v>
      </c>
      <c r="C3" s="10"/>
      <c r="D3" s="8"/>
      <c r="E3" s="8"/>
      <c r="F3" s="8"/>
      <c r="G3" s="8"/>
      <c r="H3" s="8"/>
      <c r="I3" s="8"/>
      <c r="J3" s="8"/>
      <c r="K3" s="8"/>
      <c r="L3" s="135"/>
      <c r="M3" s="135"/>
      <c r="N3" s="8"/>
      <c r="O3" s="8"/>
      <c r="P3" s="8"/>
      <c r="Q3" s="19"/>
      <c r="R3" s="8"/>
      <c r="S3" s="8"/>
      <c r="T3" s="8"/>
      <c r="U3" s="8"/>
      <c r="V3" s="8"/>
      <c r="W3" s="8"/>
    </row>
    <row r="4" spans="1:25" s="9" customFormat="1">
      <c r="A4" s="230" t="s">
        <v>2</v>
      </c>
      <c r="B4" s="10">
        <v>2.9236440677966113</v>
      </c>
      <c r="C4" s="10"/>
      <c r="D4" s="8"/>
      <c r="E4" s="8"/>
      <c r="F4" s="8"/>
      <c r="G4" s="8"/>
      <c r="H4" s="8"/>
      <c r="I4" s="8"/>
      <c r="J4" s="135"/>
      <c r="K4" s="8"/>
      <c r="L4" s="8"/>
      <c r="M4" s="8"/>
      <c r="N4" s="8"/>
      <c r="O4" s="8"/>
      <c r="P4" s="8"/>
      <c r="Q4" s="197"/>
      <c r="R4" s="8"/>
      <c r="S4" s="8"/>
      <c r="T4" s="8"/>
      <c r="U4" s="8"/>
      <c r="V4" s="8"/>
      <c r="W4" s="8"/>
    </row>
    <row r="5" spans="1:25" s="9" customFormat="1">
      <c r="A5" s="230" t="s">
        <v>205</v>
      </c>
      <c r="B5" s="10">
        <v>1.3295828125000002</v>
      </c>
      <c r="C5" s="10"/>
      <c r="D5" s="8"/>
      <c r="E5" s="8"/>
      <c r="F5" s="8"/>
      <c r="G5" s="8"/>
      <c r="H5" s="8"/>
      <c r="I5" s="8"/>
      <c r="J5" s="135"/>
      <c r="K5" s="8"/>
      <c r="L5" s="8"/>
      <c r="M5" s="8"/>
      <c r="N5" s="8"/>
      <c r="O5" s="8"/>
      <c r="P5" s="8"/>
      <c r="Q5" s="19"/>
      <c r="R5" s="8"/>
      <c r="S5" s="8"/>
      <c r="T5" s="8"/>
      <c r="U5" s="8"/>
      <c r="V5" s="8"/>
      <c r="W5" s="8"/>
    </row>
    <row r="6" spans="1:25" s="9" customFormat="1" ht="38.25" customHeight="1" thickBot="1">
      <c r="A6" s="230"/>
      <c r="B6" s="8"/>
      <c r="C6" s="181"/>
      <c r="D6" s="8"/>
      <c r="E6" s="8"/>
      <c r="F6" s="8"/>
      <c r="G6" s="8"/>
      <c r="H6" s="8"/>
      <c r="I6" s="8"/>
      <c r="J6" s="175"/>
      <c r="K6" s="175"/>
      <c r="L6" s="175"/>
      <c r="M6" s="175"/>
      <c r="N6" s="181"/>
      <c r="O6" s="175"/>
      <c r="P6" s="175"/>
      <c r="Q6" s="176"/>
      <c r="R6" s="175"/>
      <c r="S6" s="175"/>
      <c r="T6" s="175"/>
      <c r="U6" s="181"/>
      <c r="V6" s="181"/>
      <c r="W6" s="175"/>
      <c r="X6" s="177"/>
      <c r="Y6" s="177"/>
    </row>
    <row r="7" spans="1:25" ht="26.25" thickBot="1">
      <c r="A7" s="173" t="s">
        <v>15</v>
      </c>
      <c r="B7" s="229" t="s">
        <v>17</v>
      </c>
      <c r="C7" s="229" t="s">
        <v>189</v>
      </c>
      <c r="D7" s="229" t="s">
        <v>18</v>
      </c>
      <c r="E7" s="229" t="s">
        <v>19</v>
      </c>
      <c r="F7" s="229" t="s">
        <v>21</v>
      </c>
      <c r="G7" s="229" t="s">
        <v>191</v>
      </c>
      <c r="H7" s="229" t="s">
        <v>22</v>
      </c>
      <c r="I7" s="229" t="s">
        <v>20</v>
      </c>
      <c r="J7" s="229" t="s">
        <v>23</v>
      </c>
      <c r="K7" s="229" t="s">
        <v>139</v>
      </c>
      <c r="L7" s="229" t="s">
        <v>24</v>
      </c>
      <c r="M7" s="253" t="s">
        <v>227</v>
      </c>
      <c r="N7" s="229" t="s">
        <v>25</v>
      </c>
      <c r="O7" s="229" t="s">
        <v>26</v>
      </c>
      <c r="P7" s="229" t="s">
        <v>187</v>
      </c>
      <c r="Q7" s="229" t="s">
        <v>27</v>
      </c>
      <c r="R7" s="229" t="s">
        <v>28</v>
      </c>
      <c r="S7" s="229" t="s">
        <v>193</v>
      </c>
      <c r="T7" s="229" t="s">
        <v>29</v>
      </c>
      <c r="U7" s="229" t="s">
        <v>30</v>
      </c>
      <c r="V7" s="229" t="s">
        <v>31</v>
      </c>
      <c r="W7" s="229" t="s">
        <v>32</v>
      </c>
    </row>
    <row r="8" spans="1:25" ht="18" customHeight="1" thickBot="1">
      <c r="A8" s="178" t="s">
        <v>16</v>
      </c>
      <c r="B8" s="179" t="s">
        <v>33</v>
      </c>
      <c r="C8" s="179" t="s">
        <v>190</v>
      </c>
      <c r="D8" s="179" t="s">
        <v>34</v>
      </c>
      <c r="E8" s="179" t="s">
        <v>35</v>
      </c>
      <c r="F8" s="179" t="s">
        <v>37</v>
      </c>
      <c r="G8" s="179" t="s">
        <v>192</v>
      </c>
      <c r="H8" s="179" t="s">
        <v>38</v>
      </c>
      <c r="I8" s="179" t="s">
        <v>36</v>
      </c>
      <c r="J8" s="179" t="s">
        <v>39</v>
      </c>
      <c r="K8" s="179" t="s">
        <v>140</v>
      </c>
      <c r="L8" s="179" t="s">
        <v>40</v>
      </c>
      <c r="M8" s="179" t="s">
        <v>226</v>
      </c>
      <c r="N8" s="179" t="s">
        <v>41</v>
      </c>
      <c r="O8" s="179" t="s">
        <v>42</v>
      </c>
      <c r="P8" s="179" t="s">
        <v>188</v>
      </c>
      <c r="Q8" s="179" t="s">
        <v>43</v>
      </c>
      <c r="R8" s="179" t="s">
        <v>44</v>
      </c>
      <c r="S8" s="179" t="s">
        <v>194</v>
      </c>
      <c r="T8" s="179" t="s">
        <v>45</v>
      </c>
      <c r="U8" s="179" t="s">
        <v>46</v>
      </c>
      <c r="V8" s="179" t="s">
        <v>47</v>
      </c>
      <c r="W8" s="179" t="s">
        <v>48</v>
      </c>
    </row>
    <row r="9" spans="1:25" s="9" customFormat="1">
      <c r="A9" s="214"/>
      <c r="B9" s="186"/>
      <c r="C9" s="186"/>
      <c r="D9" s="186"/>
      <c r="E9" s="186"/>
      <c r="F9" s="186"/>
      <c r="G9" s="186"/>
      <c r="H9" s="186"/>
      <c r="I9" s="186"/>
      <c r="J9" s="186"/>
      <c r="K9" s="186"/>
      <c r="L9" s="186"/>
      <c r="M9" s="186"/>
      <c r="N9" s="186"/>
      <c r="O9" s="186"/>
      <c r="P9" s="186"/>
      <c r="Q9" s="186"/>
      <c r="R9" s="186"/>
      <c r="S9" s="186"/>
      <c r="T9" s="186"/>
      <c r="U9" s="186"/>
      <c r="V9" s="186"/>
      <c r="W9" s="186"/>
    </row>
    <row r="10" spans="1:25" s="238" customFormat="1">
      <c r="A10" s="237" t="s">
        <v>50</v>
      </c>
      <c r="B10" s="182">
        <v>56.51</v>
      </c>
      <c r="C10" s="182">
        <v>47.23</v>
      </c>
      <c r="D10" s="182">
        <v>57.7</v>
      </c>
      <c r="E10" s="182">
        <f>+E79/E62</f>
        <v>49.804497868904491</v>
      </c>
      <c r="F10" s="182">
        <f>49.67/E62</f>
        <v>37.357582794415066</v>
      </c>
      <c r="G10" s="182">
        <f>566/((G45*$D$2)/1000)</f>
        <v>57.696228338430167</v>
      </c>
      <c r="H10" s="182">
        <v>48.87</v>
      </c>
      <c r="I10" s="182">
        <f>+((59.45*703)+(33.15*71))/I45</f>
        <v>57.633159268929504</v>
      </c>
      <c r="J10" s="182">
        <f>911.118/(J45*$D$2/1000)</f>
        <v>52.204420012960604</v>
      </c>
      <c r="K10" s="182">
        <v>49.39</v>
      </c>
      <c r="L10" s="182">
        <v>44.2</v>
      </c>
      <c r="M10" s="74">
        <v>46.12</v>
      </c>
      <c r="N10" s="182">
        <v>54.57</v>
      </c>
      <c r="O10" s="182">
        <v>56.09</v>
      </c>
      <c r="P10" s="182">
        <v>38.67</v>
      </c>
      <c r="Q10" s="182">
        <v>54.84</v>
      </c>
      <c r="R10" s="182">
        <f>(54.05*177+53.93*23)/R$45</f>
        <v>54.036200000000001</v>
      </c>
      <c r="S10" s="182">
        <f>+S89</f>
        <v>55.948235317226484</v>
      </c>
      <c r="T10" s="182">
        <f>+T70</f>
        <v>54.23896825396826</v>
      </c>
      <c r="U10" s="182">
        <v>52.62</v>
      </c>
      <c r="V10" s="182">
        <v>49.38</v>
      </c>
      <c r="W10" s="182">
        <v>45.48</v>
      </c>
    </row>
    <row r="11" spans="1:25" s="238" customFormat="1">
      <c r="A11" s="237" t="s">
        <v>3</v>
      </c>
      <c r="B11" s="182">
        <f t="shared" ref="B11:W11" si="0">+B10-$B$2</f>
        <v>1.6350819672131038</v>
      </c>
      <c r="C11" s="182">
        <f t="shared" si="0"/>
        <v>-7.6449180327868973</v>
      </c>
      <c r="D11" s="182">
        <f t="shared" si="0"/>
        <v>2.8250819672131087</v>
      </c>
      <c r="E11" s="182">
        <f t="shared" si="0"/>
        <v>-5.0704201638824031</v>
      </c>
      <c r="F11" s="182">
        <f t="shared" si="0"/>
        <v>-17.517335238371828</v>
      </c>
      <c r="G11" s="182">
        <f t="shared" si="0"/>
        <v>2.8213103056432729</v>
      </c>
      <c r="H11" s="182">
        <f t="shared" si="0"/>
        <v>-6.0049180327868967</v>
      </c>
      <c r="I11" s="182">
        <f t="shared" si="0"/>
        <v>2.7582412361426094</v>
      </c>
      <c r="J11" s="182">
        <f t="shared" si="0"/>
        <v>-2.6704980198262902</v>
      </c>
      <c r="K11" s="182">
        <f t="shared" si="0"/>
        <v>-5.4849180327868936</v>
      </c>
      <c r="L11" s="182">
        <f t="shared" si="0"/>
        <v>-10.674918032786891</v>
      </c>
      <c r="M11" s="74">
        <f t="shared" si="0"/>
        <v>-8.7549180327868967</v>
      </c>
      <c r="N11" s="182">
        <f t="shared" si="0"/>
        <v>-0.30491803278689389</v>
      </c>
      <c r="O11" s="182">
        <f t="shared" si="0"/>
        <v>1.2150819672131092</v>
      </c>
      <c r="P11" s="182">
        <f t="shared" si="0"/>
        <v>-16.204918032786892</v>
      </c>
      <c r="Q11" s="182">
        <f t="shared" si="0"/>
        <v>-3.4918032786890763E-2</v>
      </c>
      <c r="R11" s="182">
        <f t="shared" si="0"/>
        <v>-0.83871803278689327</v>
      </c>
      <c r="S11" s="182">
        <f t="shared" si="0"/>
        <v>1.0733172844395895</v>
      </c>
      <c r="T11" s="182">
        <f t="shared" si="0"/>
        <v>-0.63594977881863457</v>
      </c>
      <c r="U11" s="182">
        <f t="shared" si="0"/>
        <v>-2.2549180327868967</v>
      </c>
      <c r="V11" s="182">
        <f t="shared" si="0"/>
        <v>-5.4949180327868916</v>
      </c>
      <c r="W11" s="182">
        <f t="shared" si="0"/>
        <v>-9.3949180327868973</v>
      </c>
    </row>
    <row r="12" spans="1:25" s="238" customFormat="1">
      <c r="A12" s="237" t="s">
        <v>51</v>
      </c>
      <c r="B12" s="182">
        <v>24.11</v>
      </c>
      <c r="C12" s="182">
        <f>(31.63*97710+10.12*38989)/(97710+38989)</f>
        <v>25.4949632404041</v>
      </c>
      <c r="D12" s="182">
        <v>19.489999999999998</v>
      </c>
      <c r="E12" s="182"/>
      <c r="F12" s="182">
        <f>28.53/E62</f>
        <v>21.457858609314716</v>
      </c>
      <c r="G12" s="182">
        <f>69/((G46*$D$2)/1000)</f>
        <v>19.658119658119659</v>
      </c>
      <c r="H12" s="182">
        <v>16.440000000000001</v>
      </c>
      <c r="I12" s="182">
        <v>22.74</v>
      </c>
      <c r="J12" s="182"/>
      <c r="K12" s="182"/>
      <c r="L12" s="182">
        <v>18.64</v>
      </c>
      <c r="M12" s="74">
        <v>18</v>
      </c>
      <c r="N12" s="182">
        <v>31.34</v>
      </c>
      <c r="O12" s="182">
        <v>20.28</v>
      </c>
      <c r="P12" s="182">
        <f>+(29.86*2091+7.23*990)/(2091+990)</f>
        <v>22.588432327166508</v>
      </c>
      <c r="Q12" s="182">
        <v>18.46</v>
      </c>
      <c r="R12" s="182">
        <f>(15.66*55+1.96*8)/R46</f>
        <v>13.92031746031746</v>
      </c>
      <c r="S12" s="182">
        <f>+S95</f>
        <v>16.730977714660259</v>
      </c>
      <c r="T12" s="182">
        <f>+T77</f>
        <v>17.86</v>
      </c>
      <c r="U12" s="182">
        <v>18.14</v>
      </c>
      <c r="V12" s="182">
        <v>22.79</v>
      </c>
      <c r="W12" s="182">
        <v>14.45</v>
      </c>
    </row>
    <row r="13" spans="1:25" s="238" customFormat="1">
      <c r="A13" s="237" t="s">
        <v>3</v>
      </c>
      <c r="B13" s="182">
        <f t="shared" ref="B13:W13" si="1">+B12-$B$3</f>
        <v>-2.0086730769230883</v>
      </c>
      <c r="C13" s="182">
        <f t="shared" si="1"/>
        <v>-0.62370983651898726</v>
      </c>
      <c r="D13" s="182">
        <f t="shared" si="1"/>
        <v>-6.6286730769230893</v>
      </c>
      <c r="E13" s="182"/>
      <c r="F13" s="182">
        <f t="shared" si="1"/>
        <v>-4.6608144676083718</v>
      </c>
      <c r="G13" s="182">
        <f t="shared" si="1"/>
        <v>-6.4605534188034284</v>
      </c>
      <c r="H13" s="182">
        <f t="shared" si="1"/>
        <v>-9.6786730769230864</v>
      </c>
      <c r="I13" s="182">
        <f t="shared" si="1"/>
        <v>-3.3786730769230893</v>
      </c>
      <c r="J13" s="182"/>
      <c r="K13" s="182"/>
      <c r="L13" s="182">
        <f t="shared" si="1"/>
        <v>-7.4786730769230871</v>
      </c>
      <c r="M13" s="74">
        <f t="shared" si="1"/>
        <v>-8.1186730769230877</v>
      </c>
      <c r="N13" s="182">
        <f t="shared" si="1"/>
        <v>5.2213269230769122</v>
      </c>
      <c r="O13" s="182">
        <f t="shared" si="1"/>
        <v>-5.8386730769230866</v>
      </c>
      <c r="P13" s="182">
        <f t="shared" si="1"/>
        <v>-3.5302407497565795</v>
      </c>
      <c r="Q13" s="182">
        <f t="shared" si="1"/>
        <v>-7.6586730769230869</v>
      </c>
      <c r="R13" s="182">
        <f t="shared" si="1"/>
        <v>-12.198355616605628</v>
      </c>
      <c r="S13" s="182">
        <f t="shared" si="1"/>
        <v>-9.3876953622628285</v>
      </c>
      <c r="T13" s="182">
        <f t="shared" si="1"/>
        <v>-8.2586730769230883</v>
      </c>
      <c r="U13" s="182">
        <f t="shared" si="1"/>
        <v>-7.9786730769230871</v>
      </c>
      <c r="V13" s="182">
        <f t="shared" si="1"/>
        <v>-3.3286730769230886</v>
      </c>
      <c r="W13" s="182">
        <f t="shared" si="1"/>
        <v>-11.668673076923088</v>
      </c>
    </row>
    <row r="14" spans="1:25" s="238" customFormat="1">
      <c r="A14" s="237" t="s">
        <v>52</v>
      </c>
      <c r="B14" s="182">
        <v>3.09</v>
      </c>
      <c r="C14" s="182">
        <v>3.3</v>
      </c>
      <c r="D14" s="182">
        <v>2.34</v>
      </c>
      <c r="E14" s="182">
        <f>3.09/E62</f>
        <v>2.3240372626281971</v>
      </c>
      <c r="F14" s="182">
        <f>2.89/E62</f>
        <v>2.173614138833492</v>
      </c>
      <c r="G14" s="182">
        <f>595/((G47*$D$2)/1000)</f>
        <v>3.2695900648422906</v>
      </c>
      <c r="H14" s="182">
        <v>1.91</v>
      </c>
      <c r="I14" s="182">
        <v>5.27</v>
      </c>
      <c r="J14" s="182">
        <f>198.466/(J47*$D$2/1000)</f>
        <v>2.6571896523492575</v>
      </c>
      <c r="K14" s="182">
        <v>2.64</v>
      </c>
      <c r="L14" s="182">
        <v>2.5299999999999998</v>
      </c>
      <c r="M14" s="74">
        <v>1.32</v>
      </c>
      <c r="N14" s="182">
        <v>2.5299999999999998</v>
      </c>
      <c r="O14" s="182">
        <v>2.85</v>
      </c>
      <c r="P14" s="182">
        <f>3.3-0.02</f>
        <v>3.28</v>
      </c>
      <c r="Q14" s="182">
        <v>4.43</v>
      </c>
      <c r="R14" s="182">
        <f>(2.93*392+0.48*342)/R47</f>
        <v>1.7884468664850139</v>
      </c>
      <c r="S14" s="182">
        <f>+S102</f>
        <v>1.941870436334187</v>
      </c>
      <c r="T14" s="182">
        <f>+T88</f>
        <v>2.8799095022624441</v>
      </c>
      <c r="U14" s="182">
        <v>1.36</v>
      </c>
      <c r="V14" s="182">
        <v>2.5</v>
      </c>
      <c r="W14" s="182">
        <v>2.84</v>
      </c>
    </row>
    <row r="15" spans="1:25" s="238" customFormat="1">
      <c r="A15" s="237" t="s">
        <v>3</v>
      </c>
      <c r="B15" s="182">
        <f t="shared" ref="B15:W15" si="2">+B14-$B$4</f>
        <v>0.16635593220338851</v>
      </c>
      <c r="C15" s="182">
        <f t="shared" si="2"/>
        <v>0.37635593220338848</v>
      </c>
      <c r="D15" s="182">
        <f t="shared" si="2"/>
        <v>-0.58364406779661149</v>
      </c>
      <c r="E15" s="182">
        <f t="shared" si="2"/>
        <v>-0.59960680516841425</v>
      </c>
      <c r="F15" s="182">
        <f t="shared" si="2"/>
        <v>-0.75002992896311937</v>
      </c>
      <c r="G15" s="182">
        <f t="shared" si="2"/>
        <v>0.3459459970456793</v>
      </c>
      <c r="H15" s="182">
        <f t="shared" si="2"/>
        <v>-1.0136440677966114</v>
      </c>
      <c r="I15" s="182">
        <f t="shared" si="2"/>
        <v>2.3463559322033882</v>
      </c>
      <c r="J15" s="182">
        <f t="shared" si="2"/>
        <v>-0.26645441544735382</v>
      </c>
      <c r="K15" s="182">
        <f t="shared" si="2"/>
        <v>-0.28364406779661122</v>
      </c>
      <c r="L15" s="182">
        <f t="shared" si="2"/>
        <v>-0.39364406779661154</v>
      </c>
      <c r="M15" s="74">
        <f t="shared" si="2"/>
        <v>-1.6036440677966113</v>
      </c>
      <c r="N15" s="182">
        <f t="shared" si="2"/>
        <v>-0.39364406779661154</v>
      </c>
      <c r="O15" s="182">
        <f t="shared" si="2"/>
        <v>-7.3644067796611257E-2</v>
      </c>
      <c r="P15" s="182">
        <f t="shared" si="2"/>
        <v>0.35635593220338846</v>
      </c>
      <c r="Q15" s="182">
        <f t="shared" si="2"/>
        <v>1.5063559322033884</v>
      </c>
      <c r="R15" s="182">
        <f t="shared" si="2"/>
        <v>-1.1351972013115974</v>
      </c>
      <c r="S15" s="182">
        <f t="shared" si="2"/>
        <v>-0.98177363146242436</v>
      </c>
      <c r="T15" s="182">
        <f t="shared" si="2"/>
        <v>-4.3734565534167213E-2</v>
      </c>
      <c r="U15" s="182">
        <f t="shared" si="2"/>
        <v>-1.5636440677966112</v>
      </c>
      <c r="V15" s="182">
        <f t="shared" si="2"/>
        <v>-0.42364406779661135</v>
      </c>
      <c r="W15" s="182">
        <f t="shared" si="2"/>
        <v>-8.3644067796611488E-2</v>
      </c>
    </row>
    <row r="16" spans="1:25" s="238" customFormat="1">
      <c r="A16" s="237" t="s">
        <v>49</v>
      </c>
      <c r="B16" s="182">
        <f>+(2096+320+240)/B$49</f>
        <v>41.283904562057984</v>
      </c>
      <c r="C16" s="182">
        <f>3.65*6</f>
        <v>21.9</v>
      </c>
      <c r="D16" s="182">
        <f>(1635-62.35*$D$59*$D$2/1000-2.85*$D$60*$D$2/1000)/D49</f>
        <v>35.356581684069091</v>
      </c>
      <c r="E16" s="182">
        <f>(2299+2765)/E49/E62</f>
        <v>40.880903162201719</v>
      </c>
      <c r="F16" s="182">
        <f>46.66/$E$62</f>
        <v>35.093714781304747</v>
      </c>
      <c r="G16" s="182">
        <f>1230/G49</f>
        <v>28.178694158075601</v>
      </c>
      <c r="H16" s="182">
        <f>+(349.306+217.915)/H49</f>
        <v>24.344363857511773</v>
      </c>
      <c r="I16" s="182">
        <f>I71</f>
        <v>47.76331163317294</v>
      </c>
      <c r="J16" s="182">
        <f>1109.584/J$49</f>
        <v>37.108275221223991</v>
      </c>
      <c r="K16" s="182">
        <v>37.33</v>
      </c>
      <c r="L16" s="182">
        <v>29.83</v>
      </c>
      <c r="M16" s="74">
        <v>35.630000000000003</v>
      </c>
      <c r="N16" s="182">
        <v>29.39</v>
      </c>
      <c r="O16" s="182">
        <f>+(2200.403+218.638+334.972)/O$49</f>
        <v>39.550399954044778</v>
      </c>
      <c r="P16" s="182">
        <f>+(1271.613)/P$49</f>
        <v>19.896466207177113</v>
      </c>
      <c r="Q16" s="182">
        <f>Q70</f>
        <v>40.978129175946549</v>
      </c>
      <c r="R16" s="182">
        <f>1200/R$49</f>
        <v>34.602076124567475</v>
      </c>
      <c r="S16" s="182">
        <f>590.55/S$49</f>
        <v>40.604289182571819</v>
      </c>
      <c r="T16" s="182">
        <f>937/T$49</f>
        <v>30.862977602108035</v>
      </c>
      <c r="U16" s="182">
        <f>U71</f>
        <v>37.506400742115019</v>
      </c>
      <c r="V16" s="182">
        <v>37.840000000000003</v>
      </c>
      <c r="W16" s="182">
        <f>542/W49</f>
        <v>17.89349737540029</v>
      </c>
    </row>
    <row r="17" spans="1:24" s="238" customFormat="1">
      <c r="A17" s="237"/>
      <c r="B17" s="182"/>
      <c r="C17" s="182"/>
      <c r="D17" s="182"/>
      <c r="E17" s="182"/>
      <c r="F17" s="182"/>
      <c r="G17" s="182"/>
      <c r="H17" s="182"/>
      <c r="I17" s="182"/>
      <c r="J17" s="182"/>
      <c r="K17" s="182"/>
      <c r="L17" s="182"/>
      <c r="M17" s="74"/>
      <c r="N17" s="182"/>
      <c r="O17" s="182"/>
      <c r="P17" s="182"/>
      <c r="Q17" s="182"/>
      <c r="R17" s="182"/>
      <c r="S17" s="182"/>
      <c r="T17" s="182"/>
      <c r="U17" s="182"/>
      <c r="V17" s="182"/>
      <c r="W17" s="182"/>
    </row>
    <row r="18" spans="1:24" s="238" customFormat="1">
      <c r="A18" s="237" t="s">
        <v>4</v>
      </c>
      <c r="B18" s="182"/>
      <c r="C18" s="182"/>
      <c r="D18" s="182"/>
      <c r="E18" s="182"/>
      <c r="F18" s="182"/>
      <c r="G18" s="182"/>
      <c r="H18" s="182"/>
      <c r="I18" s="182"/>
      <c r="J18" s="182"/>
      <c r="K18" s="182"/>
      <c r="L18" s="182"/>
      <c r="M18" s="74"/>
      <c r="N18" s="182"/>
      <c r="O18" s="182"/>
      <c r="P18" s="182"/>
      <c r="Q18" s="182"/>
      <c r="R18" s="182"/>
      <c r="S18" s="182"/>
      <c r="T18" s="182"/>
      <c r="U18" s="182"/>
      <c r="V18" s="182"/>
      <c r="W18" s="182"/>
    </row>
    <row r="19" spans="1:24" s="238" customFormat="1">
      <c r="A19" s="239" t="s">
        <v>75</v>
      </c>
      <c r="B19" s="182">
        <f>(289+222)/B$49</f>
        <v>7.9427994093417276</v>
      </c>
      <c r="C19" s="182">
        <f>(0.15+1.92)*6</f>
        <v>12.419999999999998</v>
      </c>
      <c r="D19" s="182">
        <f>(365+88)/D49</f>
        <v>10.56742154914201</v>
      </c>
      <c r="E19" s="182">
        <f>(687+531+822+360)/E49/E62</f>
        <v>19.374835621896548</v>
      </c>
      <c r="F19" s="182">
        <f>(6.42+8.03)/$E$62</f>
        <v>10.868070694167459</v>
      </c>
      <c r="G19" s="182">
        <f>+(132+274)/G49</f>
        <v>9.3012600229095082</v>
      </c>
      <c r="H19" s="182">
        <f>+(77.233+53.608)/H49</f>
        <v>5.6155200732707318</v>
      </c>
      <c r="I19" s="182">
        <f>1271/I49</f>
        <v>11.991697329936787</v>
      </c>
      <c r="J19" s="182">
        <f>(106.966+49.139)/J$49</f>
        <v>5.2206838809942919</v>
      </c>
      <c r="K19" s="182">
        <f>(174+26)/K$49</f>
        <v>6.7649478287223435</v>
      </c>
      <c r="L19" s="182">
        <f>(220+203)/L$49</f>
        <v>8.8902900378310221</v>
      </c>
      <c r="M19" s="74">
        <f>4.61+0.51</f>
        <v>5.12</v>
      </c>
      <c r="N19" s="182">
        <f>6.9+3.7</f>
        <v>10.600000000000001</v>
      </c>
      <c r="O19" s="182">
        <f>+(336.291+176.522+111.295)/O$49</f>
        <v>8.9628193528930247</v>
      </c>
      <c r="P19" s="182">
        <f>+(439.246+43.408)/P$49</f>
        <v>7.5519116277978133</v>
      </c>
      <c r="Q19" s="182">
        <f>(213+162)/Q$49</f>
        <v>13.919821826280623</v>
      </c>
      <c r="R19" s="182">
        <f>(187+154)/R49</f>
        <v>9.8327566320645907</v>
      </c>
      <c r="S19" s="182">
        <f>131.7/S$49</f>
        <v>9.0552618497074047</v>
      </c>
      <c r="T19" s="182">
        <f>+(125+10+24+142)/T$49</f>
        <v>9.9143610013175216</v>
      </c>
      <c r="U19" s="182">
        <v>11.55</v>
      </c>
      <c r="V19" s="182">
        <v>7.36</v>
      </c>
      <c r="W19" s="182">
        <f>166/W49</f>
        <v>5.4802962441262881</v>
      </c>
    </row>
    <row r="20" spans="1:24" s="238" customFormat="1">
      <c r="A20" s="239" t="s">
        <v>74</v>
      </c>
      <c r="B20" s="182"/>
      <c r="C20" s="182"/>
      <c r="D20" s="182"/>
      <c r="E20" s="182">
        <f>(204+89)/E49/E62</f>
        <v>2.3653445155065369</v>
      </c>
      <c r="F20" s="182">
        <f>5.56/$E$62</f>
        <v>4.1817628414928079</v>
      </c>
      <c r="G20" s="182"/>
      <c r="H20" s="182"/>
      <c r="I20" s="182"/>
      <c r="J20" s="182"/>
      <c r="K20" s="182"/>
      <c r="L20" s="182"/>
      <c r="M20" s="74"/>
      <c r="N20" s="182"/>
      <c r="O20" s="182"/>
      <c r="P20" s="182"/>
      <c r="Q20" s="182"/>
      <c r="R20" s="182"/>
      <c r="S20" s="182"/>
      <c r="T20" s="182">
        <f>3/T$49</f>
        <v>9.8814229249011842E-2</v>
      </c>
      <c r="U20" s="182"/>
      <c r="V20" s="182"/>
      <c r="W20" s="182"/>
    </row>
    <row r="21" spans="1:24" s="238" customFormat="1">
      <c r="A21" s="239" t="s">
        <v>10</v>
      </c>
      <c r="B21" s="182">
        <f>(199-16.285)/B$49</f>
        <v>2.8400559570995574</v>
      </c>
      <c r="C21" s="182">
        <f>0.12*6</f>
        <v>0.72</v>
      </c>
      <c r="D21" s="182">
        <f>51/D49</f>
        <v>1.1897097108305574</v>
      </c>
      <c r="E21" s="182"/>
      <c r="F21" s="182">
        <f>0.01/$E$62</f>
        <v>7.5211561897352659E-3</v>
      </c>
      <c r="G21" s="182">
        <f>34/G49</f>
        <v>0.77892325315005728</v>
      </c>
      <c r="H21" s="182">
        <f>33.694/H49</f>
        <v>1.4461012476882937</v>
      </c>
      <c r="I21" s="182">
        <f>275/I49</f>
        <v>2.5945843947542224</v>
      </c>
      <c r="J21" s="182">
        <f>86.441/J$49</f>
        <v>2.8908820047854178</v>
      </c>
      <c r="K21" s="182">
        <f>86/K$49</f>
        <v>2.908927566350608</v>
      </c>
      <c r="L21" s="182">
        <f>(68+15)/L$49</f>
        <v>1.7444304329550231</v>
      </c>
      <c r="M21" s="74">
        <v>2.33</v>
      </c>
      <c r="N21" s="182">
        <v>1.1399999999999999</v>
      </c>
      <c r="O21" s="182">
        <f>192.906/O$49</f>
        <v>2.7703244151479907</v>
      </c>
      <c r="P21" s="182">
        <f>20.336/P$49</f>
        <v>0.31818999710537221</v>
      </c>
      <c r="Q21" s="182">
        <f>39/Q$49</f>
        <v>1.4476614699331849</v>
      </c>
      <c r="R21" s="182">
        <f>72/R$49</f>
        <v>2.0761245674740483</v>
      </c>
      <c r="S21" s="182">
        <f>10.1/S$49</f>
        <v>0.69444301201248892</v>
      </c>
      <c r="T21" s="182">
        <f>47/T$49</f>
        <v>1.5480895915678523</v>
      </c>
      <c r="U21" s="182">
        <v>1.68</v>
      </c>
      <c r="V21" s="182">
        <v>2.2599999999999998</v>
      </c>
      <c r="W21" s="182">
        <f>19/W49</f>
        <v>0.62726282312288839</v>
      </c>
    </row>
    <row r="22" spans="1:24" s="238" customFormat="1">
      <c r="A22" s="239" t="s">
        <v>11</v>
      </c>
      <c r="B22" s="182">
        <f>(267-22.844)/B$49</f>
        <v>3.7950726665112309</v>
      </c>
      <c r="C22" s="182">
        <f>(0.13*6)+(6.426/C49)</f>
        <v>0.91823707076808703</v>
      </c>
      <c r="D22" s="182">
        <f>123/D49</f>
        <v>2.8692998908266385</v>
      </c>
      <c r="E22" s="182">
        <f>(70+62)/E49/E62</f>
        <v>1.0656159592043102</v>
      </c>
      <c r="F22" s="182">
        <f>72/F49/E62</f>
        <v>1.3451163088436773</v>
      </c>
      <c r="G22" s="182">
        <f>103/G49</f>
        <v>2.3596792668957618</v>
      </c>
      <c r="H22" s="182">
        <f>+(49.236+13.247)/H49</f>
        <v>2.6816864800649269</v>
      </c>
      <c r="I22" s="182">
        <f>153/I49</f>
        <v>1.4435324087178036</v>
      </c>
      <c r="J22" s="182">
        <f>47.617/J$49</f>
        <v>1.5924749646795759</v>
      </c>
      <c r="K22" s="182">
        <f>91/K$49</f>
        <v>3.0780512620686666</v>
      </c>
      <c r="L22" s="182">
        <f>(153)/L$49</f>
        <v>3.2156368221941993</v>
      </c>
      <c r="M22" s="74">
        <f>0.55+0.59</f>
        <v>1.1400000000000001</v>
      </c>
      <c r="N22" s="182">
        <v>5.38</v>
      </c>
      <c r="O22" s="182">
        <f>106.672/O$49</f>
        <v>1.5319173380437436</v>
      </c>
      <c r="P22" s="182">
        <f>(48.978-8)/P$49</f>
        <v>0.64116786493823485</v>
      </c>
      <c r="Q22" s="182">
        <f>42/Q$49</f>
        <v>1.5590200445434297</v>
      </c>
      <c r="R22" s="182">
        <f>94/R$49</f>
        <v>2.7104959630911187</v>
      </c>
      <c r="S22" s="182">
        <f>30.5/S$49</f>
        <v>2.0970803828099918</v>
      </c>
      <c r="T22" s="182">
        <f>(102-4.023)/T$49</f>
        <v>3.2271739130434782</v>
      </c>
      <c r="U22" s="182">
        <v>2.92</v>
      </c>
      <c r="V22" s="182">
        <f>94/V49</f>
        <v>3.132431193149706</v>
      </c>
      <c r="W22" s="182">
        <f>34/W49</f>
        <v>1.1224703150620108</v>
      </c>
    </row>
    <row r="23" spans="1:24" s="238" customFormat="1">
      <c r="A23" s="239" t="s">
        <v>12</v>
      </c>
      <c r="B23" s="182">
        <f>(253-65.876)/B$49</f>
        <v>2.9085878604181241</v>
      </c>
      <c r="C23" s="182">
        <f>71.95/C49</f>
        <v>1.5477991350395051</v>
      </c>
      <c r="D23" s="182">
        <f>107/D49</f>
        <v>2.4960576286052873</v>
      </c>
      <c r="E23" s="182">
        <f>(191)/E49/E62</f>
        <v>1.5419140015759338</v>
      </c>
      <c r="F23" s="182">
        <f>(113)/F49/E62</f>
        <v>2.1110853180463267</v>
      </c>
      <c r="G23" s="182">
        <f>161/G49</f>
        <v>3.6884306987399773</v>
      </c>
      <c r="H23" s="182">
        <f>20.405/H49</f>
        <v>0.87575520742801793</v>
      </c>
      <c r="I23" s="182">
        <f>233/I49</f>
        <v>2.1983205962826684</v>
      </c>
      <c r="J23" s="182">
        <f>67.837/J$49</f>
        <v>2.2687007618910977</v>
      </c>
      <c r="K23" s="182">
        <f>47/K$49</f>
        <v>1.5897627397497509</v>
      </c>
      <c r="L23" s="182">
        <f>(73)/L$49</f>
        <v>1.5342580916351409</v>
      </c>
      <c r="M23" s="74">
        <v>1.95</v>
      </c>
      <c r="N23" s="182">
        <f>87/N$49</f>
        <v>2.0644977575282981</v>
      </c>
      <c r="O23" s="182">
        <f>54.906/O$49</f>
        <v>0.78850545000215422</v>
      </c>
      <c r="P23" s="182">
        <f>56.573/P$49</f>
        <v>0.88517715904023531</v>
      </c>
      <c r="Q23" s="182">
        <f>(98+7-15)/Q$49</f>
        <v>3.3407572383073494</v>
      </c>
      <c r="R23" s="182">
        <f>49/R$49</f>
        <v>1.4129181084198386</v>
      </c>
      <c r="S23" s="182">
        <f>(39.024+0)/S$49</f>
        <v>2.6831627822549873</v>
      </c>
      <c r="T23" s="182">
        <f>(87-6.713)/T$49</f>
        <v>2.6444993412384714</v>
      </c>
      <c r="U23" s="182">
        <f>98/U49</f>
        <v>1.5151515151515149</v>
      </c>
      <c r="V23" s="182">
        <f>29/V49</f>
        <v>0.96638834682278163</v>
      </c>
      <c r="W23" s="182">
        <f>42/W49</f>
        <v>1.3865809774295428</v>
      </c>
    </row>
    <row r="24" spans="1:24" s="238" customFormat="1">
      <c r="A24" s="239" t="s">
        <v>13</v>
      </c>
      <c r="B24" s="182">
        <f>(1081-113.946)/B$49</f>
        <v>15.03153804305588</v>
      </c>
      <c r="C24" s="182">
        <f>0.79*6</f>
        <v>4.74</v>
      </c>
      <c r="D24" s="182">
        <f>(607+39)/D49</f>
        <v>15.069656337187061</v>
      </c>
      <c r="E24" s="182">
        <f>(843+417)/E49/E62</f>
        <v>10.171788701495688</v>
      </c>
      <c r="F24" s="182">
        <f>(369+86)/F49/E62</f>
        <v>8.5003877850537943</v>
      </c>
      <c r="G24" s="182">
        <f>519/G49</f>
        <v>11.890034364261169</v>
      </c>
      <c r="H24" s="182">
        <f>192.466/H49</f>
        <v>8.2603823451527028</v>
      </c>
      <c r="I24" s="182">
        <f>1546/I49</f>
        <v>14.586281724691009</v>
      </c>
      <c r="J24" s="182">
        <f>495.019/J$49</f>
        <v>16.555124525709704</v>
      </c>
      <c r="K24" s="182">
        <f>465/K$49</f>
        <v>15.728503701779449</v>
      </c>
      <c r="L24" s="182">
        <f>+(459)/L$49</f>
        <v>9.6469104665825984</v>
      </c>
      <c r="M24" s="74">
        <v>13.62</v>
      </c>
      <c r="N24" s="182">
        <f>(92+274)/N$49</f>
        <v>8.6851284971880123</v>
      </c>
      <c r="O24" s="182">
        <f>879.595/O$49</f>
        <v>12.631869946720665</v>
      </c>
      <c r="P24" s="182">
        <f>391.113/P$49</f>
        <v>6.1196028883690721</v>
      </c>
      <c r="Q24" s="182">
        <f>(464)/Q$49</f>
        <v>17.22345953971789</v>
      </c>
      <c r="R24" s="182">
        <f>554/R$49</f>
        <v>15.974625144175317</v>
      </c>
      <c r="S24" s="182">
        <f>224.4/S$49</f>
        <v>15.429011078772529</v>
      </c>
      <c r="T24" s="182">
        <f>(439+16+20)/T$49</f>
        <v>15.645586297760209</v>
      </c>
      <c r="U24" s="182">
        <v>12.4</v>
      </c>
      <c r="V24" s="182">
        <f>421/V49</f>
        <v>14.029292896979001</v>
      </c>
      <c r="W24" s="182">
        <f>110/W49</f>
        <v>3.6315216075535646</v>
      </c>
    </row>
    <row r="25" spans="1:24" s="238" customFormat="1">
      <c r="A25" s="239"/>
      <c r="B25" s="182"/>
      <c r="C25" s="182"/>
      <c r="D25" s="182"/>
      <c r="E25" s="182"/>
      <c r="F25" s="182"/>
      <c r="G25" s="182"/>
      <c r="H25" s="182"/>
      <c r="I25" s="182"/>
      <c r="J25" s="182"/>
      <c r="K25" s="182"/>
      <c r="L25" s="182"/>
      <c r="M25" s="74"/>
      <c r="N25" s="182"/>
      <c r="O25" s="182"/>
      <c r="P25" s="182"/>
      <c r="Q25" s="182"/>
      <c r="R25" s="182"/>
      <c r="S25" s="182"/>
      <c r="T25" s="182"/>
      <c r="U25" s="182"/>
      <c r="V25" s="182"/>
      <c r="W25" s="182"/>
    </row>
    <row r="26" spans="1:24" s="238" customFormat="1">
      <c r="A26" s="237" t="s">
        <v>9</v>
      </c>
      <c r="B26" s="232"/>
      <c r="C26" s="232"/>
      <c r="D26" s="232"/>
      <c r="E26" s="232"/>
      <c r="F26" s="232"/>
      <c r="G26" s="232"/>
      <c r="H26" s="232"/>
      <c r="I26" s="232"/>
      <c r="J26" s="232"/>
      <c r="K26" s="232"/>
      <c r="L26" s="232"/>
      <c r="M26" s="186"/>
      <c r="N26" s="232"/>
      <c r="O26" s="232"/>
      <c r="P26" s="232"/>
      <c r="Q26" s="232"/>
      <c r="R26" s="232"/>
      <c r="S26" s="232"/>
      <c r="T26" s="232"/>
      <c r="U26" s="232"/>
      <c r="V26" s="232"/>
      <c r="W26" s="232"/>
    </row>
    <row r="27" spans="1:24" s="238" customFormat="1">
      <c r="A27" s="239" t="s">
        <v>165</v>
      </c>
      <c r="B27" s="182">
        <f>+B19+B21</f>
        <v>10.782855366441286</v>
      </c>
      <c r="C27" s="182">
        <f>+C19+C21</f>
        <v>13.139999999999999</v>
      </c>
      <c r="D27" s="182">
        <f>+D19+D21</f>
        <v>11.757131259972567</v>
      </c>
      <c r="E27" s="182">
        <f>+E19+E21+E20</f>
        <v>21.740180137403083</v>
      </c>
      <c r="F27" s="182">
        <f>+F19+F21+F20</f>
        <v>15.057354691850001</v>
      </c>
      <c r="G27" s="182">
        <f>+G19+G21+G20</f>
        <v>10.080183276059566</v>
      </c>
      <c r="H27" s="182">
        <f>+H19+H21</f>
        <v>7.0616213209590253</v>
      </c>
      <c r="I27" s="182">
        <f>+I19+I21</f>
        <v>14.586281724691009</v>
      </c>
      <c r="J27" s="182">
        <f t="shared" ref="J27:W27" si="3">+J19+J21</f>
        <v>8.1115658857797097</v>
      </c>
      <c r="K27" s="182">
        <f>+K19+K21</f>
        <v>9.673875395072951</v>
      </c>
      <c r="L27" s="182">
        <f t="shared" si="3"/>
        <v>10.634720470786045</v>
      </c>
      <c r="M27" s="74">
        <f t="shared" si="3"/>
        <v>7.45</v>
      </c>
      <c r="N27" s="182">
        <f t="shared" si="3"/>
        <v>11.740000000000002</v>
      </c>
      <c r="O27" s="182">
        <f t="shared" si="3"/>
        <v>11.733143768041016</v>
      </c>
      <c r="P27" s="182">
        <f t="shared" si="3"/>
        <v>7.8701016249031852</v>
      </c>
      <c r="Q27" s="182">
        <f t="shared" si="3"/>
        <v>15.367483296213809</v>
      </c>
      <c r="R27" s="182">
        <f t="shared" si="3"/>
        <v>11.908881199538639</v>
      </c>
      <c r="S27" s="182">
        <f t="shared" si="3"/>
        <v>9.7497048617198931</v>
      </c>
      <c r="T27" s="182">
        <f t="shared" si="3"/>
        <v>11.462450592885373</v>
      </c>
      <c r="U27" s="182">
        <f t="shared" si="3"/>
        <v>13.23</v>
      </c>
      <c r="V27" s="182">
        <f t="shared" si="3"/>
        <v>9.620000000000001</v>
      </c>
      <c r="W27" s="182">
        <f t="shared" si="3"/>
        <v>6.1075590672491762</v>
      </c>
    </row>
    <row r="28" spans="1:24" s="238" customFormat="1">
      <c r="A28" s="239" t="s">
        <v>6</v>
      </c>
      <c r="B28" s="182">
        <f t="shared" ref="B28:W30" si="4">+B27+B22</f>
        <v>14.577928032952517</v>
      </c>
      <c r="C28" s="182">
        <f t="shared" si="4"/>
        <v>14.058237070768087</v>
      </c>
      <c r="D28" s="182">
        <f t="shared" si="4"/>
        <v>14.626431150799206</v>
      </c>
      <c r="E28" s="182">
        <f t="shared" si="4"/>
        <v>22.805796096607395</v>
      </c>
      <c r="F28" s="182">
        <f t="shared" si="4"/>
        <v>16.40247100069368</v>
      </c>
      <c r="G28" s="182">
        <f t="shared" si="4"/>
        <v>12.439862542955328</v>
      </c>
      <c r="H28" s="182">
        <f t="shared" si="4"/>
        <v>9.7433078010239527</v>
      </c>
      <c r="I28" s="182">
        <f t="shared" si="4"/>
        <v>16.029814133408813</v>
      </c>
      <c r="J28" s="182">
        <f t="shared" si="4"/>
        <v>9.7040408504592861</v>
      </c>
      <c r="K28" s="182">
        <f t="shared" si="4"/>
        <v>12.751926657141617</v>
      </c>
      <c r="L28" s="182">
        <f t="shared" si="4"/>
        <v>13.850357292980243</v>
      </c>
      <c r="M28" s="74">
        <f t="shared" si="4"/>
        <v>8.59</v>
      </c>
      <c r="N28" s="182">
        <f t="shared" si="4"/>
        <v>17.12</v>
      </c>
      <c r="O28" s="182">
        <f t="shared" si="4"/>
        <v>13.26506110608476</v>
      </c>
      <c r="P28" s="182">
        <f t="shared" si="4"/>
        <v>8.5112694898414194</v>
      </c>
      <c r="Q28" s="182">
        <f t="shared" si="4"/>
        <v>16.92650334075724</v>
      </c>
      <c r="R28" s="182">
        <f t="shared" si="4"/>
        <v>14.619377162629757</v>
      </c>
      <c r="S28" s="182">
        <f t="shared" si="4"/>
        <v>11.846785244529885</v>
      </c>
      <c r="T28" s="182">
        <f t="shared" si="4"/>
        <v>14.689624505928851</v>
      </c>
      <c r="U28" s="182">
        <f t="shared" si="4"/>
        <v>16.149999999999999</v>
      </c>
      <c r="V28" s="182">
        <f t="shared" si="4"/>
        <v>12.752431193149707</v>
      </c>
      <c r="W28" s="182">
        <f t="shared" si="4"/>
        <v>7.2300293823111872</v>
      </c>
    </row>
    <row r="29" spans="1:24" s="238" customFormat="1">
      <c r="A29" s="239" t="s">
        <v>7</v>
      </c>
      <c r="B29" s="182">
        <f t="shared" si="4"/>
        <v>17.48651589337064</v>
      </c>
      <c r="C29" s="182">
        <f>+C28+C23</f>
        <v>15.606036205807591</v>
      </c>
      <c r="D29" s="182">
        <f t="shared" si="4"/>
        <v>17.122488779404492</v>
      </c>
      <c r="E29" s="182">
        <f t="shared" si="4"/>
        <v>24.347710098183327</v>
      </c>
      <c r="F29" s="182">
        <f t="shared" si="4"/>
        <v>18.513556318740008</v>
      </c>
      <c r="G29" s="182">
        <f t="shared" si="4"/>
        <v>16.128293241695307</v>
      </c>
      <c r="H29" s="182">
        <f t="shared" si="4"/>
        <v>10.61906300845197</v>
      </c>
      <c r="I29" s="182">
        <f t="shared" si="4"/>
        <v>18.228134729691483</v>
      </c>
      <c r="J29" s="182">
        <f t="shared" si="4"/>
        <v>11.972741612350383</v>
      </c>
      <c r="K29" s="182">
        <f t="shared" si="4"/>
        <v>14.341689396891368</v>
      </c>
      <c r="L29" s="182">
        <f t="shared" si="4"/>
        <v>15.384615384615385</v>
      </c>
      <c r="M29" s="74">
        <f t="shared" si="4"/>
        <v>10.54</v>
      </c>
      <c r="N29" s="182">
        <f t="shared" si="4"/>
        <v>19.184497757528298</v>
      </c>
      <c r="O29" s="182">
        <f t="shared" si="4"/>
        <v>14.053566556086913</v>
      </c>
      <c r="P29" s="182">
        <f t="shared" si="4"/>
        <v>9.3964466488816552</v>
      </c>
      <c r="Q29" s="182">
        <f t="shared" si="4"/>
        <v>20.26726057906459</v>
      </c>
      <c r="R29" s="182">
        <f t="shared" si="4"/>
        <v>16.032295271049595</v>
      </c>
      <c r="S29" s="182">
        <f t="shared" si="4"/>
        <v>14.529948026784872</v>
      </c>
      <c r="T29" s="182">
        <f t="shared" si="4"/>
        <v>17.334123847167323</v>
      </c>
      <c r="U29" s="182">
        <f t="shared" si="4"/>
        <v>17.665151515151514</v>
      </c>
      <c r="V29" s="182">
        <f t="shared" si="4"/>
        <v>13.71881953997249</v>
      </c>
      <c r="W29" s="182">
        <f t="shared" si="4"/>
        <v>8.6166103597407293</v>
      </c>
      <c r="X29" s="240"/>
    </row>
    <row r="30" spans="1:24" s="238" customFormat="1">
      <c r="A30" s="239" t="s">
        <v>8</v>
      </c>
      <c r="B30" s="182">
        <f t="shared" si="4"/>
        <v>32.518053936426519</v>
      </c>
      <c r="C30" s="182">
        <f t="shared" si="4"/>
        <v>20.346036205807593</v>
      </c>
      <c r="D30" s="182">
        <f t="shared" si="4"/>
        <v>32.192145116591554</v>
      </c>
      <c r="E30" s="182">
        <f t="shared" si="4"/>
        <v>34.519498799679013</v>
      </c>
      <c r="F30" s="182">
        <f>+F29+F24</f>
        <v>27.013944103793804</v>
      </c>
      <c r="G30" s="182">
        <f t="shared" si="4"/>
        <v>28.018327605956475</v>
      </c>
      <c r="H30" s="182">
        <f t="shared" si="4"/>
        <v>18.879445353604673</v>
      </c>
      <c r="I30" s="182">
        <f t="shared" si="4"/>
        <v>32.814416454382496</v>
      </c>
      <c r="J30" s="182">
        <f t="shared" si="4"/>
        <v>28.527866138060087</v>
      </c>
      <c r="K30" s="182">
        <f t="shared" si="4"/>
        <v>30.070193098670817</v>
      </c>
      <c r="L30" s="182">
        <f t="shared" si="4"/>
        <v>25.031525851197983</v>
      </c>
      <c r="M30" s="74">
        <f t="shared" si="4"/>
        <v>24.159999999999997</v>
      </c>
      <c r="N30" s="182">
        <f t="shared" si="4"/>
        <v>27.869626254716309</v>
      </c>
      <c r="O30" s="182">
        <f t="shared" si="4"/>
        <v>26.685436502807576</v>
      </c>
      <c r="P30" s="182">
        <f t="shared" si="4"/>
        <v>15.516049537250726</v>
      </c>
      <c r="Q30" s="182">
        <f t="shared" si="4"/>
        <v>37.490720118782477</v>
      </c>
      <c r="R30" s="182">
        <f t="shared" si="4"/>
        <v>32.006920415224911</v>
      </c>
      <c r="S30" s="182">
        <f t="shared" si="4"/>
        <v>29.958959105557401</v>
      </c>
      <c r="T30" s="182">
        <f t="shared" si="4"/>
        <v>32.97971014492753</v>
      </c>
      <c r="U30" s="182">
        <f t="shared" si="4"/>
        <v>30.065151515151513</v>
      </c>
      <c r="V30" s="182">
        <f t="shared" si="4"/>
        <v>27.748112436951491</v>
      </c>
      <c r="W30" s="182">
        <f t="shared" si="4"/>
        <v>12.248131967294293</v>
      </c>
      <c r="X30" s="240"/>
    </row>
    <row r="31" spans="1:24" s="238" customFormat="1">
      <c r="A31" s="237"/>
      <c r="B31" s="182"/>
      <c r="C31" s="182"/>
      <c r="D31" s="182"/>
      <c r="E31" s="182"/>
      <c r="F31" s="182"/>
      <c r="G31" s="182"/>
      <c r="H31" s="182"/>
      <c r="I31" s="182"/>
      <c r="J31" s="182"/>
      <c r="K31" s="182"/>
      <c r="L31" s="182"/>
      <c r="M31" s="74"/>
      <c r="N31" s="182"/>
      <c r="O31" s="182"/>
      <c r="P31" s="182"/>
      <c r="Q31" s="182"/>
      <c r="R31" s="182"/>
      <c r="S31" s="182"/>
      <c r="T31" s="182"/>
      <c r="U31" s="182"/>
      <c r="V31" s="182"/>
      <c r="W31" s="182"/>
    </row>
    <row r="32" spans="1:24" s="238" customFormat="1">
      <c r="A32" s="239" t="s">
        <v>14</v>
      </c>
      <c r="B32" s="182"/>
      <c r="C32" s="182"/>
      <c r="D32" s="182"/>
      <c r="E32" s="182"/>
      <c r="F32" s="182"/>
      <c r="G32" s="182"/>
      <c r="H32" s="182"/>
      <c r="I32" s="182"/>
      <c r="J32" s="182"/>
      <c r="K32" s="182"/>
      <c r="L32" s="182"/>
      <c r="M32" s="74"/>
      <c r="N32" s="182"/>
      <c r="O32" s="182"/>
      <c r="P32" s="182"/>
      <c r="Q32" s="182"/>
      <c r="R32" s="182"/>
      <c r="S32" s="182"/>
      <c r="T32" s="182"/>
      <c r="U32" s="182"/>
      <c r="V32" s="182"/>
      <c r="W32" s="182"/>
    </row>
    <row r="33" spans="1:23" s="238" customFormat="1">
      <c r="A33" s="239" t="s">
        <v>67</v>
      </c>
      <c r="B33" s="182">
        <f t="shared" ref="B33:W36" si="5">+B$16-B27</f>
        <v>30.501049195616698</v>
      </c>
      <c r="C33" s="182">
        <f t="shared" si="5"/>
        <v>8.76</v>
      </c>
      <c r="D33" s="182">
        <f t="shared" si="5"/>
        <v>23.599450424096524</v>
      </c>
      <c r="E33" s="182">
        <f t="shared" si="5"/>
        <v>19.140723024798636</v>
      </c>
      <c r="F33" s="182">
        <f t="shared" si="5"/>
        <v>20.036360089454746</v>
      </c>
      <c r="G33" s="182">
        <f t="shared" si="5"/>
        <v>18.098510882016036</v>
      </c>
      <c r="H33" s="182">
        <f t="shared" si="5"/>
        <v>17.282742536552746</v>
      </c>
      <c r="I33" s="182">
        <f t="shared" si="5"/>
        <v>33.177029908481927</v>
      </c>
      <c r="J33" s="182">
        <f t="shared" si="5"/>
        <v>28.99670933544428</v>
      </c>
      <c r="K33" s="182">
        <f t="shared" si="5"/>
        <v>27.656124604927047</v>
      </c>
      <c r="L33" s="182">
        <f t="shared" si="5"/>
        <v>19.195279529213956</v>
      </c>
      <c r="M33" s="74">
        <f t="shared" si="5"/>
        <v>28.180000000000003</v>
      </c>
      <c r="N33" s="182">
        <f t="shared" si="5"/>
        <v>17.649999999999999</v>
      </c>
      <c r="O33" s="182">
        <f t="shared" si="5"/>
        <v>27.81725618600376</v>
      </c>
      <c r="P33" s="182">
        <f t="shared" si="5"/>
        <v>12.026364582273928</v>
      </c>
      <c r="Q33" s="182">
        <f t="shared" si="5"/>
        <v>25.61064587973274</v>
      </c>
      <c r="R33" s="182">
        <f t="shared" si="5"/>
        <v>22.693194925028834</v>
      </c>
      <c r="S33" s="182">
        <f t="shared" si="5"/>
        <v>30.854584320851927</v>
      </c>
      <c r="T33" s="182">
        <f t="shared" si="5"/>
        <v>19.400527009222664</v>
      </c>
      <c r="U33" s="182">
        <f t="shared" si="5"/>
        <v>24.276400742115019</v>
      </c>
      <c r="V33" s="182">
        <f t="shared" si="5"/>
        <v>28.220000000000002</v>
      </c>
      <c r="W33" s="182">
        <f t="shared" si="5"/>
        <v>11.785938308151113</v>
      </c>
    </row>
    <row r="34" spans="1:23" s="238" customFormat="1">
      <c r="A34" s="239" t="s">
        <v>68</v>
      </c>
      <c r="B34" s="182">
        <f>+B$16-B28</f>
        <v>26.705976529105467</v>
      </c>
      <c r="C34" s="182">
        <f t="shared" si="5"/>
        <v>7.841762929231912</v>
      </c>
      <c r="D34" s="182">
        <f t="shared" si="5"/>
        <v>20.730150533269885</v>
      </c>
      <c r="E34" s="182">
        <f t="shared" si="5"/>
        <v>18.075107065594324</v>
      </c>
      <c r="F34" s="182">
        <f t="shared" si="5"/>
        <v>18.691243780611067</v>
      </c>
      <c r="G34" s="182">
        <f t="shared" si="5"/>
        <v>15.738831615120272</v>
      </c>
      <c r="H34" s="182">
        <f t="shared" si="5"/>
        <v>14.60105605648782</v>
      </c>
      <c r="I34" s="182">
        <f t="shared" si="5"/>
        <v>31.733497499764127</v>
      </c>
      <c r="J34" s="182">
        <f t="shared" si="5"/>
        <v>27.404234370764705</v>
      </c>
      <c r="K34" s="182">
        <f t="shared" si="5"/>
        <v>24.578073342858382</v>
      </c>
      <c r="L34" s="182">
        <f t="shared" si="5"/>
        <v>15.979642707019755</v>
      </c>
      <c r="M34" s="74">
        <f t="shared" si="5"/>
        <v>27.040000000000003</v>
      </c>
      <c r="N34" s="182">
        <f t="shared" si="5"/>
        <v>12.27</v>
      </c>
      <c r="O34" s="182">
        <f t="shared" si="5"/>
        <v>26.28533884796002</v>
      </c>
      <c r="P34" s="182">
        <f t="shared" si="5"/>
        <v>11.385196717335694</v>
      </c>
      <c r="Q34" s="182">
        <f t="shared" si="5"/>
        <v>24.051625835189309</v>
      </c>
      <c r="R34" s="182">
        <f t="shared" si="5"/>
        <v>19.982698961937718</v>
      </c>
      <c r="S34" s="182">
        <f t="shared" si="5"/>
        <v>28.757503938041935</v>
      </c>
      <c r="T34" s="182">
        <f t="shared" si="5"/>
        <v>16.173353096179184</v>
      </c>
      <c r="U34" s="182">
        <f t="shared" si="5"/>
        <v>21.356400742115021</v>
      </c>
      <c r="V34" s="182">
        <f t="shared" si="5"/>
        <v>25.087568806850296</v>
      </c>
      <c r="W34" s="182">
        <f t="shared" si="5"/>
        <v>10.663467993089103</v>
      </c>
    </row>
    <row r="35" spans="1:23" s="238" customFormat="1">
      <c r="A35" s="239" t="s">
        <v>69</v>
      </c>
      <c r="B35" s="182">
        <f t="shared" si="5"/>
        <v>23.797388668687343</v>
      </c>
      <c r="C35" s="182">
        <f t="shared" si="5"/>
        <v>6.2939637941924076</v>
      </c>
      <c r="D35" s="182">
        <f t="shared" si="5"/>
        <v>18.2340929046646</v>
      </c>
      <c r="E35" s="182">
        <f t="shared" si="5"/>
        <v>16.533193064018391</v>
      </c>
      <c r="F35" s="182">
        <f t="shared" si="5"/>
        <v>16.580158462564739</v>
      </c>
      <c r="G35" s="182">
        <f t="shared" si="5"/>
        <v>12.050400916380294</v>
      </c>
      <c r="H35" s="182">
        <f t="shared" si="5"/>
        <v>13.725300849059803</v>
      </c>
      <c r="I35" s="182">
        <f t="shared" si="5"/>
        <v>29.535176903481457</v>
      </c>
      <c r="J35" s="182">
        <f t="shared" si="5"/>
        <v>25.135533608873608</v>
      </c>
      <c r="K35" s="182">
        <f t="shared" si="5"/>
        <v>22.98831060310863</v>
      </c>
      <c r="L35" s="182">
        <f t="shared" si="5"/>
        <v>14.445384615384613</v>
      </c>
      <c r="M35" s="74">
        <f t="shared" si="5"/>
        <v>25.090000000000003</v>
      </c>
      <c r="N35" s="182">
        <f t="shared" si="5"/>
        <v>10.205502242471702</v>
      </c>
      <c r="O35" s="182">
        <f t="shared" si="5"/>
        <v>25.496833397957865</v>
      </c>
      <c r="P35" s="182">
        <f t="shared" si="5"/>
        <v>10.500019558295458</v>
      </c>
      <c r="Q35" s="182">
        <f t="shared" si="5"/>
        <v>20.710868596881959</v>
      </c>
      <c r="R35" s="182">
        <f t="shared" si="5"/>
        <v>18.56978085351788</v>
      </c>
      <c r="S35" s="182">
        <f t="shared" si="5"/>
        <v>26.074341155786946</v>
      </c>
      <c r="T35" s="182">
        <f t="shared" si="5"/>
        <v>13.528853754940712</v>
      </c>
      <c r="U35" s="182">
        <f t="shared" si="5"/>
        <v>19.841249226963505</v>
      </c>
      <c r="V35" s="182">
        <f t="shared" si="5"/>
        <v>24.121180460027514</v>
      </c>
      <c r="W35" s="182">
        <f t="shared" si="5"/>
        <v>9.2768870156595611</v>
      </c>
    </row>
    <row r="36" spans="1:23" s="238" customFormat="1">
      <c r="A36" s="239" t="s">
        <v>70</v>
      </c>
      <c r="B36" s="182">
        <f t="shared" si="5"/>
        <v>8.7658506256314652</v>
      </c>
      <c r="C36" s="182">
        <f t="shared" si="5"/>
        <v>1.5539637941924056</v>
      </c>
      <c r="D36" s="182">
        <f t="shared" si="5"/>
        <v>3.1644365674775372</v>
      </c>
      <c r="E36" s="182">
        <f t="shared" si="5"/>
        <v>6.3614043625227055</v>
      </c>
      <c r="F36" s="182">
        <f t="shared" si="5"/>
        <v>8.0797706775109432</v>
      </c>
      <c r="G36" s="182">
        <f t="shared" si="5"/>
        <v>0.16036655211912532</v>
      </c>
      <c r="H36" s="182">
        <f t="shared" si="5"/>
        <v>5.4649185039071</v>
      </c>
      <c r="I36" s="182">
        <f t="shared" si="5"/>
        <v>14.948895178790444</v>
      </c>
      <c r="J36" s="182">
        <f t="shared" si="5"/>
        <v>8.5804090831639037</v>
      </c>
      <c r="K36" s="182">
        <f t="shared" si="5"/>
        <v>7.2598069013291813</v>
      </c>
      <c r="L36" s="182">
        <f t="shared" si="5"/>
        <v>4.7984741488020148</v>
      </c>
      <c r="M36" s="74">
        <f t="shared" si="5"/>
        <v>11.470000000000006</v>
      </c>
      <c r="N36" s="182">
        <f t="shared" si="5"/>
        <v>1.5203737452836918</v>
      </c>
      <c r="O36" s="182">
        <f t="shared" si="5"/>
        <v>12.864963451237202</v>
      </c>
      <c r="P36" s="182">
        <f t="shared" si="5"/>
        <v>4.3804166699263867</v>
      </c>
      <c r="Q36" s="182">
        <f t="shared" si="5"/>
        <v>3.4874090571640721</v>
      </c>
      <c r="R36" s="182">
        <f t="shared" si="5"/>
        <v>2.5951557093425635</v>
      </c>
      <c r="S36" s="182">
        <f t="shared" si="5"/>
        <v>10.645330077014417</v>
      </c>
      <c r="T36" s="182">
        <f t="shared" si="5"/>
        <v>-2.116732542819495</v>
      </c>
      <c r="U36" s="182">
        <f t="shared" si="5"/>
        <v>7.4412492269635067</v>
      </c>
      <c r="V36" s="182">
        <f t="shared" si="5"/>
        <v>10.091887563048513</v>
      </c>
      <c r="W36" s="182">
        <f t="shared" si="5"/>
        <v>5.645365408105997</v>
      </c>
    </row>
    <row r="37" spans="1:23" s="238" customFormat="1">
      <c r="A37" s="239" t="s">
        <v>112</v>
      </c>
      <c r="B37" s="182">
        <f>+B16-B19-B20-B21-B22</f>
        <v>26.705976529105463</v>
      </c>
      <c r="C37" s="182">
        <f>+C16-C19-C20-C21-C22</f>
        <v>7.8417629292319129</v>
      </c>
      <c r="D37" s="182">
        <f t="shared" ref="D37:W37" si="6">+D16-D19-D20-D21-D22</f>
        <v>20.730150533269885</v>
      </c>
      <c r="E37" s="182">
        <f t="shared" si="6"/>
        <v>18.075107065594324</v>
      </c>
      <c r="F37" s="182">
        <f t="shared" si="6"/>
        <v>18.691243780611067</v>
      </c>
      <c r="G37" s="182">
        <f t="shared" si="6"/>
        <v>15.738831615120271</v>
      </c>
      <c r="H37" s="182">
        <f t="shared" si="6"/>
        <v>14.601056056487822</v>
      </c>
      <c r="I37" s="182">
        <f t="shared" si="6"/>
        <v>31.733497499764123</v>
      </c>
      <c r="J37" s="182">
        <f t="shared" si="6"/>
        <v>27.404234370764705</v>
      </c>
      <c r="K37" s="182">
        <f t="shared" si="6"/>
        <v>24.578073342858382</v>
      </c>
      <c r="L37" s="182">
        <f t="shared" si="6"/>
        <v>15.979642707019753</v>
      </c>
      <c r="M37" s="74">
        <f t="shared" si="6"/>
        <v>27.04</v>
      </c>
      <c r="N37" s="182">
        <f t="shared" si="6"/>
        <v>12.27</v>
      </c>
      <c r="O37" s="182">
        <f t="shared" si="6"/>
        <v>26.28533884796002</v>
      </c>
      <c r="P37" s="182">
        <f t="shared" si="6"/>
        <v>11.385196717335692</v>
      </c>
      <c r="Q37" s="182">
        <f t="shared" si="6"/>
        <v>24.051625835189309</v>
      </c>
      <c r="R37" s="182">
        <f t="shared" si="6"/>
        <v>19.982698961937714</v>
      </c>
      <c r="S37" s="182">
        <f t="shared" si="6"/>
        <v>28.757503938041932</v>
      </c>
      <c r="T37" s="182">
        <f t="shared" si="6"/>
        <v>16.074538866930173</v>
      </c>
      <c r="U37" s="182">
        <f t="shared" si="6"/>
        <v>21.356400742115021</v>
      </c>
      <c r="V37" s="182">
        <f t="shared" si="6"/>
        <v>25.0875688068503</v>
      </c>
      <c r="W37" s="182">
        <f t="shared" si="6"/>
        <v>10.663467993089103</v>
      </c>
    </row>
    <row r="38" spans="1:23" s="238" customFormat="1">
      <c r="A38" s="239" t="s">
        <v>105</v>
      </c>
      <c r="B38" s="241">
        <f>+(B35+B23)/B23</f>
        <v>9.1817671704324404</v>
      </c>
      <c r="C38" s="241">
        <f>+(C35+C23)/C23</f>
        <v>5.0663957303683107</v>
      </c>
      <c r="D38" s="241">
        <f t="shared" ref="D38:W38" si="7">+(D35+D23)/D23</f>
        <v>8.3051570186915882</v>
      </c>
      <c r="E38" s="241">
        <f t="shared" si="7"/>
        <v>11.722513089005236</v>
      </c>
      <c r="F38" s="241">
        <f t="shared" si="7"/>
        <v>8.853855228318583</v>
      </c>
      <c r="G38" s="241">
        <f t="shared" si="7"/>
        <v>4.2670807453416142</v>
      </c>
      <c r="H38" s="241">
        <f t="shared" si="7"/>
        <v>16.672531242342561</v>
      </c>
      <c r="I38" s="241">
        <f t="shared" si="7"/>
        <v>14.435336480686694</v>
      </c>
      <c r="J38" s="241">
        <f t="shared" si="7"/>
        <v>12.079263528752746</v>
      </c>
      <c r="K38" s="241">
        <f t="shared" si="7"/>
        <v>15.460214740425535</v>
      </c>
      <c r="L38" s="241">
        <f t="shared" si="7"/>
        <v>10.415224657534244</v>
      </c>
      <c r="M38" s="260">
        <f t="shared" si="7"/>
        <v>13.866666666666669</v>
      </c>
      <c r="N38" s="241">
        <f t="shared" si="7"/>
        <v>5.9433341379310338</v>
      </c>
      <c r="O38" s="241">
        <f t="shared" si="7"/>
        <v>33.335646377445087</v>
      </c>
      <c r="P38" s="241">
        <f t="shared" si="7"/>
        <v>12.862054336874484</v>
      </c>
      <c r="Q38" s="241">
        <f t="shared" si="7"/>
        <v>7.1994533333333335</v>
      </c>
      <c r="R38" s="241">
        <f t="shared" si="7"/>
        <v>14.142857142857144</v>
      </c>
      <c r="S38" s="241">
        <f t="shared" si="7"/>
        <v>10.717763427634276</v>
      </c>
      <c r="T38" s="241">
        <f t="shared" si="7"/>
        <v>6.1158468992489459</v>
      </c>
      <c r="U38" s="241">
        <f t="shared" si="7"/>
        <v>14.095224489795916</v>
      </c>
      <c r="V38" s="241">
        <f t="shared" si="7"/>
        <v>25.960131751724141</v>
      </c>
      <c r="W38" s="241">
        <f t="shared" si="7"/>
        <v>7.6904761904761907</v>
      </c>
    </row>
    <row r="39" spans="1:23" s="238" customFormat="1">
      <c r="A39" s="237"/>
      <c r="B39" s="182"/>
      <c r="C39" s="182"/>
      <c r="D39" s="182"/>
      <c r="E39" s="182"/>
      <c r="F39" s="182"/>
      <c r="G39" s="182"/>
      <c r="H39" s="182"/>
      <c r="I39" s="182"/>
      <c r="J39" s="182"/>
      <c r="K39" s="182"/>
      <c r="L39" s="182"/>
      <c r="M39" s="74"/>
      <c r="N39" s="182"/>
      <c r="O39" s="182"/>
      <c r="P39" s="182"/>
      <c r="Q39" s="182"/>
      <c r="R39" s="182"/>
      <c r="S39" s="182"/>
      <c r="T39" s="182"/>
      <c r="U39" s="182"/>
      <c r="V39" s="182"/>
      <c r="W39" s="182"/>
    </row>
    <row r="40" spans="1:23" s="238" customFormat="1">
      <c r="A40" s="239" t="s">
        <v>53</v>
      </c>
      <c r="B40" s="231"/>
      <c r="C40" s="231"/>
      <c r="D40" s="231"/>
      <c r="E40" s="231"/>
      <c r="F40" s="231"/>
      <c r="G40" s="231"/>
      <c r="H40" s="231"/>
      <c r="I40" s="231"/>
      <c r="J40" s="231"/>
      <c r="K40" s="231"/>
      <c r="L40" s="231"/>
      <c r="M40" s="180"/>
      <c r="N40" s="231"/>
      <c r="O40" s="231"/>
      <c r="P40" s="231"/>
      <c r="Q40" s="231"/>
      <c r="R40" s="231"/>
      <c r="S40" s="231"/>
      <c r="T40" s="231"/>
      <c r="U40" s="231"/>
      <c r="V40" s="231"/>
      <c r="W40" s="231"/>
    </row>
    <row r="41" spans="1:23" s="238" customFormat="1">
      <c r="A41" s="239" t="s">
        <v>54</v>
      </c>
      <c r="B41" s="231">
        <f>+B45/B$48*100</f>
        <v>57.635812543716483</v>
      </c>
      <c r="C41" s="231">
        <f t="shared" ref="C41:W42" si="8">+C45/C$48*100</f>
        <v>2.1887536204947105</v>
      </c>
      <c r="D41" s="231">
        <f t="shared" si="8"/>
        <v>49.475897880917053</v>
      </c>
      <c r="E41" s="231">
        <f t="shared" si="8"/>
        <v>75.688576786744704</v>
      </c>
      <c r="F41" s="231">
        <f t="shared" si="8"/>
        <v>77.752582251635502</v>
      </c>
      <c r="G41" s="231">
        <f t="shared" si="8"/>
        <v>22.474226804123713</v>
      </c>
      <c r="H41" s="231">
        <f t="shared" si="8"/>
        <v>30.675466708211928</v>
      </c>
      <c r="I41" s="231">
        <f t="shared" si="8"/>
        <v>65.043872063402205</v>
      </c>
      <c r="J41" s="231">
        <f t="shared" si="8"/>
        <v>58.368419653288797</v>
      </c>
      <c r="K41" s="231">
        <f t="shared" si="8"/>
        <v>64.050526042343165</v>
      </c>
      <c r="L41" s="231">
        <f t="shared" si="8"/>
        <v>48.045397225725104</v>
      </c>
      <c r="M41" s="180">
        <f t="shared" si="8"/>
        <v>68.207918787031531</v>
      </c>
      <c r="N41" s="231">
        <f t="shared" si="8"/>
        <v>26.866946679006194</v>
      </c>
      <c r="O41" s="231">
        <f t="shared" si="8"/>
        <v>56.339666537417607</v>
      </c>
      <c r="P41" s="231">
        <f t="shared" si="8"/>
        <v>0.33014402728773379</v>
      </c>
      <c r="Q41" s="231">
        <f t="shared" si="8"/>
        <v>54.788418708240542</v>
      </c>
      <c r="R41" s="231">
        <f t="shared" si="8"/>
        <v>51.903114186851219</v>
      </c>
      <c r="S41" s="231">
        <f t="shared" si="8"/>
        <v>63.007295777030173</v>
      </c>
      <c r="T41" s="231">
        <f t="shared" si="8"/>
        <v>37.648221343873509</v>
      </c>
      <c r="U41" s="231">
        <f t="shared" si="8"/>
        <v>62.476808905380331</v>
      </c>
      <c r="V41" s="231">
        <f t="shared" si="8"/>
        <v>61.858984612431613</v>
      </c>
      <c r="W41" s="231">
        <f t="shared" si="8"/>
        <v>2.8193813207734038</v>
      </c>
    </row>
    <row r="42" spans="1:23" s="238" customFormat="1">
      <c r="A42" s="239" t="s">
        <v>55</v>
      </c>
      <c r="B42" s="231">
        <f t="shared" ref="B42" si="9">+B46/B$48*100</f>
        <v>15.528095127069246</v>
      </c>
      <c r="C42" s="231">
        <f t="shared" si="8"/>
        <v>26.466203553118657</v>
      </c>
      <c r="D42" s="231">
        <f t="shared" si="8"/>
        <v>12.982602245052208</v>
      </c>
      <c r="E42" s="231">
        <f t="shared" si="8"/>
        <v>0</v>
      </c>
      <c r="F42" s="231">
        <f t="shared" si="8"/>
        <v>5.1826857801600514</v>
      </c>
      <c r="G42" s="231">
        <f t="shared" si="8"/>
        <v>8.0412371134020617</v>
      </c>
      <c r="H42" s="231">
        <f t="shared" si="8"/>
        <v>28.180562225830247</v>
      </c>
      <c r="I42" s="231">
        <f t="shared" si="8"/>
        <v>8.7461081234078684</v>
      </c>
      <c r="J42" s="231">
        <f t="shared" si="8"/>
        <v>0</v>
      </c>
      <c r="K42" s="231">
        <f t="shared" si="8"/>
        <v>0</v>
      </c>
      <c r="L42" s="231">
        <f t="shared" si="8"/>
        <v>19.672131147540988</v>
      </c>
      <c r="M42" s="180">
        <f t="shared" si="8"/>
        <v>17.786894348669641</v>
      </c>
      <c r="N42" s="231">
        <f t="shared" si="8"/>
        <v>22.552858261550508</v>
      </c>
      <c r="O42" s="231">
        <f t="shared" si="8"/>
        <v>15.484037740726381</v>
      </c>
      <c r="P42" s="231">
        <f t="shared" si="8"/>
        <v>4.8207286638554869</v>
      </c>
      <c r="Q42" s="231">
        <f t="shared" si="8"/>
        <v>13.363028953229399</v>
      </c>
      <c r="R42" s="231">
        <f t="shared" si="8"/>
        <v>16.349480968858131</v>
      </c>
      <c r="S42" s="231">
        <f t="shared" si="8"/>
        <v>5.6645922760060321</v>
      </c>
      <c r="T42" s="231">
        <f t="shared" si="8"/>
        <v>18.675889328063239</v>
      </c>
      <c r="U42" s="231">
        <f t="shared" si="8"/>
        <v>15.723562152133583</v>
      </c>
      <c r="V42" s="231">
        <f t="shared" si="8"/>
        <v>20.115206820435709</v>
      </c>
      <c r="W42" s="231">
        <f t="shared" si="8"/>
        <v>18.497650515566018</v>
      </c>
    </row>
    <row r="43" spans="1:23" s="238" customFormat="1">
      <c r="A43" s="239" t="s">
        <v>56</v>
      </c>
      <c r="B43" s="231">
        <f>+(B47/6)/B$48*100</f>
        <v>26.836092329214267</v>
      </c>
      <c r="C43" s="231">
        <f t="shared" ref="C43:W43" si="10">+(C47/6)/C$48*100</f>
        <v>71.345042826386631</v>
      </c>
      <c r="D43" s="231">
        <f t="shared" si="10"/>
        <v>37.541499874030741</v>
      </c>
      <c r="E43" s="231">
        <f t="shared" si="10"/>
        <v>24.311423213255296</v>
      </c>
      <c r="F43" s="231">
        <f t="shared" si="10"/>
        <v>17.064731968204455</v>
      </c>
      <c r="G43" s="231">
        <f t="shared" si="10"/>
        <v>69.484536082474222</v>
      </c>
      <c r="H43" s="231">
        <f t="shared" si="10"/>
        <v>41.143971065957821</v>
      </c>
      <c r="I43" s="231">
        <f t="shared" si="10"/>
        <v>26.210019813189923</v>
      </c>
      <c r="J43" s="231">
        <f t="shared" si="10"/>
        <v>41.631580346711203</v>
      </c>
      <c r="K43" s="231">
        <f t="shared" si="10"/>
        <v>35.949473957656835</v>
      </c>
      <c r="L43" s="231">
        <f t="shared" si="10"/>
        <v>32.282471626733923</v>
      </c>
      <c r="M43" s="180">
        <f t="shared" si="10"/>
        <v>14.005186864298825</v>
      </c>
      <c r="N43" s="231">
        <f t="shared" si="10"/>
        <v>50.580195059443298</v>
      </c>
      <c r="O43" s="231">
        <f t="shared" si="10"/>
        <v>28.176295721856022</v>
      </c>
      <c r="P43" s="231">
        <f t="shared" si="10"/>
        <v>94.849127308856779</v>
      </c>
      <c r="Q43" s="231">
        <f t="shared" si="10"/>
        <v>31.848552338530066</v>
      </c>
      <c r="R43" s="231">
        <f t="shared" si="10"/>
        <v>31.747404844290656</v>
      </c>
      <c r="S43" s="231">
        <f t="shared" si="10"/>
        <v>31.328111946963805</v>
      </c>
      <c r="T43" s="231">
        <f t="shared" si="10"/>
        <v>43.675889328063242</v>
      </c>
      <c r="U43" s="231">
        <f t="shared" si="10"/>
        <v>21.799628942486084</v>
      </c>
      <c r="V43" s="231">
        <f t="shared" si="10"/>
        <v>18.02580856713266</v>
      </c>
      <c r="W43" s="231">
        <f t="shared" si="10"/>
        <v>78.682968163660576</v>
      </c>
    </row>
    <row r="44" spans="1:23" s="238" customFormat="1">
      <c r="A44" s="239"/>
      <c r="B44" s="231"/>
      <c r="C44" s="231"/>
      <c r="D44" s="231"/>
      <c r="E44" s="231"/>
      <c r="F44" s="231"/>
      <c r="G44" s="231"/>
      <c r="H44" s="231"/>
      <c r="I44" s="231"/>
      <c r="J44" s="231"/>
      <c r="K44" s="231"/>
      <c r="L44" s="231"/>
      <c r="M44" s="180"/>
      <c r="N44" s="231"/>
      <c r="O44" s="231"/>
      <c r="P44" s="231"/>
      <c r="Q44" s="231"/>
      <c r="R44" s="231"/>
      <c r="S44" s="231"/>
      <c r="T44" s="231"/>
      <c r="U44" s="231"/>
      <c r="V44" s="231"/>
      <c r="W44" s="231"/>
    </row>
    <row r="45" spans="1:23" s="238" customFormat="1">
      <c r="A45" s="239" t="s">
        <v>62</v>
      </c>
      <c r="B45" s="231">
        <v>412</v>
      </c>
      <c r="C45" s="231">
        <v>11.305</v>
      </c>
      <c r="D45" s="231">
        <f>254.922-$D$59</f>
        <v>235.65699999999998</v>
      </c>
      <c r="E45" s="231">
        <f>SUM(E64:E70)</f>
        <v>783.51199999999994</v>
      </c>
      <c r="F45" s="231">
        <f>342.98+4.82</f>
        <v>347.8</v>
      </c>
      <c r="G45" s="231">
        <v>109</v>
      </c>
      <c r="H45" s="231">
        <v>79.415000000000006</v>
      </c>
      <c r="I45" s="231">
        <f>703+63</f>
        <v>766</v>
      </c>
      <c r="J45" s="231">
        <v>193.92099999999999</v>
      </c>
      <c r="K45" s="231">
        <v>210.4</v>
      </c>
      <c r="L45" s="231">
        <v>254</v>
      </c>
      <c r="M45" s="180">
        <f>17402/$D$2</f>
        <v>193.35555555555555</v>
      </c>
      <c r="N45" s="231">
        <v>125.8</v>
      </c>
      <c r="O45" s="231">
        <v>435.9</v>
      </c>
      <c r="P45" s="231">
        <f>211/$D$2</f>
        <v>2.3444444444444446</v>
      </c>
      <c r="Q45" s="231">
        <v>164</v>
      </c>
      <c r="R45" s="231">
        <f>177+23</f>
        <v>200</v>
      </c>
      <c r="S45" s="231">
        <v>101.82</v>
      </c>
      <c r="T45" s="231">
        <v>127</v>
      </c>
      <c r="U45" s="231">
        <f>277+32+140</f>
        <v>449</v>
      </c>
      <c r="V45" s="231">
        <v>206.256</v>
      </c>
      <c r="W45" s="231">
        <f>854/$D$2</f>
        <v>9.4888888888888889</v>
      </c>
    </row>
    <row r="46" spans="1:23" s="238" customFormat="1">
      <c r="A46" s="239" t="s">
        <v>63</v>
      </c>
      <c r="B46" s="231">
        <v>111</v>
      </c>
      <c r="C46" s="231">
        <f>97.71+38.989</f>
        <v>136.69899999999998</v>
      </c>
      <c r="D46" s="231">
        <v>61.837000000000003</v>
      </c>
      <c r="E46" s="231"/>
      <c r="F46" s="231">
        <v>23.183</v>
      </c>
      <c r="G46" s="231">
        <v>39</v>
      </c>
      <c r="H46" s="231">
        <v>72.956000000000003</v>
      </c>
      <c r="I46" s="231">
        <v>103</v>
      </c>
      <c r="J46" s="231"/>
      <c r="K46" s="231"/>
      <c r="L46" s="231">
        <v>104</v>
      </c>
      <c r="M46" s="180">
        <f>4538/$D$2</f>
        <v>50.422222222222224</v>
      </c>
      <c r="N46" s="231">
        <v>105.6</v>
      </c>
      <c r="O46" s="231">
        <v>119.8</v>
      </c>
      <c r="P46" s="231">
        <f>(2091+990)/$D$2</f>
        <v>34.233333333333334</v>
      </c>
      <c r="Q46" s="231">
        <v>40</v>
      </c>
      <c r="R46" s="231">
        <f>55+8</f>
        <v>63</v>
      </c>
      <c r="S46" s="231">
        <v>9.1539999999999999</v>
      </c>
      <c r="T46" s="231">
        <v>63</v>
      </c>
      <c r="U46" s="231">
        <f>79+34</f>
        <v>113</v>
      </c>
      <c r="V46" s="231">
        <v>67.069999999999993</v>
      </c>
      <c r="W46" s="231">
        <f>5603/$D$2</f>
        <v>62.255555555555553</v>
      </c>
    </row>
    <row r="47" spans="1:23" s="238" customFormat="1">
      <c r="A47" s="239" t="s">
        <v>64</v>
      </c>
      <c r="B47" s="231">
        <v>1151</v>
      </c>
      <c r="C47" s="231">
        <v>2211</v>
      </c>
      <c r="D47" s="231">
        <f>1116.707-$D$60</f>
        <v>1072.8760000000002</v>
      </c>
      <c r="E47" s="231">
        <v>1510</v>
      </c>
      <c r="F47" s="231">
        <v>458</v>
      </c>
      <c r="G47" s="231">
        <v>2022</v>
      </c>
      <c r="H47" s="231">
        <v>639.1</v>
      </c>
      <c r="I47" s="231">
        <v>1852</v>
      </c>
      <c r="J47" s="231">
        <v>829.89099999999996</v>
      </c>
      <c r="K47" s="231">
        <v>708.54399999999998</v>
      </c>
      <c r="L47" s="231">
        <v>1024</v>
      </c>
      <c r="M47" s="180">
        <f>21439/$D$2</f>
        <v>238.21111111111111</v>
      </c>
      <c r="N47" s="231">
        <v>1421</v>
      </c>
      <c r="O47" s="231">
        <v>1308</v>
      </c>
      <c r="P47" s="231">
        <f>363.717*1000/$D$2</f>
        <v>4041.3</v>
      </c>
      <c r="Q47" s="231">
        <v>572</v>
      </c>
      <c r="R47" s="231">
        <f>392+342</f>
        <v>734</v>
      </c>
      <c r="S47" s="231">
        <v>303.75799999999998</v>
      </c>
      <c r="T47" s="231">
        <v>884</v>
      </c>
      <c r="U47" s="231">
        <f>389+7+544</f>
        <v>940</v>
      </c>
      <c r="V47" s="231">
        <v>360.62</v>
      </c>
      <c r="W47" s="231">
        <f>143*1000/$D$2</f>
        <v>1588.8888888888889</v>
      </c>
    </row>
    <row r="48" spans="1:23" s="238" customFormat="1">
      <c r="A48" s="239" t="s">
        <v>65</v>
      </c>
      <c r="B48" s="231">
        <f t="shared" ref="B48:W48" si="11">+B45+B46+B47/6</f>
        <v>714.83333333333337</v>
      </c>
      <c r="C48" s="231">
        <f t="shared" si="11"/>
        <v>516.50400000000002</v>
      </c>
      <c r="D48" s="231">
        <f t="shared" si="11"/>
        <v>476.30666666666667</v>
      </c>
      <c r="E48" s="231">
        <f t="shared" si="11"/>
        <v>1035.1786666666667</v>
      </c>
      <c r="F48" s="231">
        <f t="shared" si="11"/>
        <v>447.31633333333332</v>
      </c>
      <c r="G48" s="231">
        <f t="shared" si="11"/>
        <v>485</v>
      </c>
      <c r="H48" s="231">
        <f t="shared" si="11"/>
        <v>258.88766666666669</v>
      </c>
      <c r="I48" s="231">
        <f t="shared" si="11"/>
        <v>1177.6666666666667</v>
      </c>
      <c r="J48" s="231">
        <f t="shared" si="11"/>
        <v>332.23616666666669</v>
      </c>
      <c r="K48" s="231">
        <f t="shared" si="11"/>
        <v>328.4906666666667</v>
      </c>
      <c r="L48" s="231">
        <f t="shared" si="11"/>
        <v>528.66666666666663</v>
      </c>
      <c r="M48" s="180">
        <f t="shared" si="11"/>
        <v>283.47962962962964</v>
      </c>
      <c r="N48" s="231">
        <f t="shared" si="11"/>
        <v>468.23333333333335</v>
      </c>
      <c r="O48" s="231">
        <f t="shared" si="11"/>
        <v>773.69999999999993</v>
      </c>
      <c r="P48" s="231">
        <f t="shared" si="11"/>
        <v>710.12777777777785</v>
      </c>
      <c r="Q48" s="231">
        <f t="shared" si="11"/>
        <v>299.33333333333331</v>
      </c>
      <c r="R48" s="231">
        <f t="shared" si="11"/>
        <v>385.33333333333331</v>
      </c>
      <c r="S48" s="231">
        <f t="shared" si="11"/>
        <v>161.60033333333331</v>
      </c>
      <c r="T48" s="231">
        <f t="shared" si="11"/>
        <v>337.33333333333337</v>
      </c>
      <c r="U48" s="231">
        <f t="shared" si="11"/>
        <v>718.66666666666663</v>
      </c>
      <c r="V48" s="231">
        <f t="shared" si="11"/>
        <v>333.42933333333337</v>
      </c>
      <c r="W48" s="231">
        <f t="shared" si="11"/>
        <v>336.55925925925931</v>
      </c>
    </row>
    <row r="49" spans="1:23" s="238" customFormat="1">
      <c r="A49" s="239" t="s">
        <v>66</v>
      </c>
      <c r="B49" s="231">
        <f t="shared" ref="B49:I49" si="12">+B48*$D$2/1000</f>
        <v>64.334999999999994</v>
      </c>
      <c r="C49" s="231">
        <f t="shared" si="12"/>
        <v>46.48536</v>
      </c>
      <c r="D49" s="231">
        <f t="shared" si="12"/>
        <v>42.867599999999996</v>
      </c>
      <c r="E49" s="231">
        <f t="shared" si="12"/>
        <v>93.166080000000008</v>
      </c>
      <c r="F49" s="231">
        <f t="shared" si="12"/>
        <v>40.258470000000003</v>
      </c>
      <c r="G49" s="231">
        <f t="shared" si="12"/>
        <v>43.65</v>
      </c>
      <c r="H49" s="231">
        <f t="shared" si="12"/>
        <v>23.299890000000001</v>
      </c>
      <c r="I49" s="231">
        <f t="shared" si="12"/>
        <v>105.99</v>
      </c>
      <c r="J49" s="231">
        <f>+J48*$D$2/1000</f>
        <v>29.901255000000003</v>
      </c>
      <c r="K49" s="231">
        <f t="shared" ref="K49:W49" si="13">+K48*$D$2/1000</f>
        <v>29.564160000000005</v>
      </c>
      <c r="L49" s="231">
        <f t="shared" si="13"/>
        <v>47.58</v>
      </c>
      <c r="M49" s="180">
        <f t="shared" si="13"/>
        <v>25.513166666666667</v>
      </c>
      <c r="N49" s="231">
        <f t="shared" si="13"/>
        <v>42.140999999999998</v>
      </c>
      <c r="O49" s="231">
        <f t="shared" si="13"/>
        <v>69.632999999999996</v>
      </c>
      <c r="P49" s="231">
        <f t="shared" si="13"/>
        <v>63.911500000000004</v>
      </c>
      <c r="Q49" s="231">
        <f t="shared" si="13"/>
        <v>26.94</v>
      </c>
      <c r="R49" s="231">
        <f t="shared" si="13"/>
        <v>34.68</v>
      </c>
      <c r="S49" s="231">
        <f t="shared" si="13"/>
        <v>14.544029999999999</v>
      </c>
      <c r="T49" s="231">
        <f t="shared" si="13"/>
        <v>30.360000000000003</v>
      </c>
      <c r="U49" s="231">
        <f t="shared" si="13"/>
        <v>64.680000000000007</v>
      </c>
      <c r="V49" s="231">
        <f t="shared" si="13"/>
        <v>30.008640000000003</v>
      </c>
      <c r="W49" s="231">
        <f t="shared" si="13"/>
        <v>30.290333333333336</v>
      </c>
    </row>
    <row r="50" spans="1:23" s="238" customFormat="1">
      <c r="A50" s="239"/>
      <c r="B50" s="231"/>
      <c r="C50" s="231"/>
      <c r="D50" s="231"/>
      <c r="E50" s="231"/>
      <c r="F50" s="231"/>
      <c r="G50" s="231"/>
      <c r="H50" s="231"/>
      <c r="I50" s="231"/>
      <c r="J50" s="231"/>
      <c r="K50" s="231"/>
      <c r="L50" s="231"/>
      <c r="M50" s="180"/>
      <c r="N50" s="231"/>
      <c r="O50" s="231"/>
      <c r="P50" s="231"/>
      <c r="Q50" s="231"/>
      <c r="R50" s="231"/>
      <c r="S50" s="231"/>
      <c r="T50" s="231"/>
      <c r="U50" s="231"/>
      <c r="V50" s="231"/>
      <c r="W50" s="231"/>
    </row>
    <row r="51" spans="1:23" s="238" customFormat="1">
      <c r="A51" s="239" t="s">
        <v>106</v>
      </c>
      <c r="B51" s="231">
        <f t="shared" ref="B51:W51" si="14">+B37*B49*4</f>
        <v>6872.5159999999996</v>
      </c>
      <c r="C51" s="231">
        <f t="shared" si="14"/>
        <v>1458.1086912000001</v>
      </c>
      <c r="D51" s="231">
        <f t="shared" si="14"/>
        <v>3554.6072040000004</v>
      </c>
      <c r="E51" s="231">
        <f t="shared" si="14"/>
        <v>6735.9474835269048</v>
      </c>
      <c r="F51" s="231">
        <f t="shared" si="14"/>
        <v>3009.9235080176691</v>
      </c>
      <c r="G51" s="231">
        <f t="shared" si="14"/>
        <v>2747.9999999999991</v>
      </c>
      <c r="H51" s="231">
        <f t="shared" si="14"/>
        <v>1360.8120000000004</v>
      </c>
      <c r="I51" s="231">
        <f t="shared" si="14"/>
        <v>13453.733599999998</v>
      </c>
      <c r="J51" s="231">
        <f t="shared" si="14"/>
        <v>3277.6840000000002</v>
      </c>
      <c r="K51" s="231">
        <f t="shared" si="14"/>
        <v>2906.5203712000007</v>
      </c>
      <c r="L51" s="231">
        <f t="shared" si="14"/>
        <v>3041.2455999999993</v>
      </c>
      <c r="M51" s="180">
        <f t="shared" si="14"/>
        <v>2759.5041066666668</v>
      </c>
      <c r="N51" s="231">
        <f t="shared" si="14"/>
        <v>2068.2802799999999</v>
      </c>
      <c r="O51" s="231">
        <f t="shared" si="14"/>
        <v>7321.308</v>
      </c>
      <c r="P51" s="231">
        <f t="shared" si="14"/>
        <v>2910.5800000000004</v>
      </c>
      <c r="Q51" s="231">
        <f t="shared" si="14"/>
        <v>2591.8032000000003</v>
      </c>
      <c r="R51" s="231">
        <f t="shared" si="14"/>
        <v>2771.9999999999995</v>
      </c>
      <c r="S51" s="231">
        <f t="shared" si="14"/>
        <v>1673</v>
      </c>
      <c r="T51" s="231">
        <f t="shared" si="14"/>
        <v>1952.0920000000003</v>
      </c>
      <c r="U51" s="231">
        <f t="shared" si="14"/>
        <v>5525.3279999999986</v>
      </c>
      <c r="V51" s="231">
        <f t="shared" si="14"/>
        <v>3011.3752832000009</v>
      </c>
      <c r="W51" s="231">
        <f t="shared" si="14"/>
        <v>1292</v>
      </c>
    </row>
    <row r="52" spans="1:23" s="238" customFormat="1">
      <c r="A52" s="237" t="s">
        <v>143</v>
      </c>
      <c r="B52" s="231">
        <f>21+10695</f>
        <v>10716</v>
      </c>
      <c r="C52" s="231">
        <v>3475.95</v>
      </c>
      <c r="D52" s="231">
        <f>339+8094</f>
        <v>8433</v>
      </c>
      <c r="E52" s="231">
        <f>(1667+19323)/E62</f>
        <v>15786.906842254322</v>
      </c>
      <c r="F52" s="231">
        <f>(668+7715+(130+1337-869))/E62-66</f>
        <v>6688.7503740012426</v>
      </c>
      <c r="G52" s="231">
        <v>9547</v>
      </c>
      <c r="H52" s="231">
        <v>2000</v>
      </c>
      <c r="I52" s="231">
        <f>113+14832</f>
        <v>14945</v>
      </c>
      <c r="J52" s="231">
        <f>2.378+5766.647</f>
        <v>5769.0249999999996</v>
      </c>
      <c r="K52" s="231">
        <f>105+4567</f>
        <v>4672</v>
      </c>
      <c r="L52" s="231">
        <v>5786</v>
      </c>
      <c r="M52" s="180">
        <f>1250+800+1639</f>
        <v>3689</v>
      </c>
      <c r="N52" s="231">
        <f>500+6299</f>
        <v>6799</v>
      </c>
      <c r="O52" s="231">
        <v>5166.05</v>
      </c>
      <c r="P52" s="231">
        <f>704.677+350+3884.591</f>
        <v>4939.268</v>
      </c>
      <c r="Q52" s="231">
        <v>5384</v>
      </c>
      <c r="R52" s="231">
        <v>5501</v>
      </c>
      <c r="S52" s="231">
        <f>0.679+3110.098</f>
        <v>3110.777</v>
      </c>
      <c r="T52" s="231">
        <f>6837-230-500</f>
        <v>6107</v>
      </c>
      <c r="U52" s="231">
        <f>10203+116</f>
        <v>10319</v>
      </c>
      <c r="V52" s="231">
        <f>449+1836</f>
        <v>2285</v>
      </c>
      <c r="W52" s="231">
        <v>2267</v>
      </c>
    </row>
    <row r="53" spans="1:23" s="238" customFormat="1">
      <c r="A53" s="237" t="s">
        <v>142</v>
      </c>
      <c r="B53" s="182">
        <f>+B52/B51</f>
        <v>1.5592542818379762</v>
      </c>
      <c r="C53" s="182">
        <f>+C52/C51</f>
        <v>2.3838757844172429</v>
      </c>
      <c r="D53" s="182">
        <f t="shared" ref="D53:W53" si="15">+D52/D51</f>
        <v>2.3724140294630427</v>
      </c>
      <c r="E53" s="182">
        <f t="shared" si="15"/>
        <v>2.3436802143814202</v>
      </c>
      <c r="F53" s="182">
        <f>+F52/F51</f>
        <v>2.222232676738833</v>
      </c>
      <c r="G53" s="182">
        <f t="shared" si="15"/>
        <v>3.4741630276564788</v>
      </c>
      <c r="H53" s="182">
        <f t="shared" si="15"/>
        <v>1.4697107315338191</v>
      </c>
      <c r="I53" s="182">
        <f t="shared" si="15"/>
        <v>1.1108440559578199</v>
      </c>
      <c r="J53" s="182">
        <f t="shared" si="15"/>
        <v>1.7600918819507918</v>
      </c>
      <c r="K53" s="182">
        <f t="shared" si="15"/>
        <v>1.6074203526297992</v>
      </c>
      <c r="L53" s="182">
        <f t="shared" si="15"/>
        <v>1.9025099452671634</v>
      </c>
      <c r="M53" s="74">
        <f t="shared" si="15"/>
        <v>1.3368343939361318</v>
      </c>
      <c r="N53" s="182">
        <f t="shared" si="15"/>
        <v>3.2872720712687933</v>
      </c>
      <c r="O53" s="182">
        <f t="shared" si="15"/>
        <v>0.7056184495994432</v>
      </c>
      <c r="P53" s="182">
        <f t="shared" si="15"/>
        <v>1.697004720708587</v>
      </c>
      <c r="Q53" s="182">
        <f t="shared" si="15"/>
        <v>2.0773182161361632</v>
      </c>
      <c r="R53" s="182">
        <f t="shared" si="15"/>
        <v>1.9844877344877347</v>
      </c>
      <c r="S53" s="182">
        <f t="shared" si="15"/>
        <v>1.859400478182905</v>
      </c>
      <c r="T53" s="182">
        <f t="shared" si="15"/>
        <v>3.1284386186716606</v>
      </c>
      <c r="U53" s="182">
        <f t="shared" si="15"/>
        <v>1.8675814358894174</v>
      </c>
      <c r="V53" s="182">
        <f t="shared" si="15"/>
        <v>0.75878951811408668</v>
      </c>
      <c r="W53" s="182">
        <f t="shared" si="15"/>
        <v>1.7546439628482973</v>
      </c>
    </row>
    <row r="54" spans="1:23" s="238" customFormat="1">
      <c r="A54" s="237"/>
      <c r="B54" s="241"/>
      <c r="C54" s="241"/>
      <c r="D54" s="241"/>
      <c r="E54" s="241"/>
      <c r="F54" s="241"/>
      <c r="G54" s="241"/>
      <c r="H54" s="241"/>
      <c r="I54" s="241"/>
      <c r="J54" s="241"/>
      <c r="K54" s="241"/>
      <c r="L54" s="241"/>
      <c r="M54" s="260"/>
      <c r="N54" s="241"/>
      <c r="O54" s="241"/>
      <c r="P54" s="241"/>
      <c r="Q54" s="241"/>
      <c r="R54" s="241"/>
      <c r="S54" s="241"/>
      <c r="T54" s="241"/>
      <c r="U54" s="241"/>
      <c r="V54" s="241"/>
      <c r="W54" s="241"/>
    </row>
    <row r="55" spans="1:23" s="238" customFormat="1">
      <c r="A55" s="237" t="s">
        <v>171</v>
      </c>
      <c r="B55" s="241"/>
      <c r="C55" s="241"/>
      <c r="D55" s="241"/>
      <c r="E55" s="182">
        <f>+(531+360)/B5/E49</f>
        <v>7.1929077246290936</v>
      </c>
      <c r="F55" s="241"/>
      <c r="G55" s="241"/>
      <c r="H55" s="241"/>
      <c r="I55" s="241"/>
      <c r="J55" s="241"/>
      <c r="K55" s="241"/>
      <c r="L55" s="241"/>
      <c r="M55" s="260"/>
      <c r="N55" s="241"/>
      <c r="O55" s="241"/>
      <c r="P55" s="241"/>
      <c r="Q55" s="241"/>
      <c r="R55" s="241"/>
      <c r="S55" s="241"/>
      <c r="T55" s="241"/>
      <c r="U55" s="241"/>
      <c r="V55" s="241"/>
      <c r="W55" s="242"/>
    </row>
    <row r="56" spans="1:23" s="238" customFormat="1" ht="24.75" customHeight="1">
      <c r="A56" s="237" t="s">
        <v>127</v>
      </c>
      <c r="B56" s="243"/>
      <c r="C56" s="243"/>
      <c r="D56" s="243"/>
      <c r="E56" s="243"/>
      <c r="F56" s="243"/>
      <c r="G56" s="243"/>
      <c r="H56" s="243"/>
      <c r="I56" s="243"/>
      <c r="J56" s="243"/>
      <c r="K56" s="243"/>
      <c r="L56" s="243"/>
      <c r="M56" s="261"/>
      <c r="N56" s="243"/>
      <c r="O56" s="243"/>
      <c r="P56" s="243"/>
      <c r="Q56" s="243"/>
      <c r="R56" s="243"/>
      <c r="S56" s="243"/>
      <c r="T56" s="243"/>
      <c r="U56" s="243"/>
      <c r="V56" s="243"/>
      <c r="W56" s="242"/>
    </row>
    <row r="57" spans="1:23" s="238" customFormat="1" ht="14.25" customHeight="1">
      <c r="A57" s="237" t="s">
        <v>199</v>
      </c>
      <c r="B57" s="243"/>
      <c r="C57" s="243"/>
      <c r="D57" s="243"/>
      <c r="E57" s="243"/>
      <c r="F57" s="243"/>
      <c r="G57" s="243"/>
      <c r="H57" s="243"/>
      <c r="I57" s="243"/>
      <c r="J57" s="243"/>
      <c r="K57" s="243"/>
      <c r="L57" s="243"/>
      <c r="M57" s="261"/>
      <c r="N57" s="243"/>
      <c r="O57" s="243"/>
      <c r="P57" s="243"/>
      <c r="Q57" s="243"/>
      <c r="R57" s="243"/>
      <c r="S57" s="243"/>
      <c r="T57" s="243"/>
      <c r="U57" s="243"/>
      <c r="V57" s="243"/>
      <c r="W57" s="242"/>
    </row>
    <row r="58" spans="1:23" s="238" customFormat="1" ht="14.25" customHeight="1">
      <c r="A58" s="237"/>
      <c r="B58" s="243"/>
      <c r="C58" s="232"/>
      <c r="D58" s="232" t="s">
        <v>222</v>
      </c>
      <c r="E58" s="243"/>
      <c r="F58" s="243"/>
      <c r="G58" s="243"/>
      <c r="H58" s="243"/>
      <c r="I58" s="243"/>
      <c r="J58" s="243"/>
      <c r="K58" s="243"/>
      <c r="L58" s="243"/>
      <c r="M58" s="261"/>
      <c r="N58" s="243"/>
      <c r="O58" s="243"/>
      <c r="P58" s="243"/>
      <c r="Q58" s="243"/>
      <c r="R58" s="243"/>
      <c r="S58" s="243"/>
      <c r="T58" s="243"/>
      <c r="U58" s="243"/>
      <c r="V58" s="243"/>
      <c r="W58" s="242"/>
    </row>
    <row r="59" spans="1:23" s="238" customFormat="1" ht="14.25" customHeight="1">
      <c r="A59" s="237"/>
      <c r="B59" s="243"/>
      <c r="C59" s="189" t="s">
        <v>223</v>
      </c>
      <c r="D59" s="222">
        <v>19.265000000000001</v>
      </c>
      <c r="E59" s="243"/>
      <c r="F59" s="243"/>
      <c r="G59" s="243"/>
      <c r="H59" s="243"/>
      <c r="I59" s="243"/>
      <c r="J59" s="243"/>
      <c r="K59" s="243"/>
      <c r="L59" s="243"/>
      <c r="M59" s="261"/>
      <c r="N59" s="243"/>
      <c r="O59" s="243"/>
      <c r="P59" s="243"/>
      <c r="Q59" s="243"/>
      <c r="R59" s="243"/>
      <c r="S59" s="243"/>
      <c r="T59" s="243"/>
      <c r="U59" s="243"/>
      <c r="V59" s="243"/>
      <c r="W59" s="242"/>
    </row>
    <row r="60" spans="1:23" s="238" customFormat="1" ht="14.25" customHeight="1">
      <c r="A60" s="237"/>
      <c r="B60" s="243"/>
      <c r="C60" s="189" t="s">
        <v>59</v>
      </c>
      <c r="D60" s="222">
        <v>43.831000000000003</v>
      </c>
      <c r="E60" s="243"/>
      <c r="F60" s="243"/>
      <c r="G60" s="243"/>
      <c r="H60" s="243"/>
      <c r="I60" s="243"/>
      <c r="J60" s="243"/>
      <c r="K60" s="243"/>
      <c r="L60" s="243"/>
      <c r="M60" s="261"/>
      <c r="N60" s="243"/>
      <c r="O60" s="243"/>
      <c r="P60" s="243"/>
      <c r="Q60" s="243"/>
      <c r="R60" s="243"/>
      <c r="S60" s="243"/>
      <c r="T60" s="243"/>
      <c r="U60" s="243"/>
      <c r="V60" s="243"/>
      <c r="W60" s="242"/>
    </row>
    <row r="61" spans="1:23" s="238" customFormat="1" ht="33.75">
      <c r="A61" s="237"/>
      <c r="B61" s="243"/>
      <c r="C61" s="189"/>
      <c r="D61" s="189"/>
      <c r="E61" s="232" t="str">
        <f>$B$1&amp;" Average Rate (CAD/USD)"</f>
        <v>1Q19 Average Rate (CAD/USD)</v>
      </c>
      <c r="F61" s="232"/>
      <c r="G61" s="232"/>
      <c r="H61" s="232"/>
      <c r="I61" s="232"/>
      <c r="J61" s="232"/>
      <c r="K61" s="232"/>
      <c r="L61" s="232"/>
      <c r="M61" s="186"/>
      <c r="N61" s="232"/>
      <c r="O61" s="232"/>
      <c r="P61" s="232"/>
      <c r="Q61" s="232"/>
      <c r="R61" s="232"/>
      <c r="S61" s="232"/>
      <c r="T61" s="232"/>
      <c r="U61" s="232"/>
      <c r="V61" s="232"/>
      <c r="W61" s="242"/>
    </row>
    <row r="62" spans="1:23" s="248" customFormat="1">
      <c r="A62" s="244" t="s">
        <v>94</v>
      </c>
      <c r="B62" s="243"/>
      <c r="C62" s="243"/>
      <c r="D62" s="233"/>
      <c r="E62" s="182">
        <f>B5</f>
        <v>1.3295828125000002</v>
      </c>
      <c r="F62" s="233"/>
      <c r="G62" s="233"/>
      <c r="H62" s="233"/>
      <c r="I62" s="233"/>
      <c r="J62" s="233"/>
      <c r="K62" s="233"/>
      <c r="L62" s="233"/>
      <c r="M62" s="187"/>
      <c r="N62" s="233"/>
      <c r="O62" s="233"/>
      <c r="P62" s="233"/>
      <c r="Q62" s="233">
        <f>Q45*$D$2/1000</f>
        <v>14.76</v>
      </c>
      <c r="R62" s="233"/>
      <c r="S62" s="245" t="s">
        <v>208</v>
      </c>
      <c r="T62" s="246" t="s">
        <v>213</v>
      </c>
      <c r="U62" s="233"/>
      <c r="V62" s="233"/>
      <c r="W62" s="247"/>
    </row>
    <row r="63" spans="1:23" s="238" customFormat="1">
      <c r="A63" s="243"/>
      <c r="B63" s="243"/>
      <c r="C63" s="243"/>
      <c r="D63" s="232" t="s">
        <v>184</v>
      </c>
      <c r="E63" s="232"/>
      <c r="F63" s="249"/>
      <c r="G63" s="249"/>
      <c r="H63" s="249"/>
      <c r="I63" s="233">
        <f>I45*$D$2/1000</f>
        <v>68.94</v>
      </c>
      <c r="J63" s="249"/>
      <c r="K63" s="249"/>
      <c r="L63" s="249"/>
      <c r="M63" s="221"/>
      <c r="N63" s="249"/>
      <c r="O63" s="249"/>
      <c r="P63" s="249"/>
      <c r="Q63" s="233">
        <f>Q46*$D$2/1000</f>
        <v>3.6</v>
      </c>
      <c r="R63" s="249"/>
      <c r="S63" s="235">
        <v>25.88</v>
      </c>
      <c r="T63" s="235">
        <v>53.46</v>
      </c>
      <c r="U63" s="235">
        <f>U45*$D$2/1000</f>
        <v>40.409999999999997</v>
      </c>
      <c r="V63" s="249"/>
      <c r="W63" s="250">
        <f>W45*$D$2/1000</f>
        <v>0.85399999999999998</v>
      </c>
    </row>
    <row r="64" spans="1:23" s="238" customFormat="1">
      <c r="A64" s="243"/>
      <c r="B64" s="251"/>
      <c r="C64" s="251"/>
      <c r="D64" s="189" t="s">
        <v>178</v>
      </c>
      <c r="E64" s="222">
        <f>51.117+44.461</f>
        <v>95.578000000000003</v>
      </c>
      <c r="F64" s="249"/>
      <c r="G64" s="249"/>
      <c r="H64" s="249"/>
      <c r="I64" s="235">
        <f>I46*$D$2/1000</f>
        <v>9.27</v>
      </c>
      <c r="J64" s="249"/>
      <c r="K64" s="249"/>
      <c r="L64" s="249"/>
      <c r="M64" s="221"/>
      <c r="N64" s="249"/>
      <c r="O64" s="249"/>
      <c r="P64" s="249"/>
      <c r="Q64" s="233">
        <f>Q47*$D$2/1000</f>
        <v>51.48</v>
      </c>
      <c r="R64" s="249"/>
      <c r="S64" s="235">
        <v>61.048000000000002</v>
      </c>
      <c r="T64" s="235">
        <v>0</v>
      </c>
      <c r="U64" s="235">
        <f>U46*$D$2/1000</f>
        <v>10.17</v>
      </c>
      <c r="V64" s="249"/>
      <c r="W64" s="250">
        <f>W46*$D$2/1000</f>
        <v>5.6029999999999998</v>
      </c>
    </row>
    <row r="65" spans="1:23" s="238" customFormat="1">
      <c r="A65" s="243"/>
      <c r="B65" s="251"/>
      <c r="C65" s="251"/>
      <c r="D65" s="189" t="s">
        <v>179</v>
      </c>
      <c r="E65" s="222">
        <v>61.24</v>
      </c>
      <c r="F65" s="249"/>
      <c r="G65" s="249"/>
      <c r="H65" s="249"/>
      <c r="I65" s="235">
        <f>I47*$D$2/1000</f>
        <v>166.68</v>
      </c>
      <c r="J65" s="249"/>
      <c r="K65" s="249"/>
      <c r="L65" s="249"/>
      <c r="M65" s="221"/>
      <c r="N65" s="249"/>
      <c r="O65" s="249"/>
      <c r="P65" s="249"/>
      <c r="Q65" s="235"/>
      <c r="R65" s="249"/>
      <c r="S65" s="235">
        <v>6.4569999999999999</v>
      </c>
      <c r="T65" s="235">
        <v>61.01</v>
      </c>
      <c r="U65" s="235">
        <f>U47*$D$2/1000</f>
        <v>84.6</v>
      </c>
      <c r="V65" s="249"/>
      <c r="W65" s="250">
        <f>W47*$D$2/1000</f>
        <v>143</v>
      </c>
    </row>
    <row r="66" spans="1:23" s="238" customFormat="1">
      <c r="A66" s="243"/>
      <c r="B66" s="251"/>
      <c r="C66" s="251"/>
      <c r="D66" s="189" t="s">
        <v>180</v>
      </c>
      <c r="E66" s="222">
        <v>68.472999999999999</v>
      </c>
      <c r="F66" s="249"/>
      <c r="G66" s="249"/>
      <c r="H66" s="249"/>
      <c r="I66" s="235"/>
      <c r="J66" s="249"/>
      <c r="K66" s="249"/>
      <c r="L66" s="249"/>
      <c r="M66" s="221"/>
      <c r="N66" s="249"/>
      <c r="O66" s="249"/>
      <c r="P66" s="249"/>
      <c r="Q66" s="235">
        <f>Q62*Q10</f>
        <v>809.4384</v>
      </c>
      <c r="R66" s="249"/>
      <c r="S66" s="235">
        <v>7.9279999999999999</v>
      </c>
      <c r="T66" s="234" t="s">
        <v>216</v>
      </c>
      <c r="U66" s="235"/>
      <c r="V66" s="249"/>
      <c r="W66" s="250"/>
    </row>
    <row r="67" spans="1:23" s="238" customFormat="1">
      <c r="A67" s="243"/>
      <c r="B67" s="233"/>
      <c r="C67" s="251"/>
      <c r="D67" s="189" t="s">
        <v>181</v>
      </c>
      <c r="E67" s="222">
        <v>94.146000000000001</v>
      </c>
      <c r="F67" s="249"/>
      <c r="G67" s="249"/>
      <c r="H67" s="249"/>
      <c r="I67" s="235">
        <f>I63*I10</f>
        <v>3973.23</v>
      </c>
      <c r="J67" s="249"/>
      <c r="K67" s="249"/>
      <c r="L67" s="249"/>
      <c r="M67" s="221"/>
      <c r="N67" s="249"/>
      <c r="O67" s="249"/>
      <c r="P67" s="249"/>
      <c r="Q67" s="235">
        <f>Q63*Q12</f>
        <v>66.456000000000003</v>
      </c>
      <c r="R67" s="249"/>
      <c r="S67" s="235"/>
      <c r="T67" s="235">
        <v>113</v>
      </c>
      <c r="U67" s="235">
        <f>U63*U10</f>
        <v>2126.3741999999997</v>
      </c>
      <c r="V67" s="249"/>
      <c r="W67" s="250">
        <f>W63*W10</f>
        <v>38.839919999999999</v>
      </c>
    </row>
    <row r="68" spans="1:23" s="238" customFormat="1">
      <c r="A68" s="243"/>
      <c r="B68" s="233"/>
      <c r="C68" s="251"/>
      <c r="D68" s="189" t="s">
        <v>61</v>
      </c>
      <c r="E68" s="222">
        <v>416.20600000000002</v>
      </c>
      <c r="F68" s="249"/>
      <c r="G68" s="249"/>
      <c r="H68" s="249"/>
      <c r="I68" s="235">
        <f>I64*I12</f>
        <v>210.79979999999998</v>
      </c>
      <c r="J68" s="249"/>
      <c r="K68" s="249"/>
      <c r="L68" s="249"/>
      <c r="M68" s="221"/>
      <c r="N68" s="249"/>
      <c r="O68" s="249"/>
      <c r="P68" s="249"/>
      <c r="Q68" s="235">
        <f>Q64*Q14</f>
        <v>228.05639999999997</v>
      </c>
      <c r="R68" s="249"/>
      <c r="S68" s="235"/>
      <c r="T68" s="235">
        <v>0</v>
      </c>
      <c r="U68" s="235">
        <f>U64*U12</f>
        <v>184.4838</v>
      </c>
      <c r="V68" s="249"/>
      <c r="W68" s="250">
        <f>W64*W12</f>
        <v>80.963349999999991</v>
      </c>
    </row>
    <row r="69" spans="1:23" s="238" customFormat="1">
      <c r="A69" s="243"/>
      <c r="B69" s="233"/>
      <c r="C69" s="251"/>
      <c r="D69" s="189" t="s">
        <v>182</v>
      </c>
      <c r="E69" s="222">
        <v>25.713999999999999</v>
      </c>
      <c r="F69" s="249"/>
      <c r="G69" s="249"/>
      <c r="H69" s="249"/>
      <c r="I69" s="235">
        <f>I65*I14</f>
        <v>878.40359999999998</v>
      </c>
      <c r="J69" s="249"/>
      <c r="K69" s="249"/>
      <c r="L69" s="249"/>
      <c r="M69" s="221"/>
      <c r="N69" s="249"/>
      <c r="O69" s="249"/>
      <c r="P69" s="249"/>
      <c r="Q69" s="235">
        <f>Q68+Q67+Q66</f>
        <v>1103.9508000000001</v>
      </c>
      <c r="R69" s="249"/>
      <c r="S69" s="235">
        <v>0.50700000000000001</v>
      </c>
      <c r="T69" s="235">
        <f>12+1</f>
        <v>13</v>
      </c>
      <c r="U69" s="235">
        <f>U65*U14</f>
        <v>115.056</v>
      </c>
      <c r="V69" s="249"/>
      <c r="W69" s="250">
        <f>W65*W14</f>
        <v>406.12</v>
      </c>
    </row>
    <row r="70" spans="1:23" s="238" customFormat="1">
      <c r="A70" s="243"/>
      <c r="B70" s="233"/>
      <c r="C70" s="251"/>
      <c r="D70" s="189" t="s">
        <v>183</v>
      </c>
      <c r="E70" s="222">
        <v>22.155000000000001</v>
      </c>
      <c r="F70" s="249"/>
      <c r="G70" s="249"/>
      <c r="H70" s="249"/>
      <c r="I70" s="235">
        <f>I69+I68+I67</f>
        <v>5062.4333999999999</v>
      </c>
      <c r="J70" s="249"/>
      <c r="K70" s="249"/>
      <c r="L70" s="249"/>
      <c r="M70" s="221"/>
      <c r="N70" s="249"/>
      <c r="O70" s="249"/>
      <c r="P70" s="249"/>
      <c r="Q70" s="235">
        <f>Q69/Q49</f>
        <v>40.978129175946549</v>
      </c>
      <c r="R70" s="249"/>
      <c r="S70" s="245" t="s">
        <v>211</v>
      </c>
      <c r="T70" s="235">
        <f>+SUMPRODUCT(T63:T65,T67:T69)/SUM(T67:T69)</f>
        <v>54.23896825396826</v>
      </c>
      <c r="U70" s="235">
        <f>U69+U68+U67</f>
        <v>2425.9139999999998</v>
      </c>
      <c r="V70" s="249"/>
      <c r="W70" s="250">
        <f>W69+W68+W67</f>
        <v>525.92327</v>
      </c>
    </row>
    <row r="71" spans="1:23" s="238" customFormat="1">
      <c r="A71" s="243"/>
      <c r="B71" s="233"/>
      <c r="C71" s="251"/>
      <c r="D71" s="232" t="s">
        <v>185</v>
      </c>
      <c r="E71" s="232"/>
      <c r="F71" s="249"/>
      <c r="G71" s="249"/>
      <c r="H71" s="249"/>
      <c r="I71" s="235">
        <f>I70/I49</f>
        <v>47.76331163317294</v>
      </c>
      <c r="J71" s="249"/>
      <c r="K71" s="249"/>
      <c r="L71" s="249"/>
      <c r="M71" s="221"/>
      <c r="N71" s="249"/>
      <c r="O71" s="249"/>
      <c r="P71" s="249"/>
      <c r="Q71" s="235"/>
      <c r="R71" s="249"/>
      <c r="S71" s="235">
        <v>5.3010000000000002</v>
      </c>
      <c r="T71" s="234" t="s">
        <v>214</v>
      </c>
      <c r="U71" s="235">
        <f>U70/U49</f>
        <v>37.506400742115019</v>
      </c>
      <c r="V71" s="249"/>
      <c r="W71" s="250">
        <f>W70/W49</f>
        <v>17.362742899274796</v>
      </c>
    </row>
    <row r="72" spans="1:23" s="238" customFormat="1">
      <c r="A72" s="243"/>
      <c r="B72" s="233"/>
      <c r="C72" s="251"/>
      <c r="D72" s="189" t="s">
        <v>178</v>
      </c>
      <c r="E72" s="189">
        <v>49.13</v>
      </c>
      <c r="F72" s="249"/>
      <c r="G72" s="249"/>
      <c r="H72" s="249"/>
      <c r="I72" s="235"/>
      <c r="J72" s="249"/>
      <c r="K72" s="249"/>
      <c r="L72" s="249"/>
      <c r="M72" s="221"/>
      <c r="N72" s="249"/>
      <c r="O72" s="249"/>
      <c r="P72" s="249"/>
      <c r="Q72" s="235"/>
      <c r="R72" s="249"/>
      <c r="S72" s="235">
        <v>2.76</v>
      </c>
      <c r="T72" s="235">
        <v>17.86</v>
      </c>
      <c r="U72" s="249"/>
      <c r="V72" s="249"/>
      <c r="W72" s="242"/>
    </row>
    <row r="73" spans="1:23" s="238" customFormat="1">
      <c r="A73" s="243"/>
      <c r="B73" s="233"/>
      <c r="C73" s="233"/>
      <c r="D73" s="189" t="s">
        <v>179</v>
      </c>
      <c r="E73" s="189">
        <v>66.349999999999994</v>
      </c>
      <c r="F73" s="249"/>
      <c r="G73" s="249"/>
      <c r="H73" s="249"/>
      <c r="I73" s="249"/>
      <c r="J73" s="249"/>
      <c r="K73" s="249"/>
      <c r="L73" s="249"/>
      <c r="M73" s="221"/>
      <c r="N73" s="249"/>
      <c r="O73" s="249"/>
      <c r="P73" s="249"/>
      <c r="Q73" s="249"/>
      <c r="R73" s="249"/>
      <c r="S73" s="235">
        <v>1.093</v>
      </c>
      <c r="T73" s="235">
        <v>0</v>
      </c>
      <c r="U73" s="249"/>
      <c r="V73" s="249"/>
      <c r="W73" s="242"/>
    </row>
    <row r="74" spans="1:23" s="238" customFormat="1">
      <c r="A74" s="243"/>
      <c r="B74" s="233"/>
      <c r="C74" s="233"/>
      <c r="D74" s="189" t="s">
        <v>180</v>
      </c>
      <c r="E74" s="189">
        <v>71.08</v>
      </c>
      <c r="F74" s="249"/>
      <c r="G74" s="249"/>
      <c r="H74" s="249"/>
      <c r="I74" s="249"/>
      <c r="J74" s="249"/>
      <c r="K74" s="249"/>
      <c r="L74" s="249"/>
      <c r="M74" s="221"/>
      <c r="N74" s="249"/>
      <c r="O74" s="249"/>
      <c r="P74" s="249"/>
      <c r="Q74" s="249"/>
      <c r="R74" s="249"/>
      <c r="S74" s="235"/>
      <c r="T74" s="234" t="s">
        <v>218</v>
      </c>
      <c r="U74" s="249"/>
      <c r="V74" s="249"/>
      <c r="W74" s="242"/>
    </row>
    <row r="75" spans="1:23" s="238" customFormat="1">
      <c r="A75" s="243"/>
      <c r="B75" s="233"/>
      <c r="C75" s="251"/>
      <c r="D75" s="189" t="s">
        <v>181</v>
      </c>
      <c r="E75" s="189">
        <v>71.11</v>
      </c>
      <c r="F75" s="249"/>
      <c r="G75" s="249"/>
      <c r="H75" s="249"/>
      <c r="I75" s="249"/>
      <c r="J75" s="249"/>
      <c r="K75" s="249"/>
      <c r="L75" s="249"/>
      <c r="M75" s="221"/>
      <c r="N75" s="249"/>
      <c r="O75" s="249"/>
      <c r="P75" s="249"/>
      <c r="Q75" s="249"/>
      <c r="R75" s="249"/>
      <c r="S75" s="245" t="s">
        <v>212</v>
      </c>
      <c r="T75" s="235">
        <v>59</v>
      </c>
      <c r="U75" s="249"/>
      <c r="V75" s="249"/>
      <c r="W75" s="242"/>
    </row>
    <row r="76" spans="1:23" s="238" customFormat="1">
      <c r="A76" s="243"/>
      <c r="B76" s="233"/>
      <c r="C76" s="251"/>
      <c r="D76" s="189" t="s">
        <v>61</v>
      </c>
      <c r="E76" s="189">
        <v>66.11</v>
      </c>
      <c r="F76" s="249"/>
      <c r="G76" s="249"/>
      <c r="H76" s="249"/>
      <c r="I76" s="249"/>
      <c r="J76" s="249"/>
      <c r="K76" s="249"/>
      <c r="L76" s="249"/>
      <c r="M76" s="221"/>
      <c r="N76" s="249"/>
      <c r="O76" s="249"/>
      <c r="P76" s="249"/>
      <c r="Q76" s="249"/>
      <c r="R76" s="249"/>
      <c r="S76" s="235">
        <v>29.279</v>
      </c>
      <c r="T76" s="235">
        <v>0</v>
      </c>
      <c r="U76" s="249"/>
      <c r="V76" s="249"/>
      <c r="W76" s="242"/>
    </row>
    <row r="77" spans="1:23" s="238" customFormat="1">
      <c r="A77" s="243"/>
      <c r="B77" s="233"/>
      <c r="C77" s="251"/>
      <c r="D77" s="189" t="s">
        <v>182</v>
      </c>
      <c r="E77" s="189">
        <v>87.61</v>
      </c>
      <c r="F77" s="249"/>
      <c r="G77" s="249"/>
      <c r="H77" s="249"/>
      <c r="I77" s="249"/>
      <c r="J77" s="249"/>
      <c r="K77" s="249"/>
      <c r="L77" s="249"/>
      <c r="M77" s="221"/>
      <c r="N77" s="249"/>
      <c r="O77" s="249"/>
      <c r="P77" s="249"/>
      <c r="Q77" s="249"/>
      <c r="R77" s="249"/>
      <c r="S77" s="235">
        <v>19.574999999999999</v>
      </c>
      <c r="T77" s="235">
        <f>+SUMPRODUCT(T72:T73,T75:T76)/SUM(T75:T76)</f>
        <v>17.86</v>
      </c>
      <c r="U77" s="249"/>
      <c r="V77" s="249"/>
      <c r="W77" s="242"/>
    </row>
    <row r="78" spans="1:23" s="238" customFormat="1">
      <c r="A78" s="243"/>
      <c r="B78" s="233"/>
      <c r="C78" s="251"/>
      <c r="D78" s="189" t="s">
        <v>183</v>
      </c>
      <c r="E78" s="189">
        <v>81</v>
      </c>
      <c r="F78" s="249"/>
      <c r="G78" s="249"/>
      <c r="H78" s="249"/>
      <c r="I78" s="249"/>
      <c r="J78" s="249"/>
      <c r="K78" s="249"/>
      <c r="L78" s="249"/>
      <c r="M78" s="221"/>
      <c r="N78" s="249"/>
      <c r="O78" s="249"/>
      <c r="P78" s="249"/>
      <c r="Q78" s="249"/>
      <c r="R78" s="249"/>
      <c r="S78" s="235">
        <v>254.904</v>
      </c>
      <c r="T78" s="234" t="s">
        <v>215</v>
      </c>
      <c r="U78" s="249"/>
      <c r="V78" s="249"/>
      <c r="W78" s="242"/>
    </row>
    <row r="79" spans="1:23" s="238" customFormat="1">
      <c r="A79" s="243"/>
      <c r="B79" s="233"/>
      <c r="C79" s="251"/>
      <c r="D79" s="189" t="s">
        <v>70</v>
      </c>
      <c r="E79" s="223">
        <f>+SUMPRODUCT(E64:E70,E72:E78)/SUM(E64:E70)</f>
        <v>66.219204351688305</v>
      </c>
      <c r="F79" s="249"/>
      <c r="G79" s="249"/>
      <c r="H79" s="249"/>
      <c r="I79" s="249"/>
      <c r="J79" s="249"/>
      <c r="K79" s="249"/>
      <c r="L79" s="249"/>
      <c r="M79" s="221"/>
      <c r="N79" s="249"/>
      <c r="O79" s="249"/>
      <c r="P79" s="249"/>
      <c r="Q79" s="249"/>
      <c r="R79" s="249"/>
      <c r="S79" s="235"/>
      <c r="T79" s="235">
        <v>2.4900000000000002</v>
      </c>
      <c r="U79" s="249"/>
      <c r="V79" s="249"/>
      <c r="W79" s="242"/>
    </row>
    <row r="80" spans="1:23" s="248" customFormat="1">
      <c r="A80" s="244"/>
      <c r="B80" s="233"/>
      <c r="C80" s="251"/>
      <c r="D80" s="233"/>
      <c r="E80" s="233"/>
      <c r="F80" s="233"/>
      <c r="G80" s="233"/>
      <c r="H80" s="233"/>
      <c r="I80" s="233"/>
      <c r="J80" s="233"/>
      <c r="K80" s="233"/>
      <c r="L80" s="233"/>
      <c r="M80" s="187"/>
      <c r="N80" s="233"/>
      <c r="O80" s="233"/>
      <c r="P80" s="233"/>
      <c r="Q80" s="233"/>
      <c r="R80" s="233"/>
      <c r="S80" s="235"/>
      <c r="T80" s="235">
        <v>0</v>
      </c>
      <c r="U80" s="233"/>
      <c r="V80" s="233"/>
      <c r="W80" s="247"/>
    </row>
    <row r="81" spans="1:23" s="248" customFormat="1">
      <c r="A81" s="244"/>
      <c r="B81" s="233"/>
      <c r="C81" s="251"/>
      <c r="D81" s="233"/>
      <c r="E81" s="233"/>
      <c r="F81" s="233"/>
      <c r="G81" s="233"/>
      <c r="H81" s="233"/>
      <c r="I81" s="233"/>
      <c r="J81" s="233"/>
      <c r="K81" s="233"/>
      <c r="L81" s="233"/>
      <c r="M81" s="187"/>
      <c r="N81" s="233"/>
      <c r="O81" s="233"/>
      <c r="P81" s="233"/>
      <c r="Q81" s="233"/>
      <c r="R81" s="233"/>
      <c r="S81" s="245" t="s">
        <v>207</v>
      </c>
      <c r="T81" s="235">
        <v>5.57</v>
      </c>
      <c r="U81" s="233"/>
      <c r="V81" s="233"/>
      <c r="W81" s="247"/>
    </row>
    <row r="82" spans="1:23" s="248" customFormat="1">
      <c r="A82" s="244"/>
      <c r="B82" s="233"/>
      <c r="C82" s="233"/>
      <c r="D82" s="233"/>
      <c r="E82" s="233"/>
      <c r="F82" s="233"/>
      <c r="G82" s="233"/>
      <c r="H82" s="233"/>
      <c r="I82" s="233"/>
      <c r="J82" s="233"/>
      <c r="K82" s="233"/>
      <c r="L82" s="233"/>
      <c r="M82" s="187"/>
      <c r="N82" s="233"/>
      <c r="O82" s="233"/>
      <c r="P82" s="233"/>
      <c r="Q82" s="233"/>
      <c r="R82" s="233"/>
      <c r="S82" s="236">
        <v>57.36</v>
      </c>
      <c r="T82" s="250">
        <v>0.27</v>
      </c>
      <c r="U82" s="233"/>
      <c r="V82" s="233"/>
      <c r="W82" s="247"/>
    </row>
    <row r="83" spans="1:23" s="248" customFormat="1">
      <c r="A83" s="244"/>
      <c r="B83" s="233"/>
      <c r="C83" s="233"/>
      <c r="D83" s="233"/>
      <c r="E83" s="233"/>
      <c r="F83" s="233"/>
      <c r="G83" s="233"/>
      <c r="H83" s="233"/>
      <c r="I83" s="233"/>
      <c r="J83" s="233"/>
      <c r="K83" s="233"/>
      <c r="L83" s="233"/>
      <c r="M83" s="187"/>
      <c r="N83" s="233"/>
      <c r="O83" s="233"/>
      <c r="P83" s="233"/>
      <c r="Q83" s="233"/>
      <c r="R83" s="233"/>
      <c r="S83" s="236">
        <v>55.48</v>
      </c>
      <c r="T83" s="234" t="s">
        <v>217</v>
      </c>
      <c r="U83" s="233"/>
      <c r="V83" s="233"/>
      <c r="W83" s="247"/>
    </row>
    <row r="84" spans="1:23" s="248" customFormat="1">
      <c r="A84" s="244"/>
      <c r="B84" s="233"/>
      <c r="C84" s="233"/>
      <c r="D84" s="233"/>
      <c r="E84" s="233"/>
      <c r="F84" s="233"/>
      <c r="G84" s="233"/>
      <c r="H84" s="233"/>
      <c r="I84" s="233"/>
      <c r="J84" s="233"/>
      <c r="K84" s="233"/>
      <c r="L84" s="233"/>
      <c r="M84" s="187"/>
      <c r="N84" s="233"/>
      <c r="O84" s="233"/>
      <c r="P84" s="233"/>
      <c r="Q84" s="233"/>
      <c r="R84" s="233"/>
      <c r="S84" s="236">
        <v>47.06</v>
      </c>
      <c r="T84" s="235">
        <v>483</v>
      </c>
      <c r="U84" s="233"/>
      <c r="V84" s="233"/>
      <c r="W84" s="247"/>
    </row>
    <row r="85" spans="1:23" s="248" customFormat="1">
      <c r="A85" s="244"/>
      <c r="B85" s="192"/>
      <c r="C85" s="192"/>
      <c r="D85" s="233"/>
      <c r="E85" s="233"/>
      <c r="F85" s="233"/>
      <c r="G85" s="233"/>
      <c r="H85" s="233"/>
      <c r="I85" s="233"/>
      <c r="J85" s="233"/>
      <c r="K85" s="233"/>
      <c r="L85" s="233"/>
      <c r="M85" s="187"/>
      <c r="N85" s="233"/>
      <c r="O85" s="233"/>
      <c r="P85" s="233"/>
      <c r="Q85" s="233"/>
      <c r="R85" s="233"/>
      <c r="S85" s="236">
        <v>61.42</v>
      </c>
      <c r="T85" s="236">
        <v>0</v>
      </c>
      <c r="U85" s="233"/>
      <c r="V85" s="233"/>
      <c r="W85" s="247"/>
    </row>
    <row r="86" spans="1:23" s="248" customFormat="1">
      <c r="A86" s="244"/>
      <c r="B86" s="192"/>
      <c r="C86" s="192"/>
      <c r="D86" s="233"/>
      <c r="E86" s="233"/>
      <c r="F86" s="233"/>
      <c r="G86" s="233"/>
      <c r="H86" s="233"/>
      <c r="I86" s="233"/>
      <c r="J86" s="233"/>
      <c r="K86" s="233"/>
      <c r="L86" s="233"/>
      <c r="M86" s="187"/>
      <c r="N86" s="233"/>
      <c r="O86" s="233"/>
      <c r="P86" s="233"/>
      <c r="Q86" s="233"/>
      <c r="R86" s="233"/>
      <c r="S86" s="236">
        <v>62.7</v>
      </c>
      <c r="T86" s="236">
        <v>233</v>
      </c>
      <c r="U86" s="233"/>
      <c r="V86" s="233"/>
      <c r="W86" s="247"/>
    </row>
    <row r="87" spans="1:23" s="248" customFormat="1">
      <c r="A87" s="244"/>
      <c r="B87" s="192"/>
      <c r="C87" s="192"/>
      <c r="D87" s="233"/>
      <c r="E87" s="233"/>
      <c r="F87" s="233"/>
      <c r="G87" s="233"/>
      <c r="H87" s="233"/>
      <c r="I87" s="233"/>
      <c r="J87" s="233"/>
      <c r="K87" s="233"/>
      <c r="L87" s="233"/>
      <c r="M87" s="187"/>
      <c r="N87" s="233"/>
      <c r="O87" s="233"/>
      <c r="P87" s="233"/>
      <c r="Q87" s="233"/>
      <c r="R87" s="233"/>
      <c r="S87" s="236">
        <v>65.400000000000006</v>
      </c>
      <c r="T87" s="236">
        <v>168</v>
      </c>
      <c r="U87" s="233"/>
      <c r="V87" s="233"/>
      <c r="W87" s="247"/>
    </row>
    <row r="88" spans="1:23" s="248" customFormat="1">
      <c r="A88" s="244"/>
      <c r="B88" s="192"/>
      <c r="C88" s="192"/>
      <c r="D88" s="233"/>
      <c r="E88" s="233"/>
      <c r="F88" s="233"/>
      <c r="G88" s="233"/>
      <c r="H88" s="233"/>
      <c r="I88" s="233"/>
      <c r="J88" s="233"/>
      <c r="K88" s="233"/>
      <c r="L88" s="233"/>
      <c r="M88" s="187"/>
      <c r="N88" s="233"/>
      <c r="O88" s="233"/>
      <c r="P88" s="233"/>
      <c r="Q88" s="233"/>
      <c r="R88" s="233"/>
      <c r="S88" s="236">
        <v>67.900000000000006</v>
      </c>
      <c r="T88" s="236">
        <f>+SUMPRODUCT(T79:T82,T84:T87)/SUM(T84:T87)</f>
        <v>2.8799095022624441</v>
      </c>
      <c r="U88" s="233"/>
      <c r="V88" s="233"/>
      <c r="W88" s="247"/>
    </row>
    <row r="89" spans="1:23" s="248" customFormat="1">
      <c r="A89" s="244"/>
      <c r="B89" s="233"/>
      <c r="C89" s="233"/>
      <c r="D89" s="233"/>
      <c r="E89" s="233"/>
      <c r="F89" s="233"/>
      <c r="G89" s="233"/>
      <c r="H89" s="233"/>
      <c r="I89" s="233"/>
      <c r="J89" s="233"/>
      <c r="K89" s="233"/>
      <c r="L89" s="233"/>
      <c r="M89" s="187"/>
      <c r="N89" s="233"/>
      <c r="O89" s="233"/>
      <c r="P89" s="233"/>
      <c r="Q89" s="233"/>
      <c r="R89" s="233"/>
      <c r="S89" s="236">
        <f>+SUMPRODUCT(S63:S69,S82:S88)/SUM(S63:S69)</f>
        <v>55.948235317226484</v>
      </c>
      <c r="T89" s="236"/>
      <c r="U89" s="233"/>
      <c r="V89" s="233"/>
      <c r="W89" s="247"/>
    </row>
    <row r="90" spans="1:23" s="248" customFormat="1">
      <c r="A90" s="244"/>
      <c r="B90" s="233"/>
      <c r="C90" s="233"/>
      <c r="D90" s="233"/>
      <c r="E90" s="233"/>
      <c r="F90" s="233"/>
      <c r="G90" s="233"/>
      <c r="H90" s="233"/>
      <c r="I90" s="233"/>
      <c r="J90" s="233"/>
      <c r="K90" s="233"/>
      <c r="L90" s="233"/>
      <c r="M90" s="187"/>
      <c r="N90" s="233"/>
      <c r="O90" s="233"/>
      <c r="P90" s="233"/>
      <c r="Q90" s="233"/>
      <c r="R90" s="233"/>
      <c r="S90" s="252" t="s">
        <v>209</v>
      </c>
      <c r="T90" s="233"/>
      <c r="U90" s="233"/>
      <c r="V90" s="233"/>
      <c r="W90" s="247"/>
    </row>
    <row r="91" spans="1:23" s="248" customFormat="1">
      <c r="A91" s="244"/>
      <c r="B91" s="233"/>
      <c r="C91" s="233"/>
      <c r="D91" s="233"/>
      <c r="E91" s="233"/>
      <c r="F91" s="233"/>
      <c r="G91" s="233"/>
      <c r="H91" s="233"/>
      <c r="I91" s="233"/>
      <c r="J91" s="233"/>
      <c r="K91" s="233"/>
      <c r="L91" s="233"/>
      <c r="M91" s="187"/>
      <c r="N91" s="233"/>
      <c r="O91" s="233"/>
      <c r="P91" s="233"/>
      <c r="Q91" s="233"/>
      <c r="R91" s="233"/>
      <c r="S91" s="236">
        <v>12.89</v>
      </c>
      <c r="T91" s="233"/>
      <c r="U91" s="233"/>
      <c r="V91" s="233"/>
      <c r="W91" s="247"/>
    </row>
    <row r="92" spans="1:23" s="248" customFormat="1">
      <c r="A92" s="244"/>
      <c r="B92" s="233"/>
      <c r="C92" s="233"/>
      <c r="D92" s="233"/>
      <c r="E92" s="233"/>
      <c r="F92" s="233"/>
      <c r="G92" s="233"/>
      <c r="H92" s="233"/>
      <c r="I92" s="233"/>
      <c r="J92" s="233"/>
      <c r="K92" s="233"/>
      <c r="L92" s="233"/>
      <c r="M92" s="187"/>
      <c r="N92" s="233"/>
      <c r="O92" s="233"/>
      <c r="P92" s="233"/>
      <c r="Q92" s="233"/>
      <c r="R92" s="233"/>
      <c r="S92" s="236">
        <v>16.809999999999999</v>
      </c>
      <c r="T92" s="233"/>
      <c r="U92" s="233"/>
      <c r="V92" s="233"/>
      <c r="W92" s="247"/>
    </row>
    <row r="93" spans="1:23" s="248" customFormat="1">
      <c r="A93" s="244"/>
      <c r="B93" s="192"/>
      <c r="C93" s="192"/>
      <c r="D93" s="233"/>
      <c r="E93" s="233"/>
      <c r="F93" s="233"/>
      <c r="G93" s="233"/>
      <c r="H93" s="233"/>
      <c r="I93" s="233"/>
      <c r="J93" s="233"/>
      <c r="K93" s="233"/>
      <c r="L93" s="233"/>
      <c r="M93" s="187"/>
      <c r="N93" s="233"/>
      <c r="O93" s="233"/>
      <c r="P93" s="233"/>
      <c r="Q93" s="233"/>
      <c r="R93" s="233"/>
      <c r="S93" s="236">
        <v>35.159999999999997</v>
      </c>
      <c r="T93" s="233"/>
      <c r="U93" s="233"/>
      <c r="V93" s="233"/>
      <c r="W93" s="247"/>
    </row>
    <row r="94" spans="1:23" s="248" customFormat="1">
      <c r="A94" s="244"/>
      <c r="B94" s="192"/>
      <c r="C94" s="192"/>
      <c r="D94" s="233"/>
      <c r="E94" s="233"/>
      <c r="F94" s="233"/>
      <c r="G94" s="233"/>
      <c r="H94" s="233"/>
      <c r="I94" s="233"/>
      <c r="J94" s="233"/>
      <c r="K94" s="233"/>
      <c r="L94" s="233"/>
      <c r="M94" s="187"/>
      <c r="N94" s="233"/>
      <c r="O94" s="233"/>
      <c r="P94" s="233"/>
      <c r="Q94" s="233"/>
      <c r="R94" s="233"/>
      <c r="S94" s="236">
        <v>52.44</v>
      </c>
      <c r="T94" s="233"/>
      <c r="U94" s="233"/>
      <c r="V94" s="233"/>
      <c r="W94" s="247"/>
    </row>
    <row r="95" spans="1:23" s="248" customFormat="1">
      <c r="A95" s="244"/>
      <c r="B95" s="233"/>
      <c r="C95" s="233"/>
      <c r="D95" s="233"/>
      <c r="E95" s="233"/>
      <c r="F95" s="233"/>
      <c r="G95" s="233"/>
      <c r="H95" s="233"/>
      <c r="I95" s="233"/>
      <c r="J95" s="233"/>
      <c r="K95" s="233"/>
      <c r="L95" s="233"/>
      <c r="M95" s="187"/>
      <c r="N95" s="233"/>
      <c r="O95" s="233"/>
      <c r="P95" s="233"/>
      <c r="Q95" s="233"/>
      <c r="R95" s="233"/>
      <c r="S95" s="236">
        <f>+SUMPRODUCT(S71:S74,S91:S94)/SUM(S71:S74)</f>
        <v>16.730977714660259</v>
      </c>
      <c r="T95" s="233"/>
      <c r="U95" s="233"/>
      <c r="V95" s="233"/>
      <c r="W95" s="247"/>
    </row>
    <row r="96" spans="1:23" s="248" customFormat="1">
      <c r="A96" s="244"/>
      <c r="B96" s="233"/>
      <c r="C96" s="233"/>
      <c r="D96" s="233"/>
      <c r="E96" s="233"/>
      <c r="F96" s="233"/>
      <c r="G96" s="233"/>
      <c r="H96" s="233"/>
      <c r="I96" s="233"/>
      <c r="J96" s="233"/>
      <c r="K96" s="233"/>
      <c r="L96" s="233"/>
      <c r="M96" s="187"/>
      <c r="N96" s="233"/>
      <c r="O96" s="233"/>
      <c r="P96" s="233"/>
      <c r="Q96" s="233"/>
      <c r="R96" s="233"/>
      <c r="S96" s="252" t="s">
        <v>210</v>
      </c>
      <c r="T96" s="233"/>
      <c r="U96" s="233"/>
      <c r="V96" s="233"/>
      <c r="W96" s="247"/>
    </row>
    <row r="97" spans="1:23" s="248" customFormat="1">
      <c r="A97" s="244"/>
      <c r="B97" s="233"/>
      <c r="C97" s="233"/>
      <c r="D97" s="233"/>
      <c r="E97" s="233"/>
      <c r="F97" s="233"/>
      <c r="G97" s="233"/>
      <c r="H97" s="233"/>
      <c r="I97" s="233"/>
      <c r="J97" s="233"/>
      <c r="K97" s="233"/>
      <c r="L97" s="233"/>
      <c r="M97" s="187"/>
      <c r="N97" s="233"/>
      <c r="O97" s="233"/>
      <c r="P97" s="233"/>
      <c r="Q97" s="233"/>
      <c r="R97" s="233"/>
      <c r="S97" s="236">
        <v>2.2200000000000002</v>
      </c>
      <c r="T97" s="233"/>
      <c r="U97" s="233"/>
      <c r="V97" s="233"/>
      <c r="W97" s="247"/>
    </row>
    <row r="98" spans="1:23" s="248" customFormat="1">
      <c r="A98" s="244"/>
      <c r="B98" s="233"/>
      <c r="C98" s="233"/>
      <c r="D98" s="233"/>
      <c r="E98" s="233"/>
      <c r="F98" s="233"/>
      <c r="G98" s="233"/>
      <c r="H98" s="233"/>
      <c r="I98" s="233"/>
      <c r="J98" s="233"/>
      <c r="K98" s="233"/>
      <c r="L98" s="233"/>
      <c r="M98" s="187"/>
      <c r="N98" s="233"/>
      <c r="O98" s="233"/>
      <c r="P98" s="233"/>
      <c r="Q98" s="233"/>
      <c r="R98" s="233"/>
      <c r="S98" s="236">
        <v>1.42</v>
      </c>
      <c r="T98" s="233"/>
      <c r="U98" s="233"/>
      <c r="V98" s="233"/>
      <c r="W98" s="247"/>
    </row>
    <row r="99" spans="1:23" s="248" customFormat="1">
      <c r="B99" s="192"/>
      <c r="C99" s="192"/>
      <c r="D99" s="192"/>
      <c r="E99" s="192"/>
      <c r="F99" s="192"/>
      <c r="G99" s="192"/>
      <c r="H99" s="192"/>
      <c r="I99" s="192"/>
      <c r="J99" s="192"/>
      <c r="K99" s="192"/>
      <c r="L99" s="192"/>
      <c r="M99" s="190"/>
      <c r="N99" s="192"/>
      <c r="O99" s="192"/>
      <c r="P99" s="192"/>
      <c r="Q99" s="192"/>
      <c r="R99" s="192"/>
      <c r="S99" s="236">
        <v>1.95</v>
      </c>
      <c r="T99" s="192"/>
      <c r="U99" s="192"/>
      <c r="V99" s="192"/>
      <c r="W99" s="192"/>
    </row>
    <row r="100" spans="1:23" s="248" customFormat="1">
      <c r="B100" s="192"/>
      <c r="C100" s="192"/>
      <c r="D100" s="192"/>
      <c r="E100" s="192"/>
      <c r="F100" s="192"/>
      <c r="G100" s="192"/>
      <c r="H100" s="192"/>
      <c r="I100" s="192"/>
      <c r="J100" s="192"/>
      <c r="K100" s="192"/>
      <c r="L100" s="192"/>
      <c r="M100" s="190"/>
      <c r="N100" s="192"/>
      <c r="O100" s="192"/>
      <c r="P100" s="192"/>
      <c r="Q100" s="192"/>
      <c r="R100" s="192"/>
      <c r="S100" s="236">
        <v>4.54</v>
      </c>
      <c r="T100" s="192"/>
      <c r="U100" s="192"/>
      <c r="V100" s="192"/>
      <c r="W100" s="192"/>
    </row>
    <row r="101" spans="1:23" s="248" customFormat="1">
      <c r="B101" s="192"/>
      <c r="C101" s="192"/>
      <c r="D101" s="192"/>
      <c r="E101" s="192"/>
      <c r="F101" s="192"/>
      <c r="G101" s="192"/>
      <c r="H101" s="192"/>
      <c r="I101" s="192"/>
      <c r="J101" s="192"/>
      <c r="K101" s="192"/>
      <c r="L101" s="192"/>
      <c r="M101" s="190"/>
      <c r="N101" s="192"/>
      <c r="O101" s="192"/>
      <c r="P101" s="192"/>
      <c r="Q101" s="192"/>
      <c r="R101" s="192"/>
      <c r="S101" s="236">
        <v>0.24</v>
      </c>
      <c r="T101" s="192"/>
      <c r="U101" s="192"/>
      <c r="V101" s="192"/>
      <c r="W101" s="192"/>
    </row>
    <row r="102" spans="1:23" s="248" customFormat="1">
      <c r="B102" s="192"/>
      <c r="C102" s="192"/>
      <c r="D102" s="192"/>
      <c r="E102" s="192"/>
      <c r="F102" s="192"/>
      <c r="G102" s="192"/>
      <c r="H102" s="192"/>
      <c r="I102" s="192"/>
      <c r="J102" s="192"/>
      <c r="K102" s="192"/>
      <c r="L102" s="192"/>
      <c r="M102" s="190"/>
      <c r="N102" s="192"/>
      <c r="O102" s="192"/>
      <c r="P102" s="192"/>
      <c r="Q102" s="192"/>
      <c r="R102" s="192"/>
      <c r="S102" s="236">
        <f>+SUMPRODUCT(S76:S80,S97:S101)/SUM(S76:S80)</f>
        <v>1.941870436334187</v>
      </c>
      <c r="T102" s="192"/>
      <c r="U102" s="192"/>
      <c r="V102" s="192"/>
      <c r="W102" s="192"/>
    </row>
    <row r="103" spans="1:23" s="248" customFormat="1">
      <c r="B103" s="192"/>
      <c r="C103" s="192"/>
      <c r="D103" s="192"/>
      <c r="E103" s="192"/>
      <c r="F103" s="192"/>
      <c r="G103" s="192"/>
      <c r="H103" s="192"/>
      <c r="I103" s="192"/>
      <c r="J103" s="192"/>
      <c r="K103" s="192"/>
      <c r="L103" s="192"/>
      <c r="M103" s="190"/>
      <c r="N103" s="192"/>
      <c r="O103" s="192"/>
      <c r="P103" s="192"/>
      <c r="Q103" s="192"/>
      <c r="R103" s="192"/>
      <c r="S103" s="192"/>
      <c r="T103" s="192"/>
      <c r="U103" s="192"/>
      <c r="V103" s="192"/>
      <c r="W103" s="192"/>
    </row>
    <row r="104" spans="1:23" s="248" customFormat="1">
      <c r="B104" s="192"/>
      <c r="C104" s="192"/>
      <c r="D104" s="192"/>
      <c r="E104" s="192"/>
      <c r="F104" s="192"/>
      <c r="G104" s="192"/>
      <c r="H104" s="192"/>
      <c r="I104" s="192"/>
      <c r="J104" s="192"/>
      <c r="K104" s="192"/>
      <c r="L104" s="192"/>
      <c r="M104" s="190"/>
      <c r="N104" s="192"/>
      <c r="O104" s="192"/>
      <c r="P104" s="192"/>
      <c r="Q104" s="192"/>
      <c r="R104" s="192"/>
      <c r="S104" s="192"/>
      <c r="T104" s="192"/>
      <c r="U104" s="192"/>
      <c r="V104" s="192"/>
      <c r="W104" s="192"/>
    </row>
    <row r="105" spans="1:23" s="248" customFormat="1">
      <c r="B105" s="192"/>
      <c r="C105" s="192"/>
      <c r="D105" s="192"/>
      <c r="E105" s="192"/>
      <c r="F105" s="192"/>
      <c r="G105" s="192"/>
      <c r="H105" s="192"/>
      <c r="I105" s="192"/>
      <c r="J105" s="192"/>
      <c r="K105" s="192"/>
      <c r="L105" s="192"/>
      <c r="M105" s="192"/>
      <c r="N105" s="192"/>
      <c r="O105" s="192"/>
      <c r="P105" s="192"/>
      <c r="Q105" s="192"/>
      <c r="R105" s="192"/>
      <c r="S105" s="192"/>
      <c r="T105" s="192"/>
      <c r="U105" s="192"/>
      <c r="V105" s="192"/>
      <c r="W105" s="192"/>
    </row>
    <row r="106" spans="1:23">
      <c r="A106" s="266" t="s">
        <v>109</v>
      </c>
      <c r="B106" s="192"/>
      <c r="C106" s="192"/>
      <c r="D106" s="192"/>
      <c r="E106" s="192"/>
      <c r="F106" s="192"/>
      <c r="G106" s="192"/>
      <c r="H106" s="192"/>
      <c r="I106" s="192"/>
      <c r="J106" s="192"/>
      <c r="K106" s="192"/>
      <c r="L106" s="192"/>
      <c r="M106" s="192"/>
      <c r="N106" s="192"/>
      <c r="O106" s="192"/>
      <c r="P106" s="192"/>
      <c r="Q106" s="192"/>
      <c r="R106" s="192"/>
      <c r="S106" s="248"/>
      <c r="T106" s="248"/>
      <c r="U106" s="192"/>
      <c r="V106" s="192"/>
      <c r="W106" s="227"/>
    </row>
    <row r="107" spans="1:23">
      <c r="A107" s="266"/>
      <c r="B107" s="192" t="str">
        <f>B8</f>
        <v>APC</v>
      </c>
      <c r="C107" s="192" t="str">
        <f>C8</f>
        <v>AR</v>
      </c>
      <c r="D107" s="192" t="str">
        <f t="shared" ref="D107:W107" si="16">D8</f>
        <v>APA</v>
      </c>
      <c r="E107" s="192" t="str">
        <f t="shared" si="16"/>
        <v>CNQCN</v>
      </c>
      <c r="F107" s="192" t="str">
        <f t="shared" si="16"/>
        <v>CVECN</v>
      </c>
      <c r="G107" s="192" t="str">
        <f t="shared" si="16"/>
        <v>CHK</v>
      </c>
      <c r="H107" s="192" t="str">
        <f t="shared" si="16"/>
        <v>XEC</v>
      </c>
      <c r="I107" s="192" t="str">
        <f t="shared" si="16"/>
        <v>COP</v>
      </c>
      <c r="J107" s="192" t="str">
        <f t="shared" si="16"/>
        <v>CLR</v>
      </c>
      <c r="K107" s="192" t="str">
        <f t="shared" si="16"/>
        <v>CXO</v>
      </c>
      <c r="L107" s="192" t="str">
        <f t="shared" si="16"/>
        <v>DVN</v>
      </c>
      <c r="M107" s="192" t="str">
        <f t="shared" ref="M107" si="17">M8</f>
        <v>FANG</v>
      </c>
      <c r="N107" s="192" t="str">
        <f t="shared" si="16"/>
        <v>ECACN</v>
      </c>
      <c r="O107" s="192" t="str">
        <f t="shared" si="16"/>
        <v>EOG</v>
      </c>
      <c r="P107" s="192" t="str">
        <f t="shared" si="16"/>
        <v>EQT</v>
      </c>
      <c r="Q107" s="192" t="str">
        <f t="shared" si="16"/>
        <v>HES</v>
      </c>
      <c r="R107" s="192" t="str">
        <f t="shared" si="16"/>
        <v>MRO</v>
      </c>
      <c r="S107" s="192" t="str">
        <f t="shared" si="16"/>
        <v>MUR</v>
      </c>
      <c r="T107" s="192" t="str">
        <f t="shared" si="16"/>
        <v>NBL</v>
      </c>
      <c r="U107" s="192" t="str">
        <f t="shared" si="16"/>
        <v>OXY</v>
      </c>
      <c r="V107" s="192" t="str">
        <f t="shared" si="16"/>
        <v>PXD</v>
      </c>
      <c r="W107" s="227" t="str">
        <f t="shared" si="16"/>
        <v>SWN</v>
      </c>
    </row>
    <row r="108" spans="1:23">
      <c r="A108" s="266" t="s">
        <v>110</v>
      </c>
      <c r="B108" s="192">
        <f t="shared" ref="B108:W108" si="18">RANK(B36,$B$36:$W$36)</f>
        <v>6</v>
      </c>
      <c r="C108" s="192">
        <f t="shared" si="18"/>
        <v>19</v>
      </c>
      <c r="D108" s="192">
        <f t="shared" si="18"/>
        <v>17</v>
      </c>
      <c r="E108" s="192">
        <f t="shared" si="18"/>
        <v>11</v>
      </c>
      <c r="F108" s="192">
        <f t="shared" si="18"/>
        <v>8</v>
      </c>
      <c r="G108" s="192">
        <f t="shared" si="18"/>
        <v>21</v>
      </c>
      <c r="H108" s="192">
        <f t="shared" si="18"/>
        <v>13</v>
      </c>
      <c r="I108" s="192">
        <f t="shared" si="18"/>
        <v>1</v>
      </c>
      <c r="J108" s="192">
        <f t="shared" si="18"/>
        <v>7</v>
      </c>
      <c r="K108" s="192">
        <f t="shared" si="18"/>
        <v>10</v>
      </c>
      <c r="L108" s="192">
        <f t="shared" si="18"/>
        <v>14</v>
      </c>
      <c r="M108" s="192">
        <f t="shared" ref="M108" si="19">RANK(M36,$B$36:$W$36)</f>
        <v>3</v>
      </c>
      <c r="N108" s="192">
        <f t="shared" si="18"/>
        <v>20</v>
      </c>
      <c r="O108" s="192">
        <f t="shared" si="18"/>
        <v>2</v>
      </c>
      <c r="P108" s="192">
        <f t="shared" si="18"/>
        <v>15</v>
      </c>
      <c r="Q108" s="192">
        <f t="shared" si="18"/>
        <v>16</v>
      </c>
      <c r="R108" s="192">
        <f t="shared" si="18"/>
        <v>18</v>
      </c>
      <c r="S108" s="192">
        <f t="shared" si="18"/>
        <v>4</v>
      </c>
      <c r="T108" s="192">
        <f t="shared" si="18"/>
        <v>22</v>
      </c>
      <c r="U108" s="192">
        <f t="shared" si="18"/>
        <v>9</v>
      </c>
      <c r="V108" s="192">
        <f t="shared" si="18"/>
        <v>5</v>
      </c>
      <c r="W108" s="227">
        <f t="shared" si="18"/>
        <v>12</v>
      </c>
    </row>
    <row r="109" spans="1:23">
      <c r="A109" s="266"/>
      <c r="B109" s="192" t="str">
        <f>B107</f>
        <v>APC</v>
      </c>
      <c r="C109" s="192" t="str">
        <f>C107</f>
        <v>AR</v>
      </c>
      <c r="D109" s="192" t="str">
        <f t="shared" ref="D109:W109" si="20">D107</f>
        <v>APA</v>
      </c>
      <c r="E109" s="192" t="str">
        <f t="shared" si="20"/>
        <v>CNQCN</v>
      </c>
      <c r="F109" s="192" t="str">
        <f t="shared" si="20"/>
        <v>CVECN</v>
      </c>
      <c r="G109" s="192" t="str">
        <f t="shared" si="20"/>
        <v>CHK</v>
      </c>
      <c r="H109" s="192" t="str">
        <f t="shared" si="20"/>
        <v>XEC</v>
      </c>
      <c r="I109" s="192" t="str">
        <f t="shared" si="20"/>
        <v>COP</v>
      </c>
      <c r="J109" s="192" t="str">
        <f t="shared" si="20"/>
        <v>CLR</v>
      </c>
      <c r="K109" s="192" t="str">
        <f t="shared" si="20"/>
        <v>CXO</v>
      </c>
      <c r="L109" s="192" t="str">
        <f t="shared" si="20"/>
        <v>DVN</v>
      </c>
      <c r="M109" s="192" t="str">
        <f t="shared" ref="M109" si="21">M107</f>
        <v>FANG</v>
      </c>
      <c r="N109" s="192" t="str">
        <f t="shared" si="20"/>
        <v>ECACN</v>
      </c>
      <c r="O109" s="192" t="str">
        <f t="shared" si="20"/>
        <v>EOG</v>
      </c>
      <c r="P109" s="192" t="str">
        <f t="shared" si="20"/>
        <v>EQT</v>
      </c>
      <c r="Q109" s="192" t="str">
        <f t="shared" si="20"/>
        <v>HES</v>
      </c>
      <c r="R109" s="192" t="str">
        <f t="shared" si="20"/>
        <v>MRO</v>
      </c>
      <c r="S109" s="192" t="str">
        <f t="shared" si="20"/>
        <v>MUR</v>
      </c>
      <c r="T109" s="192" t="str">
        <f t="shared" si="20"/>
        <v>NBL</v>
      </c>
      <c r="U109" s="192" t="str">
        <f t="shared" si="20"/>
        <v>OXY</v>
      </c>
      <c r="V109" s="192" t="str">
        <f t="shared" si="20"/>
        <v>PXD</v>
      </c>
      <c r="W109" s="227" t="str">
        <f t="shared" si="20"/>
        <v>SWN</v>
      </c>
    </row>
    <row r="110" spans="1:23">
      <c r="A110" s="266" t="s">
        <v>107</v>
      </c>
      <c r="B110" s="192">
        <f t="shared" ref="B110:W110" si="22">RANK(B38,$B$38:$W$38)</f>
        <v>14</v>
      </c>
      <c r="C110" s="192">
        <f t="shared" si="22"/>
        <v>21</v>
      </c>
      <c r="D110" s="192">
        <f t="shared" si="22"/>
        <v>16</v>
      </c>
      <c r="E110" s="192">
        <f t="shared" si="22"/>
        <v>11</v>
      </c>
      <c r="F110" s="192">
        <f t="shared" si="22"/>
        <v>15</v>
      </c>
      <c r="G110" s="192">
        <f t="shared" si="22"/>
        <v>22</v>
      </c>
      <c r="H110" s="192">
        <f t="shared" si="22"/>
        <v>3</v>
      </c>
      <c r="I110" s="192">
        <f t="shared" si="22"/>
        <v>5</v>
      </c>
      <c r="J110" s="192">
        <f t="shared" si="22"/>
        <v>10</v>
      </c>
      <c r="K110" s="192">
        <f t="shared" si="22"/>
        <v>4</v>
      </c>
      <c r="L110" s="192">
        <f t="shared" si="22"/>
        <v>13</v>
      </c>
      <c r="M110" s="192">
        <f t="shared" ref="M110" si="23">RANK(M38,$B$38:$W$38)</f>
        <v>8</v>
      </c>
      <c r="N110" s="192">
        <f t="shared" si="22"/>
        <v>20</v>
      </c>
      <c r="O110" s="192">
        <f t="shared" si="22"/>
        <v>1</v>
      </c>
      <c r="P110" s="192">
        <f t="shared" si="22"/>
        <v>9</v>
      </c>
      <c r="Q110" s="192">
        <f t="shared" si="22"/>
        <v>18</v>
      </c>
      <c r="R110" s="192">
        <f t="shared" si="22"/>
        <v>6</v>
      </c>
      <c r="S110" s="192">
        <f t="shared" si="22"/>
        <v>12</v>
      </c>
      <c r="T110" s="192">
        <f t="shared" si="22"/>
        <v>19</v>
      </c>
      <c r="U110" s="192">
        <f t="shared" si="22"/>
        <v>7</v>
      </c>
      <c r="V110" s="192">
        <f t="shared" si="22"/>
        <v>2</v>
      </c>
      <c r="W110" s="227">
        <f t="shared" si="22"/>
        <v>17</v>
      </c>
    </row>
    <row r="111" spans="1:23">
      <c r="A111" s="266"/>
      <c r="B111" s="192" t="str">
        <f>B109</f>
        <v>APC</v>
      </c>
      <c r="C111" s="192" t="str">
        <f>C109</f>
        <v>AR</v>
      </c>
      <c r="D111" s="192" t="str">
        <f t="shared" ref="D111:W111" si="24">D109</f>
        <v>APA</v>
      </c>
      <c r="E111" s="192" t="str">
        <f t="shared" si="24"/>
        <v>CNQCN</v>
      </c>
      <c r="F111" s="192" t="str">
        <f t="shared" si="24"/>
        <v>CVECN</v>
      </c>
      <c r="G111" s="192" t="str">
        <f t="shared" si="24"/>
        <v>CHK</v>
      </c>
      <c r="H111" s="192" t="str">
        <f t="shared" si="24"/>
        <v>XEC</v>
      </c>
      <c r="I111" s="192" t="str">
        <f t="shared" si="24"/>
        <v>COP</v>
      </c>
      <c r="J111" s="192" t="str">
        <f t="shared" si="24"/>
        <v>CLR</v>
      </c>
      <c r="K111" s="192" t="str">
        <f t="shared" si="24"/>
        <v>CXO</v>
      </c>
      <c r="L111" s="192" t="str">
        <f t="shared" si="24"/>
        <v>DVN</v>
      </c>
      <c r="M111" s="192" t="str">
        <f t="shared" ref="M111" si="25">M109</f>
        <v>FANG</v>
      </c>
      <c r="N111" s="192" t="str">
        <f t="shared" si="24"/>
        <v>ECACN</v>
      </c>
      <c r="O111" s="192" t="str">
        <f t="shared" si="24"/>
        <v>EOG</v>
      </c>
      <c r="P111" s="192" t="str">
        <f t="shared" si="24"/>
        <v>EQT</v>
      </c>
      <c r="Q111" s="192" t="str">
        <f t="shared" si="24"/>
        <v>HES</v>
      </c>
      <c r="R111" s="192" t="str">
        <f t="shared" si="24"/>
        <v>MRO</v>
      </c>
      <c r="S111" s="192" t="str">
        <f t="shared" si="24"/>
        <v>MUR</v>
      </c>
      <c r="T111" s="192" t="str">
        <f t="shared" si="24"/>
        <v>NBL</v>
      </c>
      <c r="U111" s="192" t="str">
        <f t="shared" si="24"/>
        <v>OXY</v>
      </c>
      <c r="V111" s="192" t="str">
        <f t="shared" si="24"/>
        <v>PXD</v>
      </c>
      <c r="W111" s="227" t="str">
        <f t="shared" si="24"/>
        <v>SWN</v>
      </c>
    </row>
    <row r="112" spans="1:23" ht="15" thickBot="1">
      <c r="A112" s="267" t="s">
        <v>111</v>
      </c>
      <c r="B112" s="193">
        <f t="shared" ref="B112:W112" si="26">RANK(B35,$B$35:$W$35)</f>
        <v>7</v>
      </c>
      <c r="C112" s="193">
        <f t="shared" si="26"/>
        <v>22</v>
      </c>
      <c r="D112" s="193">
        <f t="shared" si="26"/>
        <v>12</v>
      </c>
      <c r="E112" s="193">
        <f t="shared" si="26"/>
        <v>14</v>
      </c>
      <c r="F112" s="193">
        <f t="shared" si="26"/>
        <v>13</v>
      </c>
      <c r="G112" s="193">
        <f t="shared" si="26"/>
        <v>18</v>
      </c>
      <c r="H112" s="193">
        <f t="shared" si="26"/>
        <v>16</v>
      </c>
      <c r="I112" s="193">
        <f t="shared" si="26"/>
        <v>1</v>
      </c>
      <c r="J112" s="193">
        <f t="shared" si="26"/>
        <v>4</v>
      </c>
      <c r="K112" s="193">
        <f t="shared" si="26"/>
        <v>8</v>
      </c>
      <c r="L112" s="193">
        <f t="shared" si="26"/>
        <v>15</v>
      </c>
      <c r="M112" s="193">
        <f t="shared" ref="M112" si="27">RANK(M35,$B$35:$W$35)</f>
        <v>5</v>
      </c>
      <c r="N112" s="193">
        <f t="shared" si="26"/>
        <v>20</v>
      </c>
      <c r="O112" s="193">
        <f t="shared" si="26"/>
        <v>3</v>
      </c>
      <c r="P112" s="193">
        <f t="shared" si="26"/>
        <v>19</v>
      </c>
      <c r="Q112" s="193">
        <f t="shared" si="26"/>
        <v>9</v>
      </c>
      <c r="R112" s="193">
        <f t="shared" si="26"/>
        <v>11</v>
      </c>
      <c r="S112" s="193">
        <f t="shared" si="26"/>
        <v>2</v>
      </c>
      <c r="T112" s="193">
        <f t="shared" si="26"/>
        <v>17</v>
      </c>
      <c r="U112" s="193">
        <f t="shared" si="26"/>
        <v>10</v>
      </c>
      <c r="V112" s="193">
        <f t="shared" si="26"/>
        <v>6</v>
      </c>
      <c r="W112" s="228">
        <f t="shared" si="26"/>
        <v>21</v>
      </c>
    </row>
    <row r="113" spans="1:23">
      <c r="A113" s="264"/>
      <c r="B113" s="190"/>
      <c r="C113" s="190"/>
      <c r="E113" s="190"/>
      <c r="F113" s="190"/>
      <c r="G113" s="190"/>
      <c r="H113" s="190"/>
      <c r="I113" s="190"/>
      <c r="J113" s="190"/>
      <c r="K113" s="190"/>
      <c r="L113" s="190"/>
      <c r="M113" s="190"/>
      <c r="N113" s="190"/>
      <c r="O113" s="190"/>
      <c r="P113" s="190"/>
      <c r="Q113" s="190"/>
      <c r="R113" s="190"/>
      <c r="S113" s="190"/>
      <c r="T113" s="190"/>
      <c r="U113" s="190"/>
      <c r="V113" s="190"/>
      <c r="W113" s="190"/>
    </row>
    <row r="114" spans="1:23">
      <c r="A114" s="264"/>
      <c r="B114" s="190"/>
      <c r="C114" s="190"/>
      <c r="E114" s="190"/>
      <c r="F114" s="190"/>
      <c r="G114" s="190"/>
      <c r="H114" s="190"/>
      <c r="I114" s="190"/>
      <c r="J114" s="190"/>
      <c r="K114" s="190"/>
      <c r="L114" s="190"/>
      <c r="M114" s="190"/>
      <c r="N114" s="190"/>
      <c r="O114" s="190"/>
      <c r="P114" s="190"/>
      <c r="Q114" s="190"/>
      <c r="R114" s="190"/>
      <c r="S114" s="190"/>
      <c r="T114" s="190"/>
      <c r="U114" s="190"/>
      <c r="V114" s="190"/>
      <c r="W114" s="190"/>
    </row>
    <row r="115" spans="1:23">
      <c r="A115" s="264"/>
      <c r="B115" s="190"/>
      <c r="C115" s="190"/>
      <c r="E115" s="190"/>
      <c r="F115" s="190"/>
      <c r="G115" s="190"/>
      <c r="H115" s="190"/>
      <c r="I115" s="190"/>
      <c r="J115" s="190"/>
      <c r="K115" s="190"/>
      <c r="L115" s="190"/>
      <c r="M115" s="190"/>
      <c r="N115" s="190"/>
      <c r="O115" s="190"/>
      <c r="P115" s="190"/>
      <c r="Q115" s="190"/>
      <c r="R115" s="190"/>
      <c r="S115" s="190"/>
      <c r="T115" s="190"/>
      <c r="U115" s="190"/>
      <c r="V115" s="190"/>
      <c r="W115" s="190"/>
    </row>
    <row r="116" spans="1:23">
      <c r="A116" s="264" t="s">
        <v>130</v>
      </c>
      <c r="B116" s="194">
        <f>B16-'4Q18 Actual'!B15</f>
        <v>41.917452949154757</v>
      </c>
      <c r="C116" s="194">
        <f>C16-'4Q18 Actual'!C15</f>
        <v>21.843548387096771</v>
      </c>
      <c r="D116" s="194">
        <f>D16-'4Q18 Actual'!C15</f>
        <v>35.300130071165867</v>
      </c>
      <c r="E116" s="194">
        <f>E16-'4Q18 Actual'!D15</f>
        <v>42.084451549298493</v>
      </c>
      <c r="F116" s="194">
        <f>F16-'4Q18 Actual'!E15</f>
        <v>36.249081168401517</v>
      </c>
      <c r="G116" s="194">
        <f>G16-'4Q18 Actual'!F15</f>
        <v>30.408574545172375</v>
      </c>
      <c r="H116" s="194">
        <f>H16-'4Q18 Actual'!F15</f>
        <v>26.574244244608547</v>
      </c>
      <c r="I116" s="194">
        <f>I16-'4Q18 Actual'!G15</f>
        <v>47.595084321554353</v>
      </c>
      <c r="J116" s="194">
        <f>J16-'4Q18 Actual'!H15</f>
        <v>38.721823608320761</v>
      </c>
      <c r="K116" s="194">
        <f>K16-'4Q18 Actual'!I15</f>
        <v>35.053548387096768</v>
      </c>
      <c r="L116" s="194">
        <f>L16-'4Q18 Actual'!J15</f>
        <v>30.256618614150653</v>
      </c>
      <c r="M116" s="194">
        <f>M16-'4Q18 Actual'!K15</f>
        <v>36.583548387096776</v>
      </c>
      <c r="N116" s="194">
        <f>N16-'4Q18 Actual'!K15</f>
        <v>30.343548387096774</v>
      </c>
      <c r="O116" s="194">
        <f>O16-'4Q18 Actual'!L15</f>
        <v>40.443948341141549</v>
      </c>
      <c r="P116" s="194">
        <f>P16-'4Q18 Actual'!N15</f>
        <v>21.050014594273886</v>
      </c>
      <c r="Q116" s="194">
        <f>Q16-'4Q18 Actual'!N15</f>
        <v>42.131677563043326</v>
      </c>
      <c r="R116" s="194">
        <f>R16-'4Q18 Actual'!O15</f>
        <v>34.955624511664247</v>
      </c>
      <c r="S116" s="194">
        <f>S16-'4Q18 Actual'!P15</f>
        <v>40.777837569668591</v>
      </c>
      <c r="T116" s="194">
        <f>T16-'4Q18 Actual'!Q15</f>
        <v>29.816525989204809</v>
      </c>
      <c r="U116" s="194">
        <f>U16-'4Q18 Actual'!R15</f>
        <v>39.381593787074941</v>
      </c>
      <c r="V116" s="194">
        <f>V16-'4Q18 Actual'!S15</f>
        <v>39.13458583981344</v>
      </c>
      <c r="W116" s="194">
        <f>W16-'4Q18 Actual'!T15</f>
        <v>18.748255808159165</v>
      </c>
    </row>
    <row r="117" spans="1:23">
      <c r="A117" s="264" t="s">
        <v>132</v>
      </c>
      <c r="B117" s="194">
        <f>B29-'4Q18 Actual'!B28</f>
        <v>2.1882641162173915</v>
      </c>
      <c r="C117" s="194">
        <f>C29-'4Q18 Actual'!C28</f>
        <v>1.67280773168563</v>
      </c>
      <c r="D117" s="194">
        <f>D29-'4Q18 Actual'!C28</f>
        <v>3.1892603052825308</v>
      </c>
      <c r="E117" s="194">
        <f>E29-'4Q18 Actual'!D28</f>
        <v>10.2571976434829</v>
      </c>
      <c r="F117" s="194">
        <f>F29-'4Q18 Actual'!E28</f>
        <v>0.26633846859232335</v>
      </c>
      <c r="G117" s="194">
        <f>G29-'4Q18 Actual'!F28</f>
        <v>3.4950564970493296</v>
      </c>
      <c r="H117" s="194">
        <f>H29-'4Q18 Actual'!F28</f>
        <v>-2.0141737361940066</v>
      </c>
      <c r="I117" s="194">
        <f>I29-'4Q18 Actual'!G28</f>
        <v>4.1214703680353324</v>
      </c>
      <c r="J117" s="194">
        <f>J29-'4Q18 Actual'!H28</f>
        <v>3.199047984755202</v>
      </c>
      <c r="K117" s="194">
        <f>K29-'4Q18 Actual'!I28</f>
        <v>-1.4784167501203918</v>
      </c>
      <c r="L117" s="194">
        <f>L29-'4Q18 Actual'!J28</f>
        <v>5.5590955224249434</v>
      </c>
      <c r="M117" s="194">
        <f>M29-'4Q18 Actual'!K28</f>
        <v>-2.166670095697862</v>
      </c>
      <c r="N117" s="194">
        <f>N29-'4Q18 Actual'!K28</f>
        <v>6.4778276618304371</v>
      </c>
      <c r="O117" s="194">
        <f>O29-'4Q18 Actual'!L28</f>
        <v>-0.7012160526087392</v>
      </c>
      <c r="P117" s="194">
        <f>P29-'4Q18 Actual'!N28</f>
        <v>8.6446648881656429E-2</v>
      </c>
      <c r="Q117" s="194">
        <f>Q29-'4Q18 Actual'!N28</f>
        <v>10.957260579064592</v>
      </c>
      <c r="R117" s="194">
        <f>R29-'4Q18 Actual'!O28</f>
        <v>2.3540053932255542</v>
      </c>
      <c r="S117" s="194">
        <f>S29-'4Q18 Actual'!P28</f>
        <v>4.8321368738702173</v>
      </c>
      <c r="T117" s="194">
        <f>T29-'4Q18 Actual'!Q28</f>
        <v>-2.7391343881120385</v>
      </c>
      <c r="U117" s="194">
        <f>U29-'4Q18 Actual'!R28</f>
        <v>3.3420748621175171</v>
      </c>
      <c r="V117" s="194">
        <f>V29-'4Q18 Actual'!S28</f>
        <v>2.5854385581933457</v>
      </c>
      <c r="W117" s="194">
        <f>W29-'4Q18 Actual'!T28</f>
        <v>-4.370383322905127</v>
      </c>
    </row>
    <row r="118" spans="1:23">
      <c r="A118" s="264" t="s">
        <v>129</v>
      </c>
      <c r="B118" s="195">
        <f>B49-'4Q18 Actual'!B48</f>
        <v>-636.99833333333333</v>
      </c>
      <c r="C118" s="195">
        <f>C49-'4Q18 Actual'!C48</f>
        <v>-488.92497333333324</v>
      </c>
      <c r="D118" s="195">
        <f>D49-'4Q18 Actual'!C48</f>
        <v>-492.54273333333327</v>
      </c>
      <c r="E118" s="195">
        <f>E49-'4Q18 Actual'!D48</f>
        <v>-365.05158666666665</v>
      </c>
      <c r="F118" s="195">
        <f>F49-'4Q18 Actual'!E48</f>
        <v>-1041.09953</v>
      </c>
      <c r="G118" s="195">
        <f>G49-'4Q18 Actual'!F48</f>
        <v>-389.10866666666669</v>
      </c>
      <c r="H118" s="195">
        <f>H49-'4Q18 Actual'!F48</f>
        <v>-409.45877666666667</v>
      </c>
      <c r="I118" s="195">
        <f>I49-'4Q18 Actual'!G48</f>
        <v>-313.17666666666668</v>
      </c>
      <c r="J118" s="195">
        <f>J49-'4Q18 Actual'!H48</f>
        <v>-221.358745</v>
      </c>
      <c r="K118" s="195">
        <f>K49-'4Q18 Actual'!I48</f>
        <v>-1143.2691733333334</v>
      </c>
      <c r="L118" s="195">
        <f>L49-'4Q18 Actual'!J48</f>
        <v>-276.42099999999999</v>
      </c>
      <c r="M118" s="195">
        <f>M49-'4Q18 Actual'!K48</f>
        <v>-281.58333333333331</v>
      </c>
      <c r="N118" s="195">
        <f>N49-'4Q18 Actual'!K48</f>
        <v>-264.95549999999997</v>
      </c>
      <c r="O118" s="195">
        <f>O49-'4Q18 Actual'!L48</f>
        <v>-451.20033333333339</v>
      </c>
      <c r="P118" s="195">
        <f>P49-'4Q18 Actual'!N48</f>
        <v>-339.62183333333331</v>
      </c>
      <c r="Q118" s="195">
        <f>Q49-'4Q18 Actual'!N48</f>
        <v>-376.59333333333331</v>
      </c>
      <c r="R118" s="195">
        <f>R49-'4Q18 Actual'!O48</f>
        <v>-729.72</v>
      </c>
      <c r="S118" s="195">
        <f>S49-'4Q18 Actual'!P48</f>
        <v>-699.05379608695648</v>
      </c>
      <c r="T118" s="195">
        <f>T49-'4Q18 Actual'!Q48</f>
        <v>-258.4733333333333</v>
      </c>
      <c r="U118" s="195">
        <f>U49-'4Q18 Actual'!R48</f>
        <v>-348.15333333333336</v>
      </c>
      <c r="V118" s="195">
        <f>V49-'4Q18 Actual'!S48</f>
        <v>-151.29102666666665</v>
      </c>
      <c r="W118" s="195">
        <f>W49-'4Q18 Actual'!T48</f>
        <v>-320.70966666666664</v>
      </c>
    </row>
    <row r="119" spans="1:23">
      <c r="A119" s="264"/>
      <c r="B119" s="190"/>
      <c r="C119" s="190"/>
      <c r="E119" s="190"/>
      <c r="F119" s="190"/>
      <c r="G119" s="190"/>
      <c r="H119" s="190"/>
      <c r="I119" s="190"/>
      <c r="J119" s="190"/>
      <c r="K119" s="190"/>
      <c r="L119" s="190"/>
      <c r="M119" s="190"/>
      <c r="N119" s="190"/>
      <c r="O119" s="190"/>
      <c r="P119" s="190"/>
      <c r="Q119" s="190"/>
      <c r="R119" s="190"/>
      <c r="S119" s="190"/>
      <c r="T119" s="190"/>
      <c r="U119" s="190"/>
      <c r="V119" s="190"/>
      <c r="W119" s="190"/>
    </row>
    <row r="120" spans="1:23">
      <c r="A120" s="264"/>
      <c r="B120" s="190"/>
      <c r="C120" s="190"/>
      <c r="E120" s="190"/>
      <c r="F120" s="190"/>
      <c r="G120" s="190"/>
      <c r="H120" s="190"/>
      <c r="I120" s="190"/>
      <c r="J120" s="190"/>
      <c r="K120" s="190"/>
      <c r="L120" s="190"/>
      <c r="M120" s="190"/>
      <c r="N120" s="190"/>
      <c r="O120" s="190"/>
      <c r="P120" s="190"/>
      <c r="Q120" s="190"/>
      <c r="R120" s="190"/>
      <c r="S120" s="190"/>
      <c r="T120" s="190"/>
      <c r="U120" s="190"/>
      <c r="V120" s="190"/>
      <c r="W120" s="190"/>
    </row>
    <row r="121" spans="1:23">
      <c r="A121" s="264"/>
      <c r="B121" s="190"/>
      <c r="C121" s="190"/>
      <c r="E121" s="190"/>
      <c r="F121" s="190"/>
      <c r="G121" s="190"/>
      <c r="H121" s="190"/>
      <c r="I121" s="190"/>
      <c r="J121" s="190"/>
      <c r="K121" s="190"/>
      <c r="L121" s="190"/>
      <c r="M121" s="190"/>
      <c r="N121" s="190"/>
      <c r="O121" s="190"/>
      <c r="P121" s="190"/>
      <c r="Q121" s="190"/>
      <c r="R121" s="190"/>
      <c r="S121" s="190"/>
      <c r="T121" s="190"/>
      <c r="U121" s="190"/>
      <c r="V121" s="190"/>
      <c r="W121" s="190"/>
    </row>
    <row r="122" spans="1:23">
      <c r="A122" s="264"/>
      <c r="B122" s="190"/>
      <c r="C122" s="190"/>
      <c r="E122" s="190"/>
      <c r="F122" s="190"/>
      <c r="G122" s="190"/>
      <c r="H122" s="190"/>
      <c r="I122" s="190"/>
      <c r="J122" s="190"/>
      <c r="K122" s="190"/>
      <c r="L122" s="190"/>
      <c r="M122" s="190"/>
      <c r="N122" s="190"/>
      <c r="O122" s="190"/>
      <c r="P122" s="190"/>
      <c r="Q122" s="190"/>
      <c r="R122" s="190"/>
      <c r="S122" s="190"/>
      <c r="T122" s="190"/>
      <c r="U122" s="190"/>
      <c r="V122" s="190"/>
      <c r="W122" s="190"/>
    </row>
    <row r="202" spans="2:21" ht="14.25" hidden="1" customHeight="1">
      <c r="O202" s="2" t="s">
        <v>58</v>
      </c>
    </row>
    <row r="203" spans="2:21" ht="14.25" hidden="1" customHeight="1">
      <c r="O203" s="2" t="s">
        <v>54</v>
      </c>
      <c r="Q203" s="2">
        <v>52.63</v>
      </c>
      <c r="R203" s="2">
        <v>176</v>
      </c>
      <c r="U203" s="2">
        <f>+R203*Q203</f>
        <v>9262.880000000001</v>
      </c>
    </row>
    <row r="204" spans="2:21" ht="14.25" hidden="1" customHeight="1">
      <c r="E204" s="2" t="s">
        <v>72</v>
      </c>
      <c r="F204" s="2" t="s">
        <v>73</v>
      </c>
      <c r="O204" s="2" t="s">
        <v>55</v>
      </c>
      <c r="Q204" s="2">
        <v>14.77</v>
      </c>
      <c r="R204" s="2">
        <v>37</v>
      </c>
      <c r="U204" s="2">
        <f>+R204*Q204</f>
        <v>546.49</v>
      </c>
    </row>
    <row r="205" spans="2:21" ht="14.25" hidden="1" customHeight="1">
      <c r="B205" s="2" t="s">
        <v>61</v>
      </c>
      <c r="D205" s="190">
        <v>95.057000000000002</v>
      </c>
      <c r="E205" s="2">
        <f>73.05</f>
        <v>73.05</v>
      </c>
      <c r="H205" s="2">
        <f>+E205*D205</f>
        <v>6943.9138499999999</v>
      </c>
      <c r="O205" s="2" t="s">
        <v>59</v>
      </c>
      <c r="Q205" s="2">
        <v>2.76</v>
      </c>
      <c r="R205" s="2">
        <v>361</v>
      </c>
      <c r="T205" s="2">
        <f>+R205/6</f>
        <v>60.166666666666664</v>
      </c>
      <c r="U205" s="2">
        <f>+R205*Q205</f>
        <v>996.3599999999999</v>
      </c>
    </row>
    <row r="206" spans="2:21" ht="14.25" hidden="1" customHeight="1">
      <c r="B206" s="2" t="s">
        <v>71</v>
      </c>
      <c r="D206" s="190">
        <f>458.144-D205</f>
        <v>363.08699999999999</v>
      </c>
      <c r="E206" s="2">
        <f>53.09</f>
        <v>53.09</v>
      </c>
      <c r="H206" s="2">
        <f>+E206*D206</f>
        <v>19276.288830000001</v>
      </c>
      <c r="I206" s="2">
        <f>+SUM(H205:H206)/(D205+D206)</f>
        <v>57.231356691345958</v>
      </c>
    </row>
    <row r="207" spans="2:21" ht="14.25" hidden="1" customHeight="1">
      <c r="O207" s="2" t="s">
        <v>60</v>
      </c>
    </row>
    <row r="208" spans="2:21" ht="14.25" hidden="1" customHeight="1">
      <c r="O208" s="2" t="s">
        <v>54</v>
      </c>
      <c r="Q208" s="2">
        <v>56.7</v>
      </c>
      <c r="R208" s="2">
        <v>33</v>
      </c>
      <c r="U208" s="2">
        <f>+R208*Q208</f>
        <v>1871.1000000000001</v>
      </c>
    </row>
    <row r="209" spans="5:21" ht="14.25" hidden="1" customHeight="1">
      <c r="E209" s="2">
        <v>608</v>
      </c>
      <c r="F209" s="2">
        <v>58</v>
      </c>
      <c r="O209" s="2" t="s">
        <v>55</v>
      </c>
      <c r="Q209" s="2">
        <v>3.1</v>
      </c>
      <c r="R209" s="2">
        <v>9</v>
      </c>
      <c r="U209" s="2">
        <f>+R209*Q209</f>
        <v>27.900000000000002</v>
      </c>
    </row>
    <row r="210" spans="5:21" ht="14.25" hidden="1" customHeight="1">
      <c r="E210" s="2">
        <v>138</v>
      </c>
      <c r="F210" s="2">
        <v>33.299999999999997</v>
      </c>
      <c r="O210" s="2" t="s">
        <v>59</v>
      </c>
      <c r="Q210" s="2">
        <v>0.78</v>
      </c>
      <c r="R210" s="2">
        <v>396</v>
      </c>
      <c r="T210" s="2">
        <f>+R210/6</f>
        <v>66</v>
      </c>
      <c r="U210" s="2">
        <f>+R210*Q210</f>
        <v>308.88</v>
      </c>
    </row>
    <row r="211" spans="5:21" ht="14.25" hidden="1" customHeight="1">
      <c r="F211" s="2">
        <f>+SUMPRODUCT(E209:E210,F209:F210)/SUM(E209:E210)</f>
        <v>53.430831099195714</v>
      </c>
    </row>
    <row r="212" spans="5:21" ht="14.25" hidden="1" customHeight="1">
      <c r="O212" s="2" t="s">
        <v>61</v>
      </c>
    </row>
    <row r="213" spans="5:21" ht="14.25" hidden="1" customHeight="1">
      <c r="O213" s="2" t="s">
        <v>54</v>
      </c>
      <c r="Q213" s="2">
        <v>52.46</v>
      </c>
      <c r="R213" s="2">
        <v>29</v>
      </c>
      <c r="U213" s="2">
        <f>+R213*Q213</f>
        <v>1521.34</v>
      </c>
    </row>
  </sheetData>
  <pageMargins left="0.7" right="0.7" top="0.75" bottom="0.75" header="0.3" footer="0.3"/>
  <pageSetup orientation="portrait" horizontalDpi="90" verticalDpi="90" r:id="rId1"/>
  <headerFooter>
    <oddFooter>&amp;C&amp;1#&amp;"Calibri"&amp;10 Restricted - External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Y210"/>
  <sheetViews>
    <sheetView showGridLines="0" zoomScale="87" zoomScaleNormal="87" workbookViewId="0">
      <pane xSplit="1" ySplit="8" topLeftCell="H42" activePane="bottomRight" state="frozen"/>
      <selection pane="topRight" activeCell="B1" sqref="B1"/>
      <selection pane="bottomLeft" activeCell="A8" sqref="A8"/>
      <selection pane="bottomRight" activeCell="C53" sqref="C53:W53"/>
    </sheetView>
  </sheetViews>
  <sheetFormatPr defaultRowHeight="14.25"/>
  <cols>
    <col min="1" max="1" width="20.5" style="1" customWidth="1"/>
    <col min="2" max="2" width="9.25" style="2" customWidth="1"/>
    <col min="3" max="3" width="11.875" style="2" customWidth="1"/>
    <col min="4" max="4" width="9.25" style="190" customWidth="1"/>
    <col min="5" max="8" width="9.25" style="2" customWidth="1"/>
    <col min="9" max="9" width="10.25" style="2" customWidth="1"/>
    <col min="10" max="12" width="9.25" style="2" customWidth="1"/>
    <col min="13" max="13" width="10.25" style="2" customWidth="1"/>
    <col min="14" max="23" width="9.25" style="2" customWidth="1"/>
    <col min="24" max="25" width="11.5" style="1" customWidth="1"/>
    <col min="26" max="26" width="10.75" style="1" bestFit="1" customWidth="1"/>
    <col min="27" max="16384" width="9" style="1"/>
  </cols>
  <sheetData>
    <row r="1" spans="1:25" s="9" customFormat="1" ht="15" thickBot="1">
      <c r="A1" s="212" t="str">
        <f>$B$1&amp;" Benchmarks"</f>
        <v>4Q18 Benchmarks</v>
      </c>
      <c r="B1" s="211" t="s">
        <v>206</v>
      </c>
      <c r="D1" s="183" t="str">
        <f>"Days in "&amp;$B$1</f>
        <v>Days in 4Q18</v>
      </c>
      <c r="E1" s="8"/>
      <c r="F1" s="8"/>
      <c r="G1" s="8"/>
      <c r="H1" s="8"/>
      <c r="I1" s="8"/>
      <c r="J1" s="8"/>
      <c r="K1" s="8"/>
      <c r="L1" s="8"/>
      <c r="M1" s="8"/>
      <c r="N1" s="8"/>
      <c r="O1" s="8"/>
      <c r="P1" s="8"/>
      <c r="Q1" s="19"/>
      <c r="R1" s="8"/>
      <c r="S1" s="8"/>
      <c r="T1" s="8"/>
      <c r="U1" s="8"/>
      <c r="V1" s="8"/>
      <c r="W1" s="8"/>
    </row>
    <row r="2" spans="1:25" s="9" customFormat="1" ht="15" thickBot="1">
      <c r="A2" s="212" t="s">
        <v>1</v>
      </c>
      <c r="B2" s="10">
        <v>59.31796874999997</v>
      </c>
      <c r="D2" s="198">
        <f>31+30+31</f>
        <v>92</v>
      </c>
      <c r="E2" s="8"/>
      <c r="F2" s="8"/>
      <c r="G2" s="8"/>
      <c r="H2" s="8"/>
      <c r="I2" s="8"/>
      <c r="J2" s="8"/>
      <c r="K2" s="8"/>
      <c r="L2" s="8"/>
      <c r="M2" s="8"/>
      <c r="N2" s="8"/>
      <c r="O2" s="8"/>
      <c r="P2" s="8"/>
      <c r="Q2" s="19"/>
      <c r="R2" s="8"/>
      <c r="S2" s="8"/>
      <c r="T2" s="8"/>
      <c r="U2" s="8"/>
      <c r="V2" s="8"/>
      <c r="W2" s="8"/>
    </row>
    <row r="3" spans="1:25" s="9" customFormat="1">
      <c r="A3" s="212" t="s">
        <v>0</v>
      </c>
      <c r="B3" s="10">
        <v>29.957229508196715</v>
      </c>
      <c r="C3" s="10"/>
      <c r="D3" s="8"/>
      <c r="E3" s="8"/>
      <c r="F3" s="8"/>
      <c r="G3" s="8"/>
      <c r="H3" s="8"/>
      <c r="I3" s="8"/>
      <c r="J3" s="8"/>
      <c r="K3" s="8"/>
      <c r="L3" s="135"/>
      <c r="M3" s="135"/>
      <c r="N3" s="8"/>
      <c r="O3" s="8"/>
      <c r="P3" s="8"/>
      <c r="Q3" s="19"/>
      <c r="R3" s="8"/>
      <c r="S3" s="8"/>
      <c r="T3" s="8"/>
      <c r="U3" s="8"/>
      <c r="V3" s="8"/>
      <c r="W3" s="8"/>
    </row>
    <row r="4" spans="1:25" s="9" customFormat="1">
      <c r="A4" s="212" t="s">
        <v>2</v>
      </c>
      <c r="B4" s="10">
        <v>3.7735483870967732</v>
      </c>
      <c r="C4" s="10"/>
      <c r="D4" s="8"/>
      <c r="E4" s="8"/>
      <c r="F4" s="8"/>
      <c r="G4" s="8"/>
      <c r="H4" s="8"/>
      <c r="I4" s="8"/>
      <c r="J4" s="135"/>
      <c r="K4" s="8"/>
      <c r="L4" s="8"/>
      <c r="M4" s="8"/>
      <c r="N4" s="8"/>
      <c r="O4" s="8"/>
      <c r="P4" s="8"/>
      <c r="Q4" s="197"/>
      <c r="R4" s="8"/>
      <c r="S4" s="8"/>
      <c r="T4" s="8"/>
      <c r="U4" s="8"/>
      <c r="V4" s="8"/>
      <c r="W4" s="8"/>
    </row>
    <row r="5" spans="1:25" s="9" customFormat="1">
      <c r="A5" s="212" t="s">
        <v>205</v>
      </c>
      <c r="B5" s="10">
        <v>1.3217863636363631</v>
      </c>
      <c r="C5" s="10"/>
      <c r="D5" s="8"/>
      <c r="E5" s="8"/>
      <c r="F5" s="8"/>
      <c r="G5" s="8"/>
      <c r="H5" s="8"/>
      <c r="I5" s="8"/>
      <c r="J5" s="135"/>
      <c r="K5" s="8"/>
      <c r="L5" s="8"/>
      <c r="M5" s="8"/>
      <c r="N5" s="8"/>
      <c r="O5" s="8"/>
      <c r="P5" s="8"/>
      <c r="Q5" s="19"/>
      <c r="R5" s="8"/>
      <c r="S5" s="8"/>
      <c r="T5" s="8"/>
      <c r="U5" s="8"/>
      <c r="V5" s="8"/>
      <c r="W5" s="8"/>
    </row>
    <row r="6" spans="1:25" s="9" customFormat="1" ht="38.25" customHeight="1" thickBot="1">
      <c r="A6" s="212"/>
      <c r="B6" s="8"/>
      <c r="C6" s="181"/>
      <c r="D6" s="8"/>
      <c r="E6" s="8"/>
      <c r="F6" s="8"/>
      <c r="G6" s="8"/>
      <c r="H6" s="8"/>
      <c r="I6" s="8"/>
      <c r="J6" s="175"/>
      <c r="K6" s="175"/>
      <c r="L6" s="175"/>
      <c r="M6" s="175"/>
      <c r="N6" s="181"/>
      <c r="O6" s="175"/>
      <c r="P6" s="175"/>
      <c r="Q6" s="176"/>
      <c r="R6" s="175"/>
      <c r="S6" s="175"/>
      <c r="T6" s="175"/>
      <c r="U6" s="181"/>
      <c r="V6" s="181"/>
      <c r="W6" s="175"/>
      <c r="X6" s="177"/>
      <c r="Y6" s="177"/>
    </row>
    <row r="7" spans="1:25" ht="26.25" thickBot="1">
      <c r="A7" s="173" t="s">
        <v>15</v>
      </c>
      <c r="B7" s="211" t="s">
        <v>17</v>
      </c>
      <c r="C7" s="211" t="s">
        <v>189</v>
      </c>
      <c r="D7" s="211" t="s">
        <v>18</v>
      </c>
      <c r="E7" s="211" t="s">
        <v>19</v>
      </c>
      <c r="F7" s="211" t="s">
        <v>21</v>
      </c>
      <c r="G7" s="211" t="s">
        <v>191</v>
      </c>
      <c r="H7" s="211" t="s">
        <v>22</v>
      </c>
      <c r="I7" s="211" t="s">
        <v>20</v>
      </c>
      <c r="J7" s="211" t="s">
        <v>23</v>
      </c>
      <c r="K7" s="211" t="s">
        <v>139</v>
      </c>
      <c r="L7" s="211" t="s">
        <v>24</v>
      </c>
      <c r="M7" s="253" t="s">
        <v>227</v>
      </c>
      <c r="N7" s="211" t="s">
        <v>25</v>
      </c>
      <c r="O7" s="211" t="s">
        <v>26</v>
      </c>
      <c r="P7" s="211" t="s">
        <v>187</v>
      </c>
      <c r="Q7" s="211" t="s">
        <v>27</v>
      </c>
      <c r="R7" s="211" t="s">
        <v>28</v>
      </c>
      <c r="S7" s="211" t="s">
        <v>193</v>
      </c>
      <c r="T7" s="211" t="s">
        <v>29</v>
      </c>
      <c r="U7" s="211" t="s">
        <v>30</v>
      </c>
      <c r="V7" s="211" t="s">
        <v>31</v>
      </c>
      <c r="W7" s="211" t="s">
        <v>32</v>
      </c>
    </row>
    <row r="8" spans="1:25" ht="18" customHeight="1" thickBot="1">
      <c r="A8" s="178" t="s">
        <v>16</v>
      </c>
      <c r="B8" s="179" t="s">
        <v>33</v>
      </c>
      <c r="C8" s="179" t="s">
        <v>190</v>
      </c>
      <c r="D8" s="179" t="s">
        <v>34</v>
      </c>
      <c r="E8" s="179" t="s">
        <v>35</v>
      </c>
      <c r="F8" s="179" t="s">
        <v>37</v>
      </c>
      <c r="G8" s="179" t="s">
        <v>192</v>
      </c>
      <c r="H8" s="179" t="s">
        <v>38</v>
      </c>
      <c r="I8" s="179" t="s">
        <v>36</v>
      </c>
      <c r="J8" s="179" t="s">
        <v>39</v>
      </c>
      <c r="K8" s="179" t="s">
        <v>140</v>
      </c>
      <c r="L8" s="179" t="s">
        <v>40</v>
      </c>
      <c r="M8" s="179" t="s">
        <v>226</v>
      </c>
      <c r="N8" s="179" t="s">
        <v>41</v>
      </c>
      <c r="O8" s="179" t="s">
        <v>42</v>
      </c>
      <c r="P8" s="179" t="s">
        <v>188</v>
      </c>
      <c r="Q8" s="179" t="s">
        <v>43</v>
      </c>
      <c r="R8" s="179" t="s">
        <v>44</v>
      </c>
      <c r="S8" s="179" t="s">
        <v>194</v>
      </c>
      <c r="T8" s="179" t="s">
        <v>45</v>
      </c>
      <c r="U8" s="179" t="s">
        <v>46</v>
      </c>
      <c r="V8" s="179" t="s">
        <v>47</v>
      </c>
      <c r="W8" s="179" t="s">
        <v>48</v>
      </c>
    </row>
    <row r="9" spans="1:25" s="9" customFormat="1">
      <c r="A9" s="214"/>
      <c r="B9" s="186"/>
      <c r="C9" s="186"/>
      <c r="D9" s="186"/>
      <c r="E9" s="186"/>
      <c r="F9" s="186"/>
      <c r="G9" s="186"/>
      <c r="H9" s="186"/>
      <c r="I9" s="186"/>
      <c r="J9" s="186"/>
      <c r="K9" s="186"/>
      <c r="L9" s="186"/>
      <c r="M9" s="186"/>
      <c r="N9" s="186"/>
      <c r="O9" s="186"/>
      <c r="P9" s="186"/>
      <c r="Q9" s="186"/>
      <c r="R9" s="186"/>
      <c r="S9" s="186"/>
      <c r="T9" s="186"/>
      <c r="U9" s="186"/>
      <c r="V9" s="186"/>
      <c r="W9" s="186"/>
    </row>
    <row r="10" spans="1:25" s="215" customFormat="1">
      <c r="A10" s="214" t="s">
        <v>50</v>
      </c>
      <c r="B10" s="74">
        <v>59.86</v>
      </c>
      <c r="C10" s="74">
        <v>51.83</v>
      </c>
      <c r="D10" s="74">
        <v>58.37</v>
      </c>
      <c r="E10" s="74">
        <f>+E76/E59</f>
        <v>29.559134694277855</v>
      </c>
      <c r="F10" s="74">
        <f>11.5/E59</f>
        <v>8.7020499999999998</v>
      </c>
      <c r="G10" s="74">
        <f>503/((G45*$D$2)/1000)</f>
        <v>65.087991718426508</v>
      </c>
      <c r="H10" s="74">
        <v>49.3</v>
      </c>
      <c r="I10" s="74">
        <f>+((63.74*705)+(11.65*74))/I45</f>
        <v>59.019072164948454</v>
      </c>
      <c r="J10" s="74">
        <f>900.872/(J45*$D$2/1000)</f>
        <v>52.382589344483819</v>
      </c>
      <c r="K10" s="74">
        <v>49.1</v>
      </c>
      <c r="L10" s="74">
        <v>27.99</v>
      </c>
      <c r="M10" s="74">
        <v>45.51</v>
      </c>
      <c r="N10" s="74">
        <v>59.62</v>
      </c>
      <c r="O10" s="74">
        <v>59.47</v>
      </c>
      <c r="P10" s="74">
        <v>46.17</v>
      </c>
      <c r="Q10" s="74">
        <v>58.11</v>
      </c>
      <c r="R10" s="74">
        <f>(56.01*180+58.25*29)/R$45</f>
        <v>56.320813397129186</v>
      </c>
      <c r="S10" s="74">
        <f>+S86</f>
        <v>57.09306607537907</v>
      </c>
      <c r="T10" s="74">
        <f>+T67</f>
        <v>54.175652173913043</v>
      </c>
      <c r="U10" s="74">
        <v>56.11</v>
      </c>
      <c r="V10" s="74">
        <v>49.8</v>
      </c>
      <c r="W10" s="74">
        <v>50.87</v>
      </c>
    </row>
    <row r="11" spans="1:25" s="215" customFormat="1">
      <c r="A11" s="214" t="s">
        <v>3</v>
      </c>
      <c r="B11" s="74">
        <f t="shared" ref="B11:W11" si="0">+B10-$B$2</f>
        <v>0.54203125000002927</v>
      </c>
      <c r="C11" s="74">
        <f t="shared" si="0"/>
        <v>-7.4879687499999719</v>
      </c>
      <c r="D11" s="74">
        <f t="shared" si="0"/>
        <v>-0.94796874999997272</v>
      </c>
      <c r="E11" s="74">
        <f t="shared" si="0"/>
        <v>-29.758834055722115</v>
      </c>
      <c r="F11" s="74">
        <f t="shared" si="0"/>
        <v>-50.61591874999997</v>
      </c>
      <c r="G11" s="74">
        <f t="shared" si="0"/>
        <v>5.7700229684265381</v>
      </c>
      <c r="H11" s="74">
        <f t="shared" si="0"/>
        <v>-10.017968749999973</v>
      </c>
      <c r="I11" s="74">
        <f t="shared" si="0"/>
        <v>-0.29889658505151573</v>
      </c>
      <c r="J11" s="74">
        <f t="shared" si="0"/>
        <v>-6.9353794055161515</v>
      </c>
      <c r="K11" s="74">
        <f t="shared" si="0"/>
        <v>-10.217968749999969</v>
      </c>
      <c r="L11" s="74">
        <f t="shared" si="0"/>
        <v>-31.327968749999972</v>
      </c>
      <c r="M11" s="74">
        <f t="shared" si="0"/>
        <v>-13.807968749999972</v>
      </c>
      <c r="N11" s="74">
        <f t="shared" si="0"/>
        <v>0.30203125000002728</v>
      </c>
      <c r="O11" s="74">
        <f t="shared" si="0"/>
        <v>0.15203125000002871</v>
      </c>
      <c r="P11" s="74">
        <f t="shared" si="0"/>
        <v>-13.147968749999968</v>
      </c>
      <c r="Q11" s="74">
        <f t="shared" si="0"/>
        <v>-1.2079687499999707</v>
      </c>
      <c r="R11" s="74">
        <f t="shared" si="0"/>
        <v>-2.9971553528707844</v>
      </c>
      <c r="S11" s="74">
        <f t="shared" si="0"/>
        <v>-2.2249026746208997</v>
      </c>
      <c r="T11" s="74">
        <f t="shared" si="0"/>
        <v>-5.1423165760869267</v>
      </c>
      <c r="U11" s="74">
        <f t="shared" si="0"/>
        <v>-3.2079687499999707</v>
      </c>
      <c r="V11" s="74">
        <f t="shared" si="0"/>
        <v>-9.517968749999973</v>
      </c>
      <c r="W11" s="74">
        <f t="shared" si="0"/>
        <v>-8.4479687499999727</v>
      </c>
    </row>
    <row r="12" spans="1:25" s="215" customFormat="1">
      <c r="A12" s="214" t="s">
        <v>51</v>
      </c>
      <c r="B12" s="74">
        <v>28.2</v>
      </c>
      <c r="C12" s="74">
        <f>(30.92*102860+13.12*46988)/(102860+46988)</f>
        <v>25.338434680476219</v>
      </c>
      <c r="D12" s="74">
        <v>24.42</v>
      </c>
      <c r="E12" s="74"/>
      <c r="F12" s="74">
        <f>31.79/E59</f>
        <v>24.055492999999998</v>
      </c>
      <c r="G12" s="74">
        <f>98/((G46*$D$2)/1000)</f>
        <v>35.507246376811594</v>
      </c>
      <c r="H12" s="74">
        <v>20.71</v>
      </c>
      <c r="I12" s="74">
        <v>26.61</v>
      </c>
      <c r="J12" s="74"/>
      <c r="K12" s="74"/>
      <c r="L12" s="74">
        <v>22.15</v>
      </c>
      <c r="M12" s="74">
        <v>21.1</v>
      </c>
      <c r="N12" s="74">
        <v>31.96</v>
      </c>
      <c r="O12" s="74">
        <v>23.54</v>
      </c>
      <c r="P12" s="74">
        <f>+(36.17*1992+8.92*1371)/(1992+1371)</f>
        <v>25.060945584299731</v>
      </c>
      <c r="Q12" s="74">
        <v>21.19</v>
      </c>
      <c r="R12" s="74">
        <f>(24.71*55+2.25*10)/R46</f>
        <v>21.254615384615384</v>
      </c>
      <c r="S12" s="74">
        <f>+S92</f>
        <v>26.374360364045412</v>
      </c>
      <c r="T12" s="74">
        <f>+T74</f>
        <v>24.84</v>
      </c>
      <c r="U12" s="74">
        <v>22.88</v>
      </c>
      <c r="V12" s="74">
        <v>26.88</v>
      </c>
      <c r="W12" s="74">
        <v>18.59</v>
      </c>
    </row>
    <row r="13" spans="1:25" s="215" customFormat="1">
      <c r="A13" s="214" t="s">
        <v>3</v>
      </c>
      <c r="B13" s="74">
        <f t="shared" ref="B13:W13" si="1">+B12-$B$3</f>
        <v>-1.7572295081967155</v>
      </c>
      <c r="C13" s="74">
        <f t="shared" si="1"/>
        <v>-4.618794827720496</v>
      </c>
      <c r="D13" s="74">
        <f t="shared" si="1"/>
        <v>-5.5372295081967131</v>
      </c>
      <c r="E13" s="74"/>
      <c r="F13" s="74">
        <f t="shared" si="1"/>
        <v>-5.9017365081967164</v>
      </c>
      <c r="G13" s="74">
        <f t="shared" si="1"/>
        <v>5.550016868614879</v>
      </c>
      <c r="H13" s="74">
        <f t="shared" si="1"/>
        <v>-9.247229508196714</v>
      </c>
      <c r="I13" s="74">
        <f t="shared" si="1"/>
        <v>-3.3472295081967154</v>
      </c>
      <c r="J13" s="74"/>
      <c r="K13" s="74"/>
      <c r="L13" s="74">
        <f t="shared" si="1"/>
        <v>-7.8072295081967162</v>
      </c>
      <c r="M13" s="74">
        <f t="shared" si="1"/>
        <v>-8.8572295081967134</v>
      </c>
      <c r="N13" s="74">
        <f t="shared" si="1"/>
        <v>2.002770491803286</v>
      </c>
      <c r="O13" s="74">
        <f t="shared" si="1"/>
        <v>-6.4172295081967157</v>
      </c>
      <c r="P13" s="74">
        <f t="shared" si="1"/>
        <v>-4.8962839238969842</v>
      </c>
      <c r="Q13" s="74">
        <f t="shared" si="1"/>
        <v>-8.7672295081967135</v>
      </c>
      <c r="R13" s="74">
        <f t="shared" si="1"/>
        <v>-8.7026141235813306</v>
      </c>
      <c r="S13" s="74">
        <f t="shared" si="1"/>
        <v>-3.582869144151303</v>
      </c>
      <c r="T13" s="74">
        <f t="shared" si="1"/>
        <v>-5.117229508196715</v>
      </c>
      <c r="U13" s="74">
        <f t="shared" si="1"/>
        <v>-7.0772295081967158</v>
      </c>
      <c r="V13" s="74">
        <f t="shared" si="1"/>
        <v>-3.0772295081967158</v>
      </c>
      <c r="W13" s="74">
        <f t="shared" si="1"/>
        <v>-11.367229508196715</v>
      </c>
    </row>
    <row r="14" spans="1:25" s="215" customFormat="1">
      <c r="A14" s="214" t="s">
        <v>52</v>
      </c>
      <c r="B14" s="74">
        <v>3.14</v>
      </c>
      <c r="C14" s="74">
        <v>3.83</v>
      </c>
      <c r="D14" s="74">
        <v>2.57</v>
      </c>
      <c r="E14" s="74">
        <f>3.46/E59</f>
        <v>2.618182</v>
      </c>
      <c r="F14" s="74">
        <f>2.04/E59</f>
        <v>1.543668</v>
      </c>
      <c r="G14" s="74">
        <f>664/((G47*$D$2)/1000)</f>
        <v>3.9417756987153609</v>
      </c>
      <c r="H14" s="74">
        <v>2.16</v>
      </c>
      <c r="I14" s="74">
        <v>6.05</v>
      </c>
      <c r="J14" s="74">
        <f>253.232/(J47*$D$2/1000)</f>
        <v>3.3469297729461198</v>
      </c>
      <c r="K14" s="74">
        <v>2.82</v>
      </c>
      <c r="L14" s="74">
        <v>2.88</v>
      </c>
      <c r="M14" s="74">
        <v>1.62</v>
      </c>
      <c r="N14" s="74">
        <v>2.62</v>
      </c>
      <c r="O14" s="74">
        <v>3.42</v>
      </c>
      <c r="P14" s="74">
        <f>3.86-0.26</f>
        <v>3.5999999999999996</v>
      </c>
      <c r="Q14" s="74">
        <v>4.82</v>
      </c>
      <c r="R14" s="74">
        <f>(3.27*422+0.49*411)/R47</f>
        <v>1.8983553421368546</v>
      </c>
      <c r="S14" s="74">
        <f>+S99</f>
        <v>2.4789625472833361</v>
      </c>
      <c r="T14" s="74">
        <f>+T85</f>
        <v>2.9187899543378997</v>
      </c>
      <c r="U14" s="74">
        <v>1.33</v>
      </c>
      <c r="V14" s="74">
        <v>1.75</v>
      </c>
      <c r="W14" s="74">
        <v>2.98</v>
      </c>
    </row>
    <row r="15" spans="1:25" s="215" customFormat="1">
      <c r="A15" s="214" t="s">
        <v>3</v>
      </c>
      <c r="B15" s="74">
        <f t="shared" ref="B15:W15" si="2">+B14-$B$4</f>
        <v>-0.63354838709677308</v>
      </c>
      <c r="C15" s="74">
        <f t="shared" si="2"/>
        <v>5.6451612903226867E-2</v>
      </c>
      <c r="D15" s="74">
        <f t="shared" si="2"/>
        <v>-1.2035483870967734</v>
      </c>
      <c r="E15" s="74">
        <f t="shared" si="2"/>
        <v>-1.1553663870967732</v>
      </c>
      <c r="F15" s="74">
        <f t="shared" si="2"/>
        <v>-2.2298803870967729</v>
      </c>
      <c r="G15" s="74">
        <f t="shared" si="2"/>
        <v>0.16822731161858773</v>
      </c>
      <c r="H15" s="74">
        <f t="shared" si="2"/>
        <v>-1.6135483870967731</v>
      </c>
      <c r="I15" s="74">
        <f t="shared" si="2"/>
        <v>2.2764516129032266</v>
      </c>
      <c r="J15" s="74">
        <f t="shared" si="2"/>
        <v>-0.42661861415065339</v>
      </c>
      <c r="K15" s="74">
        <f t="shared" si="2"/>
        <v>-0.95354838709677336</v>
      </c>
      <c r="L15" s="74">
        <f t="shared" si="2"/>
        <v>-0.89354838709677331</v>
      </c>
      <c r="M15" s="74">
        <f t="shared" si="2"/>
        <v>-2.1535483870967731</v>
      </c>
      <c r="N15" s="74">
        <f t="shared" si="2"/>
        <v>-1.1535483870967731</v>
      </c>
      <c r="O15" s="74">
        <f t="shared" si="2"/>
        <v>-0.35354838709677328</v>
      </c>
      <c r="P15" s="74">
        <f t="shared" si="2"/>
        <v>-0.17354838709677356</v>
      </c>
      <c r="Q15" s="74">
        <f t="shared" si="2"/>
        <v>1.0464516129032271</v>
      </c>
      <c r="R15" s="74">
        <f t="shared" si="2"/>
        <v>-1.8751930449599186</v>
      </c>
      <c r="S15" s="74">
        <f t="shared" si="2"/>
        <v>-1.2945858398134371</v>
      </c>
      <c r="T15" s="74">
        <f t="shared" si="2"/>
        <v>-0.85475843275887353</v>
      </c>
      <c r="U15" s="74">
        <f t="shared" si="2"/>
        <v>-2.4435483870967731</v>
      </c>
      <c r="V15" s="74">
        <f t="shared" si="2"/>
        <v>-2.0235483870967732</v>
      </c>
      <c r="W15" s="74">
        <f t="shared" si="2"/>
        <v>-0.79354838709677322</v>
      </c>
    </row>
    <row r="16" spans="1:25" s="215" customFormat="1">
      <c r="A16" s="214" t="s">
        <v>49</v>
      </c>
      <c r="B16" s="74">
        <f>+(2242+323+279)/B$49</f>
        <v>44.077533476607705</v>
      </c>
      <c r="C16" s="74">
        <f>4.05*6</f>
        <v>24.299999999999997</v>
      </c>
      <c r="D16" s="74">
        <f>((7424-5659)-64.27*17.075*$D$2/1000-2.83*42.031*$D$2/1000)/D49</f>
        <v>39.213731673438282</v>
      </c>
      <c r="E16" s="74">
        <f>(1764+1757)/E49/E59</f>
        <v>26.78134808268862</v>
      </c>
      <c r="F16" s="74">
        <f>13.38/$E$59</f>
        <v>10.124646</v>
      </c>
      <c r="G16" s="74">
        <f>1265/G49</f>
        <v>32.803180914512922</v>
      </c>
      <c r="H16" s="74">
        <f>+(362.411+252.825)/H49</f>
        <v>26.615250442119542</v>
      </c>
      <c r="I16" s="74">
        <f>I68</f>
        <v>50.522293591018908</v>
      </c>
      <c r="J16" s="74">
        <f>1154.104/J$49</f>
        <v>38.717808573591363</v>
      </c>
      <c r="K16" s="74">
        <v>37.78</v>
      </c>
      <c r="L16" s="74">
        <v>23.32</v>
      </c>
      <c r="M16" s="74">
        <v>37.01</v>
      </c>
      <c r="N16" s="74">
        <v>30.07</v>
      </c>
      <c r="O16" s="74">
        <f>+(2383.326+266.037+389.213)/O$49</f>
        <v>43.207744636316065</v>
      </c>
      <c r="P16" s="74">
        <f>+(1430.791)/P$49</f>
        <v>21.793894990175321</v>
      </c>
      <c r="Q16" s="74">
        <f>Q67</f>
        <v>44.200715522215816</v>
      </c>
      <c r="R16" s="74">
        <f>1380/R$49</f>
        <v>36.334275333064184</v>
      </c>
      <c r="S16" s="74">
        <f>664.7/S$49</f>
        <v>39.851148834618193</v>
      </c>
      <c r="T16" s="74">
        <f>1052/T$49</f>
        <v>32.577728229902142</v>
      </c>
      <c r="U16" s="74">
        <f>U68</f>
        <v>40.568804192472598</v>
      </c>
      <c r="V16" s="74">
        <v>38.159999999999997</v>
      </c>
      <c r="W16" s="74">
        <f>735/W49</f>
        <v>18.92362750062221</v>
      </c>
    </row>
    <row r="17" spans="1:24" s="215" customFormat="1">
      <c r="A17" s="214"/>
      <c r="B17" s="74"/>
      <c r="C17" s="74"/>
      <c r="D17" s="74"/>
      <c r="E17" s="74"/>
      <c r="F17" s="74"/>
      <c r="G17" s="74"/>
      <c r="H17" s="74"/>
      <c r="I17" s="74"/>
      <c r="J17" s="74"/>
      <c r="K17" s="74"/>
      <c r="L17" s="74"/>
      <c r="M17" s="74"/>
      <c r="N17" s="74"/>
      <c r="O17" s="74"/>
      <c r="P17" s="74"/>
      <c r="Q17" s="74"/>
      <c r="R17" s="74"/>
      <c r="S17" s="74"/>
      <c r="T17" s="74"/>
      <c r="U17" s="74"/>
      <c r="V17" s="74"/>
      <c r="W17" s="74"/>
    </row>
    <row r="18" spans="1:24" s="215" customFormat="1">
      <c r="A18" s="214" t="s">
        <v>4</v>
      </c>
      <c r="B18" s="74"/>
      <c r="C18" s="74"/>
      <c r="D18" s="74"/>
      <c r="E18" s="74"/>
      <c r="F18" s="74"/>
      <c r="G18" s="74"/>
      <c r="H18" s="74"/>
      <c r="I18" s="74"/>
      <c r="J18" s="74"/>
      <c r="K18" s="74"/>
      <c r="L18" s="74"/>
      <c r="M18" s="74"/>
      <c r="N18" s="74"/>
      <c r="O18" s="74"/>
      <c r="P18" s="74"/>
      <c r="Q18" s="74"/>
      <c r="R18" s="74"/>
      <c r="S18" s="74"/>
      <c r="T18" s="74"/>
      <c r="U18" s="74"/>
      <c r="V18" s="74"/>
      <c r="W18" s="74"/>
    </row>
    <row r="19" spans="1:24" s="215" customFormat="1">
      <c r="A19" s="216" t="s">
        <v>75</v>
      </c>
      <c r="B19" s="74">
        <f>(308+245)/B$49</f>
        <v>8.5706315093403873</v>
      </c>
      <c r="C19" s="74">
        <f>(0.15+1.88)*6</f>
        <v>12.18</v>
      </c>
      <c r="D19" s="74">
        <f>(352+88)/D49</f>
        <v>10.437416633111427</v>
      </c>
      <c r="E19" s="74">
        <f>(810+546+797+174)/E49/E59</f>
        <v>17.699573129342919</v>
      </c>
      <c r="F19" s="74">
        <f>(7.17+8.11)/$E$59</f>
        <v>11.562376</v>
      </c>
      <c r="G19" s="74">
        <f>+(122+338)/G49</f>
        <v>11.928429423459244</v>
      </c>
      <c r="H19" s="74">
        <f>+(66.455+53.984)/H49</f>
        <v>5.2102187583275938</v>
      </c>
      <c r="I19" s="74">
        <f>1362/I49</f>
        <v>12.622720897615711</v>
      </c>
      <c r="J19" s="74">
        <f>(104.258+49.028)/J$49</f>
        <v>5.1424291095183152</v>
      </c>
      <c r="K19" s="74">
        <f>(174+19)/K$49</f>
        <v>6.8311624748459261</v>
      </c>
      <c r="L19" s="74">
        <f>(251+220)/L$49</f>
        <v>9.8295652173913037</v>
      </c>
      <c r="M19" s="74">
        <f>4.51+0.56</f>
        <v>5.07</v>
      </c>
      <c r="N19" s="74">
        <f>6.79+2.34</f>
        <v>9.129999999999999</v>
      </c>
      <c r="O19" s="74">
        <f>+(346.442+196.095+112.396)/O$49</f>
        <v>9.3129735171660641</v>
      </c>
      <c r="P19" s="74">
        <f>+(431.528+46.544)/P$49</f>
        <v>7.2820215990617054</v>
      </c>
      <c r="Q19" s="74">
        <f>(238+165)/Q$49</f>
        <v>15.165960009031838</v>
      </c>
      <c r="R19" s="74">
        <f>(205+167)/R49</f>
        <v>9.7944568289129545</v>
      </c>
      <c r="S19" s="74">
        <f>149.6/S$49</f>
        <v>8.9690565152081856</v>
      </c>
      <c r="T19" s="74">
        <f>+(480+26+97+533-(354+19+56+389))/T$49</f>
        <v>9.8476402824228906</v>
      </c>
      <c r="U19" s="74">
        <v>11.82</v>
      </c>
      <c r="V19" s="74">
        <v>6.83</v>
      </c>
      <c r="W19" s="74">
        <f>218/W49</f>
        <v>5.6127221702525736</v>
      </c>
    </row>
    <row r="20" spans="1:24" s="215" customFormat="1">
      <c r="A20" s="216" t="s">
        <v>74</v>
      </c>
      <c r="B20" s="74"/>
      <c r="C20" s="74"/>
      <c r="D20" s="74"/>
      <c r="E20" s="74">
        <f>(48+81)/E49/E59</f>
        <v>0.98119679144187211</v>
      </c>
      <c r="F20" s="74">
        <f>-0.78/$E$59</f>
        <v>-0.59022600000000003</v>
      </c>
      <c r="G20" s="74"/>
      <c r="H20" s="74"/>
      <c r="I20" s="74"/>
      <c r="J20" s="74"/>
      <c r="K20" s="74"/>
      <c r="L20" s="74"/>
      <c r="M20" s="74"/>
      <c r="N20" s="74"/>
      <c r="O20" s="74"/>
      <c r="P20" s="74"/>
      <c r="Q20" s="74"/>
      <c r="R20" s="74"/>
      <c r="S20" s="74"/>
      <c r="T20" s="74">
        <f>(38-32)/T$49</f>
        <v>0.18580453363062058</v>
      </c>
      <c r="U20" s="74"/>
      <c r="V20" s="74"/>
      <c r="W20" s="74"/>
    </row>
    <row r="21" spans="1:24" s="215" customFormat="1">
      <c r="A21" s="216" t="s">
        <v>10</v>
      </c>
      <c r="B21" s="74">
        <f>(189-7.844)/B$49</f>
        <v>2.8076334931393618</v>
      </c>
      <c r="C21" s="74">
        <f>0.15*6</f>
        <v>0.89999999999999991</v>
      </c>
      <c r="D21" s="74">
        <f>53/D49</f>
        <v>1.257234276261149</v>
      </c>
      <c r="E21" s="74"/>
      <c r="F21" s="74">
        <f>0.01/$E$59</f>
        <v>7.5669999999999999E-3</v>
      </c>
      <c r="G21" s="74">
        <f>33/G49</f>
        <v>0.85573515429164149</v>
      </c>
      <c r="H21" s="74">
        <f>38.62/H49</f>
        <v>1.6707100560998653</v>
      </c>
      <c r="I21" s="74">
        <f>280/I49</f>
        <v>2.5949793328431707</v>
      </c>
      <c r="J21" s="74">
        <f>90.393/J$49</f>
        <v>3.0324986919659267</v>
      </c>
      <c r="K21" s="74">
        <f>76/K$49</f>
        <v>2.6899914408719705</v>
      </c>
      <c r="L21" s="74">
        <f>(70+15)/L$49</f>
        <v>1.7739130434782606</v>
      </c>
      <c r="M21" s="74">
        <v>2.36</v>
      </c>
      <c r="N21" s="74">
        <v>1.01</v>
      </c>
      <c r="O21" s="74">
        <f>190.086/O$49</f>
        <v>2.7029724933451647</v>
      </c>
      <c r="P21" s="74">
        <f>(95.131-66.162)/P$49</f>
        <v>0.44125755890999369</v>
      </c>
      <c r="Q21" s="74">
        <f>43/Q$49</f>
        <v>1.6182041696981864</v>
      </c>
      <c r="R21" s="74">
        <f>84/R$49</f>
        <v>2.2116515420126026</v>
      </c>
      <c r="S21" s="74">
        <f>12/S$49</f>
        <v>0.71944303597926629</v>
      </c>
      <c r="T21" s="74">
        <f>(184-147)/T$49</f>
        <v>1.1457946240554935</v>
      </c>
      <c r="U21" s="74">
        <v>1.59</v>
      </c>
      <c r="V21" s="74">
        <v>1.87</v>
      </c>
      <c r="W21" s="74">
        <f>24/W49</f>
        <v>0.6179143673672558</v>
      </c>
    </row>
    <row r="22" spans="1:24" s="215" customFormat="1">
      <c r="A22" s="216" t="s">
        <v>11</v>
      </c>
      <c r="B22" s="74">
        <f>(270-17.072)/B$49</f>
        <v>3.9199867746734998</v>
      </c>
      <c r="C22" s="74">
        <f>(0.11*6)+((49.341-39.823)/C49)</f>
        <v>0.8532284741219609</v>
      </c>
      <c r="D22" s="74">
        <f>101/D49</f>
        <v>2.3958615453278505</v>
      </c>
      <c r="E22" s="74">
        <f>(91-148)/E49/E59</f>
        <v>-0.43355207063710632</v>
      </c>
      <c r="F22" s="74">
        <f>(391-304)/F49/E59</f>
        <v>1.6535197446459766</v>
      </c>
      <c r="G22" s="74">
        <f>51/G49</f>
        <v>1.3224997839052641</v>
      </c>
      <c r="H22" s="74">
        <f>+(152.827-121.708+45.924-33.29)/H49</f>
        <v>1.8927648131677219</v>
      </c>
      <c r="I22" s="74">
        <f>65/I49</f>
        <v>0.60240591655287901</v>
      </c>
      <c r="J22" s="74">
        <f>49.201/J$49</f>
        <v>1.6505920607062003</v>
      </c>
      <c r="K22" s="74">
        <f>90/K$49</f>
        <v>3.1855161799799654</v>
      </c>
      <c r="L22" s="74">
        <f>(151)/L$49</f>
        <v>3.1513043478260867</v>
      </c>
      <c r="M22" s="74">
        <f>0.67+0.49</f>
        <v>1.1600000000000001</v>
      </c>
      <c r="N22" s="74">
        <v>-0.83</v>
      </c>
      <c r="O22" s="74">
        <f>116.904/O$49</f>
        <v>1.6623438673128115</v>
      </c>
      <c r="P22" s="74">
        <f>129.63/P$49</f>
        <v>1.9745319949429561</v>
      </c>
      <c r="Q22" s="74">
        <f>(91-3.6)/Q$49</f>
        <v>3.2890940565493372</v>
      </c>
      <c r="R22" s="74">
        <f>88/R$49</f>
        <v>2.3169682821084407</v>
      </c>
      <c r="S22" s="74">
        <f>24.1/S$49</f>
        <v>1.4448814305916933</v>
      </c>
      <c r="T22" s="74">
        <f>(385-316-(24.25-19.626))/T$49</f>
        <v>1.9935587761674718</v>
      </c>
      <c r="U22" s="74">
        <v>5.82</v>
      </c>
      <c r="V22" s="74">
        <f>99/V49</f>
        <v>3.3666293352437346</v>
      </c>
      <c r="W22" s="74">
        <f>41/W49</f>
        <v>1.0556037109190619</v>
      </c>
    </row>
    <row r="23" spans="1:24" s="215" customFormat="1">
      <c r="A23" s="216" t="s">
        <v>12</v>
      </c>
      <c r="B23" s="74">
        <f>(244-52.345)/B$49</f>
        <v>2.9703515043808895</v>
      </c>
      <c r="C23" s="74">
        <f>59.458/C49</f>
        <v>1.2070790727404443</v>
      </c>
      <c r="D23" s="74">
        <f>(441-335)/D49</f>
        <v>2.5144685525222981</v>
      </c>
      <c r="E23" s="74">
        <f>(179)/E49/E59</f>
        <v>1.3615056253340707</v>
      </c>
      <c r="F23" s="74">
        <f>(516-395)/F49/E59</f>
        <v>2.2997228632432547</v>
      </c>
      <c r="G23" s="74">
        <f>120/G49</f>
        <v>3.1117641974241508</v>
      </c>
      <c r="H23" s="74">
        <f>17.387/H49</f>
        <v>0.75216560707945002</v>
      </c>
      <c r="I23" s="74">
        <f>188/I49</f>
        <v>1.7423432663375575</v>
      </c>
      <c r="J23" s="74">
        <f>69.441/J$49</f>
        <v>2.3296023106745647</v>
      </c>
      <c r="K23" s="74">
        <f>46/K$49</f>
        <v>1.6281527142119823</v>
      </c>
      <c r="L23" s="74">
        <f>(70)/L$49</f>
        <v>1.4608695652173911</v>
      </c>
      <c r="M23" s="74">
        <v>2.2599999999999998</v>
      </c>
      <c r="N23" s="74">
        <f>86/N$49</f>
        <v>2.3164941566883828</v>
      </c>
      <c r="O23" s="74">
        <f>56.02/O$49</f>
        <v>0.79658953882556371</v>
      </c>
      <c r="P23" s="74">
        <f>57.747/P$49</f>
        <v>0.87960579427579177</v>
      </c>
      <c r="Q23" s="74">
        <f>(99+6-15)/Q$49</f>
        <v>3.3869389598334134</v>
      </c>
      <c r="R23" s="74">
        <f>(58)/R$49</f>
        <v>1.5270927313896543</v>
      </c>
      <c r="S23" s="74">
        <f>(47.34+5.258-3.719)/S$49</f>
        <v>2.9304713463025469</v>
      </c>
      <c r="T23" s="74">
        <f>(355-269-(16.848-11.524))/T$49</f>
        <v>2.4983277591973243</v>
      </c>
      <c r="U23" s="74">
        <f>99/U49</f>
        <v>1.5379994614412662</v>
      </c>
      <c r="V23" s="74">
        <f>29/V49</f>
        <v>0.98618435072796262</v>
      </c>
      <c r="W23" s="74">
        <f>51/W49</f>
        <v>1.3130680306554185</v>
      </c>
    </row>
    <row r="24" spans="1:24" s="215" customFormat="1">
      <c r="A24" s="216" t="s">
        <v>13</v>
      </c>
      <c r="B24" s="74">
        <f>(1131-99.349)/B$49</f>
        <v>15.988970284344521</v>
      </c>
      <c r="C24" s="74">
        <f>204.977/C49</f>
        <v>4.1613146606532023</v>
      </c>
      <c r="D24" s="74">
        <f>(599+35)/D49</f>
        <v>15.03936851225601</v>
      </c>
      <c r="E24" s="74">
        <f>(929+396)/E49/E59</f>
        <v>10.078184098143259</v>
      </c>
      <c r="F24" s="74">
        <f>(1439+412-(1119+406))/F49/E59</f>
        <v>6.1959475489033151</v>
      </c>
      <c r="G24" s="74">
        <f>(278)/G49</f>
        <v>7.2089203906992827</v>
      </c>
      <c r="H24" s="74">
        <f>180.06/H49</f>
        <v>7.7894368902470683</v>
      </c>
      <c r="I24" s="74">
        <f>1612/I49</f>
        <v>14.939666730511398</v>
      </c>
      <c r="J24" s="74">
        <f>488.416/J$49</f>
        <v>16.385349320580467</v>
      </c>
      <c r="K24" s="74">
        <f>445/K$49</f>
        <v>15.750607778789828</v>
      </c>
      <c r="L24" s="74">
        <f>+(423)/L$49</f>
        <v>8.8278260869565202</v>
      </c>
      <c r="M24" s="74">
        <v>13.77</v>
      </c>
      <c r="N24" s="74">
        <f>(104+232)/N$49</f>
        <v>9.0504887982243805</v>
      </c>
      <c r="O24" s="74">
        <f>919.963/O$49</f>
        <v>13.081629809114281</v>
      </c>
      <c r="P24" s="74">
        <f>416.62/P$49</f>
        <v>6.3459810208526912</v>
      </c>
      <c r="Q24" s="74">
        <f>(499)/Q$49</f>
        <v>18.778694899520815</v>
      </c>
      <c r="R24" s="74">
        <f>613/R$49</f>
        <v>16.139790419687206</v>
      </c>
      <c r="S24" s="74">
        <f>256.4/S$49</f>
        <v>15.372099535423654</v>
      </c>
      <c r="T24" s="74">
        <f>(1642+60+115+2-(1214+44+77+1))/T$49</f>
        <v>14.957264957264956</v>
      </c>
      <c r="U24" s="74">
        <v>14.05</v>
      </c>
      <c r="V24" s="74">
        <f>404/V49</f>
        <v>13.738568196348169</v>
      </c>
      <c r="W24" s="74">
        <f>131/W49</f>
        <v>3.3727825885462712</v>
      </c>
    </row>
    <row r="25" spans="1:24" s="215" customFormat="1">
      <c r="A25" s="216"/>
      <c r="B25" s="74"/>
      <c r="C25" s="74"/>
      <c r="D25" s="74"/>
      <c r="E25" s="74"/>
      <c r="F25" s="74"/>
      <c r="G25" s="74"/>
      <c r="H25" s="74"/>
      <c r="I25" s="74"/>
      <c r="J25" s="74"/>
      <c r="K25" s="74"/>
      <c r="L25" s="74"/>
      <c r="M25" s="74"/>
      <c r="N25" s="74"/>
      <c r="O25" s="74"/>
      <c r="P25" s="74"/>
      <c r="Q25" s="74"/>
      <c r="R25" s="74"/>
      <c r="S25" s="74"/>
      <c r="T25" s="74"/>
      <c r="U25" s="74"/>
      <c r="V25" s="74"/>
      <c r="W25" s="74"/>
    </row>
    <row r="26" spans="1:24" s="9" customFormat="1">
      <c r="A26" s="214" t="s">
        <v>9</v>
      </c>
      <c r="B26" s="186"/>
      <c r="C26" s="186"/>
      <c r="D26" s="186"/>
      <c r="E26" s="186"/>
      <c r="F26" s="186"/>
      <c r="G26" s="186"/>
      <c r="H26" s="186"/>
      <c r="I26" s="186"/>
      <c r="J26" s="186"/>
      <c r="K26" s="186"/>
      <c r="L26" s="186"/>
      <c r="M26" s="186"/>
      <c r="N26" s="186"/>
      <c r="O26" s="186"/>
      <c r="P26" s="186"/>
      <c r="Q26" s="186"/>
      <c r="R26" s="186"/>
      <c r="S26" s="186"/>
      <c r="T26" s="186"/>
      <c r="U26" s="186"/>
      <c r="V26" s="186"/>
      <c r="W26" s="186"/>
    </row>
    <row r="27" spans="1:24" s="9" customFormat="1">
      <c r="A27" s="216" t="s">
        <v>165</v>
      </c>
      <c r="B27" s="74">
        <f>+B19+B21</f>
        <v>11.378265002479749</v>
      </c>
      <c r="C27" s="74">
        <f>+C19+C21</f>
        <v>13.08</v>
      </c>
      <c r="D27" s="74">
        <f>+D19+D21</f>
        <v>11.694650909372577</v>
      </c>
      <c r="E27" s="74">
        <f>+E19+E21+E20</f>
        <v>18.68076992078479</v>
      </c>
      <c r="F27" s="74">
        <f>+F19+F21+F20</f>
        <v>10.979717000000001</v>
      </c>
      <c r="G27" s="74">
        <f>+G19+G21+G20</f>
        <v>12.784164577750886</v>
      </c>
      <c r="H27" s="74">
        <f>+H19+H21</f>
        <v>6.8809288144274596</v>
      </c>
      <c r="I27" s="74">
        <f>+I19+I21</f>
        <v>15.217700230458881</v>
      </c>
      <c r="J27" s="74">
        <f t="shared" ref="J27:W27" si="3">+J19+J21</f>
        <v>8.174927801484241</v>
      </c>
      <c r="K27" s="74">
        <f>+K19+K21</f>
        <v>9.5211539157178962</v>
      </c>
      <c r="L27" s="74">
        <f t="shared" si="3"/>
        <v>11.603478260869565</v>
      </c>
      <c r="M27" s="74">
        <f t="shared" si="3"/>
        <v>7.43</v>
      </c>
      <c r="N27" s="74">
        <f t="shared" si="3"/>
        <v>10.139999999999999</v>
      </c>
      <c r="O27" s="74">
        <f t="shared" si="3"/>
        <v>12.015946010511229</v>
      </c>
      <c r="P27" s="74">
        <f t="shared" si="3"/>
        <v>7.7232791579716995</v>
      </c>
      <c r="Q27" s="74">
        <f t="shared" si="3"/>
        <v>16.784164178730023</v>
      </c>
      <c r="R27" s="74">
        <f t="shared" si="3"/>
        <v>12.006108370925556</v>
      </c>
      <c r="S27" s="74">
        <f t="shared" si="3"/>
        <v>9.6884995511874514</v>
      </c>
      <c r="T27" s="74">
        <f t="shared" si="3"/>
        <v>10.993434906478385</v>
      </c>
      <c r="U27" s="74">
        <f t="shared" si="3"/>
        <v>13.41</v>
      </c>
      <c r="V27" s="74">
        <f t="shared" si="3"/>
        <v>8.6999999999999993</v>
      </c>
      <c r="W27" s="74">
        <f t="shared" si="3"/>
        <v>6.2306365376198292</v>
      </c>
    </row>
    <row r="28" spans="1:24" s="9" customFormat="1">
      <c r="A28" s="216" t="s">
        <v>6</v>
      </c>
      <c r="B28" s="74">
        <f t="shared" ref="B28:W30" si="4">+B27+B22</f>
        <v>15.298251777153249</v>
      </c>
      <c r="C28" s="74">
        <f t="shared" si="4"/>
        <v>13.933228474121961</v>
      </c>
      <c r="D28" s="74">
        <f t="shared" si="4"/>
        <v>14.090512454700427</v>
      </c>
      <c r="E28" s="74">
        <f t="shared" si="4"/>
        <v>18.247217850147685</v>
      </c>
      <c r="F28" s="74">
        <f t="shared" si="4"/>
        <v>12.633236744645977</v>
      </c>
      <c r="G28" s="74">
        <f t="shared" si="4"/>
        <v>14.106664361656151</v>
      </c>
      <c r="H28" s="74">
        <f t="shared" si="4"/>
        <v>8.7736936275951809</v>
      </c>
      <c r="I28" s="74">
        <f t="shared" si="4"/>
        <v>15.82010614701176</v>
      </c>
      <c r="J28" s="74">
        <f t="shared" si="4"/>
        <v>9.8255198621904416</v>
      </c>
      <c r="K28" s="74">
        <f t="shared" si="4"/>
        <v>12.706670095697861</v>
      </c>
      <c r="L28" s="74">
        <f t="shared" si="4"/>
        <v>14.754782608695653</v>
      </c>
      <c r="M28" s="74">
        <f t="shared" si="4"/>
        <v>8.59</v>
      </c>
      <c r="N28" s="74">
        <f t="shared" si="4"/>
        <v>9.3099999999999987</v>
      </c>
      <c r="O28" s="74">
        <f t="shared" si="4"/>
        <v>13.67828987782404</v>
      </c>
      <c r="P28" s="74">
        <f t="shared" si="4"/>
        <v>9.6978111529146549</v>
      </c>
      <c r="Q28" s="74">
        <f t="shared" si="4"/>
        <v>20.073258235279361</v>
      </c>
      <c r="R28" s="74">
        <f t="shared" si="4"/>
        <v>14.323076653033997</v>
      </c>
      <c r="S28" s="74">
        <f t="shared" si="4"/>
        <v>11.133380981779144</v>
      </c>
      <c r="T28" s="74">
        <f t="shared" si="4"/>
        <v>12.986993682645856</v>
      </c>
      <c r="U28" s="74">
        <f t="shared" si="4"/>
        <v>19.23</v>
      </c>
      <c r="V28" s="74">
        <f t="shared" si="4"/>
        <v>12.066629335243734</v>
      </c>
      <c r="W28" s="74">
        <f t="shared" si="4"/>
        <v>7.2862402485388911</v>
      </c>
    </row>
    <row r="29" spans="1:24" s="9" customFormat="1">
      <c r="A29" s="216" t="s">
        <v>7</v>
      </c>
      <c r="B29" s="74">
        <f t="shared" si="4"/>
        <v>18.268603281534137</v>
      </c>
      <c r="C29" s="74">
        <f>+C28+C23</f>
        <v>15.140307546862406</v>
      </c>
      <c r="D29" s="74">
        <f t="shared" si="4"/>
        <v>16.604981007222726</v>
      </c>
      <c r="E29" s="74">
        <f t="shared" si="4"/>
        <v>19.608723475481757</v>
      </c>
      <c r="F29" s="74">
        <f t="shared" si="4"/>
        <v>14.932959607889231</v>
      </c>
      <c r="G29" s="74">
        <f t="shared" si="4"/>
        <v>17.218428559080301</v>
      </c>
      <c r="H29" s="74">
        <f t="shared" si="4"/>
        <v>9.5258592346746305</v>
      </c>
      <c r="I29" s="74">
        <f t="shared" si="4"/>
        <v>17.562449413349317</v>
      </c>
      <c r="J29" s="74">
        <f t="shared" si="4"/>
        <v>12.155122172865006</v>
      </c>
      <c r="K29" s="74">
        <f t="shared" si="4"/>
        <v>14.334822809909843</v>
      </c>
      <c r="L29" s="74">
        <f t="shared" si="4"/>
        <v>16.215652173913043</v>
      </c>
      <c r="M29" s="74">
        <f t="shared" si="4"/>
        <v>10.85</v>
      </c>
      <c r="N29" s="74">
        <f t="shared" si="4"/>
        <v>11.626494156688381</v>
      </c>
      <c r="O29" s="74">
        <f t="shared" si="4"/>
        <v>14.474879416649603</v>
      </c>
      <c r="P29" s="74">
        <f t="shared" si="4"/>
        <v>10.577416947190446</v>
      </c>
      <c r="Q29" s="74">
        <f t="shared" si="4"/>
        <v>23.460197195112777</v>
      </c>
      <c r="R29" s="74">
        <f t="shared" si="4"/>
        <v>15.850169384423651</v>
      </c>
      <c r="S29" s="74">
        <f t="shared" si="4"/>
        <v>14.063852328081691</v>
      </c>
      <c r="T29" s="74">
        <f t="shared" si="4"/>
        <v>15.48532144184318</v>
      </c>
      <c r="U29" s="74">
        <f t="shared" si="4"/>
        <v>20.767999461441267</v>
      </c>
      <c r="V29" s="74">
        <f t="shared" si="4"/>
        <v>13.052813685971696</v>
      </c>
      <c r="W29" s="74">
        <f t="shared" si="4"/>
        <v>8.5993082791943092</v>
      </c>
      <c r="X29" s="65"/>
    </row>
    <row r="30" spans="1:24" s="9" customFormat="1">
      <c r="A30" s="216" t="s">
        <v>8</v>
      </c>
      <c r="B30" s="74">
        <f t="shared" si="4"/>
        <v>34.257573565878658</v>
      </c>
      <c r="C30" s="74">
        <f t="shared" si="4"/>
        <v>19.301622207515607</v>
      </c>
      <c r="D30" s="74">
        <f t="shared" si="4"/>
        <v>31.644349519478737</v>
      </c>
      <c r="E30" s="74">
        <f t="shared" si="4"/>
        <v>29.686907573625014</v>
      </c>
      <c r="F30" s="74">
        <f>+F29+F24</f>
        <v>21.128907156792547</v>
      </c>
      <c r="G30" s="74">
        <f t="shared" si="4"/>
        <v>24.427348949779585</v>
      </c>
      <c r="H30" s="74">
        <f t="shared" si="4"/>
        <v>17.315296124921698</v>
      </c>
      <c r="I30" s="74">
        <f t="shared" si="4"/>
        <v>32.502116143860718</v>
      </c>
      <c r="J30" s="74">
        <f t="shared" si="4"/>
        <v>28.540471493445473</v>
      </c>
      <c r="K30" s="74">
        <f t="shared" si="4"/>
        <v>30.085430588699673</v>
      </c>
      <c r="L30" s="74">
        <f t="shared" si="4"/>
        <v>25.043478260869563</v>
      </c>
      <c r="M30" s="74">
        <f t="shared" si="4"/>
        <v>24.619999999999997</v>
      </c>
      <c r="N30" s="74">
        <f t="shared" si="4"/>
        <v>20.676982954912759</v>
      </c>
      <c r="O30" s="74">
        <f t="shared" si="4"/>
        <v>27.556509225763882</v>
      </c>
      <c r="P30" s="74">
        <f t="shared" si="4"/>
        <v>16.923397968043137</v>
      </c>
      <c r="Q30" s="74">
        <f t="shared" si="4"/>
        <v>42.238892094633592</v>
      </c>
      <c r="R30" s="74">
        <f t="shared" si="4"/>
        <v>31.989959804110857</v>
      </c>
      <c r="S30" s="74">
        <f t="shared" si="4"/>
        <v>29.435951863505345</v>
      </c>
      <c r="T30" s="74">
        <f t="shared" si="4"/>
        <v>30.442586399108137</v>
      </c>
      <c r="U30" s="74">
        <f t="shared" si="4"/>
        <v>34.817999461441268</v>
      </c>
      <c r="V30" s="74">
        <f t="shared" si="4"/>
        <v>26.791381882319865</v>
      </c>
      <c r="W30" s="74">
        <f t="shared" si="4"/>
        <v>11.97209086774058</v>
      </c>
      <c r="X30" s="65"/>
    </row>
    <row r="31" spans="1:24" s="9" customFormat="1">
      <c r="A31" s="214"/>
      <c r="B31" s="74"/>
      <c r="C31" s="74"/>
      <c r="D31" s="74"/>
      <c r="E31" s="74"/>
      <c r="F31" s="74"/>
      <c r="G31" s="74"/>
      <c r="H31" s="74"/>
      <c r="I31" s="74"/>
      <c r="J31" s="74"/>
      <c r="K31" s="74"/>
      <c r="L31" s="74"/>
      <c r="M31" s="74"/>
      <c r="N31" s="74"/>
      <c r="O31" s="74"/>
      <c r="P31" s="74"/>
      <c r="Q31" s="74"/>
      <c r="R31" s="74"/>
      <c r="S31" s="74"/>
      <c r="T31" s="74"/>
      <c r="U31" s="74"/>
      <c r="V31" s="74"/>
      <c r="W31" s="74"/>
    </row>
    <row r="32" spans="1:24" s="9" customFormat="1">
      <c r="A32" s="216" t="s">
        <v>14</v>
      </c>
      <c r="B32" s="74"/>
      <c r="C32" s="74"/>
      <c r="D32" s="74"/>
      <c r="E32" s="74"/>
      <c r="F32" s="74"/>
      <c r="G32" s="74"/>
      <c r="H32" s="74"/>
      <c r="I32" s="74"/>
      <c r="J32" s="74"/>
      <c r="K32" s="74"/>
      <c r="L32" s="74"/>
      <c r="M32" s="74"/>
      <c r="N32" s="74"/>
      <c r="O32" s="74"/>
      <c r="P32" s="74"/>
      <c r="Q32" s="74"/>
      <c r="R32" s="74"/>
      <c r="S32" s="74"/>
      <c r="T32" s="74"/>
      <c r="U32" s="74"/>
      <c r="V32" s="74"/>
      <c r="W32" s="74"/>
    </row>
    <row r="33" spans="1:23" s="9" customFormat="1">
      <c r="A33" s="216" t="s">
        <v>67</v>
      </c>
      <c r="B33" s="74">
        <f t="shared" ref="B33:W36" si="5">+B$16-B27</f>
        <v>32.699268474127955</v>
      </c>
      <c r="C33" s="74">
        <f t="shared" si="5"/>
        <v>11.219999999999997</v>
      </c>
      <c r="D33" s="74">
        <f t="shared" si="5"/>
        <v>27.519080764065706</v>
      </c>
      <c r="E33" s="74">
        <f t="shared" si="5"/>
        <v>8.1005781619038295</v>
      </c>
      <c r="F33" s="74">
        <f t="shared" si="5"/>
        <v>-0.85507100000000058</v>
      </c>
      <c r="G33" s="74">
        <f t="shared" si="5"/>
        <v>20.019016336762036</v>
      </c>
      <c r="H33" s="74">
        <f t="shared" si="5"/>
        <v>19.734321627692083</v>
      </c>
      <c r="I33" s="74">
        <f t="shared" si="5"/>
        <v>35.304593360560027</v>
      </c>
      <c r="J33" s="74">
        <f t="shared" si="5"/>
        <v>30.542880772107122</v>
      </c>
      <c r="K33" s="74">
        <f t="shared" si="5"/>
        <v>28.258846084282105</v>
      </c>
      <c r="L33" s="74">
        <f t="shared" si="5"/>
        <v>11.716521739130435</v>
      </c>
      <c r="M33" s="74">
        <f t="shared" si="5"/>
        <v>29.58</v>
      </c>
      <c r="N33" s="74">
        <f t="shared" si="5"/>
        <v>19.93</v>
      </c>
      <c r="O33" s="74">
        <f t="shared" si="5"/>
        <v>31.191798625804836</v>
      </c>
      <c r="P33" s="74">
        <f t="shared" si="5"/>
        <v>14.070615832203622</v>
      </c>
      <c r="Q33" s="74">
        <f t="shared" si="5"/>
        <v>27.416551343485793</v>
      </c>
      <c r="R33" s="74">
        <f t="shared" si="5"/>
        <v>24.328166962138628</v>
      </c>
      <c r="S33" s="74">
        <f t="shared" si="5"/>
        <v>30.162649283430742</v>
      </c>
      <c r="T33" s="74">
        <f t="shared" si="5"/>
        <v>21.584293323423758</v>
      </c>
      <c r="U33" s="74">
        <f t="shared" si="5"/>
        <v>27.158804192472598</v>
      </c>
      <c r="V33" s="74">
        <f t="shared" si="5"/>
        <v>29.459999999999997</v>
      </c>
      <c r="W33" s="74">
        <f t="shared" si="5"/>
        <v>12.69299096300238</v>
      </c>
    </row>
    <row r="34" spans="1:23" s="9" customFormat="1">
      <c r="A34" s="216" t="s">
        <v>68</v>
      </c>
      <c r="B34" s="74">
        <f>+B$16-B28</f>
        <v>28.779281699454458</v>
      </c>
      <c r="C34" s="74">
        <f t="shared" si="5"/>
        <v>10.366771525878036</v>
      </c>
      <c r="D34" s="74">
        <f t="shared" si="5"/>
        <v>25.123219218737855</v>
      </c>
      <c r="E34" s="74">
        <f t="shared" si="5"/>
        <v>8.5341302325409352</v>
      </c>
      <c r="F34" s="74">
        <f t="shared" si="5"/>
        <v>-2.5085907446459768</v>
      </c>
      <c r="G34" s="74">
        <f t="shared" si="5"/>
        <v>18.696516552856771</v>
      </c>
      <c r="H34" s="74">
        <f t="shared" si="5"/>
        <v>17.84155681452436</v>
      </c>
      <c r="I34" s="74">
        <f t="shared" si="5"/>
        <v>34.702187444007151</v>
      </c>
      <c r="J34" s="74">
        <f t="shared" si="5"/>
        <v>28.892288711400923</v>
      </c>
      <c r="K34" s="74">
        <f t="shared" si="5"/>
        <v>25.073329904302142</v>
      </c>
      <c r="L34" s="74">
        <f t="shared" si="5"/>
        <v>8.5652173913043477</v>
      </c>
      <c r="M34" s="74">
        <f t="shared" si="5"/>
        <v>28.419999999999998</v>
      </c>
      <c r="N34" s="74">
        <f t="shared" si="5"/>
        <v>20.76</v>
      </c>
      <c r="O34" s="74">
        <f t="shared" si="5"/>
        <v>29.529454758492022</v>
      </c>
      <c r="P34" s="74">
        <f t="shared" si="5"/>
        <v>12.096083837260666</v>
      </c>
      <c r="Q34" s="74">
        <f t="shared" si="5"/>
        <v>24.127457286936455</v>
      </c>
      <c r="R34" s="74">
        <f t="shared" si="5"/>
        <v>22.011198680030187</v>
      </c>
      <c r="S34" s="74">
        <f t="shared" si="5"/>
        <v>28.717767852839049</v>
      </c>
      <c r="T34" s="74">
        <f t="shared" si="5"/>
        <v>19.590734547256286</v>
      </c>
      <c r="U34" s="74">
        <f t="shared" si="5"/>
        <v>21.338804192472598</v>
      </c>
      <c r="V34" s="74">
        <f t="shared" si="5"/>
        <v>26.093370664756264</v>
      </c>
      <c r="W34" s="74">
        <f t="shared" si="5"/>
        <v>11.637387252083318</v>
      </c>
    </row>
    <row r="35" spans="1:23" s="9" customFormat="1">
      <c r="A35" s="216" t="s">
        <v>69</v>
      </c>
      <c r="B35" s="74">
        <f t="shared" si="5"/>
        <v>25.808930195073568</v>
      </c>
      <c r="C35" s="74">
        <f t="shared" si="5"/>
        <v>9.1596924531375912</v>
      </c>
      <c r="D35" s="74">
        <f t="shared" si="5"/>
        <v>22.608750666215556</v>
      </c>
      <c r="E35" s="74">
        <f t="shared" si="5"/>
        <v>7.1726246072068633</v>
      </c>
      <c r="F35" s="74">
        <f t="shared" si="5"/>
        <v>-4.8083136078892306</v>
      </c>
      <c r="G35" s="74">
        <f t="shared" si="5"/>
        <v>15.58475235543262</v>
      </c>
      <c r="H35" s="74">
        <f t="shared" si="5"/>
        <v>17.089391207444912</v>
      </c>
      <c r="I35" s="74">
        <f t="shared" si="5"/>
        <v>32.959844177669595</v>
      </c>
      <c r="J35" s="74">
        <f t="shared" si="5"/>
        <v>26.562686400726356</v>
      </c>
      <c r="K35" s="74">
        <f t="shared" si="5"/>
        <v>23.445177190090156</v>
      </c>
      <c r="L35" s="74">
        <f t="shared" si="5"/>
        <v>7.1043478260869577</v>
      </c>
      <c r="M35" s="74">
        <f t="shared" si="5"/>
        <v>26.159999999999997</v>
      </c>
      <c r="N35" s="74">
        <f t="shared" si="5"/>
        <v>18.44350584331162</v>
      </c>
      <c r="O35" s="74">
        <f t="shared" si="5"/>
        <v>28.732865219666461</v>
      </c>
      <c r="P35" s="74">
        <f t="shared" si="5"/>
        <v>11.216478042984875</v>
      </c>
      <c r="Q35" s="74">
        <f t="shared" si="5"/>
        <v>20.74051832710304</v>
      </c>
      <c r="R35" s="74">
        <f t="shared" si="5"/>
        <v>20.484105948640533</v>
      </c>
      <c r="S35" s="74">
        <f t="shared" si="5"/>
        <v>25.787296506536503</v>
      </c>
      <c r="T35" s="74">
        <f t="shared" si="5"/>
        <v>17.092406788058963</v>
      </c>
      <c r="U35" s="74">
        <f t="shared" si="5"/>
        <v>19.800804731031331</v>
      </c>
      <c r="V35" s="74">
        <f t="shared" si="5"/>
        <v>25.107186314028301</v>
      </c>
      <c r="W35" s="74">
        <f t="shared" si="5"/>
        <v>10.324319221427901</v>
      </c>
    </row>
    <row r="36" spans="1:23" s="9" customFormat="1">
      <c r="A36" s="216" t="s">
        <v>70</v>
      </c>
      <c r="B36" s="74">
        <f t="shared" si="5"/>
        <v>9.8199599107290467</v>
      </c>
      <c r="C36" s="74">
        <f t="shared" si="5"/>
        <v>4.9983777924843906</v>
      </c>
      <c r="D36" s="74">
        <f t="shared" si="5"/>
        <v>7.5693821539595447</v>
      </c>
      <c r="E36" s="74">
        <f t="shared" si="5"/>
        <v>-2.905559490936394</v>
      </c>
      <c r="F36" s="74">
        <f t="shared" si="5"/>
        <v>-11.004261156792547</v>
      </c>
      <c r="G36" s="74">
        <f t="shared" si="5"/>
        <v>8.3758319647333366</v>
      </c>
      <c r="H36" s="74">
        <f t="shared" si="5"/>
        <v>9.2999543171978445</v>
      </c>
      <c r="I36" s="74">
        <f t="shared" si="5"/>
        <v>18.02017744715819</v>
      </c>
      <c r="J36" s="74">
        <f t="shared" si="5"/>
        <v>10.17733708014589</v>
      </c>
      <c r="K36" s="74">
        <f t="shared" si="5"/>
        <v>7.6945694113003285</v>
      </c>
      <c r="L36" s="74">
        <f t="shared" si="5"/>
        <v>-1.7234782608695625</v>
      </c>
      <c r="M36" s="74">
        <f t="shared" si="5"/>
        <v>12.39</v>
      </c>
      <c r="N36" s="74">
        <f t="shared" si="5"/>
        <v>9.393017045087241</v>
      </c>
      <c r="O36" s="74">
        <f t="shared" si="5"/>
        <v>15.651235410552182</v>
      </c>
      <c r="P36" s="74">
        <f t="shared" si="5"/>
        <v>4.8704970221321844</v>
      </c>
      <c r="Q36" s="74">
        <f t="shared" si="5"/>
        <v>1.9618234275822246</v>
      </c>
      <c r="R36" s="74">
        <f t="shared" si="5"/>
        <v>4.3443155289533273</v>
      </c>
      <c r="S36" s="74">
        <f t="shared" si="5"/>
        <v>10.415196971112849</v>
      </c>
      <c r="T36" s="74">
        <f t="shared" si="5"/>
        <v>2.1351418307940051</v>
      </c>
      <c r="U36" s="74">
        <f t="shared" si="5"/>
        <v>5.7508047310313302</v>
      </c>
      <c r="V36" s="74">
        <f t="shared" si="5"/>
        <v>11.368618117680132</v>
      </c>
      <c r="W36" s="74">
        <f t="shared" si="5"/>
        <v>6.9515366328816306</v>
      </c>
    </row>
    <row r="37" spans="1:23" s="9" customFormat="1">
      <c r="A37" s="216" t="s">
        <v>112</v>
      </c>
      <c r="B37" s="74">
        <f>+B16-B19-B20-B21-B22</f>
        <v>28.779281699454454</v>
      </c>
      <c r="C37" s="74">
        <f>+C16-C19-C20-C21-C22</f>
        <v>10.366771525878036</v>
      </c>
      <c r="D37" s="74">
        <f t="shared" ref="D37:W37" si="6">+D16-D19-D20-D21-D22</f>
        <v>25.123219218737859</v>
      </c>
      <c r="E37" s="74">
        <f t="shared" si="6"/>
        <v>8.5341302325409334</v>
      </c>
      <c r="F37" s="74">
        <f t="shared" si="6"/>
        <v>-2.5085907446459768</v>
      </c>
      <c r="G37" s="74">
        <f t="shared" si="6"/>
        <v>18.696516552856774</v>
      </c>
      <c r="H37" s="74">
        <f t="shared" si="6"/>
        <v>17.84155681452436</v>
      </c>
      <c r="I37" s="74">
        <f t="shared" si="6"/>
        <v>34.702187444007151</v>
      </c>
      <c r="J37" s="74">
        <f t="shared" si="6"/>
        <v>28.892288711400919</v>
      </c>
      <c r="K37" s="74">
        <f t="shared" si="6"/>
        <v>25.073329904302138</v>
      </c>
      <c r="L37" s="74">
        <f t="shared" si="6"/>
        <v>8.5652173913043477</v>
      </c>
      <c r="M37" s="74">
        <f t="shared" si="6"/>
        <v>28.419999999999998</v>
      </c>
      <c r="N37" s="74">
        <f t="shared" si="6"/>
        <v>20.759999999999998</v>
      </c>
      <c r="O37" s="74">
        <f t="shared" si="6"/>
        <v>29.529454758492026</v>
      </c>
      <c r="P37" s="74">
        <f t="shared" si="6"/>
        <v>12.096083837260666</v>
      </c>
      <c r="Q37" s="74">
        <f t="shared" si="6"/>
        <v>24.127457286936455</v>
      </c>
      <c r="R37" s="74">
        <f t="shared" si="6"/>
        <v>22.011198680030184</v>
      </c>
      <c r="S37" s="74">
        <f t="shared" si="6"/>
        <v>28.717767852839046</v>
      </c>
      <c r="T37" s="74">
        <f t="shared" si="6"/>
        <v>19.404930013625666</v>
      </c>
      <c r="U37" s="74">
        <f t="shared" si="6"/>
        <v>21.338804192472598</v>
      </c>
      <c r="V37" s="74">
        <f t="shared" si="6"/>
        <v>26.093370664756264</v>
      </c>
      <c r="W37" s="74">
        <f t="shared" si="6"/>
        <v>11.637387252083318</v>
      </c>
    </row>
    <row r="38" spans="1:23" s="9" customFormat="1">
      <c r="A38" s="216" t="s">
        <v>105</v>
      </c>
      <c r="B38" s="260">
        <f>+(B35+B23)/B23</f>
        <v>9.6888471472176576</v>
      </c>
      <c r="C38" s="260">
        <f>+(C35+C23)/C23</f>
        <v>8.5883118678731183</v>
      </c>
      <c r="D38" s="260">
        <f t="shared" ref="D38:W38" si="7">+(D35+D23)/D23</f>
        <v>9.9914628852830187</v>
      </c>
      <c r="E38" s="260">
        <f t="shared" si="7"/>
        <v>6.2681564245810044</v>
      </c>
      <c r="F38" s="260">
        <f t="shared" si="7"/>
        <v>-1.0908230660055094</v>
      </c>
      <c r="G38" s="260">
        <f t="shared" si="7"/>
        <v>6.0083333333333329</v>
      </c>
      <c r="H38" s="260">
        <f t="shared" si="7"/>
        <v>23.72025076206361</v>
      </c>
      <c r="I38" s="260">
        <f t="shared" si="7"/>
        <v>19.916963617021281</v>
      </c>
      <c r="J38" s="260">
        <f t="shared" si="7"/>
        <v>12.402240751141258</v>
      </c>
      <c r="K38" s="260">
        <f t="shared" si="7"/>
        <v>15.399863713913042</v>
      </c>
      <c r="L38" s="260">
        <f t="shared" si="7"/>
        <v>5.8630952380952399</v>
      </c>
      <c r="M38" s="260">
        <f t="shared" si="7"/>
        <v>12.575221238938052</v>
      </c>
      <c r="N38" s="260">
        <f t="shared" si="7"/>
        <v>8.9618184186046523</v>
      </c>
      <c r="O38" s="260">
        <f t="shared" si="7"/>
        <v>37.069850053552301</v>
      </c>
      <c r="P38" s="260">
        <f t="shared" si="7"/>
        <v>13.75171004554349</v>
      </c>
      <c r="Q38" s="260">
        <f t="shared" si="7"/>
        <v>7.1236764444444445</v>
      </c>
      <c r="R38" s="260">
        <f t="shared" si="7"/>
        <v>14.413793103448274</v>
      </c>
      <c r="S38" s="260">
        <f t="shared" si="7"/>
        <v>9.7997094866916257</v>
      </c>
      <c r="T38" s="260">
        <f t="shared" si="7"/>
        <v>7.8415389954881256</v>
      </c>
      <c r="U38" s="260">
        <f t="shared" si="7"/>
        <v>13.874389898989891</v>
      </c>
      <c r="V38" s="260">
        <f t="shared" si="7"/>
        <v>26.458917793103453</v>
      </c>
      <c r="W38" s="260">
        <f t="shared" si="7"/>
        <v>8.862745098039218</v>
      </c>
    </row>
    <row r="39" spans="1:23" s="9" customFormat="1">
      <c r="A39" s="214"/>
      <c r="B39" s="74"/>
      <c r="C39" s="74"/>
      <c r="D39" s="74"/>
      <c r="E39" s="74"/>
      <c r="F39" s="74"/>
      <c r="G39" s="74"/>
      <c r="H39" s="74"/>
      <c r="I39" s="74"/>
      <c r="J39" s="74"/>
      <c r="K39" s="74"/>
      <c r="L39" s="74"/>
      <c r="M39" s="74"/>
      <c r="N39" s="74"/>
      <c r="O39" s="74"/>
      <c r="P39" s="74"/>
      <c r="Q39" s="74"/>
      <c r="R39" s="74"/>
      <c r="S39" s="74"/>
      <c r="T39" s="74"/>
      <c r="U39" s="74"/>
      <c r="V39" s="74"/>
      <c r="W39" s="74"/>
    </row>
    <row r="40" spans="1:23" s="9" customFormat="1">
      <c r="A40" s="216" t="s">
        <v>53</v>
      </c>
      <c r="B40" s="180"/>
      <c r="C40" s="180"/>
      <c r="D40" s="180"/>
      <c r="E40" s="180"/>
      <c r="F40" s="180"/>
      <c r="G40" s="180"/>
      <c r="H40" s="180"/>
      <c r="I40" s="180"/>
      <c r="J40" s="180"/>
      <c r="K40" s="180"/>
      <c r="L40" s="180"/>
      <c r="M40" s="180"/>
      <c r="N40" s="180"/>
      <c r="O40" s="180"/>
      <c r="P40" s="180"/>
      <c r="Q40" s="180"/>
      <c r="R40" s="180"/>
      <c r="S40" s="180"/>
      <c r="T40" s="180"/>
      <c r="U40" s="180"/>
      <c r="V40" s="180"/>
      <c r="W40" s="180"/>
    </row>
    <row r="41" spans="1:23" s="9" customFormat="1">
      <c r="A41" s="216" t="s">
        <v>54</v>
      </c>
      <c r="B41" s="180">
        <f>+B45/B$48*100</f>
        <v>58.032319391634978</v>
      </c>
      <c r="C41" s="180">
        <f t="shared" ref="C41:W42" si="8">+C45/C$48*100</f>
        <v>2.284042581671005</v>
      </c>
      <c r="D41" s="180">
        <f t="shared" si="8"/>
        <v>50.673515425347347</v>
      </c>
      <c r="E41" s="180">
        <f t="shared" si="8"/>
        <v>77.065874576227301</v>
      </c>
      <c r="F41" s="180">
        <f t="shared" si="8"/>
        <v>76.649880302801563</v>
      </c>
      <c r="G41" s="180">
        <f t="shared" si="8"/>
        <v>20.039761431411527</v>
      </c>
      <c r="H41" s="180">
        <f t="shared" si="8"/>
        <v>31.801321340444161</v>
      </c>
      <c r="I41" s="180">
        <f t="shared" si="8"/>
        <v>66.16455876083559</v>
      </c>
      <c r="J41" s="180">
        <f t="shared" si="8"/>
        <v>57.695500939811915</v>
      </c>
      <c r="K41" s="180">
        <f t="shared" si="8"/>
        <v>64.786475912294677</v>
      </c>
      <c r="L41" s="180">
        <f t="shared" si="8"/>
        <v>47.231999999999999</v>
      </c>
      <c r="M41" s="180">
        <f t="shared" si="8"/>
        <v>71.171724780462668</v>
      </c>
      <c r="N41" s="180">
        <f t="shared" si="8"/>
        <v>23.913761771022635</v>
      </c>
      <c r="O41" s="180">
        <f t="shared" si="8"/>
        <v>56.985871271585566</v>
      </c>
      <c r="P41" s="180">
        <f t="shared" si="8"/>
        <v>0.21477205221550319</v>
      </c>
      <c r="Q41" s="180">
        <f t="shared" si="8"/>
        <v>55.741488747836122</v>
      </c>
      <c r="R41" s="180">
        <f t="shared" si="8"/>
        <v>50.625756964069438</v>
      </c>
      <c r="S41" s="180">
        <f t="shared" si="8"/>
        <v>56.25658440261887</v>
      </c>
      <c r="T41" s="180">
        <f t="shared" si="8"/>
        <v>39.316239316239319</v>
      </c>
      <c r="U41" s="180">
        <f t="shared" si="8"/>
        <v>62.887089090042878</v>
      </c>
      <c r="V41" s="180">
        <f t="shared" si="8"/>
        <v>62.319219939514028</v>
      </c>
      <c r="W41" s="180">
        <f t="shared" si="8"/>
        <v>2.762592150771106</v>
      </c>
    </row>
    <row r="42" spans="1:23" s="9" customFormat="1">
      <c r="A42" s="216" t="s">
        <v>55</v>
      </c>
      <c r="B42" s="180">
        <f t="shared" ref="B42" si="9">+B46/B$48*100</f>
        <v>15.399239543726233</v>
      </c>
      <c r="C42" s="180">
        <f t="shared" si="8"/>
        <v>27.987506155714843</v>
      </c>
      <c r="D42" s="180">
        <f t="shared" si="8"/>
        <v>13.416985959365746</v>
      </c>
      <c r="E42" s="180">
        <f t="shared" si="8"/>
        <v>0</v>
      </c>
      <c r="F42" s="180">
        <f t="shared" si="8"/>
        <v>5.2877046175081412</v>
      </c>
      <c r="G42" s="180">
        <f t="shared" si="8"/>
        <v>7.1570576540755466</v>
      </c>
      <c r="H42" s="180">
        <f t="shared" si="8"/>
        <v>26.94658919047998</v>
      </c>
      <c r="I42" s="180">
        <f t="shared" si="8"/>
        <v>8.355833451755009</v>
      </c>
      <c r="J42" s="180">
        <f t="shared" si="8"/>
        <v>0</v>
      </c>
      <c r="K42" s="180">
        <f t="shared" si="8"/>
        <v>0</v>
      </c>
      <c r="L42" s="180">
        <f t="shared" si="8"/>
        <v>19.776</v>
      </c>
      <c r="M42" s="180">
        <f t="shared" si="8"/>
        <v>15.991040101492656</v>
      </c>
      <c r="N42" s="180">
        <f t="shared" si="8"/>
        <v>23.839418470180078</v>
      </c>
      <c r="O42" s="180">
        <f t="shared" si="8"/>
        <v>16.064887493458922</v>
      </c>
      <c r="P42" s="180">
        <f t="shared" si="8"/>
        <v>5.1225419262463632</v>
      </c>
      <c r="Q42" s="180">
        <f t="shared" si="8"/>
        <v>12.810155799192152</v>
      </c>
      <c r="R42" s="180">
        <f t="shared" si="8"/>
        <v>15.744852644327814</v>
      </c>
      <c r="S42" s="180">
        <f t="shared" si="8"/>
        <v>5.3938323107782873</v>
      </c>
      <c r="T42" s="180">
        <f t="shared" si="8"/>
        <v>19.088319088319089</v>
      </c>
      <c r="U42" s="180">
        <f t="shared" si="8"/>
        <v>15.578847070033349</v>
      </c>
      <c r="V42" s="180">
        <f t="shared" si="8"/>
        <v>19.369381583063923</v>
      </c>
      <c r="W42" s="180">
        <f t="shared" si="8"/>
        <v>13.990611134473616</v>
      </c>
    </row>
    <row r="43" spans="1:23" s="9" customFormat="1">
      <c r="A43" s="216" t="s">
        <v>56</v>
      </c>
      <c r="B43" s="180">
        <f>+(B47/6)/B$48*100</f>
        <v>26.568441064638783</v>
      </c>
      <c r="C43" s="180">
        <f t="shared" ref="C43:W43" si="10">+(C47/6)/C$48*100</f>
        <v>69.728451262614172</v>
      </c>
      <c r="D43" s="180">
        <f t="shared" si="10"/>
        <v>35.909498615286914</v>
      </c>
      <c r="E43" s="180">
        <f t="shared" si="10"/>
        <v>22.934125423772702</v>
      </c>
      <c r="F43" s="180">
        <f t="shared" si="10"/>
        <v>18.062415079690297</v>
      </c>
      <c r="G43" s="180">
        <f t="shared" si="10"/>
        <v>72.803180914512922</v>
      </c>
      <c r="H43" s="180">
        <f t="shared" si="10"/>
        <v>41.252089469075855</v>
      </c>
      <c r="I43" s="180">
        <f t="shared" si="10"/>
        <v>25.479607787409407</v>
      </c>
      <c r="J43" s="180">
        <f t="shared" si="10"/>
        <v>42.304499060188085</v>
      </c>
      <c r="K43" s="180">
        <f t="shared" si="10"/>
        <v>35.213524087705331</v>
      </c>
      <c r="L43" s="180">
        <f t="shared" si="10"/>
        <v>32.991999999999997</v>
      </c>
      <c r="M43" s="180">
        <f t="shared" si="10"/>
        <v>12.837235118044681</v>
      </c>
      <c r="N43" s="180">
        <f t="shared" si="10"/>
        <v>52.246819758797294</v>
      </c>
      <c r="O43" s="180">
        <f t="shared" si="10"/>
        <v>26.949241234955522</v>
      </c>
      <c r="P43" s="180">
        <f t="shared" si="10"/>
        <v>94.662686021538136</v>
      </c>
      <c r="Q43" s="180">
        <f t="shared" si="10"/>
        <v>31.448355452971725</v>
      </c>
      <c r="R43" s="180">
        <f t="shared" si="10"/>
        <v>33.62939039160274</v>
      </c>
      <c r="S43" s="180">
        <f t="shared" si="10"/>
        <v>38.349583286602837</v>
      </c>
      <c r="T43" s="180">
        <f t="shared" si="10"/>
        <v>41.595441595441599</v>
      </c>
      <c r="U43" s="180">
        <f t="shared" si="10"/>
        <v>21.534063839923771</v>
      </c>
      <c r="V43" s="180">
        <f t="shared" si="10"/>
        <v>18.311398477422046</v>
      </c>
      <c r="W43" s="180">
        <f t="shared" si="10"/>
        <v>83.246796714755291</v>
      </c>
    </row>
    <row r="44" spans="1:23" s="9" customFormat="1">
      <c r="A44" s="216"/>
      <c r="B44" s="180"/>
      <c r="C44" s="180"/>
      <c r="D44" s="180"/>
      <c r="E44" s="180"/>
      <c r="F44" s="180"/>
      <c r="G44" s="180"/>
      <c r="H44" s="180"/>
      <c r="I44" s="180"/>
      <c r="J44" s="180"/>
      <c r="K44" s="180"/>
      <c r="L44" s="180"/>
      <c r="M44" s="180"/>
      <c r="N44" s="180"/>
      <c r="O44" s="180"/>
      <c r="P44" s="180"/>
      <c r="Q44" s="180"/>
      <c r="R44" s="180"/>
      <c r="S44" s="180"/>
      <c r="T44" s="180"/>
      <c r="U44" s="180"/>
      <c r="V44" s="180"/>
      <c r="W44" s="180"/>
    </row>
    <row r="45" spans="1:23" s="9" customFormat="1">
      <c r="A45" s="216" t="s">
        <v>62</v>
      </c>
      <c r="B45" s="180">
        <v>407</v>
      </c>
      <c r="C45" s="180">
        <v>12.228999999999999</v>
      </c>
      <c r="D45" s="180">
        <f>249.27-17.075</f>
        <v>232.19500000000002</v>
      </c>
      <c r="E45" s="180">
        <f>SUM(E61:E67)</f>
        <v>833.35799999999995</v>
      </c>
      <c r="F45" s="180">
        <f>326.481+5.228</f>
        <v>331.709</v>
      </c>
      <c r="G45" s="180">
        <v>84</v>
      </c>
      <c r="H45" s="180">
        <v>79.903999999999996</v>
      </c>
      <c r="I45" s="180">
        <f>705+71</f>
        <v>776</v>
      </c>
      <c r="J45" s="180">
        <v>186.934</v>
      </c>
      <c r="K45" s="180">
        <v>198.95699999999999</v>
      </c>
      <c r="L45" s="180">
        <v>246</v>
      </c>
      <c r="M45" s="180">
        <f>11968/$D$2</f>
        <v>130.08695652173913</v>
      </c>
      <c r="N45" s="180">
        <v>96.5</v>
      </c>
      <c r="O45" s="180">
        <v>435.6</v>
      </c>
      <c r="P45" s="180">
        <f>141/$D$2</f>
        <v>1.5326086956521738</v>
      </c>
      <c r="Q45" s="180">
        <v>161</v>
      </c>
      <c r="R45" s="180">
        <f>180+29</f>
        <v>209</v>
      </c>
      <c r="S45" s="180">
        <v>101.99299999999999</v>
      </c>
      <c r="T45" s="180">
        <v>138</v>
      </c>
      <c r="U45" s="180">
        <f>274+30+136</f>
        <v>440</v>
      </c>
      <c r="V45" s="180">
        <v>199.19300000000001</v>
      </c>
      <c r="W45" s="180">
        <f>1073/$D$2</f>
        <v>11.663043478260869</v>
      </c>
    </row>
    <row r="46" spans="1:23" s="9" customFormat="1">
      <c r="A46" s="216" t="s">
        <v>63</v>
      </c>
      <c r="B46" s="180">
        <v>108</v>
      </c>
      <c r="C46" s="180">
        <f>(102.86+46.988)</f>
        <v>149.84800000000001</v>
      </c>
      <c r="D46" s="180">
        <f>61.479</f>
        <v>61.478999999999999</v>
      </c>
      <c r="E46" s="180"/>
      <c r="F46" s="180">
        <v>22.882999999999999</v>
      </c>
      <c r="G46" s="180">
        <v>30</v>
      </c>
      <c r="H46" s="180">
        <v>67.706000000000003</v>
      </c>
      <c r="I46" s="180">
        <v>98</v>
      </c>
      <c r="J46" s="180"/>
      <c r="K46" s="180"/>
      <c r="L46" s="180">
        <v>103</v>
      </c>
      <c r="M46" s="180">
        <f>2689/$D$2</f>
        <v>29.228260869565219</v>
      </c>
      <c r="N46" s="180">
        <v>96.2</v>
      </c>
      <c r="O46" s="180">
        <v>122.8</v>
      </c>
      <c r="P46" s="180">
        <f>(1992+1371)/$D$2</f>
        <v>36.554347826086953</v>
      </c>
      <c r="Q46" s="180">
        <v>37</v>
      </c>
      <c r="R46" s="180">
        <f>55+10</f>
        <v>65</v>
      </c>
      <c r="S46" s="180">
        <v>9.7789999999999999</v>
      </c>
      <c r="T46" s="180">
        <v>67</v>
      </c>
      <c r="U46" s="180">
        <f>75+34</f>
        <v>109</v>
      </c>
      <c r="V46" s="180">
        <v>61.911000000000001</v>
      </c>
      <c r="W46" s="180">
        <f>5434/$D$2</f>
        <v>59.065217391304351</v>
      </c>
    </row>
    <row r="47" spans="1:23" s="9" customFormat="1">
      <c r="A47" s="216" t="s">
        <v>64</v>
      </c>
      <c r="B47" s="180">
        <v>1118</v>
      </c>
      <c r="C47" s="180">
        <v>2240</v>
      </c>
      <c r="D47" s="180">
        <f>1029.293-42.031</f>
        <v>987.26199999999994</v>
      </c>
      <c r="E47" s="180">
        <v>1488</v>
      </c>
      <c r="F47" s="180">
        <v>469</v>
      </c>
      <c r="G47" s="180">
        <v>1831</v>
      </c>
      <c r="H47" s="180">
        <v>621.9</v>
      </c>
      <c r="I47" s="180">
        <v>1793</v>
      </c>
      <c r="J47" s="180">
        <v>822.40200000000004</v>
      </c>
      <c r="K47" s="180">
        <v>648.83699999999999</v>
      </c>
      <c r="L47" s="180">
        <v>1031</v>
      </c>
      <c r="M47" s="180">
        <f>12952/$D$2</f>
        <v>140.78260869565219</v>
      </c>
      <c r="N47" s="180">
        <v>1265</v>
      </c>
      <c r="O47" s="180">
        <v>1236</v>
      </c>
      <c r="P47" s="180">
        <f>372.882*1000/$D$2</f>
        <v>4053.0652173913045</v>
      </c>
      <c r="Q47" s="180">
        <v>545</v>
      </c>
      <c r="R47" s="180">
        <f>422+411</f>
        <v>833</v>
      </c>
      <c r="S47" s="180">
        <v>417.166</v>
      </c>
      <c r="T47" s="180">
        <v>876</v>
      </c>
      <c r="U47" s="180">
        <f>365+6+533</f>
        <v>904</v>
      </c>
      <c r="V47" s="180">
        <v>351.17599999999999</v>
      </c>
      <c r="W47" s="180">
        <f>194*1000/$D$2</f>
        <v>2108.695652173913</v>
      </c>
    </row>
    <row r="48" spans="1:23" s="9" customFormat="1">
      <c r="A48" s="216" t="s">
        <v>65</v>
      </c>
      <c r="B48" s="180">
        <f t="shared" ref="B48:W48" si="11">+B45+B46+B47/6</f>
        <v>701.33333333333337</v>
      </c>
      <c r="C48" s="180">
        <f t="shared" si="11"/>
        <v>535.41033333333326</v>
      </c>
      <c r="D48" s="180">
        <f t="shared" si="11"/>
        <v>458.21766666666667</v>
      </c>
      <c r="E48" s="180">
        <f t="shared" si="11"/>
        <v>1081.3579999999999</v>
      </c>
      <c r="F48" s="180">
        <f t="shared" si="11"/>
        <v>432.75866666666667</v>
      </c>
      <c r="G48" s="180">
        <f t="shared" si="11"/>
        <v>419.16666666666669</v>
      </c>
      <c r="H48" s="180">
        <f t="shared" si="11"/>
        <v>251.26</v>
      </c>
      <c r="I48" s="180">
        <f t="shared" si="11"/>
        <v>1172.8333333333333</v>
      </c>
      <c r="J48" s="180">
        <f t="shared" si="11"/>
        <v>324.00099999999998</v>
      </c>
      <c r="K48" s="180">
        <f t="shared" si="11"/>
        <v>307.09649999999999</v>
      </c>
      <c r="L48" s="180">
        <f t="shared" si="11"/>
        <v>520.83333333333337</v>
      </c>
      <c r="M48" s="180">
        <f t="shared" si="11"/>
        <v>182.77898550724638</v>
      </c>
      <c r="N48" s="180">
        <f t="shared" si="11"/>
        <v>403.5333333333333</v>
      </c>
      <c r="O48" s="180">
        <f t="shared" si="11"/>
        <v>764.4</v>
      </c>
      <c r="P48" s="180">
        <f t="shared" si="11"/>
        <v>713.5978260869565</v>
      </c>
      <c r="Q48" s="180">
        <f t="shared" si="11"/>
        <v>288.83333333333331</v>
      </c>
      <c r="R48" s="180">
        <f t="shared" si="11"/>
        <v>412.83333333333337</v>
      </c>
      <c r="S48" s="180">
        <f t="shared" si="11"/>
        <v>181.29966666666667</v>
      </c>
      <c r="T48" s="180">
        <f t="shared" si="11"/>
        <v>351</v>
      </c>
      <c r="U48" s="180">
        <f t="shared" si="11"/>
        <v>699.66666666666663</v>
      </c>
      <c r="V48" s="180">
        <f t="shared" si="11"/>
        <v>319.63333333333338</v>
      </c>
      <c r="W48" s="180">
        <f t="shared" si="11"/>
        <v>422.17753623188401</v>
      </c>
    </row>
    <row r="49" spans="1:23" s="9" customFormat="1">
      <c r="A49" s="216" t="s">
        <v>66</v>
      </c>
      <c r="B49" s="180">
        <f t="shared" ref="B49:I49" si="12">+B48*$D$2/1000</f>
        <v>64.522666666666666</v>
      </c>
      <c r="C49" s="180">
        <f t="shared" si="12"/>
        <v>49.257750666666659</v>
      </c>
      <c r="D49" s="180">
        <f t="shared" si="12"/>
        <v>42.156025333333332</v>
      </c>
      <c r="E49" s="180">
        <f t="shared" si="12"/>
        <v>99.484936000000005</v>
      </c>
      <c r="F49" s="180">
        <f t="shared" si="12"/>
        <v>39.813797333333333</v>
      </c>
      <c r="G49" s="180">
        <f t="shared" si="12"/>
        <v>38.563333333333333</v>
      </c>
      <c r="H49" s="180">
        <f t="shared" si="12"/>
        <v>23.115919999999999</v>
      </c>
      <c r="I49" s="180">
        <f t="shared" si="12"/>
        <v>107.90066666666665</v>
      </c>
      <c r="J49" s="180">
        <f>+J48*$D$2/1000</f>
        <v>29.808091999999998</v>
      </c>
      <c r="K49" s="180">
        <f t="shared" ref="K49:W49" si="13">+K48*$D$2/1000</f>
        <v>28.252877999999999</v>
      </c>
      <c r="L49" s="180">
        <f t="shared" si="13"/>
        <v>47.916666666666671</v>
      </c>
      <c r="M49" s="180">
        <f t="shared" si="13"/>
        <v>16.815666666666669</v>
      </c>
      <c r="N49" s="180">
        <f t="shared" si="13"/>
        <v>37.125066666666669</v>
      </c>
      <c r="O49" s="180">
        <f t="shared" si="13"/>
        <v>70.324799999999996</v>
      </c>
      <c r="P49" s="180">
        <f t="shared" si="13"/>
        <v>65.650999999999996</v>
      </c>
      <c r="Q49" s="180">
        <f t="shared" si="13"/>
        <v>26.572666666666663</v>
      </c>
      <c r="R49" s="180">
        <f t="shared" si="13"/>
        <v>37.980666666666671</v>
      </c>
      <c r="S49" s="180">
        <f t="shared" si="13"/>
        <v>16.679569333333333</v>
      </c>
      <c r="T49" s="180">
        <f t="shared" si="13"/>
        <v>32.292000000000002</v>
      </c>
      <c r="U49" s="180">
        <f t="shared" si="13"/>
        <v>64.36933333333333</v>
      </c>
      <c r="V49" s="180">
        <f t="shared" si="13"/>
        <v>29.406266666666671</v>
      </c>
      <c r="W49" s="180">
        <f t="shared" si="13"/>
        <v>38.840333333333326</v>
      </c>
    </row>
    <row r="50" spans="1:23" s="9" customFormat="1">
      <c r="A50" s="216"/>
      <c r="B50" s="180"/>
      <c r="C50" s="180"/>
      <c r="D50" s="180"/>
      <c r="E50" s="180"/>
      <c r="F50" s="180"/>
      <c r="G50" s="180"/>
      <c r="H50" s="180"/>
      <c r="I50" s="180"/>
      <c r="J50" s="180"/>
      <c r="K50" s="180"/>
      <c r="L50" s="180"/>
      <c r="M50" s="180"/>
      <c r="N50" s="180"/>
      <c r="O50" s="180"/>
      <c r="P50" s="180"/>
      <c r="Q50" s="180"/>
      <c r="R50" s="180"/>
      <c r="S50" s="180"/>
      <c r="T50" s="180"/>
      <c r="U50" s="180"/>
      <c r="V50" s="180"/>
      <c r="W50" s="180"/>
    </row>
    <row r="51" spans="1:23" s="9" customFormat="1">
      <c r="A51" s="216" t="s">
        <v>106</v>
      </c>
      <c r="B51" s="180">
        <f t="shared" ref="B51:W51" si="14">+B37*B49*4</f>
        <v>7427.6639999999998</v>
      </c>
      <c r="C51" s="180">
        <f t="shared" si="14"/>
        <v>2042.5753881599992</v>
      </c>
      <c r="D51" s="180">
        <f t="shared" si="14"/>
        <v>4236.3802633599998</v>
      </c>
      <c r="E51" s="180">
        <f t="shared" si="14"/>
        <v>3396.0695999999998</v>
      </c>
      <c r="F51" s="180">
        <f t="shared" si="14"/>
        <v>-399.50609399844268</v>
      </c>
      <c r="G51" s="180">
        <f t="shared" si="14"/>
        <v>2884.0000000000005</v>
      </c>
      <c r="H51" s="180">
        <f t="shared" si="14"/>
        <v>1649.6959999999997</v>
      </c>
      <c r="I51" s="180">
        <f t="shared" si="14"/>
        <v>14977.556640000003</v>
      </c>
      <c r="J51" s="180">
        <f t="shared" si="14"/>
        <v>3444.8960000000002</v>
      </c>
      <c r="K51" s="180">
        <f t="shared" si="14"/>
        <v>2833.57492336</v>
      </c>
      <c r="L51" s="180">
        <f t="shared" si="14"/>
        <v>1641.6666666666667</v>
      </c>
      <c r="M51" s="180">
        <f t="shared" si="14"/>
        <v>1911.6049866666667</v>
      </c>
      <c r="N51" s="180">
        <f t="shared" si="14"/>
        <v>3082.8655359999998</v>
      </c>
      <c r="O51" s="180">
        <f t="shared" si="14"/>
        <v>8306.6119999999992</v>
      </c>
      <c r="P51" s="180">
        <f t="shared" si="14"/>
        <v>3176.48</v>
      </c>
      <c r="Q51" s="180">
        <f t="shared" si="14"/>
        <v>2564.5235200000002</v>
      </c>
      <c r="R51" s="180">
        <f t="shared" si="14"/>
        <v>3343.9999999999995</v>
      </c>
      <c r="S51" s="180">
        <f t="shared" si="14"/>
        <v>1916</v>
      </c>
      <c r="T51" s="180">
        <f t="shared" si="14"/>
        <v>2506.4960000000001</v>
      </c>
      <c r="U51" s="180">
        <f t="shared" si="14"/>
        <v>5494.2583999999979</v>
      </c>
      <c r="V51" s="180">
        <f t="shared" si="14"/>
        <v>3069.2344640000006</v>
      </c>
      <c r="W51" s="180">
        <f t="shared" si="14"/>
        <v>1808</v>
      </c>
    </row>
    <row r="52" spans="1:23" s="9" customFormat="1">
      <c r="A52" s="214" t="s">
        <v>143</v>
      </c>
      <c r="B52" s="180">
        <f>10683+919</f>
        <v>11602</v>
      </c>
      <c r="C52" s="180">
        <v>3829.5410000000002</v>
      </c>
      <c r="D52" s="180">
        <f>150+8054</f>
        <v>8204</v>
      </c>
      <c r="E52" s="180">
        <f>(1141+19482)/E59</f>
        <v>15605.4241</v>
      </c>
      <c r="F52" s="180">
        <f>(682+8482)/E59-324</f>
        <v>6610.3987999999999</v>
      </c>
      <c r="G52" s="180">
        <v>7722</v>
      </c>
      <c r="H52" s="180">
        <v>1500</v>
      </c>
      <c r="I52" s="180">
        <v>14968</v>
      </c>
      <c r="J52" s="180">
        <f>5765.989+2.36</f>
        <v>5768.3489999999993</v>
      </c>
      <c r="K52" s="180">
        <f>4194+159</f>
        <v>4353</v>
      </c>
      <c r="L52" s="180">
        <f>162+5785</f>
        <v>5947</v>
      </c>
      <c r="M52" s="180">
        <f>1250+800+1914+157</f>
        <v>4121</v>
      </c>
      <c r="N52" s="180">
        <f>500+3698</f>
        <v>4198</v>
      </c>
      <c r="O52" s="180">
        <f>5170.169</f>
        <v>5170.1689999999999</v>
      </c>
      <c r="P52" s="180">
        <f>704.39+800+3882.932</f>
        <v>5387.3220000000001</v>
      </c>
      <c r="Q52" s="180">
        <v>5691</v>
      </c>
      <c r="R52" s="180">
        <v>5499</v>
      </c>
      <c r="S52" s="180">
        <f>10.583+3227.134</f>
        <v>3237.7170000000001</v>
      </c>
      <c r="T52" s="180">
        <v>6014</v>
      </c>
      <c r="U52" s="180">
        <f>10201+116</f>
        <v>10317</v>
      </c>
      <c r="V52" s="180">
        <v>2284</v>
      </c>
      <c r="W52" s="180">
        <v>2318</v>
      </c>
    </row>
    <row r="53" spans="1:23" s="9" customFormat="1">
      <c r="A53" s="214" t="s">
        <v>142</v>
      </c>
      <c r="B53" s="74">
        <f>+B52/B51</f>
        <v>1.561998496431718</v>
      </c>
      <c r="C53" s="74">
        <f>+C52/C51</f>
        <v>1.8748590735981316</v>
      </c>
      <c r="D53" s="74">
        <f t="shared" ref="D53:W53" si="15">+D52/D51</f>
        <v>1.9365589229454965</v>
      </c>
      <c r="E53" s="74">
        <f t="shared" si="15"/>
        <v>4.5951426024955442</v>
      </c>
      <c r="F53" s="74">
        <f>+F52/F51</f>
        <v>-16.546427950172315</v>
      </c>
      <c r="G53" s="74">
        <f t="shared" si="15"/>
        <v>2.6775312066574197</v>
      </c>
      <c r="H53" s="74">
        <f t="shared" si="15"/>
        <v>0.90925843306888077</v>
      </c>
      <c r="I53" s="74">
        <f t="shared" si="15"/>
        <v>0.99936193597996614</v>
      </c>
      <c r="J53" s="74">
        <f t="shared" si="15"/>
        <v>1.6744624511160857</v>
      </c>
      <c r="K53" s="74">
        <f t="shared" si="15"/>
        <v>1.536221952034462</v>
      </c>
      <c r="L53" s="74">
        <f t="shared" si="15"/>
        <v>3.6225380710659896</v>
      </c>
      <c r="M53" s="74">
        <f t="shared" si="15"/>
        <v>2.1557801055886205</v>
      </c>
      <c r="N53" s="74">
        <f t="shared" si="15"/>
        <v>1.3617201110389268</v>
      </c>
      <c r="O53" s="74">
        <f t="shared" si="15"/>
        <v>0.62241609455214719</v>
      </c>
      <c r="P53" s="74">
        <f t="shared" si="15"/>
        <v>1.696003752581474</v>
      </c>
      <c r="Q53" s="74">
        <f t="shared" si="15"/>
        <v>2.2191256799235748</v>
      </c>
      <c r="R53" s="74">
        <f t="shared" si="15"/>
        <v>1.6444377990430625</v>
      </c>
      <c r="S53" s="74">
        <f t="shared" si="15"/>
        <v>1.6898314196242172</v>
      </c>
      <c r="T53" s="74">
        <f t="shared" si="15"/>
        <v>2.3993654887141251</v>
      </c>
      <c r="U53" s="74">
        <f t="shared" si="15"/>
        <v>1.8777784459500493</v>
      </c>
      <c r="V53" s="74">
        <f t="shared" si="15"/>
        <v>0.74415950517620655</v>
      </c>
      <c r="W53" s="74">
        <f t="shared" si="15"/>
        <v>1.2820796460176991</v>
      </c>
    </row>
    <row r="54" spans="1:23" s="9" customFormat="1">
      <c r="A54" s="214"/>
      <c r="B54" s="260"/>
      <c r="C54" s="260"/>
      <c r="D54" s="260"/>
      <c r="E54" s="260"/>
      <c r="F54" s="260"/>
      <c r="G54" s="260"/>
      <c r="H54" s="260"/>
      <c r="I54" s="260"/>
      <c r="J54" s="260"/>
      <c r="K54" s="260"/>
      <c r="L54" s="260"/>
      <c r="M54" s="260"/>
      <c r="N54" s="260"/>
      <c r="O54" s="260"/>
      <c r="P54" s="260"/>
      <c r="Q54" s="260"/>
      <c r="R54" s="260"/>
      <c r="S54" s="260"/>
      <c r="T54" s="260"/>
      <c r="U54" s="260"/>
      <c r="V54" s="260"/>
      <c r="W54" s="260"/>
    </row>
    <row r="55" spans="1:23" s="9" customFormat="1">
      <c r="A55" s="214" t="s">
        <v>171</v>
      </c>
      <c r="B55" s="260"/>
      <c r="C55" s="260"/>
      <c r="D55" s="260"/>
      <c r="E55" s="74">
        <f>+(546+174)/B5/E49</f>
        <v>5.4753754505905405</v>
      </c>
      <c r="F55" s="260"/>
      <c r="G55" s="260"/>
      <c r="H55" s="260"/>
      <c r="I55" s="260"/>
      <c r="J55" s="260"/>
      <c r="K55" s="260"/>
      <c r="L55" s="260"/>
      <c r="M55" s="260"/>
      <c r="N55" s="260"/>
      <c r="O55" s="260"/>
      <c r="P55" s="260"/>
      <c r="Q55" s="260"/>
      <c r="R55" s="260"/>
      <c r="S55" s="260"/>
      <c r="T55" s="260"/>
      <c r="U55" s="260"/>
      <c r="V55" s="260"/>
      <c r="W55" s="217"/>
    </row>
    <row r="56" spans="1:23" s="9" customFormat="1" ht="24.75" customHeight="1">
      <c r="A56" s="214" t="s">
        <v>127</v>
      </c>
      <c r="B56" s="261"/>
      <c r="C56" s="261"/>
      <c r="D56" s="261"/>
      <c r="E56" s="261"/>
      <c r="F56" s="261"/>
      <c r="G56" s="261"/>
      <c r="H56" s="261"/>
      <c r="I56" s="261"/>
      <c r="J56" s="261"/>
      <c r="K56" s="261"/>
      <c r="L56" s="261"/>
      <c r="M56" s="261"/>
      <c r="N56" s="261"/>
      <c r="O56" s="261"/>
      <c r="P56" s="261"/>
      <c r="Q56" s="261"/>
      <c r="R56" s="261"/>
      <c r="S56" s="261"/>
      <c r="T56" s="261"/>
      <c r="U56" s="261"/>
      <c r="V56" s="261"/>
      <c r="W56" s="217"/>
    </row>
    <row r="57" spans="1:23" s="9" customFormat="1" ht="14.25" customHeight="1">
      <c r="A57" s="214" t="s">
        <v>199</v>
      </c>
      <c r="B57" s="261"/>
      <c r="C57" s="261"/>
      <c r="D57" s="261"/>
      <c r="E57" s="261"/>
      <c r="F57" s="261"/>
      <c r="G57" s="261"/>
      <c r="H57" s="261"/>
      <c r="I57" s="261"/>
      <c r="J57" s="261"/>
      <c r="K57" s="261"/>
      <c r="L57" s="261"/>
      <c r="M57" s="261"/>
      <c r="N57" s="261"/>
      <c r="O57" s="261"/>
      <c r="P57" s="261"/>
      <c r="Q57" s="261"/>
      <c r="R57" s="261"/>
      <c r="S57" s="261"/>
      <c r="T57" s="261"/>
      <c r="U57" s="261"/>
      <c r="V57" s="261"/>
      <c r="W57" s="217"/>
    </row>
    <row r="58" spans="1:23" s="9" customFormat="1" ht="38.25">
      <c r="A58" s="214"/>
      <c r="B58" s="261"/>
      <c r="C58" s="261"/>
      <c r="D58" s="186"/>
      <c r="E58" s="186" t="s">
        <v>219</v>
      </c>
      <c r="F58" s="186"/>
      <c r="G58" s="186"/>
      <c r="H58" s="186"/>
      <c r="I58" s="186"/>
      <c r="J58" s="186"/>
      <c r="K58" s="186"/>
      <c r="L58" s="186"/>
      <c r="M58" s="261"/>
      <c r="N58" s="186"/>
      <c r="O58" s="186"/>
      <c r="P58" s="186"/>
      <c r="Q58" s="186"/>
      <c r="R58" s="186"/>
      <c r="S58" s="186"/>
      <c r="T58" s="186"/>
      <c r="U58" s="186"/>
      <c r="V58" s="186"/>
      <c r="W58" s="217"/>
    </row>
    <row r="59" spans="1:23">
      <c r="A59" s="262" t="s">
        <v>94</v>
      </c>
      <c r="B59" s="261"/>
      <c r="C59" s="261"/>
      <c r="D59" s="187"/>
      <c r="E59" s="74">
        <f>1/0.7567</f>
        <v>1.3215276860050218</v>
      </c>
      <c r="F59" s="187"/>
      <c r="G59" s="187"/>
      <c r="H59" s="187"/>
      <c r="I59" s="187"/>
      <c r="J59" s="187"/>
      <c r="K59" s="187"/>
      <c r="L59" s="187"/>
      <c r="M59" s="261"/>
      <c r="N59" s="187"/>
      <c r="O59" s="187"/>
      <c r="P59" s="187"/>
      <c r="Q59" s="187">
        <f>Q45*$D$2/1000</f>
        <v>14.811999999999999</v>
      </c>
      <c r="R59" s="187"/>
      <c r="S59" s="218" t="s">
        <v>208</v>
      </c>
      <c r="T59" s="219" t="s">
        <v>213</v>
      </c>
      <c r="U59" s="187"/>
      <c r="V59" s="187"/>
      <c r="W59" s="220"/>
    </row>
    <row r="60" spans="1:23" s="9" customFormat="1">
      <c r="A60" s="261"/>
      <c r="B60" s="261"/>
      <c r="C60" s="261"/>
      <c r="D60" s="188" t="s">
        <v>184</v>
      </c>
      <c r="E60" s="188"/>
      <c r="F60" s="221"/>
      <c r="G60" s="221"/>
      <c r="H60" s="221"/>
      <c r="I60" s="187">
        <f>I45*$D$2/1000</f>
        <v>71.391999999999996</v>
      </c>
      <c r="J60" s="221"/>
      <c r="K60" s="221"/>
      <c r="L60" s="221"/>
      <c r="M60" s="261"/>
      <c r="N60" s="221"/>
      <c r="O60" s="221"/>
      <c r="P60" s="221"/>
      <c r="Q60" s="187">
        <f>Q46*$D$2/1000</f>
        <v>3.4039999999999999</v>
      </c>
      <c r="R60" s="221"/>
      <c r="S60" s="200">
        <v>26.609000000000002</v>
      </c>
      <c r="T60" s="200">
        <v>52.98</v>
      </c>
      <c r="U60" s="200">
        <f>U45*$D$2/1000</f>
        <v>40.479999999999997</v>
      </c>
      <c r="V60" s="221"/>
      <c r="W60" s="201">
        <f>W45*$D$2/1000</f>
        <v>1.073</v>
      </c>
    </row>
    <row r="61" spans="1:23" s="9" customFormat="1">
      <c r="A61" s="261"/>
      <c r="B61" s="263"/>
      <c r="C61" s="263"/>
      <c r="D61" s="189" t="s">
        <v>178</v>
      </c>
      <c r="E61" s="222">
        <f>54.01+44.826</f>
        <v>98.835999999999999</v>
      </c>
      <c r="F61" s="221"/>
      <c r="G61" s="221"/>
      <c r="H61" s="221"/>
      <c r="I61" s="200">
        <f>I46*$D$2/1000</f>
        <v>9.016</v>
      </c>
      <c r="J61" s="221"/>
      <c r="K61" s="221"/>
      <c r="L61" s="221"/>
      <c r="M61" s="186"/>
      <c r="N61" s="221"/>
      <c r="O61" s="221"/>
      <c r="P61" s="221"/>
      <c r="Q61" s="187">
        <f>Q47*$D$2/1000</f>
        <v>50.14</v>
      </c>
      <c r="R61" s="221"/>
      <c r="S61" s="200">
        <v>32.411999999999999</v>
      </c>
      <c r="T61" s="200">
        <v>0</v>
      </c>
      <c r="U61" s="200">
        <f>U46*$D$2/1000</f>
        <v>10.028</v>
      </c>
      <c r="V61" s="221"/>
      <c r="W61" s="201">
        <f>W46*$D$2/1000</f>
        <v>5.4340000000000002</v>
      </c>
    </row>
    <row r="62" spans="1:23" s="9" customFormat="1">
      <c r="A62" s="261"/>
      <c r="B62" s="263"/>
      <c r="C62" s="263"/>
      <c r="D62" s="189" t="s">
        <v>179</v>
      </c>
      <c r="E62" s="222">
        <v>62.427999999999997</v>
      </c>
      <c r="F62" s="221"/>
      <c r="G62" s="221"/>
      <c r="H62" s="221"/>
      <c r="I62" s="200">
        <f>I47*$D$2/1000</f>
        <v>164.95599999999999</v>
      </c>
      <c r="J62" s="221"/>
      <c r="K62" s="221"/>
      <c r="L62" s="221"/>
      <c r="M62" s="187"/>
      <c r="N62" s="221"/>
      <c r="O62" s="221"/>
      <c r="P62" s="221"/>
      <c r="Q62" s="200"/>
      <c r="R62" s="221"/>
      <c r="S62" s="200">
        <v>7.0170000000000003</v>
      </c>
      <c r="T62" s="200">
        <v>61.23</v>
      </c>
      <c r="U62" s="200">
        <f>U47*$D$2/1000</f>
        <v>83.168000000000006</v>
      </c>
      <c r="V62" s="221"/>
      <c r="W62" s="201">
        <f>W47*$D$2/1000</f>
        <v>194</v>
      </c>
    </row>
    <row r="63" spans="1:23" s="9" customFormat="1">
      <c r="A63" s="261"/>
      <c r="B63" s="263"/>
      <c r="C63" s="263"/>
      <c r="D63" s="189" t="s">
        <v>180</v>
      </c>
      <c r="E63" s="222">
        <v>79.677999999999997</v>
      </c>
      <c r="F63" s="221"/>
      <c r="G63" s="221"/>
      <c r="H63" s="221"/>
      <c r="I63" s="200"/>
      <c r="J63" s="221"/>
      <c r="K63" s="221"/>
      <c r="L63" s="221"/>
      <c r="M63" s="221"/>
      <c r="N63" s="221"/>
      <c r="O63" s="221"/>
      <c r="P63" s="221"/>
      <c r="Q63" s="200">
        <f>Q59*Q10</f>
        <v>860.72532000000001</v>
      </c>
      <c r="R63" s="221"/>
      <c r="S63" s="200">
        <v>5.109</v>
      </c>
      <c r="T63" s="203" t="s">
        <v>216</v>
      </c>
      <c r="U63" s="200"/>
      <c r="V63" s="221"/>
      <c r="W63" s="201"/>
    </row>
    <row r="64" spans="1:23" s="9" customFormat="1">
      <c r="A64" s="261"/>
      <c r="B64" s="187"/>
      <c r="C64" s="263"/>
      <c r="D64" s="189" t="s">
        <v>181</v>
      </c>
      <c r="E64" s="222">
        <v>102.11199999999999</v>
      </c>
      <c r="F64" s="221"/>
      <c r="G64" s="221"/>
      <c r="H64" s="221"/>
      <c r="I64" s="200">
        <f>I60*I10</f>
        <v>4213.4895999999999</v>
      </c>
      <c r="J64" s="221"/>
      <c r="K64" s="221"/>
      <c r="L64" s="221"/>
      <c r="M64" s="221"/>
      <c r="N64" s="221"/>
      <c r="O64" s="221"/>
      <c r="P64" s="221"/>
      <c r="Q64" s="200">
        <f>Q60*Q12</f>
        <v>72.130760000000009</v>
      </c>
      <c r="R64" s="221"/>
      <c r="S64" s="200">
        <v>11.958</v>
      </c>
      <c r="T64" s="200">
        <v>118</v>
      </c>
      <c r="U64" s="200">
        <f>U60*U10</f>
        <v>2271.3327999999997</v>
      </c>
      <c r="V64" s="221"/>
      <c r="W64" s="201">
        <f>W60*W10</f>
        <v>54.583509999999997</v>
      </c>
    </row>
    <row r="65" spans="1:23" s="9" customFormat="1">
      <c r="A65" s="261"/>
      <c r="B65" s="187"/>
      <c r="C65" s="263"/>
      <c r="D65" s="189" t="s">
        <v>61</v>
      </c>
      <c r="E65" s="222">
        <v>447.048</v>
      </c>
      <c r="F65" s="221"/>
      <c r="G65" s="221"/>
      <c r="H65" s="221"/>
      <c r="I65" s="200">
        <f>I61*I12</f>
        <v>239.91576000000001</v>
      </c>
      <c r="J65" s="221"/>
      <c r="K65" s="221"/>
      <c r="L65" s="221"/>
      <c r="M65" s="221"/>
      <c r="N65" s="221"/>
      <c r="O65" s="221"/>
      <c r="P65" s="221"/>
      <c r="Q65" s="200">
        <f>Q61*Q14</f>
        <v>241.6748</v>
      </c>
      <c r="R65" s="221"/>
      <c r="S65" s="200">
        <v>15.351000000000001</v>
      </c>
      <c r="T65" s="200">
        <v>0</v>
      </c>
      <c r="U65" s="200">
        <f>U61*U12</f>
        <v>229.44064</v>
      </c>
      <c r="V65" s="221"/>
      <c r="W65" s="201">
        <f>W61*W12</f>
        <v>101.01806000000001</v>
      </c>
    </row>
    <row r="66" spans="1:23" s="9" customFormat="1">
      <c r="A66" s="261"/>
      <c r="B66" s="187"/>
      <c r="C66" s="263"/>
      <c r="D66" s="189" t="s">
        <v>182</v>
      </c>
      <c r="E66" s="222">
        <v>21.071000000000002</v>
      </c>
      <c r="F66" s="221"/>
      <c r="G66" s="221"/>
      <c r="H66" s="221"/>
      <c r="I66" s="200">
        <f>I62*I14</f>
        <v>997.98379999999986</v>
      </c>
      <c r="J66" s="221"/>
      <c r="K66" s="221"/>
      <c r="L66" s="221"/>
      <c r="M66" s="221"/>
      <c r="N66" s="221"/>
      <c r="O66" s="221"/>
      <c r="P66" s="221"/>
      <c r="Q66" s="200">
        <f>Q65+Q64+Q63</f>
        <v>1174.53088</v>
      </c>
      <c r="R66" s="221"/>
      <c r="S66" s="200">
        <v>0.53700000000000003</v>
      </c>
      <c r="T66" s="200">
        <f>18+2</f>
        <v>20</v>
      </c>
      <c r="U66" s="200">
        <f>U62*U14</f>
        <v>110.61344000000001</v>
      </c>
      <c r="V66" s="221"/>
      <c r="W66" s="201">
        <f>W62*W14</f>
        <v>578.12</v>
      </c>
    </row>
    <row r="67" spans="1:23" s="9" customFormat="1">
      <c r="A67" s="261"/>
      <c r="B67" s="187"/>
      <c r="C67" s="263"/>
      <c r="D67" s="189" t="s">
        <v>183</v>
      </c>
      <c r="E67" s="222">
        <v>22.184999999999999</v>
      </c>
      <c r="F67" s="221"/>
      <c r="G67" s="221"/>
      <c r="H67" s="221"/>
      <c r="I67" s="200">
        <f>I66+I65+I64</f>
        <v>5451.3891599999997</v>
      </c>
      <c r="J67" s="221"/>
      <c r="K67" s="221"/>
      <c r="L67" s="221"/>
      <c r="M67" s="221"/>
      <c r="N67" s="221"/>
      <c r="O67" s="221"/>
      <c r="P67" s="221"/>
      <c r="Q67" s="200">
        <f>Q66/Q49</f>
        <v>44.200715522215816</v>
      </c>
      <c r="R67" s="221"/>
      <c r="S67" s="218" t="s">
        <v>211</v>
      </c>
      <c r="T67" s="200">
        <f>+SUMPRODUCT(T60:T62,T64:T66)/SUM(T64:T66)</f>
        <v>54.175652173913043</v>
      </c>
      <c r="U67" s="200">
        <f>U66+U65+U64</f>
        <v>2611.3868799999996</v>
      </c>
      <c r="V67" s="221"/>
      <c r="W67" s="201">
        <f>W66+W65+W64</f>
        <v>733.72157000000004</v>
      </c>
    </row>
    <row r="68" spans="1:23" s="9" customFormat="1">
      <c r="A68" s="261"/>
      <c r="B68" s="187"/>
      <c r="C68" s="263"/>
      <c r="D68" s="188" t="s">
        <v>185</v>
      </c>
      <c r="E68" s="188"/>
      <c r="F68" s="221"/>
      <c r="G68" s="221"/>
      <c r="H68" s="221"/>
      <c r="I68" s="200">
        <f>I67/I49</f>
        <v>50.522293591018908</v>
      </c>
      <c r="J68" s="221"/>
      <c r="K68" s="221"/>
      <c r="L68" s="221"/>
      <c r="M68" s="221"/>
      <c r="N68" s="221"/>
      <c r="O68" s="221"/>
      <c r="P68" s="221"/>
      <c r="Q68" s="200"/>
      <c r="R68" s="221"/>
      <c r="S68" s="200">
        <v>6.0490000000000004</v>
      </c>
      <c r="T68" s="203" t="s">
        <v>214</v>
      </c>
      <c r="U68" s="200">
        <f>U67/U49</f>
        <v>40.568804192472598</v>
      </c>
      <c r="V68" s="221"/>
      <c r="W68" s="201">
        <f>W67/W49</f>
        <v>18.890712489594154</v>
      </c>
    </row>
    <row r="69" spans="1:23" s="9" customFormat="1">
      <c r="A69" s="261"/>
      <c r="B69" s="187"/>
      <c r="C69" s="263"/>
      <c r="D69" s="189" t="s">
        <v>178</v>
      </c>
      <c r="E69" s="189">
        <v>34.619999999999997</v>
      </c>
      <c r="F69" s="221"/>
      <c r="G69" s="221"/>
      <c r="H69" s="221"/>
      <c r="I69" s="200"/>
      <c r="J69" s="221"/>
      <c r="K69" s="221"/>
      <c r="L69" s="221"/>
      <c r="M69" s="221"/>
      <c r="N69" s="221"/>
      <c r="O69" s="221"/>
      <c r="P69" s="221"/>
      <c r="Q69" s="200"/>
      <c r="R69" s="221"/>
      <c r="S69" s="200">
        <v>1.3120000000000001</v>
      </c>
      <c r="T69" s="200">
        <v>24.84</v>
      </c>
      <c r="U69" s="221"/>
      <c r="V69" s="221"/>
      <c r="W69" s="217"/>
    </row>
    <row r="70" spans="1:23" s="9" customFormat="1">
      <c r="A70" s="261"/>
      <c r="B70" s="187"/>
      <c r="C70" s="187"/>
      <c r="D70" s="189" t="s">
        <v>179</v>
      </c>
      <c r="E70" s="189">
        <v>20.100000000000001</v>
      </c>
      <c r="F70" s="221"/>
      <c r="G70" s="221"/>
      <c r="H70" s="221"/>
      <c r="I70" s="221"/>
      <c r="J70" s="221"/>
      <c r="K70" s="221"/>
      <c r="L70" s="221"/>
      <c r="M70" s="221"/>
      <c r="N70" s="221"/>
      <c r="O70" s="221"/>
      <c r="P70" s="221"/>
      <c r="Q70" s="221"/>
      <c r="R70" s="221"/>
      <c r="S70" s="200">
        <v>1.2729999999999999</v>
      </c>
      <c r="T70" s="200">
        <v>0</v>
      </c>
      <c r="U70" s="221"/>
      <c r="V70" s="221"/>
      <c r="W70" s="217"/>
    </row>
    <row r="71" spans="1:23" s="9" customFormat="1">
      <c r="A71" s="261"/>
      <c r="B71" s="187"/>
      <c r="C71" s="187"/>
      <c r="D71" s="189" t="s">
        <v>180</v>
      </c>
      <c r="E71" s="189">
        <v>29.76</v>
      </c>
      <c r="F71" s="221"/>
      <c r="G71" s="221"/>
      <c r="H71" s="221"/>
      <c r="I71" s="221"/>
      <c r="J71" s="221"/>
      <c r="K71" s="221"/>
      <c r="L71" s="221"/>
      <c r="M71" s="221"/>
      <c r="N71" s="221"/>
      <c r="O71" s="221"/>
      <c r="P71" s="221"/>
      <c r="Q71" s="221"/>
      <c r="R71" s="221"/>
      <c r="S71" s="200">
        <v>1.145</v>
      </c>
      <c r="T71" s="203" t="s">
        <v>218</v>
      </c>
      <c r="U71" s="221"/>
      <c r="V71" s="221"/>
      <c r="W71" s="217"/>
    </row>
    <row r="72" spans="1:23" s="9" customFormat="1">
      <c r="A72" s="261"/>
      <c r="B72" s="187"/>
      <c r="C72" s="263"/>
      <c r="D72" s="189" t="s">
        <v>181</v>
      </c>
      <c r="E72" s="189">
        <v>27.71</v>
      </c>
      <c r="F72" s="221"/>
      <c r="G72" s="221"/>
      <c r="H72" s="221"/>
      <c r="I72" s="221"/>
      <c r="J72" s="221"/>
      <c r="K72" s="221"/>
      <c r="L72" s="221"/>
      <c r="M72" s="221"/>
      <c r="N72" s="221"/>
      <c r="O72" s="221"/>
      <c r="P72" s="221"/>
      <c r="Q72" s="221"/>
      <c r="R72" s="221"/>
      <c r="S72" s="218" t="s">
        <v>212</v>
      </c>
      <c r="T72" s="200">
        <v>60</v>
      </c>
      <c r="U72" s="221"/>
      <c r="V72" s="221"/>
      <c r="W72" s="217"/>
    </row>
    <row r="73" spans="1:23" s="9" customFormat="1">
      <c r="A73" s="261"/>
      <c r="B73" s="187"/>
      <c r="C73" s="263"/>
      <c r="D73" s="189" t="s">
        <v>61</v>
      </c>
      <c r="E73" s="189">
        <v>43</v>
      </c>
      <c r="F73" s="221"/>
      <c r="G73" s="221"/>
      <c r="H73" s="221"/>
      <c r="I73" s="221"/>
      <c r="J73" s="221"/>
      <c r="K73" s="221"/>
      <c r="L73" s="221"/>
      <c r="M73" s="221"/>
      <c r="N73" s="221"/>
      <c r="O73" s="221"/>
      <c r="P73" s="221"/>
      <c r="Q73" s="221"/>
      <c r="R73" s="221"/>
      <c r="S73" s="200">
        <v>30.356000000000002</v>
      </c>
      <c r="T73" s="200">
        <v>0</v>
      </c>
      <c r="U73" s="221"/>
      <c r="V73" s="221"/>
      <c r="W73" s="217"/>
    </row>
    <row r="74" spans="1:23" s="9" customFormat="1">
      <c r="A74" s="261"/>
      <c r="B74" s="187"/>
      <c r="C74" s="263"/>
      <c r="D74" s="189" t="s">
        <v>182</v>
      </c>
      <c r="E74" s="189">
        <v>78.45</v>
      </c>
      <c r="F74" s="221"/>
      <c r="G74" s="221"/>
      <c r="H74" s="221"/>
      <c r="I74" s="221"/>
      <c r="J74" s="221"/>
      <c r="K74" s="221"/>
      <c r="L74" s="221"/>
      <c r="M74" s="221"/>
      <c r="N74" s="221"/>
      <c r="O74" s="221"/>
      <c r="P74" s="221"/>
      <c r="Q74" s="221"/>
      <c r="R74" s="221"/>
      <c r="S74" s="200">
        <v>15.97</v>
      </c>
      <c r="T74" s="200">
        <f>+SUMPRODUCT(T69:T70,T72:T73)/SUM(T72:T73)</f>
        <v>24.84</v>
      </c>
      <c r="U74" s="221"/>
      <c r="V74" s="221"/>
      <c r="W74" s="217"/>
    </row>
    <row r="75" spans="1:23" s="9" customFormat="1">
      <c r="A75" s="261"/>
      <c r="B75" s="187"/>
      <c r="C75" s="263"/>
      <c r="D75" s="189" t="s">
        <v>183</v>
      </c>
      <c r="E75" s="189">
        <v>81.150000000000006</v>
      </c>
      <c r="F75" s="221"/>
      <c r="G75" s="221"/>
      <c r="H75" s="221"/>
      <c r="I75" s="221"/>
      <c r="J75" s="221"/>
      <c r="K75" s="221"/>
      <c r="L75" s="221"/>
      <c r="M75" s="221"/>
      <c r="N75" s="221"/>
      <c r="O75" s="221"/>
      <c r="P75" s="221"/>
      <c r="Q75" s="221"/>
      <c r="R75" s="221"/>
      <c r="S75" s="200">
        <v>267.42099999999999</v>
      </c>
      <c r="T75" s="203" t="s">
        <v>215</v>
      </c>
      <c r="U75" s="221"/>
      <c r="V75" s="221"/>
      <c r="W75" s="217"/>
    </row>
    <row r="76" spans="1:23" s="9" customFormat="1">
      <c r="A76" s="261"/>
      <c r="B76" s="187"/>
      <c r="C76" s="263"/>
      <c r="D76" s="189" t="s">
        <v>70</v>
      </c>
      <c r="E76" s="223">
        <f>+SUMPRODUCT(E61:E67,E69:E75)/SUM(E61:E67)</f>
        <v>39.063214872839772</v>
      </c>
      <c r="F76" s="221"/>
      <c r="G76" s="221"/>
      <c r="H76" s="221"/>
      <c r="I76" s="221"/>
      <c r="J76" s="221"/>
      <c r="K76" s="221"/>
      <c r="L76" s="221"/>
      <c r="M76" s="221"/>
      <c r="N76" s="221"/>
      <c r="O76" s="221"/>
      <c r="P76" s="221"/>
      <c r="Q76" s="221"/>
      <c r="R76" s="221"/>
      <c r="S76" s="200">
        <v>99.83</v>
      </c>
      <c r="T76" s="200">
        <v>2.87</v>
      </c>
      <c r="U76" s="221"/>
      <c r="V76" s="221"/>
      <c r="W76" s="217"/>
    </row>
    <row r="77" spans="1:23">
      <c r="A77" s="262"/>
      <c r="B77" s="187"/>
      <c r="C77" s="263"/>
      <c r="D77" s="187"/>
      <c r="E77" s="187"/>
      <c r="F77" s="187"/>
      <c r="G77" s="187"/>
      <c r="H77" s="187"/>
      <c r="I77" s="187"/>
      <c r="J77" s="187"/>
      <c r="K77" s="187"/>
      <c r="L77" s="187"/>
      <c r="M77" s="221"/>
      <c r="N77" s="187"/>
      <c r="O77" s="187"/>
      <c r="P77" s="187"/>
      <c r="Q77" s="187"/>
      <c r="R77" s="187"/>
      <c r="S77" s="200">
        <v>3.589</v>
      </c>
      <c r="T77" s="200">
        <v>0</v>
      </c>
      <c r="U77" s="187"/>
      <c r="V77" s="187"/>
      <c r="W77" s="220"/>
    </row>
    <row r="78" spans="1:23">
      <c r="A78" s="262"/>
      <c r="B78" s="187"/>
      <c r="C78" s="263"/>
      <c r="D78" s="187"/>
      <c r="E78" s="187"/>
      <c r="F78" s="187"/>
      <c r="G78" s="187"/>
      <c r="H78" s="187"/>
      <c r="I78" s="187"/>
      <c r="J78" s="187"/>
      <c r="K78" s="187"/>
      <c r="L78" s="187"/>
      <c r="M78" s="221"/>
      <c r="N78" s="187"/>
      <c r="O78" s="187"/>
      <c r="P78" s="187"/>
      <c r="Q78" s="187"/>
      <c r="R78" s="187"/>
      <c r="S78" s="218" t="s">
        <v>207</v>
      </c>
      <c r="T78" s="200">
        <v>5.44</v>
      </c>
      <c r="U78" s="187"/>
      <c r="V78" s="187"/>
      <c r="W78" s="220"/>
    </row>
    <row r="79" spans="1:23">
      <c r="A79" s="262"/>
      <c r="B79" s="187"/>
      <c r="C79" s="187"/>
      <c r="D79" s="187"/>
      <c r="E79" s="187"/>
      <c r="F79" s="187"/>
      <c r="G79" s="187"/>
      <c r="H79" s="187"/>
      <c r="I79" s="187"/>
      <c r="J79" s="187"/>
      <c r="K79" s="187"/>
      <c r="L79" s="187"/>
      <c r="M79" s="221"/>
      <c r="N79" s="187"/>
      <c r="O79" s="187"/>
      <c r="P79" s="187"/>
      <c r="Q79" s="187"/>
      <c r="R79" s="187"/>
      <c r="S79" s="202">
        <v>63.14</v>
      </c>
      <c r="T79" s="201">
        <v>0.27</v>
      </c>
      <c r="U79" s="187"/>
      <c r="V79" s="187"/>
      <c r="W79" s="220"/>
    </row>
    <row r="80" spans="1:23">
      <c r="A80" s="262"/>
      <c r="B80" s="187"/>
      <c r="C80" s="187"/>
      <c r="D80" s="187"/>
      <c r="E80" s="187"/>
      <c r="F80" s="187"/>
      <c r="G80" s="187"/>
      <c r="H80" s="187"/>
      <c r="I80" s="187"/>
      <c r="J80" s="187"/>
      <c r="K80" s="187"/>
      <c r="L80" s="187"/>
      <c r="M80" s="187"/>
      <c r="N80" s="187"/>
      <c r="O80" s="187"/>
      <c r="P80" s="187"/>
      <c r="Q80" s="187"/>
      <c r="R80" s="187"/>
      <c r="S80" s="202">
        <v>54.97</v>
      </c>
      <c r="T80" s="203" t="s">
        <v>217</v>
      </c>
      <c r="U80" s="187"/>
      <c r="V80" s="187"/>
      <c r="W80" s="220"/>
    </row>
    <row r="81" spans="1:23">
      <c r="A81" s="262"/>
      <c r="B81" s="187"/>
      <c r="C81" s="187"/>
      <c r="D81" s="187"/>
      <c r="E81" s="187"/>
      <c r="F81" s="187"/>
      <c r="G81" s="187"/>
      <c r="H81" s="187"/>
      <c r="I81" s="187"/>
      <c r="J81" s="187"/>
      <c r="K81" s="187"/>
      <c r="L81" s="187"/>
      <c r="M81" s="187"/>
      <c r="N81" s="187"/>
      <c r="O81" s="187"/>
      <c r="P81" s="187"/>
      <c r="Q81" s="187"/>
      <c r="R81" s="187"/>
      <c r="S81" s="202">
        <v>35.799999999999997</v>
      </c>
      <c r="T81" s="200">
        <v>451</v>
      </c>
      <c r="U81" s="187"/>
      <c r="V81" s="187"/>
      <c r="W81" s="220"/>
    </row>
    <row r="82" spans="1:23">
      <c r="A82" s="262"/>
      <c r="B82" s="190"/>
      <c r="C82" s="190"/>
      <c r="D82" s="187"/>
      <c r="E82" s="187"/>
      <c r="F82" s="187"/>
      <c r="G82" s="187"/>
      <c r="H82" s="187"/>
      <c r="I82" s="187"/>
      <c r="J82" s="187"/>
      <c r="K82" s="187"/>
      <c r="L82" s="187"/>
      <c r="M82" s="187"/>
      <c r="N82" s="187"/>
      <c r="O82" s="187"/>
      <c r="P82" s="187"/>
      <c r="Q82" s="187"/>
      <c r="R82" s="187"/>
      <c r="S82" s="202">
        <v>61.12</v>
      </c>
      <c r="T82" s="202">
        <v>0</v>
      </c>
      <c r="U82" s="187"/>
      <c r="V82" s="187"/>
      <c r="W82" s="220"/>
    </row>
    <row r="83" spans="1:23">
      <c r="A83" s="262"/>
      <c r="B83" s="190"/>
      <c r="C83" s="190"/>
      <c r="D83" s="187"/>
      <c r="E83" s="187"/>
      <c r="F83" s="187"/>
      <c r="G83" s="187"/>
      <c r="H83" s="187"/>
      <c r="I83" s="187"/>
      <c r="J83" s="187"/>
      <c r="K83" s="187"/>
      <c r="L83" s="187"/>
      <c r="M83" s="187"/>
      <c r="N83" s="187"/>
      <c r="O83" s="187"/>
      <c r="P83" s="187"/>
      <c r="Q83" s="187"/>
      <c r="R83" s="187"/>
      <c r="S83" s="202">
        <v>51.99</v>
      </c>
      <c r="T83" s="202">
        <v>222</v>
      </c>
      <c r="U83" s="187"/>
      <c r="V83" s="187"/>
      <c r="W83" s="220"/>
    </row>
    <row r="84" spans="1:23">
      <c r="A84" s="262"/>
      <c r="B84" s="190"/>
      <c r="C84" s="190"/>
      <c r="D84" s="187"/>
      <c r="E84" s="187"/>
      <c r="F84" s="187"/>
      <c r="G84" s="187"/>
      <c r="H84" s="187"/>
      <c r="I84" s="187"/>
      <c r="J84" s="187"/>
      <c r="K84" s="187"/>
      <c r="L84" s="187"/>
      <c r="M84" s="187"/>
      <c r="N84" s="187"/>
      <c r="O84" s="187"/>
      <c r="P84" s="187"/>
      <c r="Q84" s="187"/>
      <c r="R84" s="187"/>
      <c r="S84" s="202">
        <v>63.06</v>
      </c>
      <c r="T84" s="202">
        <v>203</v>
      </c>
      <c r="U84" s="187"/>
      <c r="V84" s="187"/>
      <c r="W84" s="220"/>
    </row>
    <row r="85" spans="1:23">
      <c r="A85" s="262"/>
      <c r="B85" s="190"/>
      <c r="C85" s="190"/>
      <c r="D85" s="187"/>
      <c r="E85" s="187"/>
      <c r="F85" s="187"/>
      <c r="G85" s="187"/>
      <c r="H85" s="187"/>
      <c r="I85" s="187"/>
      <c r="J85" s="187"/>
      <c r="K85" s="187"/>
      <c r="L85" s="187"/>
      <c r="M85" s="187"/>
      <c r="N85" s="187"/>
      <c r="O85" s="187"/>
      <c r="P85" s="187"/>
      <c r="Q85" s="187"/>
      <c r="R85" s="187"/>
      <c r="S85" s="202">
        <v>68.59</v>
      </c>
      <c r="T85" s="202">
        <f>+SUMPRODUCT(T76:T79,T81:T84)/SUM(T81:T84)</f>
        <v>2.9187899543378997</v>
      </c>
      <c r="U85" s="187"/>
      <c r="V85" s="187"/>
      <c r="W85" s="220"/>
    </row>
    <row r="86" spans="1:23">
      <c r="A86" s="262"/>
      <c r="B86" s="187"/>
      <c r="C86" s="187"/>
      <c r="D86" s="187"/>
      <c r="E86" s="187"/>
      <c r="F86" s="187"/>
      <c r="G86" s="187"/>
      <c r="H86" s="187"/>
      <c r="I86" s="187"/>
      <c r="J86" s="187"/>
      <c r="K86" s="187"/>
      <c r="L86" s="187"/>
      <c r="M86" s="187"/>
      <c r="N86" s="187"/>
      <c r="O86" s="187"/>
      <c r="P86" s="187"/>
      <c r="Q86" s="187"/>
      <c r="R86" s="187"/>
      <c r="S86" s="202">
        <f>+SUMPRODUCT(S60:S66,S79:S85)/SUM(S60:S66)</f>
        <v>57.09306607537907</v>
      </c>
      <c r="T86" s="202"/>
      <c r="U86" s="187"/>
      <c r="V86" s="187"/>
      <c r="W86" s="220"/>
    </row>
    <row r="87" spans="1:23">
      <c r="A87" s="262"/>
      <c r="B87" s="187"/>
      <c r="C87" s="187"/>
      <c r="D87" s="187"/>
      <c r="E87" s="187"/>
      <c r="F87" s="187"/>
      <c r="G87" s="187"/>
      <c r="H87" s="187"/>
      <c r="I87" s="187"/>
      <c r="J87" s="187"/>
      <c r="K87" s="187"/>
      <c r="L87" s="187"/>
      <c r="M87" s="187"/>
      <c r="N87" s="187"/>
      <c r="O87" s="187"/>
      <c r="P87" s="187"/>
      <c r="Q87" s="187"/>
      <c r="R87" s="187"/>
      <c r="S87" s="224" t="s">
        <v>209</v>
      </c>
      <c r="T87" s="187"/>
      <c r="U87" s="187"/>
      <c r="V87" s="187"/>
      <c r="W87" s="220"/>
    </row>
    <row r="88" spans="1:23">
      <c r="A88" s="262"/>
      <c r="B88" s="187"/>
      <c r="C88" s="187"/>
      <c r="D88" s="187"/>
      <c r="E88" s="187"/>
      <c r="F88" s="187"/>
      <c r="G88" s="187"/>
      <c r="H88" s="187"/>
      <c r="I88" s="187"/>
      <c r="J88" s="187"/>
      <c r="K88" s="187"/>
      <c r="L88" s="187"/>
      <c r="M88" s="187"/>
      <c r="N88" s="187"/>
      <c r="O88" s="187"/>
      <c r="P88" s="187"/>
      <c r="Q88" s="187"/>
      <c r="R88" s="187"/>
      <c r="S88" s="202">
        <v>19.71</v>
      </c>
      <c r="T88" s="187"/>
      <c r="U88" s="187"/>
      <c r="V88" s="187"/>
      <c r="W88" s="220"/>
    </row>
    <row r="89" spans="1:23">
      <c r="A89" s="262"/>
      <c r="B89" s="187"/>
      <c r="C89" s="187"/>
      <c r="D89" s="187"/>
      <c r="E89" s="187"/>
      <c r="F89" s="187"/>
      <c r="G89" s="187"/>
      <c r="H89" s="187"/>
      <c r="I89" s="187"/>
      <c r="J89" s="187"/>
      <c r="K89" s="187"/>
      <c r="L89" s="187"/>
      <c r="M89" s="187"/>
      <c r="N89" s="187"/>
      <c r="O89" s="187"/>
      <c r="P89" s="187"/>
      <c r="Q89" s="187"/>
      <c r="R89" s="187"/>
      <c r="S89" s="202">
        <v>18.82</v>
      </c>
      <c r="T89" s="187"/>
      <c r="U89" s="187"/>
      <c r="V89" s="187"/>
      <c r="W89" s="220"/>
    </row>
    <row r="90" spans="1:23">
      <c r="A90" s="262"/>
      <c r="B90" s="190"/>
      <c r="C90" s="190"/>
      <c r="D90" s="187"/>
      <c r="E90" s="187"/>
      <c r="F90" s="187"/>
      <c r="G90" s="187"/>
      <c r="H90" s="187"/>
      <c r="I90" s="187"/>
      <c r="J90" s="187"/>
      <c r="K90" s="187"/>
      <c r="L90" s="187"/>
      <c r="M90" s="187"/>
      <c r="N90" s="187"/>
      <c r="O90" s="187"/>
      <c r="P90" s="187"/>
      <c r="Q90" s="187"/>
      <c r="R90" s="187"/>
      <c r="S90" s="202">
        <v>30.78</v>
      </c>
      <c r="T90" s="187"/>
      <c r="U90" s="187"/>
      <c r="V90" s="187"/>
      <c r="W90" s="220"/>
    </row>
    <row r="91" spans="1:23">
      <c r="A91" s="262"/>
      <c r="B91" s="190"/>
      <c r="C91" s="190"/>
      <c r="D91" s="187"/>
      <c r="E91" s="187"/>
      <c r="F91" s="187"/>
      <c r="G91" s="187"/>
      <c r="H91" s="187"/>
      <c r="I91" s="187"/>
      <c r="J91" s="187"/>
      <c r="K91" s="187"/>
      <c r="L91" s="187"/>
      <c r="M91" s="187"/>
      <c r="N91" s="187"/>
      <c r="O91" s="187"/>
      <c r="P91" s="187"/>
      <c r="Q91" s="187"/>
      <c r="R91" s="187"/>
      <c r="S91" s="202">
        <v>65.34</v>
      </c>
      <c r="T91" s="187"/>
      <c r="U91" s="187"/>
      <c r="V91" s="187"/>
      <c r="W91" s="220"/>
    </row>
    <row r="92" spans="1:23">
      <c r="A92" s="262"/>
      <c r="B92" s="187"/>
      <c r="C92" s="187"/>
      <c r="D92" s="187"/>
      <c r="E92" s="187"/>
      <c r="F92" s="187"/>
      <c r="G92" s="187"/>
      <c r="H92" s="187"/>
      <c r="I92" s="187"/>
      <c r="J92" s="187"/>
      <c r="K92" s="187"/>
      <c r="L92" s="187"/>
      <c r="M92" s="187"/>
      <c r="N92" s="187"/>
      <c r="O92" s="187"/>
      <c r="P92" s="187"/>
      <c r="Q92" s="187"/>
      <c r="R92" s="187"/>
      <c r="S92" s="202">
        <f>+SUMPRODUCT(S68:S71,S88:S91)/SUM(S68:S71)</f>
        <v>26.374360364045412</v>
      </c>
      <c r="T92" s="187"/>
      <c r="U92" s="187"/>
      <c r="V92" s="187"/>
      <c r="W92" s="220"/>
    </row>
    <row r="93" spans="1:23">
      <c r="A93" s="262"/>
      <c r="B93" s="187"/>
      <c r="C93" s="187"/>
      <c r="D93" s="187"/>
      <c r="E93" s="187"/>
      <c r="F93" s="187"/>
      <c r="G93" s="187"/>
      <c r="H93" s="187"/>
      <c r="I93" s="187"/>
      <c r="J93" s="187"/>
      <c r="K93" s="187"/>
      <c r="L93" s="187"/>
      <c r="M93" s="187"/>
      <c r="N93" s="187"/>
      <c r="O93" s="187"/>
      <c r="P93" s="187"/>
      <c r="Q93" s="187"/>
      <c r="R93" s="187"/>
      <c r="S93" s="224" t="s">
        <v>210</v>
      </c>
      <c r="T93" s="187"/>
      <c r="U93" s="187"/>
      <c r="V93" s="187"/>
      <c r="W93" s="220"/>
    </row>
    <row r="94" spans="1:23">
      <c r="A94" s="262"/>
      <c r="B94" s="187"/>
      <c r="C94" s="187"/>
      <c r="D94" s="187"/>
      <c r="E94" s="187"/>
      <c r="F94" s="187"/>
      <c r="G94" s="187"/>
      <c r="H94" s="187"/>
      <c r="I94" s="187"/>
      <c r="J94" s="187"/>
      <c r="K94" s="187"/>
      <c r="L94" s="187"/>
      <c r="M94" s="187"/>
      <c r="N94" s="187"/>
      <c r="O94" s="187"/>
      <c r="P94" s="187"/>
      <c r="Q94" s="187"/>
      <c r="R94" s="187"/>
      <c r="S94" s="202">
        <v>3.02</v>
      </c>
      <c r="T94" s="187"/>
      <c r="U94" s="187"/>
      <c r="V94" s="187"/>
      <c r="W94" s="220"/>
    </row>
    <row r="95" spans="1:23">
      <c r="A95" s="262"/>
      <c r="B95" s="187"/>
      <c r="C95" s="187"/>
      <c r="D95" s="187"/>
      <c r="E95" s="187"/>
      <c r="F95" s="187"/>
      <c r="G95" s="187"/>
      <c r="H95" s="187"/>
      <c r="I95" s="187"/>
      <c r="J95" s="187"/>
      <c r="K95" s="187"/>
      <c r="L95" s="187"/>
      <c r="M95" s="187"/>
      <c r="N95" s="187"/>
      <c r="O95" s="187"/>
      <c r="P95" s="187"/>
      <c r="Q95" s="187"/>
      <c r="R95" s="187"/>
      <c r="S95" s="202">
        <v>3.71</v>
      </c>
      <c r="T95" s="187"/>
      <c r="U95" s="187"/>
      <c r="V95" s="187"/>
      <c r="W95" s="220"/>
    </row>
    <row r="96" spans="1:23">
      <c r="A96" s="264"/>
      <c r="B96" s="190"/>
      <c r="C96" s="190"/>
      <c r="E96" s="190"/>
      <c r="F96" s="190"/>
      <c r="G96" s="190"/>
      <c r="H96" s="190"/>
      <c r="I96" s="190"/>
      <c r="J96" s="190"/>
      <c r="K96" s="190"/>
      <c r="L96" s="190"/>
      <c r="M96" s="187"/>
      <c r="N96" s="190"/>
      <c r="O96" s="190"/>
      <c r="P96" s="190"/>
      <c r="Q96" s="190"/>
      <c r="R96" s="190"/>
      <c r="S96" s="202">
        <v>1.81</v>
      </c>
      <c r="T96" s="190"/>
      <c r="U96" s="190"/>
      <c r="V96" s="190"/>
      <c r="W96" s="190"/>
    </row>
    <row r="97" spans="1:23">
      <c r="A97" s="264"/>
      <c r="B97" s="190"/>
      <c r="C97" s="190"/>
      <c r="E97" s="190"/>
      <c r="F97" s="190"/>
      <c r="G97" s="190"/>
      <c r="H97" s="190"/>
      <c r="I97" s="190"/>
      <c r="J97" s="190"/>
      <c r="K97" s="190"/>
      <c r="L97" s="190"/>
      <c r="M97" s="187"/>
      <c r="N97" s="190"/>
      <c r="O97" s="190"/>
      <c r="P97" s="190"/>
      <c r="Q97" s="190"/>
      <c r="R97" s="190"/>
      <c r="S97" s="202">
        <v>3.99</v>
      </c>
      <c r="T97" s="190"/>
      <c r="U97" s="190"/>
      <c r="V97" s="190"/>
      <c r="W97" s="190"/>
    </row>
    <row r="98" spans="1:23">
      <c r="A98" s="264"/>
      <c r="B98" s="190"/>
      <c r="C98" s="190"/>
      <c r="E98" s="190"/>
      <c r="F98" s="190"/>
      <c r="G98" s="190"/>
      <c r="H98" s="190"/>
      <c r="I98" s="190"/>
      <c r="J98" s="190"/>
      <c r="K98" s="190"/>
      <c r="L98" s="190"/>
      <c r="M98" s="187"/>
      <c r="N98" s="190"/>
      <c r="O98" s="190"/>
      <c r="P98" s="190"/>
      <c r="Q98" s="190"/>
      <c r="R98" s="190"/>
      <c r="S98" s="202">
        <v>0.24</v>
      </c>
      <c r="T98" s="190"/>
      <c r="U98" s="190"/>
      <c r="V98" s="190"/>
      <c r="W98" s="190"/>
    </row>
    <row r="99" spans="1:23">
      <c r="A99" s="264"/>
      <c r="B99" s="190"/>
      <c r="C99" s="190"/>
      <c r="E99" s="190"/>
      <c r="F99" s="190"/>
      <c r="G99" s="190"/>
      <c r="H99" s="190"/>
      <c r="I99" s="190"/>
      <c r="J99" s="190"/>
      <c r="K99" s="190"/>
      <c r="L99" s="190"/>
      <c r="M99" s="190"/>
      <c r="N99" s="190"/>
      <c r="O99" s="190"/>
      <c r="P99" s="190"/>
      <c r="Q99" s="190"/>
      <c r="R99" s="190"/>
      <c r="S99" s="202">
        <f>+SUMPRODUCT(S73:S77,S94:S98)/SUM(S73:S77)</f>
        <v>2.4789625472833361</v>
      </c>
      <c r="T99" s="190"/>
      <c r="U99" s="190"/>
      <c r="V99" s="190"/>
      <c r="W99" s="190"/>
    </row>
    <row r="100" spans="1:23">
      <c r="A100" s="264"/>
      <c r="B100" s="190"/>
      <c r="C100" s="190"/>
      <c r="E100" s="190"/>
      <c r="F100" s="190"/>
      <c r="G100" s="190"/>
      <c r="H100" s="190"/>
      <c r="I100" s="190"/>
      <c r="J100" s="190"/>
      <c r="K100" s="190"/>
      <c r="L100" s="190"/>
      <c r="M100" s="190"/>
      <c r="N100" s="190"/>
      <c r="O100" s="190"/>
      <c r="P100" s="190"/>
      <c r="Q100" s="190"/>
      <c r="R100" s="190"/>
      <c r="S100" s="190"/>
      <c r="T100" s="190"/>
      <c r="U100" s="190"/>
      <c r="V100" s="190"/>
      <c r="W100" s="190"/>
    </row>
    <row r="101" spans="1:23">
      <c r="A101" s="264"/>
      <c r="B101" s="190"/>
      <c r="C101" s="190"/>
      <c r="E101" s="190"/>
      <c r="F101" s="190"/>
      <c r="G101" s="190"/>
      <c r="H101" s="190"/>
      <c r="I101" s="190"/>
      <c r="J101" s="190"/>
      <c r="K101" s="190"/>
      <c r="L101" s="190"/>
      <c r="M101" s="190"/>
      <c r="N101" s="190"/>
      <c r="O101" s="190"/>
      <c r="P101" s="190"/>
      <c r="Q101" s="190"/>
      <c r="R101" s="190"/>
      <c r="S101" s="190"/>
      <c r="T101" s="190"/>
      <c r="U101" s="190"/>
      <c r="V101" s="190"/>
      <c r="W101" s="190"/>
    </row>
    <row r="102" spans="1:23" ht="15" thickBot="1">
      <c r="A102" s="264"/>
      <c r="B102" s="190"/>
      <c r="C102" s="190"/>
      <c r="E102" s="190"/>
      <c r="F102" s="190"/>
      <c r="G102" s="190"/>
      <c r="H102" s="190"/>
      <c r="I102" s="190"/>
      <c r="J102" s="190"/>
      <c r="K102" s="190"/>
      <c r="L102" s="190"/>
      <c r="M102" s="190"/>
      <c r="N102" s="190"/>
      <c r="O102" s="190"/>
      <c r="P102" s="190"/>
      <c r="Q102" s="190"/>
      <c r="R102" s="190"/>
      <c r="S102" s="190"/>
      <c r="T102" s="190"/>
      <c r="U102" s="190"/>
      <c r="V102" s="190"/>
      <c r="W102" s="190"/>
    </row>
    <row r="103" spans="1:23">
      <c r="A103" s="265" t="s">
        <v>109</v>
      </c>
      <c r="B103" s="191"/>
      <c r="C103" s="191"/>
      <c r="D103" s="191"/>
      <c r="E103" s="191"/>
      <c r="F103" s="191"/>
      <c r="G103" s="191"/>
      <c r="H103" s="191"/>
      <c r="I103" s="191"/>
      <c r="J103" s="191"/>
      <c r="K103" s="191"/>
      <c r="L103" s="191"/>
      <c r="M103" s="191"/>
      <c r="N103" s="191"/>
      <c r="O103" s="191"/>
      <c r="P103" s="191"/>
      <c r="Q103" s="191"/>
      <c r="R103" s="191"/>
      <c r="S103" s="225"/>
      <c r="T103" s="225"/>
      <c r="U103" s="191"/>
      <c r="V103" s="191"/>
      <c r="W103" s="226"/>
    </row>
    <row r="104" spans="1:23">
      <c r="A104" s="266"/>
      <c r="B104" s="192" t="str">
        <f>B8</f>
        <v>APC</v>
      </c>
      <c r="C104" s="192" t="str">
        <f>C8</f>
        <v>AR</v>
      </c>
      <c r="D104" s="192" t="str">
        <f t="shared" ref="D104:W104" si="16">D8</f>
        <v>APA</v>
      </c>
      <c r="E104" s="192" t="str">
        <f t="shared" si="16"/>
        <v>CNQCN</v>
      </c>
      <c r="F104" s="192" t="str">
        <f t="shared" si="16"/>
        <v>CVECN</v>
      </c>
      <c r="G104" s="192" t="str">
        <f t="shared" si="16"/>
        <v>CHK</v>
      </c>
      <c r="H104" s="192" t="str">
        <f t="shared" si="16"/>
        <v>XEC</v>
      </c>
      <c r="I104" s="192" t="str">
        <f t="shared" si="16"/>
        <v>COP</v>
      </c>
      <c r="J104" s="192" t="str">
        <f t="shared" si="16"/>
        <v>CLR</v>
      </c>
      <c r="K104" s="192" t="str">
        <f t="shared" si="16"/>
        <v>CXO</v>
      </c>
      <c r="L104" s="192" t="str">
        <f t="shared" si="16"/>
        <v>DVN</v>
      </c>
      <c r="M104" s="192" t="str">
        <f t="shared" ref="M104" si="17">M8</f>
        <v>FANG</v>
      </c>
      <c r="N104" s="192" t="str">
        <f t="shared" si="16"/>
        <v>ECACN</v>
      </c>
      <c r="O104" s="192" t="str">
        <f t="shared" si="16"/>
        <v>EOG</v>
      </c>
      <c r="P104" s="192" t="str">
        <f t="shared" si="16"/>
        <v>EQT</v>
      </c>
      <c r="Q104" s="192" t="str">
        <f t="shared" si="16"/>
        <v>HES</v>
      </c>
      <c r="R104" s="192" t="str">
        <f t="shared" si="16"/>
        <v>MRO</v>
      </c>
      <c r="S104" s="192" t="str">
        <f t="shared" si="16"/>
        <v>MUR</v>
      </c>
      <c r="T104" s="192" t="str">
        <f t="shared" si="16"/>
        <v>NBL</v>
      </c>
      <c r="U104" s="192" t="str">
        <f t="shared" si="16"/>
        <v>OXY</v>
      </c>
      <c r="V104" s="192" t="str">
        <f t="shared" si="16"/>
        <v>PXD</v>
      </c>
      <c r="W104" s="227" t="str">
        <f t="shared" si="16"/>
        <v>SWN</v>
      </c>
    </row>
    <row r="105" spans="1:23">
      <c r="A105" s="266" t="s">
        <v>110</v>
      </c>
      <c r="B105" s="192">
        <f t="shared" ref="B105:W105" si="18">RANK(B36,$B$36:$W$36)</f>
        <v>7</v>
      </c>
      <c r="C105" s="192">
        <f t="shared" si="18"/>
        <v>15</v>
      </c>
      <c r="D105" s="192">
        <f t="shared" si="18"/>
        <v>12</v>
      </c>
      <c r="E105" s="192">
        <f t="shared" si="18"/>
        <v>21</v>
      </c>
      <c r="F105" s="192">
        <f t="shared" si="18"/>
        <v>22</v>
      </c>
      <c r="G105" s="192">
        <f t="shared" si="18"/>
        <v>10</v>
      </c>
      <c r="H105" s="192">
        <f t="shared" si="18"/>
        <v>9</v>
      </c>
      <c r="I105" s="192">
        <f t="shared" si="18"/>
        <v>1</v>
      </c>
      <c r="J105" s="192">
        <f t="shared" si="18"/>
        <v>6</v>
      </c>
      <c r="K105" s="192">
        <f t="shared" si="18"/>
        <v>11</v>
      </c>
      <c r="L105" s="192">
        <f t="shared" si="18"/>
        <v>20</v>
      </c>
      <c r="M105" s="192">
        <f t="shared" ref="M105" si="19">RANK(M36,$B$36:$W$36)</f>
        <v>3</v>
      </c>
      <c r="N105" s="192">
        <f t="shared" si="18"/>
        <v>8</v>
      </c>
      <c r="O105" s="192">
        <f t="shared" si="18"/>
        <v>2</v>
      </c>
      <c r="P105" s="192">
        <f t="shared" si="18"/>
        <v>16</v>
      </c>
      <c r="Q105" s="192">
        <f t="shared" si="18"/>
        <v>19</v>
      </c>
      <c r="R105" s="192">
        <f t="shared" si="18"/>
        <v>17</v>
      </c>
      <c r="S105" s="192">
        <f t="shared" si="18"/>
        <v>5</v>
      </c>
      <c r="T105" s="192">
        <f t="shared" si="18"/>
        <v>18</v>
      </c>
      <c r="U105" s="192">
        <f t="shared" si="18"/>
        <v>14</v>
      </c>
      <c r="V105" s="192">
        <f t="shared" si="18"/>
        <v>4</v>
      </c>
      <c r="W105" s="227">
        <f t="shared" si="18"/>
        <v>13</v>
      </c>
    </row>
    <row r="106" spans="1:23">
      <c r="A106" s="266"/>
      <c r="B106" s="192" t="str">
        <f>B104</f>
        <v>APC</v>
      </c>
      <c r="C106" s="192" t="str">
        <f>C104</f>
        <v>AR</v>
      </c>
      <c r="D106" s="192" t="str">
        <f t="shared" ref="D106:W106" si="20">D104</f>
        <v>APA</v>
      </c>
      <c r="E106" s="192" t="str">
        <f t="shared" si="20"/>
        <v>CNQCN</v>
      </c>
      <c r="F106" s="192" t="str">
        <f t="shared" si="20"/>
        <v>CVECN</v>
      </c>
      <c r="G106" s="192" t="str">
        <f t="shared" si="20"/>
        <v>CHK</v>
      </c>
      <c r="H106" s="192" t="str">
        <f t="shared" si="20"/>
        <v>XEC</v>
      </c>
      <c r="I106" s="192" t="str">
        <f t="shared" si="20"/>
        <v>COP</v>
      </c>
      <c r="J106" s="192" t="str">
        <f t="shared" si="20"/>
        <v>CLR</v>
      </c>
      <c r="K106" s="192" t="str">
        <f t="shared" si="20"/>
        <v>CXO</v>
      </c>
      <c r="L106" s="192" t="str">
        <f t="shared" si="20"/>
        <v>DVN</v>
      </c>
      <c r="M106" s="192" t="str">
        <f t="shared" ref="M106" si="21">M104</f>
        <v>FANG</v>
      </c>
      <c r="N106" s="192" t="str">
        <f t="shared" si="20"/>
        <v>ECACN</v>
      </c>
      <c r="O106" s="192" t="str">
        <f t="shared" si="20"/>
        <v>EOG</v>
      </c>
      <c r="P106" s="192" t="str">
        <f t="shared" si="20"/>
        <v>EQT</v>
      </c>
      <c r="Q106" s="192" t="str">
        <f t="shared" si="20"/>
        <v>HES</v>
      </c>
      <c r="R106" s="192" t="str">
        <f t="shared" si="20"/>
        <v>MRO</v>
      </c>
      <c r="S106" s="192" t="str">
        <f t="shared" si="20"/>
        <v>MUR</v>
      </c>
      <c r="T106" s="192" t="str">
        <f t="shared" si="20"/>
        <v>NBL</v>
      </c>
      <c r="U106" s="192" t="str">
        <f t="shared" si="20"/>
        <v>OXY</v>
      </c>
      <c r="V106" s="192" t="str">
        <f t="shared" si="20"/>
        <v>PXD</v>
      </c>
      <c r="W106" s="227" t="str">
        <f t="shared" si="20"/>
        <v>SWN</v>
      </c>
    </row>
    <row r="107" spans="1:23">
      <c r="A107" s="266" t="s">
        <v>107</v>
      </c>
      <c r="B107" s="192">
        <f t="shared" ref="B107:W107" si="22">RANK(B38,$B$38:$W$38)</f>
        <v>13</v>
      </c>
      <c r="C107" s="192">
        <f t="shared" si="22"/>
        <v>16</v>
      </c>
      <c r="D107" s="192">
        <f t="shared" si="22"/>
        <v>11</v>
      </c>
      <c r="E107" s="192">
        <f t="shared" si="22"/>
        <v>19</v>
      </c>
      <c r="F107" s="192">
        <f t="shared" si="22"/>
        <v>22</v>
      </c>
      <c r="G107" s="192">
        <f t="shared" si="22"/>
        <v>20</v>
      </c>
      <c r="H107" s="192">
        <f t="shared" si="22"/>
        <v>3</v>
      </c>
      <c r="I107" s="192">
        <f t="shared" si="22"/>
        <v>4</v>
      </c>
      <c r="J107" s="192">
        <f t="shared" si="22"/>
        <v>10</v>
      </c>
      <c r="K107" s="192">
        <f t="shared" si="22"/>
        <v>5</v>
      </c>
      <c r="L107" s="192">
        <f t="shared" si="22"/>
        <v>21</v>
      </c>
      <c r="M107" s="192">
        <f t="shared" ref="M107" si="23">RANK(M38,$B$38:$W$38)</f>
        <v>9</v>
      </c>
      <c r="N107" s="192">
        <f t="shared" si="22"/>
        <v>14</v>
      </c>
      <c r="O107" s="192">
        <f t="shared" si="22"/>
        <v>1</v>
      </c>
      <c r="P107" s="192">
        <f t="shared" si="22"/>
        <v>8</v>
      </c>
      <c r="Q107" s="192">
        <f t="shared" si="22"/>
        <v>18</v>
      </c>
      <c r="R107" s="192">
        <f t="shared" si="22"/>
        <v>6</v>
      </c>
      <c r="S107" s="192">
        <f t="shared" si="22"/>
        <v>12</v>
      </c>
      <c r="T107" s="192">
        <f t="shared" si="22"/>
        <v>17</v>
      </c>
      <c r="U107" s="192">
        <f t="shared" si="22"/>
        <v>7</v>
      </c>
      <c r="V107" s="192">
        <f t="shared" si="22"/>
        <v>2</v>
      </c>
      <c r="W107" s="227">
        <f t="shared" si="22"/>
        <v>15</v>
      </c>
    </row>
    <row r="108" spans="1:23">
      <c r="A108" s="266"/>
      <c r="B108" s="192" t="str">
        <f>B106</f>
        <v>APC</v>
      </c>
      <c r="C108" s="192" t="str">
        <f>C106</f>
        <v>AR</v>
      </c>
      <c r="D108" s="192" t="str">
        <f t="shared" ref="D108:W108" si="24">D106</f>
        <v>APA</v>
      </c>
      <c r="E108" s="192" t="str">
        <f t="shared" si="24"/>
        <v>CNQCN</v>
      </c>
      <c r="F108" s="192" t="str">
        <f t="shared" si="24"/>
        <v>CVECN</v>
      </c>
      <c r="G108" s="192" t="str">
        <f t="shared" si="24"/>
        <v>CHK</v>
      </c>
      <c r="H108" s="192" t="str">
        <f t="shared" si="24"/>
        <v>XEC</v>
      </c>
      <c r="I108" s="192" t="str">
        <f t="shared" si="24"/>
        <v>COP</v>
      </c>
      <c r="J108" s="192" t="str">
        <f t="shared" si="24"/>
        <v>CLR</v>
      </c>
      <c r="K108" s="192" t="str">
        <f t="shared" si="24"/>
        <v>CXO</v>
      </c>
      <c r="L108" s="192" t="str">
        <f t="shared" si="24"/>
        <v>DVN</v>
      </c>
      <c r="M108" s="192" t="str">
        <f t="shared" ref="M108" si="25">M106</f>
        <v>FANG</v>
      </c>
      <c r="N108" s="192" t="str">
        <f t="shared" si="24"/>
        <v>ECACN</v>
      </c>
      <c r="O108" s="192" t="str">
        <f t="shared" si="24"/>
        <v>EOG</v>
      </c>
      <c r="P108" s="192" t="str">
        <f t="shared" si="24"/>
        <v>EQT</v>
      </c>
      <c r="Q108" s="192" t="str">
        <f t="shared" si="24"/>
        <v>HES</v>
      </c>
      <c r="R108" s="192" t="str">
        <f t="shared" si="24"/>
        <v>MRO</v>
      </c>
      <c r="S108" s="192" t="str">
        <f t="shared" si="24"/>
        <v>MUR</v>
      </c>
      <c r="T108" s="192" t="str">
        <f t="shared" si="24"/>
        <v>NBL</v>
      </c>
      <c r="U108" s="192" t="str">
        <f t="shared" si="24"/>
        <v>OXY</v>
      </c>
      <c r="V108" s="192" t="str">
        <f t="shared" si="24"/>
        <v>PXD</v>
      </c>
      <c r="W108" s="227" t="str">
        <f t="shared" si="24"/>
        <v>SWN</v>
      </c>
    </row>
    <row r="109" spans="1:23" ht="15" thickBot="1">
      <c r="A109" s="267" t="s">
        <v>111</v>
      </c>
      <c r="B109" s="193">
        <f t="shared" ref="B109:W109" si="26">RANK(B35,$B$35:$W$35)</f>
        <v>5</v>
      </c>
      <c r="C109" s="193">
        <f t="shared" si="26"/>
        <v>19</v>
      </c>
      <c r="D109" s="193">
        <f t="shared" si="26"/>
        <v>9</v>
      </c>
      <c r="E109" s="193">
        <f t="shared" si="26"/>
        <v>20</v>
      </c>
      <c r="F109" s="193">
        <f t="shared" si="26"/>
        <v>22</v>
      </c>
      <c r="G109" s="193">
        <f t="shared" si="26"/>
        <v>16</v>
      </c>
      <c r="H109" s="193">
        <f t="shared" si="26"/>
        <v>15</v>
      </c>
      <c r="I109" s="193">
        <f t="shared" si="26"/>
        <v>1</v>
      </c>
      <c r="J109" s="193">
        <f t="shared" si="26"/>
        <v>3</v>
      </c>
      <c r="K109" s="193">
        <f t="shared" si="26"/>
        <v>8</v>
      </c>
      <c r="L109" s="193">
        <f t="shared" si="26"/>
        <v>21</v>
      </c>
      <c r="M109" s="193">
        <f t="shared" ref="M109" si="27">RANK(M35,$B$35:$W$35)</f>
        <v>4</v>
      </c>
      <c r="N109" s="193">
        <f t="shared" si="26"/>
        <v>13</v>
      </c>
      <c r="O109" s="193">
        <f t="shared" si="26"/>
        <v>2</v>
      </c>
      <c r="P109" s="193">
        <f t="shared" si="26"/>
        <v>17</v>
      </c>
      <c r="Q109" s="193">
        <f t="shared" si="26"/>
        <v>10</v>
      </c>
      <c r="R109" s="193">
        <f t="shared" si="26"/>
        <v>11</v>
      </c>
      <c r="S109" s="193">
        <f t="shared" si="26"/>
        <v>6</v>
      </c>
      <c r="T109" s="193">
        <f t="shared" si="26"/>
        <v>14</v>
      </c>
      <c r="U109" s="193">
        <f t="shared" si="26"/>
        <v>12</v>
      </c>
      <c r="V109" s="193">
        <f t="shared" si="26"/>
        <v>7</v>
      </c>
      <c r="W109" s="228">
        <f t="shared" si="26"/>
        <v>18</v>
      </c>
    </row>
    <row r="110" spans="1:23">
      <c r="A110" s="264"/>
      <c r="B110" s="190"/>
      <c r="C110" s="190"/>
      <c r="E110" s="190"/>
      <c r="F110" s="190"/>
      <c r="G110" s="190"/>
      <c r="H110" s="190"/>
      <c r="I110" s="190"/>
      <c r="J110" s="190"/>
      <c r="K110" s="190"/>
      <c r="L110" s="190"/>
      <c r="M110" s="190"/>
      <c r="N110" s="190"/>
      <c r="O110" s="190"/>
      <c r="P110" s="190"/>
      <c r="Q110" s="190"/>
      <c r="R110" s="190"/>
      <c r="S110" s="190"/>
      <c r="T110" s="190"/>
      <c r="U110" s="190"/>
      <c r="V110" s="190"/>
      <c r="W110" s="190"/>
    </row>
    <row r="111" spans="1:23">
      <c r="A111" s="264"/>
      <c r="B111" s="190"/>
      <c r="C111" s="190"/>
      <c r="E111" s="190"/>
      <c r="F111" s="190"/>
      <c r="G111" s="190"/>
      <c r="H111" s="190"/>
      <c r="I111" s="190"/>
      <c r="J111" s="190"/>
      <c r="K111" s="190"/>
      <c r="L111" s="190"/>
      <c r="M111" s="190"/>
      <c r="N111" s="190"/>
      <c r="O111" s="190"/>
      <c r="P111" s="190"/>
      <c r="Q111" s="190"/>
      <c r="R111" s="190"/>
      <c r="S111" s="190"/>
      <c r="T111" s="190"/>
      <c r="U111" s="190"/>
      <c r="V111" s="190"/>
      <c r="W111" s="190"/>
    </row>
    <row r="112" spans="1:23">
      <c r="A112" s="264"/>
      <c r="B112" s="190"/>
      <c r="C112" s="190"/>
      <c r="E112" s="190"/>
      <c r="F112" s="190"/>
      <c r="G112" s="190"/>
      <c r="H112" s="190"/>
      <c r="I112" s="190"/>
      <c r="J112" s="190"/>
      <c r="K112" s="190"/>
      <c r="L112" s="190"/>
      <c r="M112" s="190"/>
      <c r="N112" s="190"/>
      <c r="O112" s="190"/>
      <c r="P112" s="190"/>
      <c r="Q112" s="190"/>
      <c r="R112" s="190"/>
      <c r="S112" s="190"/>
      <c r="T112" s="190"/>
      <c r="U112" s="190"/>
      <c r="V112" s="190"/>
      <c r="W112" s="190"/>
    </row>
    <row r="113" spans="1:23">
      <c r="A113" s="264" t="s">
        <v>130</v>
      </c>
      <c r="B113" s="194">
        <f>B16-'3Q18 Actual'!B15</f>
        <v>-6.7374845462957396</v>
      </c>
      <c r="C113" s="194">
        <f>C16-'3Q18 Actual'!C15</f>
        <v>2.0999999999999943</v>
      </c>
      <c r="D113" s="194">
        <f>D16-'3Q18 Actual'!C15</f>
        <v>17.013731673438279</v>
      </c>
      <c r="E113" s="194">
        <f>E16-'3Q18 Actual'!D15</f>
        <v>-17.361527189948422</v>
      </c>
      <c r="F113" s="194">
        <f>F16-'3Q18 Actual'!E15</f>
        <v>-35.806939314614617</v>
      </c>
      <c r="G113" s="194">
        <f>G16-'3Q18 Actual'!F15</f>
        <v>-2.1052160320519633</v>
      </c>
      <c r="H113" s="194">
        <f>H16-'3Q18 Actual'!F15</f>
        <v>-8.2931465044453425</v>
      </c>
      <c r="I113" s="194">
        <f>I16-'3Q18 Actual'!G15</f>
        <v>23.547667168990639</v>
      </c>
      <c r="J113" s="194">
        <f>J16-'3Q18 Actual'!H15</f>
        <v>9.750080064388527</v>
      </c>
      <c r="K113" s="194">
        <f>K16-'3Q18 Actual'!I15</f>
        <v>-18.577035998129965</v>
      </c>
      <c r="L113" s="194">
        <f>L16-'3Q18 Actual'!J15</f>
        <v>-23.292882436998532</v>
      </c>
      <c r="M113" s="194">
        <f>M16-'3Q18 Actual'!K15</f>
        <v>-8.2199999999999989</v>
      </c>
      <c r="N113" s="194">
        <f>N16-'3Q18 Actual'!K15</f>
        <v>-15.159999999999997</v>
      </c>
      <c r="O113" s="194">
        <f>O16-'3Q18 Actual'!L15</f>
        <v>9.7077446363160647</v>
      </c>
      <c r="P113" s="194">
        <f>P16-'3Q18 Actual'!N15</f>
        <v>-11.506105009824676</v>
      </c>
      <c r="Q113" s="194">
        <f>Q16-'3Q18 Actual'!N15</f>
        <v>10.900715522215819</v>
      </c>
      <c r="R113" s="194">
        <f>R16-'3Q18 Actual'!O15</f>
        <v>-11.868864182915019</v>
      </c>
      <c r="S113" s="194">
        <f>S16-'3Q18 Actual'!P15</f>
        <v>23.065440083886717</v>
      </c>
      <c r="T113" s="194">
        <f>T16-'3Q18 Actual'!Q15</f>
        <v>-15.300688389974333</v>
      </c>
      <c r="U113" s="194">
        <f>U16-'3Q18 Actual'!R15</f>
        <v>0.25355185079777698</v>
      </c>
      <c r="V113" s="194">
        <f>V16-'3Q18 Actual'!S15</f>
        <v>-5.6048107904148594</v>
      </c>
      <c r="W113" s="194">
        <f>W16-'3Q18 Actual'!T15</f>
        <v>-19.208319433762874</v>
      </c>
    </row>
    <row r="114" spans="1:23">
      <c r="A114" s="264" t="s">
        <v>132</v>
      </c>
      <c r="B114" s="194">
        <f>B29-'3Q18 Actual'!B28</f>
        <v>-0.59305099770921998</v>
      </c>
      <c r="C114" s="194">
        <f>C29-'3Q18 Actual'!C28</f>
        <v>0.48969253088796272</v>
      </c>
      <c r="D114" s="194">
        <f>D29-'3Q18 Actual'!C28</f>
        <v>1.9543659912482827</v>
      </c>
      <c r="E114" s="194">
        <f>E29-'3Q18 Actual'!D28</f>
        <v>1.2071601076784191</v>
      </c>
      <c r="F114" s="194">
        <f>F29-'3Q18 Actual'!E28</f>
        <v>-8.928620226819433</v>
      </c>
      <c r="G114" s="194">
        <f>G29-'3Q18 Actual'!F28</f>
        <v>-1.3369977921041318</v>
      </c>
      <c r="H114" s="194">
        <f>H29-'3Q18 Actual'!F28</f>
        <v>-9.0295671165098028</v>
      </c>
      <c r="I114" s="194">
        <f>I29-'3Q18 Actual'!G28</f>
        <v>2.9098161277546968</v>
      </c>
      <c r="J114" s="194">
        <f>J29-'3Q18 Actual'!H28</f>
        <v>0.95029129771556065</v>
      </c>
      <c r="K114" s="194">
        <f>K29-'3Q18 Actual'!I28</f>
        <v>-5.8290083180044601</v>
      </c>
      <c r="L114" s="194">
        <f>L29-'3Q18 Actual'!J28</f>
        <v>2.846808717085942</v>
      </c>
      <c r="M114" s="194">
        <f>M29-'3Q18 Actual'!K28</f>
        <v>-3.9772882576017476</v>
      </c>
      <c r="N114" s="194">
        <f>N29-'3Q18 Actual'!K28</f>
        <v>-3.2007941009133667</v>
      </c>
      <c r="O114" s="194">
        <f>O29-'3Q18 Actual'!L28</f>
        <v>-2.4968343936665356</v>
      </c>
      <c r="P114" s="194">
        <f>P29-'3Q18 Actual'!N28</f>
        <v>-5.2866867016725898</v>
      </c>
      <c r="Q114" s="194">
        <f>Q29-'3Q18 Actual'!N28</f>
        <v>7.5960935462497403</v>
      </c>
      <c r="R114" s="194">
        <f>R29-'3Q18 Actual'!O28</f>
        <v>1.1074941475228659</v>
      </c>
      <c r="S114" s="194">
        <f>S29-'3Q18 Actual'!P28</f>
        <v>5.1237732885271789</v>
      </c>
      <c r="T114" s="194">
        <f>T29-'3Q18 Actual'!Q28</f>
        <v>-8.682830304855063</v>
      </c>
      <c r="U114" s="194">
        <f>U29-'3Q18 Actual'!R28</f>
        <v>4.7257794139087643</v>
      </c>
      <c r="V114" s="194">
        <f>V29-'3Q18 Actual'!S28</f>
        <v>-1.4074185901527727</v>
      </c>
      <c r="W114" s="194">
        <f>W29-'3Q18 Actual'!T28</f>
        <v>-6.9438971707877606</v>
      </c>
    </row>
    <row r="115" spans="1:23">
      <c r="A115" s="264" t="s">
        <v>129</v>
      </c>
      <c r="B115" s="195">
        <f>B49-'3Q18 Actual'!B48</f>
        <v>1.8246666666666655</v>
      </c>
      <c r="C115" s="195">
        <f>C49-'3Q18 Actual'!C48</f>
        <v>7.5244173333333251</v>
      </c>
      <c r="D115" s="195">
        <f>D49-'3Q18 Actual'!C48</f>
        <v>0.42269199999999785</v>
      </c>
      <c r="E115" s="195">
        <f>E49-'3Q18 Actual'!D48</f>
        <v>59.053588666666663</v>
      </c>
      <c r="F115" s="195">
        <f>F49-'3Q18 Actual'!E48</f>
        <v>-57.759133333333345</v>
      </c>
      <c r="G115" s="195">
        <f>G49-'3Q18 Actual'!F48</f>
        <v>-7.0325720000000018</v>
      </c>
      <c r="H115" s="195">
        <f>H49-'3Q18 Actual'!F48</f>
        <v>-22.479985333333335</v>
      </c>
      <c r="I115" s="195">
        <f>I49-'3Q18 Actual'!G48</f>
        <v>58.557999999999993</v>
      </c>
      <c r="J115" s="195">
        <f>J49-'3Q18 Actual'!H48</f>
        <v>9.6966773333333336</v>
      </c>
      <c r="K115" s="195">
        <f>K49-'3Q18 Actual'!I48</f>
        <v>-70.14112200000001</v>
      </c>
      <c r="L115" s="195">
        <f>L49-'3Q18 Actual'!J48</f>
        <v>20.601514000000009</v>
      </c>
      <c r="M115" s="195">
        <f>M49-'3Q18 Actual'!K48</f>
        <v>-9.5546306666666645</v>
      </c>
      <c r="N115" s="195">
        <f>N49-'3Q18 Actual'!K48</f>
        <v>10.754769333333336</v>
      </c>
      <c r="O115" s="195">
        <f>O49-'3Q18 Actual'!L48</f>
        <v>24.248133333333328</v>
      </c>
      <c r="P115" s="195">
        <f>P49-'3Q18 Actual'!N48</f>
        <v>30.856599999999993</v>
      </c>
      <c r="Q115" s="195">
        <f>Q49-'3Q18 Actual'!N48</f>
        <v>-8.22173333333334</v>
      </c>
      <c r="R115" s="195">
        <f>R49-'3Q18 Actual'!O48</f>
        <v>-30.908933333333316</v>
      </c>
      <c r="S115" s="195">
        <f>S49-'3Q18 Actual'!P48</f>
        <v>-45.694264000000004</v>
      </c>
      <c r="T115" s="195">
        <f>T49-'3Q18 Actual'!Q48</f>
        <v>4.9833333333333378</v>
      </c>
      <c r="U115" s="195">
        <f>U49-'3Q18 Actual'!R48</f>
        <v>26.22</v>
      </c>
      <c r="V115" s="195">
        <f>V49-'3Q18 Actual'!S48</f>
        <v>13.939502666666671</v>
      </c>
      <c r="W115" s="195">
        <f>W49-'3Q18 Actual'!T48</f>
        <v>20.246999999999993</v>
      </c>
    </row>
    <row r="116" spans="1:23">
      <c r="A116" s="264"/>
      <c r="B116" s="190"/>
      <c r="C116" s="190"/>
      <c r="E116" s="190"/>
      <c r="F116" s="190"/>
      <c r="G116" s="190"/>
      <c r="H116" s="190"/>
      <c r="I116" s="190"/>
      <c r="J116" s="190"/>
      <c r="K116" s="190"/>
      <c r="L116" s="190"/>
      <c r="M116" s="190"/>
      <c r="N116" s="190"/>
      <c r="O116" s="190"/>
      <c r="P116" s="190"/>
      <c r="Q116" s="190"/>
      <c r="R116" s="190"/>
      <c r="S116" s="190"/>
      <c r="T116" s="190"/>
      <c r="U116" s="190"/>
      <c r="V116" s="190"/>
      <c r="W116" s="190"/>
    </row>
    <row r="117" spans="1:23">
      <c r="A117" s="264"/>
      <c r="B117" s="190"/>
      <c r="C117" s="190"/>
      <c r="E117" s="190"/>
      <c r="F117" s="190"/>
      <c r="G117" s="190"/>
      <c r="H117" s="190"/>
      <c r="I117" s="190"/>
      <c r="J117" s="190"/>
      <c r="K117" s="190"/>
      <c r="L117" s="190"/>
      <c r="M117" s="190"/>
      <c r="N117" s="190"/>
      <c r="O117" s="190"/>
      <c r="P117" s="190"/>
      <c r="Q117" s="190"/>
      <c r="R117" s="190"/>
      <c r="S117" s="190"/>
      <c r="T117" s="190"/>
      <c r="U117" s="190"/>
      <c r="V117" s="190"/>
      <c r="W117" s="190"/>
    </row>
    <row r="118" spans="1:23">
      <c r="A118" s="264"/>
      <c r="B118" s="190"/>
      <c r="C118" s="190"/>
      <c r="E118" s="190"/>
      <c r="F118" s="190"/>
      <c r="G118" s="190"/>
      <c r="H118" s="190"/>
      <c r="I118" s="190"/>
      <c r="J118" s="190"/>
      <c r="K118" s="190"/>
      <c r="L118" s="190"/>
      <c r="M118" s="195"/>
      <c r="N118" s="190"/>
      <c r="O118" s="190"/>
      <c r="P118" s="190"/>
      <c r="Q118" s="190"/>
      <c r="R118" s="190"/>
      <c r="S118" s="190"/>
      <c r="T118" s="190"/>
      <c r="U118" s="190"/>
      <c r="V118" s="190"/>
      <c r="W118" s="190"/>
    </row>
    <row r="119" spans="1:23">
      <c r="A119" s="264"/>
      <c r="B119" s="190"/>
      <c r="C119" s="190"/>
      <c r="E119" s="190"/>
      <c r="F119" s="190"/>
      <c r="G119" s="190"/>
      <c r="H119" s="190"/>
      <c r="I119" s="190"/>
      <c r="J119" s="190"/>
      <c r="K119" s="190"/>
      <c r="L119" s="190"/>
      <c r="M119" s="190"/>
      <c r="N119" s="190"/>
      <c r="O119" s="190"/>
      <c r="P119" s="190"/>
      <c r="Q119" s="190"/>
      <c r="R119" s="190"/>
      <c r="S119" s="190"/>
      <c r="T119" s="190"/>
      <c r="U119" s="190"/>
      <c r="V119" s="190"/>
      <c r="W119" s="190"/>
    </row>
    <row r="199" spans="2:21" ht="14.25" hidden="1" customHeight="1">
      <c r="O199" s="2" t="s">
        <v>58</v>
      </c>
    </row>
    <row r="200" spans="2:21" ht="14.25" hidden="1" customHeight="1">
      <c r="O200" s="2" t="s">
        <v>54</v>
      </c>
      <c r="Q200" s="2">
        <v>52.63</v>
      </c>
      <c r="R200" s="2">
        <v>176</v>
      </c>
      <c r="U200" s="2">
        <f>+R200*Q200</f>
        <v>9262.880000000001</v>
      </c>
    </row>
    <row r="201" spans="2:21" ht="14.25" hidden="1" customHeight="1">
      <c r="E201" s="2" t="s">
        <v>72</v>
      </c>
      <c r="F201" s="2" t="s">
        <v>73</v>
      </c>
      <c r="O201" s="2" t="s">
        <v>55</v>
      </c>
      <c r="Q201" s="2">
        <v>14.77</v>
      </c>
      <c r="R201" s="2">
        <v>37</v>
      </c>
      <c r="U201" s="2">
        <f>+R201*Q201</f>
        <v>546.49</v>
      </c>
    </row>
    <row r="202" spans="2:21" ht="14.25" hidden="1" customHeight="1">
      <c r="B202" s="2" t="s">
        <v>61</v>
      </c>
      <c r="D202" s="190">
        <v>95.057000000000002</v>
      </c>
      <c r="E202" s="2">
        <f>73.05</f>
        <v>73.05</v>
      </c>
      <c r="H202" s="2">
        <f>+E202*D202</f>
        <v>6943.9138499999999</v>
      </c>
      <c r="O202" s="2" t="s">
        <v>59</v>
      </c>
      <c r="Q202" s="2">
        <v>2.76</v>
      </c>
      <c r="R202" s="2">
        <v>361</v>
      </c>
      <c r="T202" s="2">
        <f>+R202/6</f>
        <v>60.166666666666664</v>
      </c>
      <c r="U202" s="2">
        <f>+R202*Q202</f>
        <v>996.3599999999999</v>
      </c>
    </row>
    <row r="203" spans="2:21" ht="14.25" hidden="1" customHeight="1">
      <c r="B203" s="2" t="s">
        <v>71</v>
      </c>
      <c r="D203" s="190">
        <f>458.144-D202</f>
        <v>363.08699999999999</v>
      </c>
      <c r="E203" s="2">
        <f>53.09</f>
        <v>53.09</v>
      </c>
      <c r="H203" s="2">
        <f>+E203*D203</f>
        <v>19276.288830000001</v>
      </c>
      <c r="I203" s="2">
        <f>+SUM(H202:H203)/(D202+D203)</f>
        <v>57.231356691345958</v>
      </c>
    </row>
    <row r="204" spans="2:21" ht="14.25" hidden="1" customHeight="1">
      <c r="O204" s="2" t="s">
        <v>60</v>
      </c>
    </row>
    <row r="205" spans="2:21" ht="14.25" hidden="1" customHeight="1">
      <c r="O205" s="2" t="s">
        <v>54</v>
      </c>
      <c r="Q205" s="2">
        <v>56.7</v>
      </c>
      <c r="R205" s="2">
        <v>33</v>
      </c>
      <c r="U205" s="2">
        <f>+R205*Q205</f>
        <v>1871.1000000000001</v>
      </c>
    </row>
    <row r="206" spans="2:21" ht="14.25" hidden="1" customHeight="1">
      <c r="E206" s="2">
        <v>608</v>
      </c>
      <c r="F206" s="2">
        <v>58</v>
      </c>
      <c r="O206" s="2" t="s">
        <v>55</v>
      </c>
      <c r="Q206" s="2">
        <v>3.1</v>
      </c>
      <c r="R206" s="2">
        <v>9</v>
      </c>
      <c r="U206" s="2">
        <f>+R206*Q206</f>
        <v>27.900000000000002</v>
      </c>
    </row>
    <row r="207" spans="2:21" ht="14.25" hidden="1" customHeight="1">
      <c r="E207" s="2">
        <v>138</v>
      </c>
      <c r="F207" s="2">
        <v>33.299999999999997</v>
      </c>
      <c r="O207" s="2" t="s">
        <v>59</v>
      </c>
      <c r="Q207" s="2">
        <v>0.78</v>
      </c>
      <c r="R207" s="2">
        <v>396</v>
      </c>
      <c r="T207" s="2">
        <f>+R207/6</f>
        <v>66</v>
      </c>
      <c r="U207" s="2">
        <f>+R207*Q207</f>
        <v>308.88</v>
      </c>
    </row>
    <row r="208" spans="2:21" ht="14.25" hidden="1" customHeight="1">
      <c r="F208" s="2">
        <f>+SUMPRODUCT(E206:E207,F206:F207)/SUM(E206:E207)</f>
        <v>53.430831099195714</v>
      </c>
    </row>
    <row r="209" spans="15:21" ht="14.25" hidden="1" customHeight="1">
      <c r="O209" s="2" t="s">
        <v>61</v>
      </c>
    </row>
    <row r="210" spans="15:21" ht="14.25" hidden="1" customHeight="1">
      <c r="O210" s="2" t="s">
        <v>54</v>
      </c>
      <c r="Q210" s="2">
        <v>52.46</v>
      </c>
      <c r="R210" s="2">
        <v>29</v>
      </c>
      <c r="U210" s="2">
        <f>+R210*Q210</f>
        <v>1521.34</v>
      </c>
    </row>
  </sheetData>
  <pageMargins left="0.7" right="0.24" top="0.75" bottom="0.75" header="0.3" footer="0.3"/>
  <pageSetup orientation="portrait" r:id="rId1"/>
  <headerFooter>
    <oddFooter>&amp;C&amp;"Expert Sans Regular,Regular"&amp;10&amp;K000000 Restricted - External_x000D_&amp;1#&amp;"Calibri"&amp;10 Restricted - External</oddFooter>
    <evenFooter>&amp;C&amp;"Expert Sans Regular,Regular"&amp;10&amp;K000000 Restricted - External</evenFooter>
    <firstFooter>&amp;C&amp;"Expert Sans Regular,Regular"&amp;10&amp;K000000 Restricted - External</first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d4161281-19ac-4487-8e19-1947623352c0" origin="userSelected">
  <element uid="0a3a97e9-0892-4b45-9ab2-d5aba1094e0b" value=""/>
</sisl>
</file>

<file path=customXml/itemProps1.xml><?xml version="1.0" encoding="utf-8"?>
<ds:datastoreItem xmlns:ds="http://schemas.openxmlformats.org/officeDocument/2006/customXml" ds:itemID="{4FADDFA7-B308-422C-B675-B792AF107DA9}">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1</vt:i4>
      </vt:variant>
    </vt:vector>
  </HeadingPairs>
  <TitlesOfParts>
    <vt:vector size="26" baseType="lpstr">
      <vt:lpstr>Cover</vt:lpstr>
      <vt:lpstr>Aggregated</vt:lpstr>
      <vt:lpstr>Sensitivity</vt:lpstr>
      <vt:lpstr>Sensitivity flex</vt:lpstr>
      <vt:lpstr>Relative Value</vt:lpstr>
      <vt:lpstr>3Q19 Actual</vt:lpstr>
      <vt:lpstr>2Q19 Actual</vt:lpstr>
      <vt:lpstr>1Q19 Actual</vt:lpstr>
      <vt:lpstr>4Q18 Actual</vt:lpstr>
      <vt:lpstr>3Q18 Actual</vt:lpstr>
      <vt:lpstr>2Q18 Actual</vt:lpstr>
      <vt:lpstr>1Q18 Actual</vt:lpstr>
      <vt:lpstr>4Q17 Actual</vt:lpstr>
      <vt:lpstr>3Q17 Actual</vt:lpstr>
      <vt:lpstr>2Q17 Actual</vt:lpstr>
      <vt:lpstr>1Q17 Actual</vt:lpstr>
      <vt:lpstr>4Q16 Actual</vt:lpstr>
      <vt:lpstr>3Q16 Actual</vt:lpstr>
      <vt:lpstr>2Q16 Actual</vt:lpstr>
      <vt:lpstr>1Q16 Actual</vt:lpstr>
      <vt:lpstr>4Q15 Actual</vt:lpstr>
      <vt:lpstr>3Q15 Actual</vt:lpstr>
      <vt:lpstr>2Q15 Actual</vt:lpstr>
      <vt:lpstr>Sheet1</vt:lpstr>
      <vt:lpstr>CERTIFICATION &amp; DISCLAIMER</vt:lpstr>
      <vt:lpstr>Cover!Print_Area</vt:lpstr>
    </vt:vector>
  </TitlesOfParts>
  <Company>Barclays Capital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Harry Mateer</dc:creator>
  <cp:lastModifiedBy>Brian Fagan</cp:lastModifiedBy>
  <cp:lastPrinted>2019-11-14T20:10:32Z</cp:lastPrinted>
  <dcterms:created xsi:type="dcterms:W3CDTF">2015-08-07T11:06:04Z</dcterms:created>
  <dcterms:modified xsi:type="dcterms:W3CDTF">2019-11-25T19:07:19Z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{6954D479-DD25-4D88-8EF4-783FF0F9821B}</vt:lpwstr>
  </property>
  <property fmtid="{D5CDD505-2E9C-101B-9397-08002B2CF9AE}" pid="3" name="docIndexRef">
    <vt:lpwstr>5dd714c4-70fb-42e8-93c3-47ce6f31247b</vt:lpwstr>
  </property>
  <property fmtid="{D5CDD505-2E9C-101B-9397-08002B2CF9AE}" pid="4" name="bjSaver">
    <vt:lpwstr>PFNCsMEHqXQApAigNsSWHTrB+mBVKRx2</vt:lpwstr>
  </property>
  <property fmtid="{D5CDD505-2E9C-101B-9397-08002B2CF9AE}" pid="5" name="bjDocumentLabelXML">
    <vt:lpwstr>&lt;?xml version="1.0" encoding="us-ascii"?&gt;&lt;sisl xmlns:xsi="http://www.w3.org/2001/XMLSchema-instance" xmlns:xsd="http://www.w3.org/2001/XMLSchema" sislVersion="0" policy="d4161281-19ac-4487-8e19-1947623352c0" origin="userSelected" xmlns="http://www.boldonj</vt:lpwstr>
  </property>
  <property fmtid="{D5CDD505-2E9C-101B-9397-08002B2CF9AE}" pid="6" name="bjDocumentLabelXML-0">
    <vt:lpwstr>ames.com/2008/01/sie/internal/label"&gt;&lt;element uid="0a3a97e9-0892-4b45-9ab2-d5aba1094e0b" value="" /&gt;&lt;/sisl&gt;</vt:lpwstr>
  </property>
  <property fmtid="{D5CDD505-2E9C-101B-9397-08002B2CF9AE}" pid="7" name="bjDocumentSecurityLabel">
    <vt:lpwstr>Restricted - External</vt:lpwstr>
  </property>
  <property fmtid="{D5CDD505-2E9C-101B-9397-08002B2CF9AE}" pid="8" name="bjCentreFooterLabel-first">
    <vt:lpwstr>&amp;"Expert Sans Regular,Regular"&amp;10&amp;K000000 Restricted - External</vt:lpwstr>
  </property>
  <property fmtid="{D5CDD505-2E9C-101B-9397-08002B2CF9AE}" pid="9" name="bjCentreFooterLabel-even">
    <vt:lpwstr>&amp;"Expert Sans Regular,Regular"&amp;10&amp;K000000 Restricted - External</vt:lpwstr>
  </property>
  <property fmtid="{D5CDD505-2E9C-101B-9397-08002B2CF9AE}" pid="10" name="bjCentreFooterLabel">
    <vt:lpwstr>&amp;"Expert Sans Regular,Regular"&amp;10&amp;K000000 Restricted - External</vt:lpwstr>
  </property>
  <property fmtid="{D5CDD505-2E9C-101B-9397-08002B2CF9AE}" pid="11" name="DealMaven.PresLink.LastVersion">
    <vt:lpwstr/>
  </property>
  <property fmtid="{D5CDD505-2E9C-101B-9397-08002B2CF9AE}" pid="12" name="MSIP_Label_809883c2-c98e-47bb-9665-f01ec16099d6_Enabled">
    <vt:lpwstr>True</vt:lpwstr>
  </property>
  <property fmtid="{D5CDD505-2E9C-101B-9397-08002B2CF9AE}" pid="13" name="MSIP_Label_809883c2-c98e-47bb-9665-f01ec16099d6_SiteId">
    <vt:lpwstr>c4b62f1d-01e0-4107-a0cc-5ac886858b23</vt:lpwstr>
  </property>
  <property fmtid="{D5CDD505-2E9C-101B-9397-08002B2CF9AE}" pid="14" name="MSIP_Label_809883c2-c98e-47bb-9665-f01ec16099d6_Owner">
    <vt:lpwstr>sarah.du@barclays.com</vt:lpwstr>
  </property>
  <property fmtid="{D5CDD505-2E9C-101B-9397-08002B2CF9AE}" pid="15" name="MSIP_Label_809883c2-c98e-47bb-9665-f01ec16099d6_SetDate">
    <vt:lpwstr>2019-11-14T17:27:13.1171889Z</vt:lpwstr>
  </property>
  <property fmtid="{D5CDD505-2E9C-101B-9397-08002B2CF9AE}" pid="16" name="MSIP_Label_809883c2-c98e-47bb-9665-f01ec16099d6_Name">
    <vt:lpwstr>Restricted - External</vt:lpwstr>
  </property>
  <property fmtid="{D5CDD505-2E9C-101B-9397-08002B2CF9AE}" pid="17" name="MSIP_Label_809883c2-c98e-47bb-9665-f01ec16099d6_Application">
    <vt:lpwstr>Microsoft Azure Information Protection</vt:lpwstr>
  </property>
  <property fmtid="{D5CDD505-2E9C-101B-9397-08002B2CF9AE}" pid="18" name="MSIP_Label_809883c2-c98e-47bb-9665-f01ec16099d6_Extended_MSFT_Method">
    <vt:lpwstr>Automatic</vt:lpwstr>
  </property>
  <property fmtid="{D5CDD505-2E9C-101B-9397-08002B2CF9AE}" pid="19" name="barclaysdc">
    <vt:lpwstr>Restricted - External</vt:lpwstr>
  </property>
</Properties>
</file>