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6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7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8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75" windowWidth="18195" windowHeight="11820" firstSheet="2" activeTab="10"/>
  </bookViews>
  <sheets>
    <sheet name="EMBIG_Div_Country" sheetId="1" r:id="rId1"/>
    <sheet name="EMBIG_Div_Security" sheetId="2" r:id="rId2"/>
    <sheet name="CEMBI_Div_Country" sheetId="3" r:id="rId3"/>
    <sheet name="CEMBI_Div_Security" sheetId="4" r:id="rId4"/>
    <sheet name="3032" sheetId="5" r:id="rId5"/>
    <sheet name="3024" sheetId="6" state="hidden" r:id="rId6"/>
    <sheet name="68" sheetId="8" state="hidden" r:id="rId7"/>
    <sheet name="3032 Summary" sheetId="9" r:id="rId8"/>
    <sheet name="68 Summary" sheetId="10" state="hidden" r:id="rId9"/>
    <sheet name="Sort" sheetId="11" r:id="rId10"/>
    <sheet name="EMBI Graphs" sheetId="12" r:id="rId11"/>
  </sheets>
  <externalReferences>
    <externalReference r:id="rId12"/>
  </externalReferences>
  <calcPr calcId="145621"/>
</workbook>
</file>

<file path=xl/calcChain.xml><?xml version="1.0" encoding="utf-8"?>
<calcChain xmlns="http://schemas.openxmlformats.org/spreadsheetml/2006/main">
  <c r="U2" i="1" l="1"/>
  <c r="T2" i="1"/>
  <c r="AE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4" i="2"/>
  <c r="AF4" i="2" s="1"/>
  <c r="AE33" i="2"/>
  <c r="AF33" i="2"/>
  <c r="AE34" i="2"/>
  <c r="AF34" i="2"/>
  <c r="AE35" i="2"/>
  <c r="AF35" i="2"/>
  <c r="AE36" i="2"/>
  <c r="AF36" i="2"/>
  <c r="AE37" i="2"/>
  <c r="AF37" i="2"/>
  <c r="AE38" i="2"/>
  <c r="AF38" i="2"/>
  <c r="AE39" i="2"/>
  <c r="AF39" i="2"/>
  <c r="AE40" i="2"/>
  <c r="AF40" i="2"/>
  <c r="AE41" i="2"/>
  <c r="AF41" i="2"/>
  <c r="AE42" i="2"/>
  <c r="AF42" i="2"/>
  <c r="AE43" i="2"/>
  <c r="T24" i="1" s="1"/>
  <c r="AF43" i="2"/>
  <c r="U24" i="1" s="1"/>
  <c r="AE44" i="2"/>
  <c r="AF44" i="2"/>
  <c r="AE45" i="2"/>
  <c r="AF45" i="2"/>
  <c r="AE46" i="2"/>
  <c r="AF46" i="2"/>
  <c r="AE47" i="2"/>
  <c r="AF47" i="2"/>
  <c r="AE48" i="2"/>
  <c r="AF48" i="2"/>
  <c r="AE49" i="2"/>
  <c r="AF49" i="2"/>
  <c r="AE50" i="2"/>
  <c r="AF50" i="2"/>
  <c r="AE51" i="2"/>
  <c r="T25" i="1" s="1"/>
  <c r="AF51" i="2"/>
  <c r="U25" i="1" s="1"/>
  <c r="AE52" i="2"/>
  <c r="AF52" i="2"/>
  <c r="AE53" i="2"/>
  <c r="AF53" i="2"/>
  <c r="AE54" i="2"/>
  <c r="AF54" i="2"/>
  <c r="AE55" i="2"/>
  <c r="AF55" i="2"/>
  <c r="AE56" i="2"/>
  <c r="AF56" i="2"/>
  <c r="AE57" i="2"/>
  <c r="AF57" i="2"/>
  <c r="AE58" i="2"/>
  <c r="AF58" i="2"/>
  <c r="AE59" i="2"/>
  <c r="AF59" i="2"/>
  <c r="AE60" i="2"/>
  <c r="T26" i="1" s="1"/>
  <c r="AF60" i="2"/>
  <c r="U26" i="1" s="1"/>
  <c r="AE61" i="2"/>
  <c r="AF61" i="2"/>
  <c r="AE62" i="2"/>
  <c r="AF62" i="2"/>
  <c r="AE63" i="2"/>
  <c r="T27" i="1" s="1"/>
  <c r="AF63" i="2"/>
  <c r="U27" i="1" s="1"/>
  <c r="AE64" i="2"/>
  <c r="AF64" i="2"/>
  <c r="AE65" i="2"/>
  <c r="T28" i="1" s="1"/>
  <c r="AF65" i="2"/>
  <c r="U28" i="1" s="1"/>
  <c r="AE66" i="2"/>
  <c r="T29" i="1" s="1"/>
  <c r="AF66" i="2"/>
  <c r="U29" i="1" s="1"/>
  <c r="AE67" i="2"/>
  <c r="AF67" i="2"/>
  <c r="AE68" i="2"/>
  <c r="AF68" i="2"/>
  <c r="AE69" i="2"/>
  <c r="T30" i="1" s="1"/>
  <c r="AF69" i="2"/>
  <c r="U30" i="1" s="1"/>
  <c r="AE70" i="2"/>
  <c r="AF70" i="2"/>
  <c r="AE71" i="2"/>
  <c r="AF71" i="2"/>
  <c r="AE72" i="2"/>
  <c r="AF72" i="2"/>
  <c r="AE73" i="2"/>
  <c r="AF73" i="2"/>
  <c r="AE74" i="2"/>
  <c r="T31" i="1" s="1"/>
  <c r="AF74" i="2"/>
  <c r="U31" i="1" s="1"/>
  <c r="AE75" i="2"/>
  <c r="T32" i="1" s="1"/>
  <c r="AF75" i="2"/>
  <c r="U32" i="1" s="1"/>
  <c r="AE76" i="2"/>
  <c r="T33" i="1" s="1"/>
  <c r="AF76" i="2"/>
  <c r="U33" i="1" s="1"/>
  <c r="AE77" i="2"/>
  <c r="T34" i="1" s="1"/>
  <c r="AF77" i="2"/>
  <c r="U34" i="1" s="1"/>
  <c r="AE78" i="2"/>
  <c r="AF78" i="2"/>
  <c r="AE79" i="2"/>
  <c r="AF79" i="2"/>
  <c r="AE80" i="2"/>
  <c r="AF80" i="2"/>
  <c r="AE81" i="2"/>
  <c r="T35" i="1" s="1"/>
  <c r="AF81" i="2"/>
  <c r="U35" i="1" s="1"/>
  <c r="AE82" i="2"/>
  <c r="AF82" i="2"/>
  <c r="AE83" i="2"/>
  <c r="AF83" i="2"/>
  <c r="AE84" i="2"/>
  <c r="AF84" i="2"/>
  <c r="AE85" i="2"/>
  <c r="AF85" i="2"/>
  <c r="AE86" i="2"/>
  <c r="AF86" i="2"/>
  <c r="AE87" i="2"/>
  <c r="AF87" i="2"/>
  <c r="AE88" i="2"/>
  <c r="AF88" i="2"/>
  <c r="AE89" i="2"/>
  <c r="AF89" i="2"/>
  <c r="AE90" i="2"/>
  <c r="AF90" i="2"/>
  <c r="AE91" i="2"/>
  <c r="AF91" i="2"/>
  <c r="AE92" i="2"/>
  <c r="AF92" i="2"/>
  <c r="AE93" i="2"/>
  <c r="AF93" i="2"/>
  <c r="AE94" i="2"/>
  <c r="AF94" i="2"/>
  <c r="AE95" i="2"/>
  <c r="AF95" i="2"/>
  <c r="AE96" i="2"/>
  <c r="AF96" i="2"/>
  <c r="AE97" i="2"/>
  <c r="AF97" i="2"/>
  <c r="AE98" i="2"/>
  <c r="AF98" i="2"/>
  <c r="AE99" i="2"/>
  <c r="AF99" i="2"/>
  <c r="AE100" i="2"/>
  <c r="T36" i="1" s="1"/>
  <c r="AF100" i="2"/>
  <c r="U36" i="1" s="1"/>
  <c r="AE101" i="2"/>
  <c r="T37" i="1" s="1"/>
  <c r="AF101" i="2"/>
  <c r="U37" i="1" s="1"/>
  <c r="AE102" i="2"/>
  <c r="T38" i="1" s="1"/>
  <c r="AF102" i="2"/>
  <c r="U38" i="1" s="1"/>
  <c r="AE103" i="2"/>
  <c r="AF103" i="2"/>
  <c r="AE104" i="2"/>
  <c r="T39" i="1" s="1"/>
  <c r="AF104" i="2"/>
  <c r="U39" i="1" s="1"/>
  <c r="AE105" i="2"/>
  <c r="T40" i="1" s="1"/>
  <c r="AF105" i="2"/>
  <c r="U40" i="1" s="1"/>
  <c r="AE106" i="2"/>
  <c r="AF106" i="2"/>
  <c r="AE107" i="2"/>
  <c r="AF107" i="2"/>
  <c r="AE108" i="2"/>
  <c r="AF108" i="2"/>
  <c r="AE109" i="2"/>
  <c r="AF109" i="2"/>
  <c r="AE110" i="2"/>
  <c r="AF110" i="2"/>
  <c r="AE111" i="2"/>
  <c r="AF111" i="2"/>
  <c r="AE112" i="2"/>
  <c r="AF112" i="2"/>
  <c r="AE113" i="2"/>
  <c r="AF113" i="2"/>
  <c r="AE114" i="2"/>
  <c r="T41" i="1" s="1"/>
  <c r="AF114" i="2"/>
  <c r="U41" i="1" s="1"/>
  <c r="AE115" i="2"/>
  <c r="AF115" i="2"/>
  <c r="AE116" i="2"/>
  <c r="AF116" i="2"/>
  <c r="AE117" i="2"/>
  <c r="AF117" i="2"/>
  <c r="AE118" i="2"/>
  <c r="AF118" i="2"/>
  <c r="AE119" i="2"/>
  <c r="AF119" i="2"/>
  <c r="AE120" i="2"/>
  <c r="AF120" i="2"/>
  <c r="AE121" i="2"/>
  <c r="AF121" i="2"/>
  <c r="AE122" i="2"/>
  <c r="AF122" i="2"/>
  <c r="AE123" i="2"/>
  <c r="AF123" i="2"/>
  <c r="AE124" i="2"/>
  <c r="AF124" i="2"/>
  <c r="AE125" i="2"/>
  <c r="AF125" i="2"/>
  <c r="AE126" i="2"/>
  <c r="AF126" i="2"/>
  <c r="AE127" i="2"/>
  <c r="T42" i="1" s="1"/>
  <c r="AF127" i="2"/>
  <c r="U42" i="1" s="1"/>
  <c r="AE128" i="2"/>
  <c r="AF128" i="2"/>
  <c r="AE129" i="2"/>
  <c r="AF129" i="2"/>
  <c r="AE130" i="2"/>
  <c r="AF130" i="2"/>
  <c r="AE131" i="2"/>
  <c r="T43" i="1" s="1"/>
  <c r="AF131" i="2"/>
  <c r="U43" i="1" s="1"/>
  <c r="AE132" i="2"/>
  <c r="AF132" i="2"/>
  <c r="AE133" i="2"/>
  <c r="AF133" i="2"/>
  <c r="AE134" i="2"/>
  <c r="AF134" i="2"/>
  <c r="AE135" i="2"/>
  <c r="AF135" i="2"/>
  <c r="AE136" i="2"/>
  <c r="T44" i="1" s="1"/>
  <c r="AF136" i="2"/>
  <c r="U44" i="1" s="1"/>
  <c r="AE137" i="2"/>
  <c r="AF137" i="2"/>
  <c r="AE138" i="2"/>
  <c r="AF138" i="2"/>
  <c r="AE139" i="2"/>
  <c r="AF139" i="2"/>
  <c r="AE140" i="2"/>
  <c r="AF140" i="2"/>
  <c r="AE141" i="2"/>
  <c r="AF141" i="2"/>
  <c r="AE142" i="2"/>
  <c r="AF142" i="2"/>
  <c r="AE143" i="2"/>
  <c r="AF143" i="2"/>
  <c r="AE144" i="2"/>
  <c r="AF144" i="2"/>
  <c r="AE145" i="2"/>
  <c r="AF145" i="2"/>
  <c r="AE146" i="2"/>
  <c r="AF146" i="2"/>
  <c r="AE147" i="2"/>
  <c r="AF147" i="2"/>
  <c r="AE148" i="2"/>
  <c r="AF148" i="2"/>
  <c r="AE149" i="2"/>
  <c r="AF149" i="2"/>
  <c r="AE150" i="2"/>
  <c r="AF150" i="2"/>
  <c r="AE151" i="2"/>
  <c r="AF151" i="2"/>
  <c r="AE152" i="2"/>
  <c r="AF152" i="2"/>
  <c r="AE153" i="2"/>
  <c r="AF153" i="2"/>
  <c r="AE154" i="2"/>
  <c r="AF154" i="2"/>
  <c r="AE155" i="2"/>
  <c r="AF155" i="2"/>
  <c r="AE156" i="2"/>
  <c r="AF156" i="2"/>
  <c r="AE157" i="2"/>
  <c r="AF157" i="2"/>
  <c r="AE158" i="2"/>
  <c r="AF158" i="2"/>
  <c r="AE159" i="2"/>
  <c r="AF159" i="2"/>
  <c r="AE160" i="2"/>
  <c r="AF160" i="2"/>
  <c r="AE161" i="2"/>
  <c r="AF161" i="2"/>
  <c r="AE162" i="2"/>
  <c r="T45" i="1" s="1"/>
  <c r="AF162" i="2"/>
  <c r="U45" i="1" s="1"/>
  <c r="AE163" i="2"/>
  <c r="T46" i="1" s="1"/>
  <c r="AF163" i="2"/>
  <c r="U46" i="1" s="1"/>
  <c r="AE164" i="2"/>
  <c r="AF164" i="2"/>
  <c r="AE165" i="2"/>
  <c r="T47" i="1" s="1"/>
  <c r="AF165" i="2"/>
  <c r="U47" i="1" s="1"/>
  <c r="AE166" i="2"/>
  <c r="AF166" i="2"/>
  <c r="AE167" i="2"/>
  <c r="AF167" i="2"/>
  <c r="AE168" i="2"/>
  <c r="AF168" i="2"/>
  <c r="AE169" i="2"/>
  <c r="AF169" i="2"/>
  <c r="AE170" i="2"/>
  <c r="AF170" i="2"/>
  <c r="AE171" i="2"/>
  <c r="T48" i="1" s="1"/>
  <c r="AF171" i="2"/>
  <c r="U48" i="1" s="1"/>
  <c r="AE172" i="2"/>
  <c r="AF172" i="2"/>
  <c r="AE173" i="2"/>
  <c r="AF173" i="2"/>
  <c r="AE174" i="2"/>
  <c r="AF174" i="2"/>
  <c r="AE175" i="2"/>
  <c r="AF175" i="2"/>
  <c r="AE176" i="2"/>
  <c r="AF176" i="2"/>
  <c r="AE177" i="2"/>
  <c r="T49" i="1" s="1"/>
  <c r="AF177" i="2"/>
  <c r="U49" i="1" s="1"/>
  <c r="AE178" i="2"/>
  <c r="AF178" i="2"/>
  <c r="AE179" i="2"/>
  <c r="AF179" i="2"/>
  <c r="AE180" i="2"/>
  <c r="AF180" i="2"/>
  <c r="AE181" i="2"/>
  <c r="AF181" i="2"/>
  <c r="AE182" i="2"/>
  <c r="AF182" i="2"/>
  <c r="AE183" i="2"/>
  <c r="AF183" i="2"/>
  <c r="AE184" i="2"/>
  <c r="AF184" i="2"/>
  <c r="AE185" i="2"/>
  <c r="AF185" i="2"/>
  <c r="AE186" i="2"/>
  <c r="AF186" i="2"/>
  <c r="AE187" i="2"/>
  <c r="AF187" i="2"/>
  <c r="AE188" i="2"/>
  <c r="AF188" i="2"/>
  <c r="AE189" i="2"/>
  <c r="AF189" i="2"/>
  <c r="AE190" i="2"/>
  <c r="AF190" i="2"/>
  <c r="AE191" i="2"/>
  <c r="AF191" i="2"/>
  <c r="AE192" i="2"/>
  <c r="AF192" i="2"/>
  <c r="AE193" i="2"/>
  <c r="AF193" i="2"/>
  <c r="AE194" i="2"/>
  <c r="AF194" i="2"/>
  <c r="AE195" i="2"/>
  <c r="AF195" i="2"/>
  <c r="AE196" i="2"/>
  <c r="T50" i="1" s="1"/>
  <c r="AF196" i="2"/>
  <c r="U50" i="1" s="1"/>
  <c r="AE197" i="2"/>
  <c r="AF197" i="2"/>
  <c r="AE198" i="2"/>
  <c r="AF198" i="2"/>
  <c r="AE199" i="2"/>
  <c r="AF199" i="2"/>
  <c r="AE200" i="2"/>
  <c r="AF200" i="2"/>
  <c r="AE201" i="2"/>
  <c r="T51" i="1" s="1"/>
  <c r="AF201" i="2"/>
  <c r="U51" i="1" s="1"/>
  <c r="AE202" i="2"/>
  <c r="AF202" i="2"/>
  <c r="AE203" i="2"/>
  <c r="AF203" i="2"/>
  <c r="AE204" i="2"/>
  <c r="AF204" i="2"/>
  <c r="AE205" i="2"/>
  <c r="AF205" i="2"/>
  <c r="AE206" i="2"/>
  <c r="AF206" i="2"/>
  <c r="AE207" i="2"/>
  <c r="AF207" i="2"/>
  <c r="AE208" i="2"/>
  <c r="AF208" i="2"/>
  <c r="AE209" i="2"/>
  <c r="AF209" i="2"/>
  <c r="AE210" i="2"/>
  <c r="AF210" i="2"/>
  <c r="AE211" i="2"/>
  <c r="AF211" i="2"/>
  <c r="AE212" i="2"/>
  <c r="AF212" i="2"/>
  <c r="AE213" i="2"/>
  <c r="AF213" i="2"/>
  <c r="AE214" i="2"/>
  <c r="AF214" i="2"/>
  <c r="AE215" i="2"/>
  <c r="AF215" i="2"/>
  <c r="AE216" i="2"/>
  <c r="AF216" i="2"/>
  <c r="AE217" i="2"/>
  <c r="T53" i="1" s="1"/>
  <c r="AF217" i="2"/>
  <c r="U53" i="1" s="1"/>
  <c r="AE218" i="2"/>
  <c r="T52" i="1" s="1"/>
  <c r="AF218" i="2"/>
  <c r="U52" i="1" s="1"/>
  <c r="AE219" i="2"/>
  <c r="AF219" i="2"/>
  <c r="AE220" i="2"/>
  <c r="T54" i="1" s="1"/>
  <c r="AF220" i="2"/>
  <c r="U54" i="1" s="1"/>
  <c r="AE221" i="2"/>
  <c r="AF221" i="2"/>
  <c r="AE222" i="2"/>
  <c r="AF222" i="2"/>
  <c r="AE223" i="2"/>
  <c r="AF223" i="2"/>
  <c r="AE224" i="2"/>
  <c r="AF224" i="2"/>
  <c r="AE225" i="2"/>
  <c r="AF225" i="2"/>
  <c r="AE226" i="2"/>
  <c r="AF226" i="2"/>
  <c r="AE227" i="2"/>
  <c r="T55" i="1" s="1"/>
  <c r="AF227" i="2"/>
  <c r="U55" i="1" s="1"/>
  <c r="AE228" i="2"/>
  <c r="AF228" i="2"/>
  <c r="AE229" i="2"/>
  <c r="AF229" i="2"/>
  <c r="AE230" i="2"/>
  <c r="T56" i="1" s="1"/>
  <c r="AF230" i="2"/>
  <c r="U56" i="1" s="1"/>
  <c r="AE231" i="2"/>
  <c r="AF231" i="2"/>
  <c r="AE232" i="2"/>
  <c r="AF232" i="2"/>
  <c r="AE233" i="2"/>
  <c r="AF233" i="2"/>
  <c r="AE234" i="2"/>
  <c r="AF234" i="2"/>
  <c r="AE235" i="2"/>
  <c r="AF235" i="2"/>
  <c r="AE236" i="2"/>
  <c r="AF236" i="2"/>
  <c r="AE237" i="2"/>
  <c r="AF237" i="2"/>
  <c r="AE238" i="2"/>
  <c r="AF238" i="2"/>
  <c r="AE239" i="2"/>
  <c r="AF239" i="2"/>
  <c r="AE240" i="2"/>
  <c r="AF240" i="2"/>
  <c r="AE241" i="2"/>
  <c r="AF241" i="2"/>
  <c r="AE242" i="2"/>
  <c r="AF242" i="2"/>
  <c r="AE243" i="2"/>
  <c r="AF243" i="2"/>
  <c r="AE244" i="2"/>
  <c r="AF244" i="2"/>
  <c r="AE245" i="2"/>
  <c r="AF245" i="2"/>
  <c r="AE246" i="2"/>
  <c r="AF246" i="2"/>
  <c r="AE247" i="2"/>
  <c r="T57" i="1" s="1"/>
  <c r="AF247" i="2"/>
  <c r="U57" i="1" s="1"/>
  <c r="AE248" i="2"/>
  <c r="AF248" i="2"/>
  <c r="AE249" i="2"/>
  <c r="AF249" i="2"/>
  <c r="AE250" i="2"/>
  <c r="AF250" i="2"/>
  <c r="AE251" i="2"/>
  <c r="AF251" i="2"/>
  <c r="AE252" i="2"/>
  <c r="AF252" i="2"/>
  <c r="AE253" i="2"/>
  <c r="AF253" i="2"/>
  <c r="AE254" i="2"/>
  <c r="AF254" i="2"/>
  <c r="AE255" i="2"/>
  <c r="AF255" i="2"/>
  <c r="AE256" i="2"/>
  <c r="AF256" i="2"/>
  <c r="AE257" i="2"/>
  <c r="T58" i="1" s="1"/>
  <c r="AF257" i="2"/>
  <c r="U58" i="1" s="1"/>
  <c r="AE258" i="2"/>
  <c r="AF258" i="2"/>
  <c r="AE259" i="2"/>
  <c r="AF259" i="2"/>
  <c r="AE260" i="2"/>
  <c r="AF260" i="2"/>
  <c r="AE261" i="2"/>
  <c r="T59" i="1" s="1"/>
  <c r="AF261" i="2"/>
  <c r="U59" i="1" s="1"/>
  <c r="AE262" i="2"/>
  <c r="AF262" i="2"/>
  <c r="AE263" i="2"/>
  <c r="AF263" i="2"/>
  <c r="AE264" i="2"/>
  <c r="AF264" i="2"/>
  <c r="AE265" i="2"/>
  <c r="AF265" i="2"/>
  <c r="AE266" i="2"/>
  <c r="AF266" i="2"/>
  <c r="AE267" i="2"/>
  <c r="AF267" i="2"/>
  <c r="AE268" i="2"/>
  <c r="AF268" i="2"/>
  <c r="AE269" i="2"/>
  <c r="AF269" i="2"/>
  <c r="AE270" i="2"/>
  <c r="AF270" i="2"/>
  <c r="AE271" i="2"/>
  <c r="AF271" i="2"/>
  <c r="AE272" i="2"/>
  <c r="AF272" i="2"/>
  <c r="AE273" i="2"/>
  <c r="AF273" i="2"/>
  <c r="AE274" i="2"/>
  <c r="AF274" i="2"/>
  <c r="AE275" i="2"/>
  <c r="AF275" i="2"/>
  <c r="AE276" i="2"/>
  <c r="AF276" i="2"/>
  <c r="AE277" i="2"/>
  <c r="AF277" i="2"/>
  <c r="AE278" i="2"/>
  <c r="AF278" i="2"/>
  <c r="AE279" i="2"/>
  <c r="AF279" i="2"/>
  <c r="AE280" i="2"/>
  <c r="AF280" i="2"/>
  <c r="AE281" i="2"/>
  <c r="AF281" i="2"/>
  <c r="AE282" i="2"/>
  <c r="AF282" i="2"/>
  <c r="AE283" i="2"/>
  <c r="T60" i="1" s="1"/>
  <c r="AF283" i="2"/>
  <c r="U60" i="1" s="1"/>
  <c r="AE284" i="2"/>
  <c r="AF284" i="2"/>
  <c r="AF5" i="2"/>
  <c r="AF6" i="2"/>
  <c r="AF7" i="2"/>
  <c r="AF8" i="2"/>
  <c r="U19" i="1" s="1"/>
  <c r="AF9" i="2"/>
  <c r="AF10" i="2"/>
  <c r="U20" i="1" s="1"/>
  <c r="AF11" i="2"/>
  <c r="U21" i="1" s="1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U22" i="1" s="1"/>
  <c r="AF32" i="2"/>
  <c r="U23" i="1" s="1"/>
  <c r="AE5" i="2"/>
  <c r="AE6" i="2"/>
  <c r="AE7" i="2"/>
  <c r="AE8" i="2"/>
  <c r="T19" i="1" s="1"/>
  <c r="AE9" i="2"/>
  <c r="AE10" i="2"/>
  <c r="T20" i="1" s="1"/>
  <c r="AE11" i="2"/>
  <c r="T21" i="1" s="1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T22" i="1" s="1"/>
  <c r="AE32" i="2"/>
  <c r="T23" i="1" s="1"/>
  <c r="T18" i="1" l="1"/>
  <c r="U18" i="1"/>
  <c r="AA4" i="2" l="1"/>
  <c r="F285" i="2" l="1"/>
  <c r="R23" i="5" l="1"/>
  <c r="R24" i="5"/>
  <c r="R25" i="5"/>
  <c r="R26" i="5"/>
  <c r="R27" i="5"/>
  <c r="R28" i="5"/>
  <c r="R29" i="5"/>
  <c r="R30" i="5"/>
  <c r="R31" i="5"/>
  <c r="R32" i="5"/>
  <c r="R33" i="5"/>
  <c r="R34" i="5"/>
  <c r="R35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2" i="5"/>
  <c r="R53" i="5"/>
  <c r="R54" i="5"/>
  <c r="R55" i="5"/>
  <c r="R56" i="5"/>
  <c r="R57" i="5"/>
  <c r="R58" i="5"/>
  <c r="R60" i="5"/>
  <c r="R61" i="5"/>
  <c r="R62" i="5"/>
  <c r="R63" i="5"/>
  <c r="R64" i="5"/>
  <c r="R65" i="5"/>
  <c r="R66" i="5"/>
  <c r="R67" i="5"/>
  <c r="R68" i="5"/>
  <c r="R70" i="5"/>
  <c r="R71" i="5"/>
  <c r="R72" i="5"/>
  <c r="R73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5" i="5"/>
  <c r="R22" i="5"/>
  <c r="P446" i="8" l="1"/>
  <c r="P445" i="8"/>
  <c r="P444" i="8"/>
  <c r="P443" i="8"/>
  <c r="P442" i="8"/>
  <c r="P441" i="8"/>
  <c r="AE4" i="8"/>
  <c r="AE5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3" i="8"/>
  <c r="AE54" i="8"/>
  <c r="AE55" i="8"/>
  <c r="AE56" i="8"/>
  <c r="AE57" i="8"/>
  <c r="AE58" i="8"/>
  <c r="AE59" i="8"/>
  <c r="AE60" i="8"/>
  <c r="AE61" i="8"/>
  <c r="AE62" i="8"/>
  <c r="AE63" i="8"/>
  <c r="AE64" i="8"/>
  <c r="AE65" i="8"/>
  <c r="AE66" i="8"/>
  <c r="AE67" i="8"/>
  <c r="AE68" i="8"/>
  <c r="AE69" i="8"/>
  <c r="AE70" i="8"/>
  <c r="AE71" i="8"/>
  <c r="AE72" i="8"/>
  <c r="AE73" i="8"/>
  <c r="AE74" i="8"/>
  <c r="AE75" i="8"/>
  <c r="AE76" i="8"/>
  <c r="AE77" i="8"/>
  <c r="AE78" i="8"/>
  <c r="AE79" i="8"/>
  <c r="AE80" i="8"/>
  <c r="AE81" i="8"/>
  <c r="AE82" i="8"/>
  <c r="AE83" i="8"/>
  <c r="AE84" i="8"/>
  <c r="AE85" i="8"/>
  <c r="AE86" i="8"/>
  <c r="AE87" i="8"/>
  <c r="AE88" i="8"/>
  <c r="AE89" i="8"/>
  <c r="AE90" i="8"/>
  <c r="AE91" i="8"/>
  <c r="AE92" i="8"/>
  <c r="AE93" i="8"/>
  <c r="AE94" i="8"/>
  <c r="AE95" i="8"/>
  <c r="AE96" i="8"/>
  <c r="AE97" i="8"/>
  <c r="AE98" i="8"/>
  <c r="AE99" i="8"/>
  <c r="AE100" i="8"/>
  <c r="AE101" i="8"/>
  <c r="AE102" i="8"/>
  <c r="AE103" i="8"/>
  <c r="AE104" i="8"/>
  <c r="AE105" i="8"/>
  <c r="AE106" i="8"/>
  <c r="AE107" i="8"/>
  <c r="AE108" i="8"/>
  <c r="AE109" i="8"/>
  <c r="AE110" i="8"/>
  <c r="AE111" i="8"/>
  <c r="AE112" i="8"/>
  <c r="AE113" i="8"/>
  <c r="AE114" i="8"/>
  <c r="AE115" i="8"/>
  <c r="AE116" i="8"/>
  <c r="AE117" i="8"/>
  <c r="AE118" i="8"/>
  <c r="AE119" i="8"/>
  <c r="AE120" i="8"/>
  <c r="AE121" i="8"/>
  <c r="AE122" i="8"/>
  <c r="AE123" i="8"/>
  <c r="AE124" i="8"/>
  <c r="AE125" i="8"/>
  <c r="AE126" i="8"/>
  <c r="AE127" i="8"/>
  <c r="AE128" i="8"/>
  <c r="AE129" i="8"/>
  <c r="AE130" i="8"/>
  <c r="AE131" i="8"/>
  <c r="AE132" i="8"/>
  <c r="AE133" i="8"/>
  <c r="AE134" i="8"/>
  <c r="AE135" i="8"/>
  <c r="AE136" i="8"/>
  <c r="AE137" i="8"/>
  <c r="AE138" i="8"/>
  <c r="AE139" i="8"/>
  <c r="AE140" i="8"/>
  <c r="AE141" i="8"/>
  <c r="AE142" i="8"/>
  <c r="AE143" i="8"/>
  <c r="AE144" i="8"/>
  <c r="AE145" i="8"/>
  <c r="AE146" i="8"/>
  <c r="AE147" i="8"/>
  <c r="AE148" i="8"/>
  <c r="AE149" i="8"/>
  <c r="AE150" i="8"/>
  <c r="AE151" i="8"/>
  <c r="AE152" i="8"/>
  <c r="AE153" i="8"/>
  <c r="AE154" i="8"/>
  <c r="AE155" i="8"/>
  <c r="AE156" i="8"/>
  <c r="AE157" i="8"/>
  <c r="AE158" i="8"/>
  <c r="AE159" i="8"/>
  <c r="AE160" i="8"/>
  <c r="AE161" i="8"/>
  <c r="AE162" i="8"/>
  <c r="AE163" i="8"/>
  <c r="AE164" i="8"/>
  <c r="AE165" i="8"/>
  <c r="AE166" i="8"/>
  <c r="AE167" i="8"/>
  <c r="AE168" i="8"/>
  <c r="AE169" i="8"/>
  <c r="AE170" i="8"/>
  <c r="AE171" i="8"/>
  <c r="AE172" i="8"/>
  <c r="AE173" i="8"/>
  <c r="AE174" i="8"/>
  <c r="AE175" i="8"/>
  <c r="AE176" i="8"/>
  <c r="AE177" i="8"/>
  <c r="AE178" i="8"/>
  <c r="AE179" i="8"/>
  <c r="AE180" i="8"/>
  <c r="AE181" i="8"/>
  <c r="AE182" i="8"/>
  <c r="AE183" i="8"/>
  <c r="AE184" i="8"/>
  <c r="AE185" i="8"/>
  <c r="AE186" i="8"/>
  <c r="AE187" i="8"/>
  <c r="AE188" i="8"/>
  <c r="AE189" i="8"/>
  <c r="AE190" i="8"/>
  <c r="AE191" i="8"/>
  <c r="AE192" i="8"/>
  <c r="AE193" i="8"/>
  <c r="AE194" i="8"/>
  <c r="AE195" i="8"/>
  <c r="AE196" i="8"/>
  <c r="AE197" i="8"/>
  <c r="AE198" i="8"/>
  <c r="AE199" i="8"/>
  <c r="AE200" i="8"/>
  <c r="AE201" i="8"/>
  <c r="AE202" i="8"/>
  <c r="AE203" i="8"/>
  <c r="AE204" i="8"/>
  <c r="AE205" i="8"/>
  <c r="AE206" i="8"/>
  <c r="AE207" i="8"/>
  <c r="AE208" i="8"/>
  <c r="AE209" i="8"/>
  <c r="AE210" i="8"/>
  <c r="AE211" i="8"/>
  <c r="AE212" i="8"/>
  <c r="AE213" i="8"/>
  <c r="AE214" i="8"/>
  <c r="AE215" i="8"/>
  <c r="AE216" i="8"/>
  <c r="AE217" i="8"/>
  <c r="AE218" i="8"/>
  <c r="AE219" i="8"/>
  <c r="AE220" i="8"/>
  <c r="AE221" i="8"/>
  <c r="AE222" i="8"/>
  <c r="AE223" i="8"/>
  <c r="AE224" i="8"/>
  <c r="AE225" i="8"/>
  <c r="AE226" i="8"/>
  <c r="AE227" i="8"/>
  <c r="AE228" i="8"/>
  <c r="AE229" i="8"/>
  <c r="AE230" i="8"/>
  <c r="AE231" i="8"/>
  <c r="AE232" i="8"/>
  <c r="AE233" i="8"/>
  <c r="AE234" i="8"/>
  <c r="AE235" i="8"/>
  <c r="AE236" i="8"/>
  <c r="AE237" i="8"/>
  <c r="AE238" i="8"/>
  <c r="AE239" i="8"/>
  <c r="AE240" i="8"/>
  <c r="AE241" i="8"/>
  <c r="AE242" i="8"/>
  <c r="AE243" i="8"/>
  <c r="AE244" i="8"/>
  <c r="AE245" i="8"/>
  <c r="AE246" i="8"/>
  <c r="AE247" i="8"/>
  <c r="AE248" i="8"/>
  <c r="AE249" i="8"/>
  <c r="AE250" i="8"/>
  <c r="AE251" i="8"/>
  <c r="AE252" i="8"/>
  <c r="AE253" i="8"/>
  <c r="AE254" i="8"/>
  <c r="AE255" i="8"/>
  <c r="AE256" i="8"/>
  <c r="AE257" i="8"/>
  <c r="AE258" i="8"/>
  <c r="AE259" i="8"/>
  <c r="AE260" i="8"/>
  <c r="AE261" i="8"/>
  <c r="AE262" i="8"/>
  <c r="AE263" i="8"/>
  <c r="AE264" i="8"/>
  <c r="AE265" i="8"/>
  <c r="AE266" i="8"/>
  <c r="AE267" i="8"/>
  <c r="AE268" i="8"/>
  <c r="AE269" i="8"/>
  <c r="AE270" i="8"/>
  <c r="AE271" i="8"/>
  <c r="AE272" i="8"/>
  <c r="AE273" i="8"/>
  <c r="AE274" i="8"/>
  <c r="AE275" i="8"/>
  <c r="AE276" i="8"/>
  <c r="AE277" i="8"/>
  <c r="AE278" i="8"/>
  <c r="AE279" i="8"/>
  <c r="AE280" i="8"/>
  <c r="AE281" i="8"/>
  <c r="AE282" i="8"/>
  <c r="AE283" i="8"/>
  <c r="AE284" i="8"/>
  <c r="AE285" i="8"/>
  <c r="AE286" i="8"/>
  <c r="AE287" i="8"/>
  <c r="AE288" i="8"/>
  <c r="AE289" i="8"/>
  <c r="AE290" i="8"/>
  <c r="AE291" i="8"/>
  <c r="AE292" i="8"/>
  <c r="AE293" i="8"/>
  <c r="AE294" i="8"/>
  <c r="AE295" i="8"/>
  <c r="AE296" i="8"/>
  <c r="AE297" i="8"/>
  <c r="AE298" i="8"/>
  <c r="AE299" i="8"/>
  <c r="AE300" i="8"/>
  <c r="AE301" i="8"/>
  <c r="AE302" i="8"/>
  <c r="AE303" i="8"/>
  <c r="AE304" i="8"/>
  <c r="AE305" i="8"/>
  <c r="AE306" i="8"/>
  <c r="AE307" i="8"/>
  <c r="AE308" i="8"/>
  <c r="AE309" i="8"/>
  <c r="AE310" i="8"/>
  <c r="AE311" i="8"/>
  <c r="AE312" i="8"/>
  <c r="AE313" i="8"/>
  <c r="AE314" i="8"/>
  <c r="AE315" i="8"/>
  <c r="AE316" i="8"/>
  <c r="AE317" i="8"/>
  <c r="AE318" i="8"/>
  <c r="AE319" i="8"/>
  <c r="AE320" i="8"/>
  <c r="AE321" i="8"/>
  <c r="AE322" i="8"/>
  <c r="AE323" i="8"/>
  <c r="AE324" i="8"/>
  <c r="AE325" i="8"/>
  <c r="AE326" i="8"/>
  <c r="AE327" i="8"/>
  <c r="AE328" i="8"/>
  <c r="AE329" i="8"/>
  <c r="AE330" i="8"/>
  <c r="AE331" i="8"/>
  <c r="AE332" i="8"/>
  <c r="AE333" i="8"/>
  <c r="AE334" i="8"/>
  <c r="AE335" i="8"/>
  <c r="AE336" i="8"/>
  <c r="AE337" i="8"/>
  <c r="AE338" i="8"/>
  <c r="AE339" i="8"/>
  <c r="AE340" i="8"/>
  <c r="AE341" i="8"/>
  <c r="AE342" i="8"/>
  <c r="AE343" i="8"/>
  <c r="AE344" i="8"/>
  <c r="AE345" i="8"/>
  <c r="AE346" i="8"/>
  <c r="AE347" i="8"/>
  <c r="AE348" i="8"/>
  <c r="AE349" i="8"/>
  <c r="AE350" i="8"/>
  <c r="AE351" i="8"/>
  <c r="AE352" i="8"/>
  <c r="AE353" i="8"/>
  <c r="AE354" i="8"/>
  <c r="AE355" i="8"/>
  <c r="AE356" i="8"/>
  <c r="AE357" i="8"/>
  <c r="AE358" i="8"/>
  <c r="AE359" i="8"/>
  <c r="AE360" i="8"/>
  <c r="AE361" i="8"/>
  <c r="AE362" i="8"/>
  <c r="AE363" i="8"/>
  <c r="AE364" i="8"/>
  <c r="AE365" i="8"/>
  <c r="AE366" i="8"/>
  <c r="AE367" i="8"/>
  <c r="AE368" i="8"/>
  <c r="AE369" i="8"/>
  <c r="AE370" i="8"/>
  <c r="AE371" i="8"/>
  <c r="AE372" i="8"/>
  <c r="AE373" i="8"/>
  <c r="AE374" i="8"/>
  <c r="AE375" i="8"/>
  <c r="AE376" i="8"/>
  <c r="AE377" i="8"/>
  <c r="AE378" i="8"/>
  <c r="AE379" i="8"/>
  <c r="AE380" i="8"/>
  <c r="AE381" i="8"/>
  <c r="AE382" i="8"/>
  <c r="AE383" i="8"/>
  <c r="AE384" i="8"/>
  <c r="AE385" i="8"/>
  <c r="AE386" i="8"/>
  <c r="AE387" i="8"/>
  <c r="AE388" i="8"/>
  <c r="AE389" i="8"/>
  <c r="AE390" i="8"/>
  <c r="AE391" i="8"/>
  <c r="AE392" i="8"/>
  <c r="AE393" i="8"/>
  <c r="AE394" i="8"/>
  <c r="AE395" i="8"/>
  <c r="AE396" i="8"/>
  <c r="AE397" i="8"/>
  <c r="AE398" i="8"/>
  <c r="AE399" i="8"/>
  <c r="AE400" i="8"/>
  <c r="AE401" i="8"/>
  <c r="AE402" i="8"/>
  <c r="AE403" i="8"/>
  <c r="AE404" i="8"/>
  <c r="AE405" i="8"/>
  <c r="AE406" i="8"/>
  <c r="AE407" i="8"/>
  <c r="AE408" i="8"/>
  <c r="AE409" i="8"/>
  <c r="AE410" i="8"/>
  <c r="AE411" i="8"/>
  <c r="AE412" i="8"/>
  <c r="AE413" i="8"/>
  <c r="AE414" i="8"/>
  <c r="AE415" i="8"/>
  <c r="AE416" i="8"/>
  <c r="AE417" i="8"/>
  <c r="AE418" i="8"/>
  <c r="AE419" i="8"/>
  <c r="AE420" i="8"/>
  <c r="AE421" i="8"/>
  <c r="AE422" i="8"/>
  <c r="AE423" i="8"/>
  <c r="AE424" i="8"/>
  <c r="AE425" i="8"/>
  <c r="AE426" i="8"/>
  <c r="AE427" i="8"/>
  <c r="AE428" i="8"/>
  <c r="AE429" i="8"/>
  <c r="AE430" i="8"/>
  <c r="AE431" i="8"/>
  <c r="AE432" i="8"/>
  <c r="AE433" i="8"/>
  <c r="AE434" i="8"/>
  <c r="AE435" i="8"/>
  <c r="AF4" i="8"/>
  <c r="AF5" i="8"/>
  <c r="AF6" i="8"/>
  <c r="AF7" i="8"/>
  <c r="AF8" i="8"/>
  <c r="AF9" i="8"/>
  <c r="AF10" i="8"/>
  <c r="AF11" i="8"/>
  <c r="AF12" i="8"/>
  <c r="AF13" i="8"/>
  <c r="AF14" i="8"/>
  <c r="AF15" i="8"/>
  <c r="AF16" i="8"/>
  <c r="AF17" i="8"/>
  <c r="AF18" i="8"/>
  <c r="AF19" i="8"/>
  <c r="AF20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AF33" i="8"/>
  <c r="AF34" i="8"/>
  <c r="AF35" i="8"/>
  <c r="AF36" i="8"/>
  <c r="AF37" i="8"/>
  <c r="AF38" i="8"/>
  <c r="AF39" i="8"/>
  <c r="AF40" i="8"/>
  <c r="AF41" i="8"/>
  <c r="AF42" i="8"/>
  <c r="AF43" i="8"/>
  <c r="AF44" i="8"/>
  <c r="AF45" i="8"/>
  <c r="AF46" i="8"/>
  <c r="AF47" i="8"/>
  <c r="AF48" i="8"/>
  <c r="AF49" i="8"/>
  <c r="AF50" i="8"/>
  <c r="AF51" i="8"/>
  <c r="AF52" i="8"/>
  <c r="AF53" i="8"/>
  <c r="AF54" i="8"/>
  <c r="AF55" i="8"/>
  <c r="AF56" i="8"/>
  <c r="AF57" i="8"/>
  <c r="AF58" i="8"/>
  <c r="AF59" i="8"/>
  <c r="AF60" i="8"/>
  <c r="AF61" i="8"/>
  <c r="AF62" i="8"/>
  <c r="AF63" i="8"/>
  <c r="AF64" i="8"/>
  <c r="AF65" i="8"/>
  <c r="AF66" i="8"/>
  <c r="AF67" i="8"/>
  <c r="AF68" i="8"/>
  <c r="AF69" i="8"/>
  <c r="AF70" i="8"/>
  <c r="AF71" i="8"/>
  <c r="AF72" i="8"/>
  <c r="AF73" i="8"/>
  <c r="AF74" i="8"/>
  <c r="AF75" i="8"/>
  <c r="AF76" i="8"/>
  <c r="AF77" i="8"/>
  <c r="AF78" i="8"/>
  <c r="AF79" i="8"/>
  <c r="AF80" i="8"/>
  <c r="AF81" i="8"/>
  <c r="AF82" i="8"/>
  <c r="AF83" i="8"/>
  <c r="AF84" i="8"/>
  <c r="AF85" i="8"/>
  <c r="AF86" i="8"/>
  <c r="AF87" i="8"/>
  <c r="AF88" i="8"/>
  <c r="AF89" i="8"/>
  <c r="AF90" i="8"/>
  <c r="AF91" i="8"/>
  <c r="AF92" i="8"/>
  <c r="AF93" i="8"/>
  <c r="AF94" i="8"/>
  <c r="AF95" i="8"/>
  <c r="AF96" i="8"/>
  <c r="AF97" i="8"/>
  <c r="AF98" i="8"/>
  <c r="AF99" i="8"/>
  <c r="AF100" i="8"/>
  <c r="AF101" i="8"/>
  <c r="AF102" i="8"/>
  <c r="AF103" i="8"/>
  <c r="AF104" i="8"/>
  <c r="AF105" i="8"/>
  <c r="AF106" i="8"/>
  <c r="AF107" i="8"/>
  <c r="AF108" i="8"/>
  <c r="AF109" i="8"/>
  <c r="AF110" i="8"/>
  <c r="AF111" i="8"/>
  <c r="AF112" i="8"/>
  <c r="AF113" i="8"/>
  <c r="AF114" i="8"/>
  <c r="AF115" i="8"/>
  <c r="AF116" i="8"/>
  <c r="AF117" i="8"/>
  <c r="AF118" i="8"/>
  <c r="AF119" i="8"/>
  <c r="AF120" i="8"/>
  <c r="AF121" i="8"/>
  <c r="AF122" i="8"/>
  <c r="AF123" i="8"/>
  <c r="AF124" i="8"/>
  <c r="AF125" i="8"/>
  <c r="AF126" i="8"/>
  <c r="AF127" i="8"/>
  <c r="AF128" i="8"/>
  <c r="AF129" i="8"/>
  <c r="AF130" i="8"/>
  <c r="AF131" i="8"/>
  <c r="AF132" i="8"/>
  <c r="AF133" i="8"/>
  <c r="AF134" i="8"/>
  <c r="AF135" i="8"/>
  <c r="AF136" i="8"/>
  <c r="AF137" i="8"/>
  <c r="AF138" i="8"/>
  <c r="AF139" i="8"/>
  <c r="AF140" i="8"/>
  <c r="AF141" i="8"/>
  <c r="AF142" i="8"/>
  <c r="AF143" i="8"/>
  <c r="AF144" i="8"/>
  <c r="AF145" i="8"/>
  <c r="AF146" i="8"/>
  <c r="AF147" i="8"/>
  <c r="AF148" i="8"/>
  <c r="AF149" i="8"/>
  <c r="AF150" i="8"/>
  <c r="AF151" i="8"/>
  <c r="AF152" i="8"/>
  <c r="AF153" i="8"/>
  <c r="AF154" i="8"/>
  <c r="AF155" i="8"/>
  <c r="AF156" i="8"/>
  <c r="AF157" i="8"/>
  <c r="AF158" i="8"/>
  <c r="AF159" i="8"/>
  <c r="AF160" i="8"/>
  <c r="AF161" i="8"/>
  <c r="AF162" i="8"/>
  <c r="AF163" i="8"/>
  <c r="AF164" i="8"/>
  <c r="AF165" i="8"/>
  <c r="AF166" i="8"/>
  <c r="AF167" i="8"/>
  <c r="AF168" i="8"/>
  <c r="AF169" i="8"/>
  <c r="AF170" i="8"/>
  <c r="AF171" i="8"/>
  <c r="AF172" i="8"/>
  <c r="AF173" i="8"/>
  <c r="AF174" i="8"/>
  <c r="AF175" i="8"/>
  <c r="AF176" i="8"/>
  <c r="AF177" i="8"/>
  <c r="AF178" i="8"/>
  <c r="AF179" i="8"/>
  <c r="AF180" i="8"/>
  <c r="AF181" i="8"/>
  <c r="AF182" i="8"/>
  <c r="AF183" i="8"/>
  <c r="AF184" i="8"/>
  <c r="AF185" i="8"/>
  <c r="AF186" i="8"/>
  <c r="AF187" i="8"/>
  <c r="AF188" i="8"/>
  <c r="AF189" i="8"/>
  <c r="AF190" i="8"/>
  <c r="AF191" i="8"/>
  <c r="AF192" i="8"/>
  <c r="AF193" i="8"/>
  <c r="AF194" i="8"/>
  <c r="AF195" i="8"/>
  <c r="AF196" i="8"/>
  <c r="AF197" i="8"/>
  <c r="AF198" i="8"/>
  <c r="AF199" i="8"/>
  <c r="AF200" i="8"/>
  <c r="AF201" i="8"/>
  <c r="AF202" i="8"/>
  <c r="AF203" i="8"/>
  <c r="AF204" i="8"/>
  <c r="AF205" i="8"/>
  <c r="AF206" i="8"/>
  <c r="AF207" i="8"/>
  <c r="AF208" i="8"/>
  <c r="AF209" i="8"/>
  <c r="AF210" i="8"/>
  <c r="AF211" i="8"/>
  <c r="AF212" i="8"/>
  <c r="AF213" i="8"/>
  <c r="AF214" i="8"/>
  <c r="AF215" i="8"/>
  <c r="AF216" i="8"/>
  <c r="AF217" i="8"/>
  <c r="AF218" i="8"/>
  <c r="AF219" i="8"/>
  <c r="AF220" i="8"/>
  <c r="AF221" i="8"/>
  <c r="AF222" i="8"/>
  <c r="AF223" i="8"/>
  <c r="AF224" i="8"/>
  <c r="AF225" i="8"/>
  <c r="AF226" i="8"/>
  <c r="AF227" i="8"/>
  <c r="AF228" i="8"/>
  <c r="AF229" i="8"/>
  <c r="AF230" i="8"/>
  <c r="AF231" i="8"/>
  <c r="AF232" i="8"/>
  <c r="AF233" i="8"/>
  <c r="AF234" i="8"/>
  <c r="AF235" i="8"/>
  <c r="AF236" i="8"/>
  <c r="AF237" i="8"/>
  <c r="AF238" i="8"/>
  <c r="AF239" i="8"/>
  <c r="AF240" i="8"/>
  <c r="AF241" i="8"/>
  <c r="AF242" i="8"/>
  <c r="AF243" i="8"/>
  <c r="AF244" i="8"/>
  <c r="AF245" i="8"/>
  <c r="AF246" i="8"/>
  <c r="AF247" i="8"/>
  <c r="AF248" i="8"/>
  <c r="AF249" i="8"/>
  <c r="AF250" i="8"/>
  <c r="AF251" i="8"/>
  <c r="AF252" i="8"/>
  <c r="AF253" i="8"/>
  <c r="AF254" i="8"/>
  <c r="AF255" i="8"/>
  <c r="AF256" i="8"/>
  <c r="AF257" i="8"/>
  <c r="AF258" i="8"/>
  <c r="AF259" i="8"/>
  <c r="AF260" i="8"/>
  <c r="AF261" i="8"/>
  <c r="AF262" i="8"/>
  <c r="AF263" i="8"/>
  <c r="AF264" i="8"/>
  <c r="AF265" i="8"/>
  <c r="AF266" i="8"/>
  <c r="AF267" i="8"/>
  <c r="AF268" i="8"/>
  <c r="AF269" i="8"/>
  <c r="AF270" i="8"/>
  <c r="AF271" i="8"/>
  <c r="AF272" i="8"/>
  <c r="AF273" i="8"/>
  <c r="AF274" i="8"/>
  <c r="AF275" i="8"/>
  <c r="AF276" i="8"/>
  <c r="AF277" i="8"/>
  <c r="AF278" i="8"/>
  <c r="AF279" i="8"/>
  <c r="AF280" i="8"/>
  <c r="AF281" i="8"/>
  <c r="AF282" i="8"/>
  <c r="AF283" i="8"/>
  <c r="AF284" i="8"/>
  <c r="AF285" i="8"/>
  <c r="AF286" i="8"/>
  <c r="AF287" i="8"/>
  <c r="AF288" i="8"/>
  <c r="AF289" i="8"/>
  <c r="AF290" i="8"/>
  <c r="AF291" i="8"/>
  <c r="AF292" i="8"/>
  <c r="AF293" i="8"/>
  <c r="AF294" i="8"/>
  <c r="AF295" i="8"/>
  <c r="AF296" i="8"/>
  <c r="AF297" i="8"/>
  <c r="AF298" i="8"/>
  <c r="AF299" i="8"/>
  <c r="AF300" i="8"/>
  <c r="AF301" i="8"/>
  <c r="AF302" i="8"/>
  <c r="AF303" i="8"/>
  <c r="AF304" i="8"/>
  <c r="AF305" i="8"/>
  <c r="AF306" i="8"/>
  <c r="AF307" i="8"/>
  <c r="AF308" i="8"/>
  <c r="AF309" i="8"/>
  <c r="AF310" i="8"/>
  <c r="AF311" i="8"/>
  <c r="AF312" i="8"/>
  <c r="AF313" i="8"/>
  <c r="AF314" i="8"/>
  <c r="AF315" i="8"/>
  <c r="AF316" i="8"/>
  <c r="AF317" i="8"/>
  <c r="AF318" i="8"/>
  <c r="AF319" i="8"/>
  <c r="AF320" i="8"/>
  <c r="AF321" i="8"/>
  <c r="AF322" i="8"/>
  <c r="AF323" i="8"/>
  <c r="AF324" i="8"/>
  <c r="AF325" i="8"/>
  <c r="AF326" i="8"/>
  <c r="AF327" i="8"/>
  <c r="AF328" i="8"/>
  <c r="AF329" i="8"/>
  <c r="AF330" i="8"/>
  <c r="AF331" i="8"/>
  <c r="AF332" i="8"/>
  <c r="AF333" i="8"/>
  <c r="AF334" i="8"/>
  <c r="AF335" i="8"/>
  <c r="AF336" i="8"/>
  <c r="AF337" i="8"/>
  <c r="AF338" i="8"/>
  <c r="AF339" i="8"/>
  <c r="AF340" i="8"/>
  <c r="AF341" i="8"/>
  <c r="AF342" i="8"/>
  <c r="AF343" i="8"/>
  <c r="AF344" i="8"/>
  <c r="AF345" i="8"/>
  <c r="AF346" i="8"/>
  <c r="AF347" i="8"/>
  <c r="AF348" i="8"/>
  <c r="AF349" i="8"/>
  <c r="AF350" i="8"/>
  <c r="AF351" i="8"/>
  <c r="AF352" i="8"/>
  <c r="AF353" i="8"/>
  <c r="AF354" i="8"/>
  <c r="AF355" i="8"/>
  <c r="AF356" i="8"/>
  <c r="AF357" i="8"/>
  <c r="AF358" i="8"/>
  <c r="AF359" i="8"/>
  <c r="AF360" i="8"/>
  <c r="AF361" i="8"/>
  <c r="AF362" i="8"/>
  <c r="AF363" i="8"/>
  <c r="AF364" i="8"/>
  <c r="AF365" i="8"/>
  <c r="AF366" i="8"/>
  <c r="AF367" i="8"/>
  <c r="AF368" i="8"/>
  <c r="AF369" i="8"/>
  <c r="AF370" i="8"/>
  <c r="AF371" i="8"/>
  <c r="AF372" i="8"/>
  <c r="AF373" i="8"/>
  <c r="AF374" i="8"/>
  <c r="AF375" i="8"/>
  <c r="AF376" i="8"/>
  <c r="AF377" i="8"/>
  <c r="AF378" i="8"/>
  <c r="AF379" i="8"/>
  <c r="AF380" i="8"/>
  <c r="AF381" i="8"/>
  <c r="AF382" i="8"/>
  <c r="AF383" i="8"/>
  <c r="AF384" i="8"/>
  <c r="AF385" i="8"/>
  <c r="AF386" i="8"/>
  <c r="AF387" i="8"/>
  <c r="AF388" i="8"/>
  <c r="AF389" i="8"/>
  <c r="AF390" i="8"/>
  <c r="AF391" i="8"/>
  <c r="AF392" i="8"/>
  <c r="AF393" i="8"/>
  <c r="AF394" i="8"/>
  <c r="AF395" i="8"/>
  <c r="AF396" i="8"/>
  <c r="AF397" i="8"/>
  <c r="AF398" i="8"/>
  <c r="AF399" i="8"/>
  <c r="AF400" i="8"/>
  <c r="AF401" i="8"/>
  <c r="AF402" i="8"/>
  <c r="AF403" i="8"/>
  <c r="AF404" i="8"/>
  <c r="AF405" i="8"/>
  <c r="AF406" i="8"/>
  <c r="AF407" i="8"/>
  <c r="AF408" i="8"/>
  <c r="AF409" i="8"/>
  <c r="AF410" i="8"/>
  <c r="AF411" i="8"/>
  <c r="AF412" i="8"/>
  <c r="AF413" i="8"/>
  <c r="AF414" i="8"/>
  <c r="AF415" i="8"/>
  <c r="AF416" i="8"/>
  <c r="AF417" i="8"/>
  <c r="AF418" i="8"/>
  <c r="AF419" i="8"/>
  <c r="AF420" i="8"/>
  <c r="AF421" i="8"/>
  <c r="AF422" i="8"/>
  <c r="AF423" i="8"/>
  <c r="AF424" i="8"/>
  <c r="AF425" i="8"/>
  <c r="AF426" i="8"/>
  <c r="AF427" i="8"/>
  <c r="AF428" i="8"/>
  <c r="AF429" i="8"/>
  <c r="AF430" i="8"/>
  <c r="AF431" i="8"/>
  <c r="AF432" i="8"/>
  <c r="AF433" i="8"/>
  <c r="AF434" i="8"/>
  <c r="AF435" i="8"/>
  <c r="AD5" i="8"/>
  <c r="AD6" i="8"/>
  <c r="AD7" i="8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D78" i="8"/>
  <c r="AD79" i="8"/>
  <c r="AD80" i="8"/>
  <c r="AD81" i="8"/>
  <c r="AD82" i="8"/>
  <c r="AD83" i="8"/>
  <c r="AD84" i="8"/>
  <c r="AD85" i="8"/>
  <c r="AD86" i="8"/>
  <c r="AD87" i="8"/>
  <c r="AD88" i="8"/>
  <c r="AD89" i="8"/>
  <c r="AD90" i="8"/>
  <c r="AD91" i="8"/>
  <c r="AD92" i="8"/>
  <c r="AD93" i="8"/>
  <c r="AD94" i="8"/>
  <c r="AD95" i="8"/>
  <c r="AD96" i="8"/>
  <c r="AD97" i="8"/>
  <c r="AD98" i="8"/>
  <c r="AD99" i="8"/>
  <c r="AD100" i="8"/>
  <c r="AD101" i="8"/>
  <c r="AD102" i="8"/>
  <c r="AD103" i="8"/>
  <c r="AD104" i="8"/>
  <c r="AD105" i="8"/>
  <c r="AD106" i="8"/>
  <c r="AD107" i="8"/>
  <c r="AD108" i="8"/>
  <c r="AD109" i="8"/>
  <c r="AD110" i="8"/>
  <c r="AD111" i="8"/>
  <c r="AD112" i="8"/>
  <c r="AD113" i="8"/>
  <c r="AD114" i="8"/>
  <c r="AD115" i="8"/>
  <c r="AD116" i="8"/>
  <c r="AD117" i="8"/>
  <c r="AD118" i="8"/>
  <c r="AD119" i="8"/>
  <c r="AD120" i="8"/>
  <c r="AD121" i="8"/>
  <c r="AD122" i="8"/>
  <c r="AD123" i="8"/>
  <c r="AD124" i="8"/>
  <c r="AD125" i="8"/>
  <c r="AD126" i="8"/>
  <c r="AD127" i="8"/>
  <c r="AD128" i="8"/>
  <c r="AD129" i="8"/>
  <c r="AD130" i="8"/>
  <c r="AD131" i="8"/>
  <c r="AD132" i="8"/>
  <c r="AD133" i="8"/>
  <c r="AD134" i="8"/>
  <c r="AD135" i="8"/>
  <c r="AD136" i="8"/>
  <c r="AD137" i="8"/>
  <c r="AD138" i="8"/>
  <c r="AD139" i="8"/>
  <c r="AD140" i="8"/>
  <c r="AD141" i="8"/>
  <c r="AD142" i="8"/>
  <c r="AD143" i="8"/>
  <c r="AD144" i="8"/>
  <c r="AD145" i="8"/>
  <c r="AD146" i="8"/>
  <c r="AD147" i="8"/>
  <c r="AD148" i="8"/>
  <c r="AD149" i="8"/>
  <c r="AD150" i="8"/>
  <c r="AD151" i="8"/>
  <c r="AD152" i="8"/>
  <c r="AD153" i="8"/>
  <c r="AD154" i="8"/>
  <c r="AD155" i="8"/>
  <c r="AD156" i="8"/>
  <c r="AD157" i="8"/>
  <c r="AD158" i="8"/>
  <c r="AD159" i="8"/>
  <c r="AD160" i="8"/>
  <c r="AD161" i="8"/>
  <c r="AD162" i="8"/>
  <c r="AD163" i="8"/>
  <c r="AD164" i="8"/>
  <c r="AD165" i="8"/>
  <c r="AD166" i="8"/>
  <c r="AD167" i="8"/>
  <c r="AD168" i="8"/>
  <c r="AD169" i="8"/>
  <c r="AD170" i="8"/>
  <c r="AD171" i="8"/>
  <c r="AD172" i="8"/>
  <c r="AD173" i="8"/>
  <c r="AD174" i="8"/>
  <c r="AD175" i="8"/>
  <c r="AD176" i="8"/>
  <c r="AD177" i="8"/>
  <c r="AD178" i="8"/>
  <c r="AD179" i="8"/>
  <c r="AD180" i="8"/>
  <c r="AD181" i="8"/>
  <c r="AD182" i="8"/>
  <c r="AD183" i="8"/>
  <c r="AD184" i="8"/>
  <c r="AD185" i="8"/>
  <c r="AD186" i="8"/>
  <c r="AD187" i="8"/>
  <c r="AD188" i="8"/>
  <c r="AD189" i="8"/>
  <c r="AD190" i="8"/>
  <c r="AD191" i="8"/>
  <c r="AD192" i="8"/>
  <c r="AD193" i="8"/>
  <c r="AD194" i="8"/>
  <c r="AD195" i="8"/>
  <c r="AD196" i="8"/>
  <c r="AD197" i="8"/>
  <c r="AD198" i="8"/>
  <c r="AD199" i="8"/>
  <c r="AD200" i="8"/>
  <c r="AD201" i="8"/>
  <c r="AD202" i="8"/>
  <c r="AD203" i="8"/>
  <c r="AD204" i="8"/>
  <c r="AD205" i="8"/>
  <c r="AD206" i="8"/>
  <c r="AD207" i="8"/>
  <c r="AD208" i="8"/>
  <c r="AD209" i="8"/>
  <c r="AD210" i="8"/>
  <c r="AD211" i="8"/>
  <c r="AD212" i="8"/>
  <c r="AD213" i="8"/>
  <c r="AD214" i="8"/>
  <c r="AD215" i="8"/>
  <c r="AD216" i="8"/>
  <c r="AD217" i="8"/>
  <c r="AD218" i="8"/>
  <c r="AD219" i="8"/>
  <c r="AD220" i="8"/>
  <c r="AD221" i="8"/>
  <c r="AD222" i="8"/>
  <c r="AD223" i="8"/>
  <c r="AD224" i="8"/>
  <c r="AD225" i="8"/>
  <c r="AD226" i="8"/>
  <c r="AD227" i="8"/>
  <c r="AD228" i="8"/>
  <c r="AD229" i="8"/>
  <c r="AD230" i="8"/>
  <c r="AD231" i="8"/>
  <c r="AD232" i="8"/>
  <c r="AD233" i="8"/>
  <c r="AD234" i="8"/>
  <c r="AD235" i="8"/>
  <c r="AD236" i="8"/>
  <c r="AD237" i="8"/>
  <c r="AD238" i="8"/>
  <c r="AD239" i="8"/>
  <c r="AD240" i="8"/>
  <c r="AD241" i="8"/>
  <c r="AD242" i="8"/>
  <c r="AD243" i="8"/>
  <c r="AD244" i="8"/>
  <c r="AD245" i="8"/>
  <c r="AD246" i="8"/>
  <c r="AD247" i="8"/>
  <c r="AD248" i="8"/>
  <c r="AD249" i="8"/>
  <c r="AD250" i="8"/>
  <c r="AD251" i="8"/>
  <c r="AD252" i="8"/>
  <c r="AD253" i="8"/>
  <c r="AD254" i="8"/>
  <c r="AD255" i="8"/>
  <c r="AD256" i="8"/>
  <c r="AD257" i="8"/>
  <c r="AD258" i="8"/>
  <c r="AD259" i="8"/>
  <c r="AD260" i="8"/>
  <c r="AD261" i="8"/>
  <c r="AD262" i="8"/>
  <c r="AD263" i="8"/>
  <c r="AD264" i="8"/>
  <c r="AD265" i="8"/>
  <c r="AD266" i="8"/>
  <c r="AD267" i="8"/>
  <c r="AD268" i="8"/>
  <c r="AD269" i="8"/>
  <c r="AD270" i="8"/>
  <c r="AD271" i="8"/>
  <c r="AD272" i="8"/>
  <c r="AD273" i="8"/>
  <c r="AD274" i="8"/>
  <c r="AD275" i="8"/>
  <c r="AD276" i="8"/>
  <c r="AD277" i="8"/>
  <c r="AD278" i="8"/>
  <c r="AD279" i="8"/>
  <c r="AD280" i="8"/>
  <c r="AD281" i="8"/>
  <c r="AD282" i="8"/>
  <c r="AD283" i="8"/>
  <c r="AD284" i="8"/>
  <c r="AD285" i="8"/>
  <c r="AD286" i="8"/>
  <c r="AD287" i="8"/>
  <c r="AD288" i="8"/>
  <c r="AD289" i="8"/>
  <c r="AD290" i="8"/>
  <c r="AD291" i="8"/>
  <c r="AD292" i="8"/>
  <c r="AD293" i="8"/>
  <c r="AD294" i="8"/>
  <c r="AD295" i="8"/>
  <c r="AD296" i="8"/>
  <c r="AD297" i="8"/>
  <c r="AD298" i="8"/>
  <c r="AD299" i="8"/>
  <c r="AD300" i="8"/>
  <c r="AD301" i="8"/>
  <c r="AD302" i="8"/>
  <c r="AD303" i="8"/>
  <c r="AD304" i="8"/>
  <c r="AD305" i="8"/>
  <c r="AD306" i="8"/>
  <c r="AD307" i="8"/>
  <c r="AD308" i="8"/>
  <c r="AD309" i="8"/>
  <c r="AD310" i="8"/>
  <c r="AD311" i="8"/>
  <c r="AD312" i="8"/>
  <c r="AD313" i="8"/>
  <c r="AD314" i="8"/>
  <c r="AD315" i="8"/>
  <c r="AD316" i="8"/>
  <c r="AD317" i="8"/>
  <c r="AD318" i="8"/>
  <c r="AD319" i="8"/>
  <c r="AD320" i="8"/>
  <c r="AD321" i="8"/>
  <c r="AD322" i="8"/>
  <c r="AD323" i="8"/>
  <c r="AD324" i="8"/>
  <c r="AD325" i="8"/>
  <c r="AD326" i="8"/>
  <c r="AD327" i="8"/>
  <c r="AD328" i="8"/>
  <c r="AD329" i="8"/>
  <c r="AD330" i="8"/>
  <c r="AD331" i="8"/>
  <c r="AD332" i="8"/>
  <c r="AD333" i="8"/>
  <c r="AD334" i="8"/>
  <c r="AD335" i="8"/>
  <c r="AD336" i="8"/>
  <c r="AD337" i="8"/>
  <c r="AD338" i="8"/>
  <c r="AD339" i="8"/>
  <c r="AD340" i="8"/>
  <c r="AD341" i="8"/>
  <c r="AD342" i="8"/>
  <c r="AD343" i="8"/>
  <c r="AD344" i="8"/>
  <c r="AD345" i="8"/>
  <c r="AD346" i="8"/>
  <c r="AD347" i="8"/>
  <c r="AD348" i="8"/>
  <c r="AD349" i="8"/>
  <c r="AD350" i="8"/>
  <c r="AD351" i="8"/>
  <c r="AD352" i="8"/>
  <c r="AD353" i="8"/>
  <c r="AD354" i="8"/>
  <c r="AD355" i="8"/>
  <c r="AD356" i="8"/>
  <c r="AD357" i="8"/>
  <c r="AD358" i="8"/>
  <c r="AD359" i="8"/>
  <c r="AD360" i="8"/>
  <c r="AD361" i="8"/>
  <c r="AD362" i="8"/>
  <c r="AD363" i="8"/>
  <c r="AD364" i="8"/>
  <c r="AD365" i="8"/>
  <c r="AD366" i="8"/>
  <c r="AD367" i="8"/>
  <c r="AD368" i="8"/>
  <c r="AD369" i="8"/>
  <c r="AD370" i="8"/>
  <c r="AD371" i="8"/>
  <c r="AD372" i="8"/>
  <c r="AD373" i="8"/>
  <c r="AD374" i="8"/>
  <c r="AD375" i="8"/>
  <c r="AD376" i="8"/>
  <c r="AD377" i="8"/>
  <c r="AD378" i="8"/>
  <c r="AD379" i="8"/>
  <c r="AD380" i="8"/>
  <c r="AD381" i="8"/>
  <c r="AD382" i="8"/>
  <c r="AD383" i="8"/>
  <c r="AD384" i="8"/>
  <c r="AD385" i="8"/>
  <c r="AD386" i="8"/>
  <c r="AD387" i="8"/>
  <c r="AD388" i="8"/>
  <c r="AD389" i="8"/>
  <c r="AD390" i="8"/>
  <c r="AD391" i="8"/>
  <c r="AD392" i="8"/>
  <c r="AD393" i="8"/>
  <c r="AD394" i="8"/>
  <c r="AD395" i="8"/>
  <c r="AD396" i="8"/>
  <c r="AD397" i="8"/>
  <c r="AD398" i="8"/>
  <c r="AD399" i="8"/>
  <c r="AD400" i="8"/>
  <c r="AD401" i="8"/>
  <c r="AD402" i="8"/>
  <c r="AD403" i="8"/>
  <c r="AD404" i="8"/>
  <c r="AD405" i="8"/>
  <c r="AD406" i="8"/>
  <c r="AD407" i="8"/>
  <c r="AD408" i="8"/>
  <c r="AD409" i="8"/>
  <c r="AD410" i="8"/>
  <c r="AD411" i="8"/>
  <c r="AD412" i="8"/>
  <c r="AD413" i="8"/>
  <c r="AD414" i="8"/>
  <c r="AD415" i="8"/>
  <c r="AD416" i="8"/>
  <c r="AD417" i="8"/>
  <c r="AD418" i="8"/>
  <c r="AD419" i="8"/>
  <c r="AD420" i="8"/>
  <c r="AD421" i="8"/>
  <c r="AD422" i="8"/>
  <c r="AD423" i="8"/>
  <c r="AD424" i="8"/>
  <c r="AD425" i="8"/>
  <c r="AD426" i="8"/>
  <c r="AD427" i="8"/>
  <c r="AD428" i="8"/>
  <c r="AD429" i="8"/>
  <c r="AD430" i="8"/>
  <c r="AD431" i="8"/>
  <c r="AD432" i="8"/>
  <c r="AD433" i="8"/>
  <c r="AD434" i="8"/>
  <c r="AD435" i="8"/>
  <c r="AD4" i="8"/>
  <c r="J429" i="8" l="1"/>
  <c r="N443" i="8" l="1"/>
  <c r="N444" i="8"/>
  <c r="L444" i="8"/>
  <c r="L443" i="8"/>
  <c r="L442" i="8"/>
  <c r="N441" i="8"/>
  <c r="N132" i="5"/>
  <c r="N131" i="5"/>
  <c r="N130" i="5"/>
  <c r="N129" i="5"/>
  <c r="N128" i="5"/>
  <c r="N127" i="5"/>
  <c r="N116" i="5"/>
  <c r="N115" i="5"/>
  <c r="N114" i="5"/>
  <c r="N113" i="5"/>
  <c r="N112" i="5"/>
  <c r="N111" i="5"/>
  <c r="G107" i="5"/>
  <c r="F107" i="5"/>
  <c r="D107" i="5"/>
  <c r="K107" i="5"/>
  <c r="O107" i="5"/>
  <c r="N107" i="5"/>
  <c r="P107" i="5"/>
  <c r="S107" i="5"/>
  <c r="M642" i="4"/>
  <c r="M641" i="4"/>
  <c r="M640" i="4"/>
  <c r="M639" i="4"/>
  <c r="M638" i="4"/>
  <c r="M637" i="4"/>
  <c r="M634" i="4"/>
  <c r="M633" i="4"/>
  <c r="M632" i="4"/>
  <c r="M631" i="4"/>
  <c r="M630" i="4"/>
  <c r="M629" i="4"/>
  <c r="M626" i="4"/>
  <c r="M625" i="4"/>
  <c r="M624" i="4"/>
  <c r="M623" i="4"/>
  <c r="M622" i="4"/>
  <c r="M621" i="4"/>
  <c r="M618" i="4"/>
  <c r="M617" i="4"/>
  <c r="M616" i="4"/>
  <c r="M615" i="4"/>
  <c r="M614" i="4"/>
  <c r="M613" i="4"/>
  <c r="I643" i="4"/>
  <c r="I642" i="4"/>
  <c r="I641" i="4"/>
  <c r="I640" i="4"/>
  <c r="I639" i="4"/>
  <c r="I638" i="4"/>
  <c r="I637" i="4"/>
  <c r="H642" i="4"/>
  <c r="H641" i="4"/>
  <c r="H640" i="4"/>
  <c r="AD610" i="4" s="1"/>
  <c r="H639" i="4"/>
  <c r="I635" i="4"/>
  <c r="I627" i="4"/>
  <c r="AA610" i="4"/>
  <c r="AB610" i="4"/>
  <c r="AC610" i="4"/>
  <c r="H638" i="4"/>
  <c r="H637" i="4"/>
  <c r="I634" i="4"/>
  <c r="I633" i="4"/>
  <c r="I632" i="4"/>
  <c r="I631" i="4"/>
  <c r="I630" i="4"/>
  <c r="I629" i="4"/>
  <c r="H634" i="4"/>
  <c r="H633" i="4"/>
  <c r="H632" i="4"/>
  <c r="H631" i="4"/>
  <c r="H630" i="4"/>
  <c r="H629" i="4"/>
  <c r="I626" i="4"/>
  <c r="I625" i="4"/>
  <c r="I624" i="4"/>
  <c r="I623" i="4"/>
  <c r="I622" i="4"/>
  <c r="I621" i="4"/>
  <c r="H626" i="4"/>
  <c r="H625" i="4"/>
  <c r="H624" i="4"/>
  <c r="H623" i="4"/>
  <c r="H622" i="4"/>
  <c r="H621" i="4"/>
  <c r="I619" i="4"/>
  <c r="I611" i="4"/>
  <c r="I618" i="4"/>
  <c r="I617" i="4"/>
  <c r="I616" i="4"/>
  <c r="I615" i="4"/>
  <c r="I614" i="4"/>
  <c r="I613" i="4"/>
  <c r="H619" i="4"/>
  <c r="H618" i="4"/>
  <c r="H617" i="4"/>
  <c r="H616" i="4"/>
  <c r="H615" i="4"/>
  <c r="H614" i="4"/>
  <c r="H613" i="4"/>
  <c r="E610" i="4"/>
  <c r="H611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4" i="4"/>
  <c r="G55" i="3"/>
  <c r="H55" i="3"/>
  <c r="F295" i="2"/>
  <c r="F300" i="2"/>
  <c r="F299" i="2"/>
  <c r="F298" i="2"/>
  <c r="F297" i="2"/>
  <c r="F296" i="2"/>
  <c r="AA284" i="2" s="1"/>
  <c r="F316" i="2"/>
  <c r="F315" i="2"/>
  <c r="F314" i="2"/>
  <c r="AB284" i="2" s="1"/>
  <c r="F313" i="2"/>
  <c r="F312" i="2"/>
  <c r="F311" i="2"/>
  <c r="F308" i="2"/>
  <c r="F307" i="2"/>
  <c r="F306" i="2"/>
  <c r="F305" i="2"/>
  <c r="F304" i="2"/>
  <c r="Y284" i="2" s="1"/>
  <c r="F303" i="2"/>
  <c r="F292" i="2"/>
  <c r="F291" i="2"/>
  <c r="F290" i="2"/>
  <c r="F289" i="2"/>
  <c r="F288" i="2"/>
  <c r="F287" i="2"/>
  <c r="D226" i="2"/>
  <c r="D5" i="2"/>
  <c r="D6" i="2"/>
  <c r="D7" i="2"/>
  <c r="D31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8" i="2"/>
  <c r="D9" i="2"/>
  <c r="D10" i="2"/>
  <c r="D10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218" i="2"/>
  <c r="D219" i="2"/>
  <c r="D63" i="2"/>
  <c r="D64" i="2"/>
  <c r="D65" i="2"/>
  <c r="D66" i="2"/>
  <c r="D67" i="2"/>
  <c r="D68" i="2"/>
  <c r="D74" i="2"/>
  <c r="D75" i="2"/>
  <c r="D76" i="2"/>
  <c r="D60" i="2"/>
  <c r="D61" i="2"/>
  <c r="D62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227" i="2"/>
  <c r="D228" i="2"/>
  <c r="D229" i="2"/>
  <c r="D127" i="2"/>
  <c r="D128" i="2"/>
  <c r="D129" i="2"/>
  <c r="D130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31" i="2"/>
  <c r="D132" i="2"/>
  <c r="D133" i="2"/>
  <c r="D134" i="2"/>
  <c r="D135" i="2"/>
  <c r="D162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63" i="2"/>
  <c r="D164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69" i="2"/>
  <c r="D70" i="2"/>
  <c r="D71" i="2"/>
  <c r="D72" i="2"/>
  <c r="D73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20" i="2"/>
  <c r="D221" i="2"/>
  <c r="D222" i="2"/>
  <c r="D223" i="2"/>
  <c r="D224" i="2"/>
  <c r="D225" i="2"/>
  <c r="D4" i="2"/>
  <c r="G61" i="1"/>
  <c r="H61" i="1"/>
  <c r="L61" i="1"/>
  <c r="Z284" i="2" l="1"/>
  <c r="F317" i="2"/>
  <c r="N124" i="5"/>
  <c r="N119" i="5"/>
  <c r="N121" i="5"/>
  <c r="N123" i="5"/>
  <c r="R107" i="5"/>
  <c r="N120" i="5"/>
  <c r="N122" i="5"/>
  <c r="N447" i="8"/>
  <c r="N117" i="5"/>
  <c r="F301" i="2"/>
  <c r="F309" i="2"/>
  <c r="F293" i="2"/>
  <c r="N462" i="8"/>
  <c r="N461" i="8"/>
  <c r="N460" i="8"/>
  <c r="N459" i="8"/>
  <c r="N458" i="8"/>
  <c r="N457" i="8"/>
  <c r="N454" i="8"/>
  <c r="N453" i="8"/>
  <c r="N452" i="8"/>
  <c r="N451" i="8"/>
  <c r="N450" i="8"/>
  <c r="N449" i="8"/>
  <c r="N446" i="8"/>
  <c r="N445" i="8"/>
  <c r="N442" i="8"/>
  <c r="L437" i="8"/>
  <c r="L462" i="8"/>
  <c r="L461" i="8"/>
  <c r="L460" i="8"/>
  <c r="L459" i="8"/>
  <c r="L458" i="8"/>
  <c r="L457" i="8"/>
  <c r="L454" i="8"/>
  <c r="L453" i="8"/>
  <c r="L452" i="8"/>
  <c r="L451" i="8"/>
  <c r="L450" i="8"/>
  <c r="L449" i="8"/>
  <c r="L446" i="8"/>
  <c r="L445" i="8"/>
  <c r="L441" i="8"/>
  <c r="J9" i="8"/>
  <c r="J27" i="8"/>
  <c r="J35" i="8"/>
  <c r="J36" i="8"/>
  <c r="J37" i="8"/>
  <c r="J38" i="8"/>
  <c r="J39" i="8"/>
  <c r="J42" i="8"/>
  <c r="J43" i="8"/>
  <c r="J44" i="8"/>
  <c r="J45" i="8"/>
  <c r="J46" i="8"/>
  <c r="J47" i="8"/>
  <c r="J48" i="8"/>
  <c r="J49" i="8"/>
  <c r="J51" i="8"/>
  <c r="J52" i="8"/>
  <c r="J54" i="8"/>
  <c r="J56" i="8"/>
  <c r="J57" i="8"/>
  <c r="J60" i="8"/>
  <c r="J61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90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8" i="8"/>
  <c r="J139" i="8"/>
  <c r="J140" i="8"/>
  <c r="J141" i="8"/>
  <c r="J142" i="8"/>
  <c r="J143" i="8"/>
  <c r="J144" i="8"/>
  <c r="J145" i="8"/>
  <c r="J151" i="8"/>
  <c r="J169" i="8"/>
  <c r="J177" i="8"/>
  <c r="J178" i="8"/>
  <c r="J179" i="8"/>
  <c r="J180" i="8"/>
  <c r="J181" i="8"/>
  <c r="J182" i="8"/>
  <c r="J183" i="8"/>
  <c r="J184" i="8"/>
  <c r="J185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4" i="8"/>
  <c r="J225" i="8"/>
  <c r="J226" i="8"/>
  <c r="J227" i="8"/>
  <c r="J228" i="8"/>
  <c r="J229" i="8"/>
  <c r="J230" i="8"/>
  <c r="J231" i="8"/>
  <c r="J232" i="8"/>
  <c r="J233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8" i="8"/>
  <c r="J249" i="8"/>
  <c r="J250" i="8"/>
  <c r="J251" i="8"/>
  <c r="J252" i="8"/>
  <c r="J253" i="8"/>
  <c r="J254" i="8"/>
  <c r="J255" i="8"/>
  <c r="J258" i="8"/>
  <c r="J259" i="8"/>
  <c r="J260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4" i="8"/>
  <c r="J295" i="8"/>
  <c r="J296" i="8"/>
  <c r="J297" i="8"/>
  <c r="J298" i="8"/>
  <c r="J299" i="8"/>
  <c r="J300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5" i="8"/>
  <c r="J336" i="8"/>
  <c r="J337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5" i="8"/>
  <c r="J366" i="8"/>
  <c r="J367" i="8"/>
  <c r="J368" i="8"/>
  <c r="J369" i="8"/>
  <c r="J370" i="8"/>
  <c r="J372" i="8"/>
  <c r="J373" i="8"/>
  <c r="J374" i="8"/>
  <c r="J375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30" i="8"/>
  <c r="J431" i="8"/>
  <c r="J432" i="8"/>
  <c r="J433" i="8"/>
  <c r="J434" i="8"/>
  <c r="J435" i="8"/>
  <c r="K437" i="8"/>
  <c r="D437" i="8"/>
  <c r="G437" i="8"/>
  <c r="AM17" i="5"/>
  <c r="AM16" i="5"/>
  <c r="AM5" i="5"/>
  <c r="AM10" i="5"/>
  <c r="AM9" i="5"/>
  <c r="AM12" i="5"/>
  <c r="AM7" i="5"/>
  <c r="AM11" i="5"/>
  <c r="AM6" i="5"/>
  <c r="AM14" i="5"/>
  <c r="AM13" i="5"/>
  <c r="AM20" i="5"/>
  <c r="AM19" i="5"/>
  <c r="AM18" i="5"/>
  <c r="AM4" i="5"/>
  <c r="AM15" i="5"/>
  <c r="AM8" i="5"/>
  <c r="J13" i="8" l="1"/>
  <c r="J4" i="8"/>
  <c r="J11" i="8"/>
  <c r="J15" i="8"/>
  <c r="J7" i="8"/>
  <c r="J5" i="8"/>
  <c r="J8" i="8"/>
  <c r="J12" i="8"/>
  <c r="J40" i="8"/>
  <c r="J50" i="8"/>
  <c r="J187" i="8"/>
  <c r="J223" i="8"/>
  <c r="J17" i="8"/>
  <c r="J234" i="8"/>
  <c r="J334" i="8"/>
  <c r="J338" i="8"/>
  <c r="J364" i="8"/>
  <c r="J23" i="8"/>
  <c r="J20" i="8"/>
  <c r="J89" i="8"/>
  <c r="J91" i="8"/>
  <c r="J301" i="8"/>
  <c r="J371" i="8"/>
  <c r="J41" i="8"/>
  <c r="J186" i="8"/>
  <c r="J28" i="8"/>
  <c r="J26" i="8"/>
  <c r="L455" i="8"/>
  <c r="L463" i="8"/>
  <c r="P459" i="8"/>
  <c r="J170" i="8"/>
  <c r="J168" i="8"/>
  <c r="J62" i="8"/>
  <c r="J53" i="8"/>
  <c r="J55" i="8"/>
  <c r="J256" i="8"/>
  <c r="J293" i="8"/>
  <c r="J58" i="8"/>
  <c r="J292" i="8"/>
  <c r="J376" i="8"/>
  <c r="J59" i="8"/>
  <c r="J137" i="8"/>
  <c r="J159" i="8"/>
  <c r="J247" i="8"/>
  <c r="J257" i="8"/>
  <c r="J261" i="8"/>
  <c r="J157" i="8"/>
  <c r="J155" i="8"/>
  <c r="J154" i="8"/>
  <c r="J153" i="8"/>
  <c r="J150" i="8"/>
  <c r="J149" i="8"/>
  <c r="J147" i="8"/>
  <c r="J146" i="8"/>
  <c r="L447" i="8"/>
  <c r="P457" i="8" l="1"/>
  <c r="P460" i="8"/>
  <c r="P458" i="8"/>
  <c r="P454" i="8"/>
  <c r="P461" i="8"/>
  <c r="P453" i="8"/>
  <c r="P451" i="8"/>
  <c r="P449" i="8"/>
  <c r="P462" i="8"/>
  <c r="P452" i="8"/>
  <c r="P450" i="8"/>
  <c r="N468" i="8"/>
  <c r="J437" i="8"/>
  <c r="L468" i="8"/>
  <c r="AG41" i="8" s="1"/>
  <c r="L467" i="8"/>
  <c r="AG376" i="8" s="1"/>
  <c r="N469" i="8"/>
  <c r="N465" i="8"/>
  <c r="L469" i="8"/>
  <c r="AG301" i="8" s="1"/>
  <c r="N470" i="8"/>
  <c r="N466" i="8"/>
  <c r="L470" i="8"/>
  <c r="AG168" i="8" s="1"/>
  <c r="N467" i="8"/>
  <c r="L466" i="8"/>
  <c r="AG55" i="8" s="1"/>
  <c r="L465" i="8"/>
  <c r="AG28" i="8" s="1"/>
  <c r="J26" i="5"/>
  <c r="J22" i="5"/>
  <c r="J4" i="5"/>
  <c r="AN27" i="5"/>
  <c r="J27" i="5"/>
  <c r="AG11" i="8" l="1"/>
  <c r="AG8" i="8"/>
  <c r="AG187" i="8"/>
  <c r="AG334" i="8"/>
  <c r="AG20" i="8"/>
  <c r="AG371" i="8"/>
  <c r="AG26" i="8"/>
  <c r="AG15" i="8"/>
  <c r="AG12" i="8"/>
  <c r="AG223" i="8"/>
  <c r="AG338" i="8"/>
  <c r="AG89" i="8"/>
  <c r="AG13" i="8"/>
  <c r="AG7" i="8"/>
  <c r="AG40" i="8"/>
  <c r="AG17" i="8"/>
  <c r="AG364" i="8"/>
  <c r="AG91" i="8"/>
  <c r="AG186" i="8"/>
  <c r="AG4" i="8"/>
  <c r="AG5" i="8"/>
  <c r="AG50" i="8"/>
  <c r="AG234" i="8"/>
  <c r="AG23" i="8"/>
  <c r="AG6" i="8"/>
  <c r="AG10" i="8"/>
  <c r="AG14" i="8"/>
  <c r="AG16" i="8"/>
  <c r="AG18" i="8"/>
  <c r="AG22" i="8"/>
  <c r="AG24" i="8"/>
  <c r="AG30" i="8"/>
  <c r="AG32" i="8"/>
  <c r="AG34" i="8"/>
  <c r="AG148" i="8"/>
  <c r="AG152" i="8"/>
  <c r="AG156" i="8"/>
  <c r="AG158" i="8"/>
  <c r="AG160" i="8"/>
  <c r="AG162" i="8"/>
  <c r="AG164" i="8"/>
  <c r="AG166" i="8"/>
  <c r="AG172" i="8"/>
  <c r="AG19" i="8"/>
  <c r="AG21" i="8"/>
  <c r="AG25" i="8"/>
  <c r="AG29" i="8"/>
  <c r="AG31" i="8"/>
  <c r="AG33" i="8"/>
  <c r="AG161" i="8"/>
  <c r="AG163" i="8"/>
  <c r="AG165" i="8"/>
  <c r="AG167" i="8"/>
  <c r="AG171" i="8"/>
  <c r="AG173" i="8"/>
  <c r="AG174" i="8"/>
  <c r="AG176" i="8"/>
  <c r="AG175" i="8"/>
  <c r="AG413" i="8"/>
  <c r="AG304" i="8"/>
  <c r="AG265" i="8"/>
  <c r="AG245" i="8"/>
  <c r="AG241" i="8"/>
  <c r="AG195" i="8"/>
  <c r="AG191" i="8"/>
  <c r="AG9" i="8"/>
  <c r="AG244" i="8"/>
  <c r="AG194" i="8"/>
  <c r="AG180" i="8"/>
  <c r="AG130" i="8"/>
  <c r="AG88" i="8"/>
  <c r="AG352" i="8"/>
  <c r="AG302" i="8"/>
  <c r="AG271" i="8"/>
  <c r="AG235" i="8"/>
  <c r="AG197" i="8"/>
  <c r="AG193" i="8"/>
  <c r="AG117" i="8"/>
  <c r="AG105" i="8"/>
  <c r="AG242" i="8"/>
  <c r="AG208" i="8"/>
  <c r="AG192" i="8"/>
  <c r="AG78" i="8"/>
  <c r="AG38" i="8"/>
  <c r="AG27" i="8"/>
  <c r="AG417" i="8"/>
  <c r="AG409" i="8"/>
  <c r="AG316" i="8"/>
  <c r="AG273" i="8"/>
  <c r="AG185" i="8"/>
  <c r="AG131" i="8"/>
  <c r="AG115" i="8"/>
  <c r="AG416" i="8"/>
  <c r="AG315" i="8"/>
  <c r="AG303" i="8"/>
  <c r="AG280" i="8"/>
  <c r="AG264" i="8"/>
  <c r="AG184" i="8"/>
  <c r="AG344" i="8"/>
  <c r="AG63" i="8"/>
  <c r="AG39" i="8"/>
  <c r="AG390" i="8"/>
  <c r="AG378" i="8"/>
  <c r="AG233" i="8"/>
  <c r="AG429" i="8"/>
  <c r="AG434" i="8"/>
  <c r="AG421" i="8"/>
  <c r="AG405" i="8"/>
  <c r="AG401" i="8"/>
  <c r="AG397" i="8"/>
  <c r="AG389" i="8"/>
  <c r="AG385" i="8"/>
  <c r="AG381" i="8"/>
  <c r="AG377" i="8"/>
  <c r="AG372" i="8"/>
  <c r="AG358" i="8"/>
  <c r="AG354" i="8"/>
  <c r="AG346" i="8"/>
  <c r="AG342" i="8"/>
  <c r="AG332" i="8"/>
  <c r="AG328" i="8"/>
  <c r="AG324" i="8"/>
  <c r="AG320" i="8"/>
  <c r="AG312" i="8"/>
  <c r="AG299" i="8"/>
  <c r="AG295" i="8"/>
  <c r="AG289" i="8"/>
  <c r="AG269" i="8"/>
  <c r="AG254" i="8"/>
  <c r="AG250" i="8"/>
  <c r="AG232" i="8"/>
  <c r="AG224" i="8"/>
  <c r="AG219" i="8"/>
  <c r="AG215" i="8"/>
  <c r="AG211" i="8"/>
  <c r="AG203" i="8"/>
  <c r="AG199" i="8"/>
  <c r="AG144" i="8"/>
  <c r="AG140" i="8"/>
  <c r="AG135" i="8"/>
  <c r="AG119" i="8"/>
  <c r="AG111" i="8"/>
  <c r="AG99" i="8"/>
  <c r="AG95" i="8"/>
  <c r="AG85" i="8"/>
  <c r="AG77" i="8"/>
  <c r="AG73" i="8"/>
  <c r="AG65" i="8"/>
  <c r="AG37" i="8"/>
  <c r="AG408" i="8"/>
  <c r="AG392" i="8"/>
  <c r="AG388" i="8"/>
  <c r="AG384" i="8"/>
  <c r="AG375" i="8"/>
  <c r="AG370" i="8"/>
  <c r="AG366" i="8"/>
  <c r="AG357" i="8"/>
  <c r="AG353" i="8"/>
  <c r="AG345" i="8"/>
  <c r="AG341" i="8"/>
  <c r="AG323" i="8"/>
  <c r="AG319" i="8"/>
  <c r="AG294" i="8"/>
  <c r="AG268" i="8"/>
  <c r="AG259" i="8"/>
  <c r="AG236" i="8"/>
  <c r="AG231" i="8"/>
  <c r="AG218" i="8"/>
  <c r="AG214" i="8"/>
  <c r="AG210" i="8"/>
  <c r="AG206" i="8"/>
  <c r="AG190" i="8"/>
  <c r="AG169" i="8"/>
  <c r="AG143" i="8"/>
  <c r="AG139" i="8"/>
  <c r="AG118" i="8"/>
  <c r="AG114" i="8"/>
  <c r="AG106" i="8"/>
  <c r="AG102" i="8"/>
  <c r="AG94" i="8"/>
  <c r="AG84" i="8"/>
  <c r="AG64" i="8"/>
  <c r="AG432" i="8"/>
  <c r="AG435" i="8"/>
  <c r="AG419" i="8"/>
  <c r="AG411" i="8"/>
  <c r="AG407" i="8"/>
  <c r="AG403" i="8"/>
  <c r="AG399" i="8"/>
  <c r="AG395" i="8"/>
  <c r="AG391" i="8"/>
  <c r="AG387" i="8"/>
  <c r="AG369" i="8"/>
  <c r="AG365" i="8"/>
  <c r="AG356" i="8"/>
  <c r="AG340" i="8"/>
  <c r="AG335" i="8"/>
  <c r="AG330" i="8"/>
  <c r="AG326" i="8"/>
  <c r="AG322" i="8"/>
  <c r="AG318" i="8"/>
  <c r="AG314" i="8"/>
  <c r="AG306" i="8"/>
  <c r="AG297" i="8"/>
  <c r="AG291" i="8"/>
  <c r="AG287" i="8"/>
  <c r="AG275" i="8"/>
  <c r="AG267" i="8"/>
  <c r="AG258" i="8"/>
  <c r="AG252" i="8"/>
  <c r="AG248" i="8"/>
  <c r="AG243" i="8"/>
  <c r="AG239" i="8"/>
  <c r="AG217" i="8"/>
  <c r="AG209" i="8"/>
  <c r="AG183" i="8"/>
  <c r="AG179" i="8"/>
  <c r="AG151" i="8"/>
  <c r="AG142" i="8"/>
  <c r="AG133" i="8"/>
  <c r="AG125" i="8"/>
  <c r="AG109" i="8"/>
  <c r="AG101" i="8"/>
  <c r="AG97" i="8"/>
  <c r="AG83" i="8"/>
  <c r="AG79" i="8"/>
  <c r="AG71" i="8"/>
  <c r="AG67" i="8"/>
  <c r="AG45" i="8"/>
  <c r="AG402" i="8"/>
  <c r="AG398" i="8"/>
  <c r="AG386" i="8"/>
  <c r="AG382" i="8"/>
  <c r="AG368" i="8"/>
  <c r="AG363" i="8"/>
  <c r="AG359" i="8"/>
  <c r="AG355" i="8"/>
  <c r="AG347" i="8"/>
  <c r="AG339" i="8"/>
  <c r="AG333" i="8"/>
  <c r="AG325" i="8"/>
  <c r="AG317" i="8"/>
  <c r="AG313" i="8"/>
  <c r="AG309" i="8"/>
  <c r="AG305" i="8"/>
  <c r="AG300" i="8"/>
  <c r="AG296" i="8"/>
  <c r="AG266" i="8"/>
  <c r="AG262" i="8"/>
  <c r="AG255" i="8"/>
  <c r="AG251" i="8"/>
  <c r="AG229" i="8"/>
  <c r="AG225" i="8"/>
  <c r="AG216" i="8"/>
  <c r="AG212" i="8"/>
  <c r="AG196" i="8"/>
  <c r="AG182" i="8"/>
  <c r="AG178" i="8"/>
  <c r="AG145" i="8"/>
  <c r="AG141" i="8"/>
  <c r="AG128" i="8"/>
  <c r="AG120" i="8"/>
  <c r="AG116" i="8"/>
  <c r="AG112" i="8"/>
  <c r="AG86" i="8"/>
  <c r="AG74" i="8"/>
  <c r="AG61" i="8"/>
  <c r="AG44" i="8"/>
  <c r="AG36" i="8"/>
  <c r="AG256" i="8"/>
  <c r="AG247" i="8"/>
  <c r="AG155" i="8"/>
  <c r="AG149" i="8"/>
  <c r="AG154" i="8"/>
  <c r="AG170" i="8"/>
  <c r="AG292" i="8"/>
  <c r="AG159" i="8"/>
  <c r="AG157" i="8"/>
  <c r="AG433" i="8"/>
  <c r="AG430" i="8"/>
  <c r="AG281" i="8"/>
  <c r="AG277" i="8"/>
  <c r="AG107" i="8"/>
  <c r="AG81" i="8"/>
  <c r="AG69" i="8"/>
  <c r="AG400" i="8"/>
  <c r="AG396" i="8"/>
  <c r="AG331" i="8"/>
  <c r="AG298" i="8"/>
  <c r="AG253" i="8"/>
  <c r="AG240" i="8"/>
  <c r="AG202" i="8"/>
  <c r="AG198" i="8"/>
  <c r="AG126" i="8"/>
  <c r="AG98" i="8"/>
  <c r="AG57" i="8"/>
  <c r="AG51" i="8"/>
  <c r="AG423" i="8"/>
  <c r="AG283" i="8"/>
  <c r="AG221" i="8"/>
  <c r="AG205" i="8"/>
  <c r="AG201" i="8"/>
  <c r="AG75" i="8"/>
  <c r="AG414" i="8"/>
  <c r="AG406" i="8"/>
  <c r="AG394" i="8"/>
  <c r="AG290" i="8"/>
  <c r="AG286" i="8"/>
  <c r="AG204" i="8"/>
  <c r="AG200" i="8"/>
  <c r="AG104" i="8"/>
  <c r="AG100" i="8"/>
  <c r="AG54" i="8"/>
  <c r="AG424" i="8"/>
  <c r="AG367" i="8"/>
  <c r="AG362" i="8"/>
  <c r="AG35" i="8"/>
  <c r="AG246" i="8"/>
  <c r="AG124" i="8"/>
  <c r="AG431" i="8"/>
  <c r="AG425" i="8"/>
  <c r="AG393" i="8"/>
  <c r="AG350" i="8"/>
  <c r="AG337" i="8"/>
  <c r="AG308" i="8"/>
  <c r="AG285" i="8"/>
  <c r="AG260" i="8"/>
  <c r="AG237" i="8"/>
  <c r="AG228" i="8"/>
  <c r="AG207" i="8"/>
  <c r="AG181" i="8"/>
  <c r="AG177" i="8"/>
  <c r="AG127" i="8"/>
  <c r="AG123" i="8"/>
  <c r="AG103" i="8"/>
  <c r="AG90" i="8"/>
  <c r="AG60" i="8"/>
  <c r="AG52" i="8"/>
  <c r="AG47" i="8"/>
  <c r="AG43" i="8"/>
  <c r="AG420" i="8"/>
  <c r="AG412" i="8"/>
  <c r="AG404" i="8"/>
  <c r="AG380" i="8"/>
  <c r="AG361" i="8"/>
  <c r="AG349" i="8"/>
  <c r="AG336" i="8"/>
  <c r="AG327" i="8"/>
  <c r="AG311" i="8"/>
  <c r="AG307" i="8"/>
  <c r="AG288" i="8"/>
  <c r="AG284" i="8"/>
  <c r="AG276" i="8"/>
  <c r="AG272" i="8"/>
  <c r="AG249" i="8"/>
  <c r="AG227" i="8"/>
  <c r="AG222" i="8"/>
  <c r="AG134" i="8"/>
  <c r="AG122" i="8"/>
  <c r="AG110" i="8"/>
  <c r="AG80" i="8"/>
  <c r="AG76" i="8"/>
  <c r="AG72" i="8"/>
  <c r="AG68" i="8"/>
  <c r="AG428" i="8"/>
  <c r="AG426" i="8"/>
  <c r="AG427" i="8"/>
  <c r="AG415" i="8"/>
  <c r="AG383" i="8"/>
  <c r="AG379" i="8"/>
  <c r="AG374" i="8"/>
  <c r="AG360" i="8"/>
  <c r="AG348" i="8"/>
  <c r="AG310" i="8"/>
  <c r="AG279" i="8"/>
  <c r="AG263" i="8"/>
  <c r="AG230" i="8"/>
  <c r="AG226" i="8"/>
  <c r="AG213" i="8"/>
  <c r="AG189" i="8"/>
  <c r="AG138" i="8"/>
  <c r="AG129" i="8"/>
  <c r="AG121" i="8"/>
  <c r="AG113" i="8"/>
  <c r="AG93" i="8"/>
  <c r="AG87" i="8"/>
  <c r="AG56" i="8"/>
  <c r="AG49" i="8"/>
  <c r="AG422" i="8"/>
  <c r="AG418" i="8"/>
  <c r="AG410" i="8"/>
  <c r="AG373" i="8"/>
  <c r="AG351" i="8"/>
  <c r="AG343" i="8"/>
  <c r="AG329" i="8"/>
  <c r="AG321" i="8"/>
  <c r="AG282" i="8"/>
  <c r="AG278" i="8"/>
  <c r="AG274" i="8"/>
  <c r="AG270" i="8"/>
  <c r="AG238" i="8"/>
  <c r="AG220" i="8"/>
  <c r="AG188" i="8"/>
  <c r="AG136" i="8"/>
  <c r="AG132" i="8"/>
  <c r="AG108" i="8"/>
  <c r="AG96" i="8"/>
  <c r="AG92" i="8"/>
  <c r="AG82" i="8"/>
  <c r="AG70" i="8"/>
  <c r="AG66" i="8"/>
  <c r="AG48" i="8"/>
  <c r="AG46" i="8"/>
  <c r="AG42" i="8"/>
  <c r="AG53" i="8"/>
  <c r="AG58" i="8"/>
  <c r="AG137" i="8"/>
  <c r="AG261" i="8"/>
  <c r="AG153" i="8"/>
  <c r="AG146" i="8"/>
  <c r="AG147" i="8"/>
  <c r="AG62" i="8"/>
  <c r="AG293" i="8"/>
  <c r="AG59" i="8"/>
  <c r="AG257" i="8"/>
  <c r="AG150" i="8"/>
  <c r="L471" i="8"/>
  <c r="P470" i="8" l="1"/>
  <c r="P467" i="8"/>
  <c r="P466" i="8"/>
  <c r="P468" i="8"/>
  <c r="P469" i="8"/>
  <c r="P465" i="8"/>
  <c r="L119" i="5"/>
  <c r="J54" i="5"/>
  <c r="J58" i="5"/>
  <c r="J37" i="5"/>
  <c r="J44" i="5"/>
  <c r="J55" i="5"/>
  <c r="J71" i="5"/>
  <c r="J73" i="5"/>
  <c r="J93" i="5"/>
  <c r="J74" i="5"/>
  <c r="J83" i="5"/>
  <c r="J64" i="5"/>
  <c r="J96" i="5"/>
  <c r="J43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3" i="5"/>
  <c r="J28" i="5"/>
  <c r="J24" i="5"/>
  <c r="J97" i="5"/>
  <c r="J98" i="5"/>
  <c r="J51" i="5"/>
  <c r="J25" i="5"/>
  <c r="J52" i="5"/>
  <c r="J50" i="5"/>
  <c r="J66" i="5"/>
  <c r="J56" i="5"/>
  <c r="J72" i="5"/>
  <c r="J80" i="5"/>
  <c r="J76" i="5"/>
  <c r="J86" i="5"/>
  <c r="J103" i="5"/>
  <c r="J29" i="5"/>
  <c r="J88" i="5"/>
  <c r="J40" i="5"/>
  <c r="J32" i="5"/>
  <c r="J61" i="5"/>
  <c r="J34" i="5"/>
  <c r="J90" i="5"/>
  <c r="J92" i="5"/>
  <c r="J85" i="5"/>
  <c r="J75" i="5"/>
  <c r="J91" i="5"/>
  <c r="J94" i="5"/>
  <c r="J30" i="5"/>
  <c r="J69" i="5"/>
  <c r="J84" i="5"/>
  <c r="J87" i="5"/>
  <c r="J41" i="5"/>
  <c r="J59" i="5"/>
  <c r="J39" i="5"/>
  <c r="J104" i="5"/>
  <c r="J95" i="5"/>
  <c r="J63" i="5"/>
  <c r="J60" i="5"/>
  <c r="J81" i="5"/>
  <c r="J42" i="5"/>
  <c r="J49" i="5"/>
  <c r="J45" i="5"/>
  <c r="J35" i="5"/>
  <c r="J36" i="5"/>
  <c r="J57" i="5"/>
  <c r="J53" i="5"/>
  <c r="J100" i="5"/>
  <c r="J33" i="5"/>
  <c r="J79" i="5"/>
  <c r="J62" i="5"/>
  <c r="J77" i="5"/>
  <c r="J65" i="5"/>
  <c r="J89" i="5"/>
  <c r="J102" i="5"/>
  <c r="J101" i="5"/>
  <c r="J47" i="5"/>
  <c r="J38" i="5"/>
  <c r="J105" i="5"/>
  <c r="J31" i="5"/>
  <c r="J68" i="5"/>
  <c r="J78" i="5"/>
  <c r="J70" i="5"/>
  <c r="J99" i="5"/>
  <c r="J82" i="5"/>
  <c r="J67" i="5"/>
  <c r="J48" i="5"/>
  <c r="J46" i="5"/>
  <c r="L140" i="5" l="1"/>
  <c r="L139" i="5"/>
  <c r="L138" i="5"/>
  <c r="AG71" i="5" s="1"/>
  <c r="L137" i="5"/>
  <c r="L136" i="5"/>
  <c r="AG99" i="5" s="1"/>
  <c r="N140" i="5"/>
  <c r="N139" i="5"/>
  <c r="N138" i="5"/>
  <c r="N137" i="5"/>
  <c r="N136" i="5"/>
  <c r="N135" i="5"/>
  <c r="L135" i="5"/>
  <c r="AG4" i="5" s="1"/>
  <c r="N437" i="8"/>
  <c r="M437" i="8"/>
  <c r="T437" i="8"/>
  <c r="S437" i="8"/>
  <c r="R437" i="8"/>
  <c r="Q437" i="8"/>
  <c r="P437" i="8"/>
  <c r="F437" i="8"/>
  <c r="O437" i="8"/>
  <c r="AG13" i="5" l="1"/>
  <c r="AG20" i="5"/>
  <c r="AG12" i="5"/>
  <c r="AG5" i="5"/>
  <c r="AG21" i="5"/>
  <c r="N455" i="8"/>
  <c r="N463" i="8"/>
  <c r="N471" i="8"/>
  <c r="AG44" i="5"/>
  <c r="AG89" i="5"/>
  <c r="AG93" i="5"/>
  <c r="AG57" i="5"/>
  <c r="AG70" i="5"/>
  <c r="AG85" i="5"/>
  <c r="AG86" i="5"/>
  <c r="AG36" i="5"/>
  <c r="AG64" i="5"/>
  <c r="AG69" i="5"/>
  <c r="AG58" i="5"/>
  <c r="AG72" i="5"/>
  <c r="AG95" i="5"/>
  <c r="AG65" i="5"/>
  <c r="AG67" i="5"/>
  <c r="AG25" i="5"/>
  <c r="AG34" i="5"/>
  <c r="AG38" i="5"/>
  <c r="AG49" i="5"/>
  <c r="AG104" i="5"/>
  <c r="AG96" i="5"/>
  <c r="AG8" i="5"/>
  <c r="AG16" i="5"/>
  <c r="AG52" i="5"/>
  <c r="AG103" i="5"/>
  <c r="AG61" i="5"/>
  <c r="AG41" i="5"/>
  <c r="AG42" i="5"/>
  <c r="AG33" i="5"/>
  <c r="AG47" i="5"/>
  <c r="AG48" i="5"/>
  <c r="AG73" i="5"/>
  <c r="AG9" i="5"/>
  <c r="AG17" i="5"/>
  <c r="AG24" i="5"/>
  <c r="AG56" i="5"/>
  <c r="AG40" i="5"/>
  <c r="AG75" i="5"/>
  <c r="AG59" i="5"/>
  <c r="AG63" i="5"/>
  <c r="AG92" i="5"/>
  <c r="AG94" i="5"/>
  <c r="AG87" i="5"/>
  <c r="AG46" i="5"/>
  <c r="AG105" i="5"/>
  <c r="AG55" i="5"/>
  <c r="AG22" i="5"/>
  <c r="AG26" i="5"/>
  <c r="AG27" i="5"/>
  <c r="AG83" i="5"/>
  <c r="AG97" i="5"/>
  <c r="AG29" i="5"/>
  <c r="AG90" i="5"/>
  <c r="AG30" i="5"/>
  <c r="AG39" i="5"/>
  <c r="AG60" i="5"/>
  <c r="AG62" i="5"/>
  <c r="AG102" i="5"/>
  <c r="AG78" i="5"/>
  <c r="AG37" i="5"/>
  <c r="AG98" i="5"/>
  <c r="AG88" i="5"/>
  <c r="AG79" i="5"/>
  <c r="AG7" i="5"/>
  <c r="AG10" i="5"/>
  <c r="AG14" i="5"/>
  <c r="AG18" i="5"/>
  <c r="AG28" i="5"/>
  <c r="AG51" i="5"/>
  <c r="AG66" i="5"/>
  <c r="AG76" i="5"/>
  <c r="AG91" i="5"/>
  <c r="AG84" i="5"/>
  <c r="AG45" i="5"/>
  <c r="AG53" i="5"/>
  <c r="AG68" i="5"/>
  <c r="AG82" i="5"/>
  <c r="AG54" i="5"/>
  <c r="AG74" i="5"/>
  <c r="AG43" i="5"/>
  <c r="AG6" i="5"/>
  <c r="AG11" i="5"/>
  <c r="AG15" i="5"/>
  <c r="AG19" i="5"/>
  <c r="AG23" i="5"/>
  <c r="AG50" i="5"/>
  <c r="AG80" i="5"/>
  <c r="AG32" i="5"/>
  <c r="AG81" i="5"/>
  <c r="P140" i="5" s="1"/>
  <c r="AG35" i="5"/>
  <c r="AG31" i="5"/>
  <c r="AG100" i="5"/>
  <c r="AG77" i="5"/>
  <c r="AG101" i="5"/>
  <c r="L124" i="5"/>
  <c r="AF93" i="5" s="1"/>
  <c r="L123" i="5"/>
  <c r="AF26" i="5" s="1"/>
  <c r="L122" i="5"/>
  <c r="AF99" i="5" s="1"/>
  <c r="L121" i="5"/>
  <c r="AF22" i="5" s="1"/>
  <c r="L120" i="5"/>
  <c r="AF30" i="5" s="1"/>
  <c r="L132" i="5"/>
  <c r="L131" i="5"/>
  <c r="L130" i="5"/>
  <c r="L129" i="5"/>
  <c r="L128" i="5"/>
  <c r="AD27" i="5" s="1"/>
  <c r="L127" i="5"/>
  <c r="AF7" i="5"/>
  <c r="AF18" i="5"/>
  <c r="L111" i="5"/>
  <c r="L112" i="5"/>
  <c r="L116" i="5"/>
  <c r="L115" i="5"/>
  <c r="L114" i="5"/>
  <c r="L113" i="5"/>
  <c r="M107" i="5"/>
  <c r="L107" i="5"/>
  <c r="AF29" i="5" l="1"/>
  <c r="AF63" i="5"/>
  <c r="AF39" i="5"/>
  <c r="AF54" i="5"/>
  <c r="AF86" i="5"/>
  <c r="AF27" i="5"/>
  <c r="P139" i="5"/>
  <c r="AF102" i="5"/>
  <c r="P137" i="5"/>
  <c r="AF66" i="5"/>
  <c r="P136" i="5"/>
  <c r="AF38" i="5"/>
  <c r="AF31" i="5"/>
  <c r="AF58" i="5"/>
  <c r="AE27" i="5"/>
  <c r="AE26" i="5"/>
  <c r="AE22" i="5"/>
  <c r="AD26" i="5"/>
  <c r="AD22" i="5"/>
  <c r="P135" i="5"/>
  <c r="P138" i="5"/>
  <c r="AF48" i="5"/>
  <c r="AF42" i="5"/>
  <c r="AF44" i="5"/>
  <c r="L125" i="5"/>
  <c r="AF77" i="5"/>
  <c r="AF78" i="5"/>
  <c r="AF101" i="5"/>
  <c r="AF100" i="5"/>
  <c r="P123" i="5" s="1"/>
  <c r="AF61" i="5"/>
  <c r="AF76" i="5"/>
  <c r="AF97" i="5"/>
  <c r="AE37" i="5"/>
  <c r="AE55" i="5"/>
  <c r="AE64" i="5"/>
  <c r="AE43" i="5"/>
  <c r="AE50" i="5"/>
  <c r="AE56" i="5"/>
  <c r="AE40" i="5"/>
  <c r="AE69" i="5"/>
  <c r="AE59" i="5"/>
  <c r="AE63" i="5"/>
  <c r="AE54" i="5"/>
  <c r="AE42" i="5"/>
  <c r="AE45" i="5"/>
  <c r="AE36" i="5"/>
  <c r="AE53" i="5"/>
  <c r="AE62" i="5"/>
  <c r="AE65" i="5"/>
  <c r="AE47" i="5"/>
  <c r="AE68" i="5"/>
  <c r="AE48" i="5"/>
  <c r="AE58" i="5"/>
  <c r="AE44" i="5"/>
  <c r="AE51" i="5"/>
  <c r="AE52" i="5"/>
  <c r="AE66" i="5"/>
  <c r="AE61" i="5"/>
  <c r="AE41" i="5"/>
  <c r="AE39" i="5"/>
  <c r="AE60" i="5"/>
  <c r="AE49" i="5"/>
  <c r="AE57" i="5"/>
  <c r="AE38" i="5"/>
  <c r="AE67" i="5"/>
  <c r="AE46" i="5"/>
  <c r="AE98" i="5"/>
  <c r="AE102" i="5"/>
  <c r="AE96" i="5"/>
  <c r="AE97" i="5"/>
  <c r="AE103" i="5"/>
  <c r="AE100" i="5"/>
  <c r="AE101" i="5"/>
  <c r="AE99" i="5"/>
  <c r="AE32" i="5"/>
  <c r="AE34" i="5"/>
  <c r="AE33" i="5"/>
  <c r="AE35" i="5"/>
  <c r="AE31" i="5"/>
  <c r="L133" i="5"/>
  <c r="AE73" i="5"/>
  <c r="AE74" i="5"/>
  <c r="AE80" i="5"/>
  <c r="AE86" i="5"/>
  <c r="AE88" i="5"/>
  <c r="AE92" i="5"/>
  <c r="AE75" i="5"/>
  <c r="AE94" i="5"/>
  <c r="AE87" i="5"/>
  <c r="AE70" i="5"/>
  <c r="AE82" i="5"/>
  <c r="AE71" i="5"/>
  <c r="AE93" i="5"/>
  <c r="AE83" i="5"/>
  <c r="AE72" i="5"/>
  <c r="AE76" i="5"/>
  <c r="AE90" i="5"/>
  <c r="AE85" i="5"/>
  <c r="AE91" i="5"/>
  <c r="AE84" i="5"/>
  <c r="AE95" i="5"/>
  <c r="AE81" i="5"/>
  <c r="AE79" i="5"/>
  <c r="AE77" i="5"/>
  <c r="AE89" i="5"/>
  <c r="AE78" i="5"/>
  <c r="AE104" i="5"/>
  <c r="AE105" i="5"/>
  <c r="L117" i="5"/>
  <c r="AE4" i="5"/>
  <c r="AE6" i="5"/>
  <c r="AE9" i="5"/>
  <c r="AE11" i="5"/>
  <c r="AE13" i="5"/>
  <c r="AE15" i="5"/>
  <c r="AE17" i="5"/>
  <c r="AE19" i="5"/>
  <c r="AE21" i="5"/>
  <c r="AE23" i="5"/>
  <c r="AE24" i="5"/>
  <c r="AE25" i="5"/>
  <c r="AE5" i="5"/>
  <c r="AE7" i="5"/>
  <c r="AE8" i="5"/>
  <c r="AE10" i="5"/>
  <c r="AE12" i="5"/>
  <c r="AE14" i="5"/>
  <c r="AE16" i="5"/>
  <c r="AE18" i="5"/>
  <c r="AE20" i="5"/>
  <c r="AE28" i="5"/>
  <c r="AE29" i="5"/>
  <c r="AE30" i="5"/>
  <c r="AF46" i="5"/>
  <c r="AF67" i="5"/>
  <c r="AF68" i="5"/>
  <c r="AF65" i="5"/>
  <c r="AF62" i="5"/>
  <c r="AF57" i="5"/>
  <c r="AF81" i="5"/>
  <c r="AF60" i="5"/>
  <c r="AF104" i="5"/>
  <c r="AF103" i="5"/>
  <c r="AF72" i="5"/>
  <c r="AF52" i="5"/>
  <c r="AF83" i="5"/>
  <c r="AF35" i="5"/>
  <c r="AF95" i="5"/>
  <c r="AF90" i="5"/>
  <c r="AF14" i="5"/>
  <c r="AF79" i="5"/>
  <c r="AF84" i="5"/>
  <c r="AF91" i="5"/>
  <c r="AF10" i="5"/>
  <c r="AF89" i="5"/>
  <c r="AF49" i="5"/>
  <c r="AF56" i="5"/>
  <c r="AF28" i="5"/>
  <c r="AF82" i="5"/>
  <c r="AF105" i="5"/>
  <c r="AF47" i="5"/>
  <c r="AF33" i="5"/>
  <c r="AF53" i="5"/>
  <c r="AF36" i="5"/>
  <c r="AF45" i="5"/>
  <c r="AF41" i="5"/>
  <c r="AF85" i="5"/>
  <c r="AF51" i="5"/>
  <c r="AF20" i="5"/>
  <c r="AF16" i="5"/>
  <c r="AF12" i="5"/>
  <c r="AF8" i="5"/>
  <c r="AF5" i="5"/>
  <c r="AF96" i="5"/>
  <c r="AF71" i="5"/>
  <c r="AF37" i="5"/>
  <c r="AF70" i="5"/>
  <c r="AF59" i="5"/>
  <c r="AF87" i="5"/>
  <c r="AF69" i="5"/>
  <c r="AF94" i="5"/>
  <c r="AF75" i="5"/>
  <c r="AF92" i="5"/>
  <c r="AF34" i="5"/>
  <c r="AF32" i="5"/>
  <c r="AF40" i="5"/>
  <c r="AF88" i="5"/>
  <c r="AF80" i="5"/>
  <c r="AF50" i="5"/>
  <c r="AF25" i="5"/>
  <c r="AF98" i="5"/>
  <c r="AF24" i="5"/>
  <c r="AF23" i="5"/>
  <c r="AF21" i="5"/>
  <c r="AF19" i="5"/>
  <c r="AF17" i="5"/>
  <c r="AF15" i="5"/>
  <c r="AF13" i="5"/>
  <c r="AF11" i="5"/>
  <c r="AF9" i="5"/>
  <c r="AF6" i="5"/>
  <c r="AF4" i="5"/>
  <c r="AF43" i="5"/>
  <c r="AF64" i="5"/>
  <c r="AF74" i="5"/>
  <c r="AF73" i="5"/>
  <c r="AF55" i="5"/>
  <c r="AC4" i="2"/>
  <c r="P124" i="5" l="1"/>
  <c r="J107" i="5"/>
  <c r="P113" i="5"/>
  <c r="T107" i="5"/>
  <c r="P111" i="5"/>
  <c r="P116" i="5"/>
  <c r="P114" i="5"/>
  <c r="P112" i="5"/>
  <c r="P115" i="5"/>
  <c r="P121" i="5"/>
  <c r="P119" i="5"/>
  <c r="P122" i="5"/>
  <c r="P120" i="5"/>
  <c r="AD567" i="4"/>
  <c r="AA608" i="4"/>
  <c r="AA588" i="4"/>
  <c r="AB26" i="4"/>
  <c r="AB10" i="4"/>
  <c r="AB154" i="4"/>
  <c r="L63" i="3"/>
  <c r="L71" i="3"/>
  <c r="H79" i="3"/>
  <c r="G79" i="3"/>
  <c r="H84" i="3"/>
  <c r="H83" i="3"/>
  <c r="H82" i="3"/>
  <c r="H81" i="3"/>
  <c r="H80" i="3"/>
  <c r="G84" i="3"/>
  <c r="G83" i="3"/>
  <c r="G82" i="3"/>
  <c r="G81" i="3"/>
  <c r="T25" i="3" s="1"/>
  <c r="G80" i="3"/>
  <c r="T27" i="3" s="1"/>
  <c r="G85" i="1"/>
  <c r="H76" i="3"/>
  <c r="H75" i="3"/>
  <c r="H74" i="3"/>
  <c r="H73" i="3"/>
  <c r="H72" i="3"/>
  <c r="H71" i="3"/>
  <c r="G76" i="3"/>
  <c r="G75" i="3"/>
  <c r="V41" i="3" s="1"/>
  <c r="G74" i="3"/>
  <c r="G73" i="3"/>
  <c r="V21" i="3" s="1"/>
  <c r="G72" i="3"/>
  <c r="V29" i="3" s="1"/>
  <c r="G71" i="3"/>
  <c r="V19" i="3" s="1"/>
  <c r="H68" i="3"/>
  <c r="H67" i="3"/>
  <c r="H66" i="3"/>
  <c r="H65" i="3"/>
  <c r="H64" i="3"/>
  <c r="H63" i="3"/>
  <c r="G68" i="3"/>
  <c r="G67" i="3"/>
  <c r="G66" i="3"/>
  <c r="U21" i="3" s="1"/>
  <c r="G65" i="3"/>
  <c r="U29" i="3" s="1"/>
  <c r="G64" i="3"/>
  <c r="U37" i="3" s="1"/>
  <c r="G63" i="3"/>
  <c r="U19" i="3" s="1"/>
  <c r="Y168" i="2"/>
  <c r="Y178" i="2"/>
  <c r="Y210" i="2"/>
  <c r="H82" i="1"/>
  <c r="H81" i="1"/>
  <c r="H80" i="1"/>
  <c r="H79" i="1"/>
  <c r="H78" i="1"/>
  <c r="H77" i="1"/>
  <c r="G77" i="1"/>
  <c r="G78" i="1"/>
  <c r="Y22" i="1" s="1"/>
  <c r="G82" i="1"/>
  <c r="G81" i="1"/>
  <c r="Y54" i="1" s="1"/>
  <c r="G80" i="1"/>
  <c r="G79" i="1"/>
  <c r="Y38" i="1" s="1"/>
  <c r="L69" i="1"/>
  <c r="H74" i="1"/>
  <c r="H73" i="1"/>
  <c r="H72" i="1"/>
  <c r="H71" i="1"/>
  <c r="H70" i="1"/>
  <c r="H69" i="1"/>
  <c r="G74" i="1"/>
  <c r="X53" i="1" s="1"/>
  <c r="G73" i="1"/>
  <c r="G72" i="1"/>
  <c r="X41" i="1" s="1"/>
  <c r="G71" i="1"/>
  <c r="X21" i="1" s="1"/>
  <c r="G70" i="1"/>
  <c r="X19" i="1" s="1"/>
  <c r="G69" i="1"/>
  <c r="G90" i="1"/>
  <c r="L85" i="1"/>
  <c r="H85" i="1"/>
  <c r="H86" i="1"/>
  <c r="G87" i="1"/>
  <c r="W29" i="1" s="1"/>
  <c r="G88" i="1"/>
  <c r="G89" i="1"/>
  <c r="W21" i="1" s="1"/>
  <c r="H89" i="1"/>
  <c r="H88" i="1"/>
  <c r="H87" i="1"/>
  <c r="G86" i="1"/>
  <c r="W33" i="1" s="1"/>
  <c r="AB5" i="4" l="1"/>
  <c r="AB9" i="4"/>
  <c r="AB11" i="4"/>
  <c r="AB13" i="4"/>
  <c r="AB39" i="4"/>
  <c r="AB43" i="4"/>
  <c r="AB47" i="4"/>
  <c r="AB53" i="4"/>
  <c r="AB79" i="4"/>
  <c r="AB109" i="4"/>
  <c r="AB113" i="4"/>
  <c r="AB119" i="4"/>
  <c r="AB131" i="4"/>
  <c r="AB147" i="4"/>
  <c r="AB153" i="4"/>
  <c r="AB157" i="4"/>
  <c r="AB165" i="4"/>
  <c r="AB169" i="4"/>
  <c r="AB177" i="4"/>
  <c r="AB229" i="4"/>
  <c r="AB233" i="4"/>
  <c r="AB235" i="4"/>
  <c r="AB237" i="4"/>
  <c r="AB241" i="4"/>
  <c r="AB249" i="4"/>
  <c r="AB253" i="4"/>
  <c r="AB255" i="4"/>
  <c r="AB257" i="4"/>
  <c r="AB261" i="4"/>
  <c r="AB263" i="4"/>
  <c r="AB295" i="4"/>
  <c r="AB299" i="4"/>
  <c r="AB303" i="4"/>
  <c r="AB319" i="4"/>
  <c r="AB321" i="4"/>
  <c r="AB327" i="4"/>
  <c r="AB329" i="4"/>
  <c r="AB331" i="4"/>
  <c r="AB333" i="4"/>
  <c r="AB337" i="4"/>
  <c r="AB343" i="4"/>
  <c r="AB345" i="4"/>
  <c r="AB347" i="4"/>
  <c r="AB349" i="4"/>
  <c r="AB351" i="4"/>
  <c r="AB353" i="4"/>
  <c r="AB359" i="4"/>
  <c r="AB363" i="4"/>
  <c r="AB365" i="4"/>
  <c r="AB369" i="4"/>
  <c r="AB393" i="4"/>
  <c r="AB399" i="4"/>
  <c r="AB409" i="4"/>
  <c r="AB15" i="4"/>
  <c r="AB69" i="4"/>
  <c r="AB73" i="4"/>
  <c r="AB83" i="4"/>
  <c r="AB91" i="4"/>
  <c r="AB95" i="4"/>
  <c r="AB107" i="4"/>
  <c r="AB123" i="4"/>
  <c r="AB125" i="4"/>
  <c r="AB163" i="4"/>
  <c r="AB219" i="4"/>
  <c r="AB225" i="4"/>
  <c r="AB271" i="4"/>
  <c r="AB275" i="4"/>
  <c r="AB279" i="4"/>
  <c r="AB293" i="4"/>
  <c r="AB301" i="4"/>
  <c r="AB305" i="4"/>
  <c r="AB309" i="4"/>
  <c r="AB311" i="4"/>
  <c r="AB315" i="4"/>
  <c r="AB325" i="4"/>
  <c r="AB371" i="4"/>
  <c r="AB379" i="4"/>
  <c r="AB381" i="4"/>
  <c r="AB401" i="4"/>
  <c r="AB403" i="4"/>
  <c r="AB411" i="4"/>
  <c r="AB415" i="4"/>
  <c r="AB417" i="4"/>
  <c r="AB419" i="4"/>
  <c r="AB21" i="4"/>
  <c r="AB23" i="4"/>
  <c r="AB35" i="4"/>
  <c r="AB37" i="4"/>
  <c r="AB49" i="4"/>
  <c r="AB63" i="4"/>
  <c r="AB97" i="4"/>
  <c r="AB99" i="4"/>
  <c r="AB101" i="4"/>
  <c r="AB121" i="4"/>
  <c r="AB135" i="4"/>
  <c r="AB143" i="4"/>
  <c r="AB159" i="4"/>
  <c r="AB173" i="4"/>
  <c r="AB181" i="4"/>
  <c r="AB183" i="4"/>
  <c r="AB189" i="4"/>
  <c r="AB191" i="4"/>
  <c r="AB193" i="4"/>
  <c r="AB195" i="4"/>
  <c r="AB197" i="4"/>
  <c r="AB199" i="4"/>
  <c r="AB201" i="4"/>
  <c r="AB203" i="4"/>
  <c r="AB205" i="4"/>
  <c r="AB207" i="4"/>
  <c r="AB209" i="4"/>
  <c r="AB267" i="4"/>
  <c r="AB375" i="4"/>
  <c r="AB377" i="4"/>
  <c r="AB385" i="4"/>
  <c r="AB405" i="4"/>
  <c r="AB407" i="4"/>
  <c r="AC5" i="4"/>
  <c r="AC7" i="4"/>
  <c r="AC9" i="4"/>
  <c r="AC13" i="4"/>
  <c r="AC15" i="4"/>
  <c r="AC17" i="4"/>
  <c r="AC19" i="4"/>
  <c r="AC25" i="4"/>
  <c r="AC39" i="4"/>
  <c r="AC41" i="4"/>
  <c r="AC14" i="4"/>
  <c r="AC18" i="4"/>
  <c r="AC42" i="4"/>
  <c r="AC44" i="4"/>
  <c r="AC46" i="4"/>
  <c r="AC60" i="4"/>
  <c r="AC66" i="4"/>
  <c r="AC70" i="4"/>
  <c r="AC72" i="4"/>
  <c r="AC74" i="4"/>
  <c r="AC78" i="4"/>
  <c r="AC80" i="4"/>
  <c r="AC86" i="4"/>
  <c r="AC88" i="4"/>
  <c r="AC92" i="4"/>
  <c r="AC94" i="4"/>
  <c r="AC106" i="4"/>
  <c r="AC108" i="4"/>
  <c r="AC110" i="4"/>
  <c r="AC112" i="4"/>
  <c r="AC114" i="4"/>
  <c r="AC118" i="4"/>
  <c r="AC120" i="4"/>
  <c r="AC126" i="4"/>
  <c r="AC128" i="4"/>
  <c r="AC130" i="4"/>
  <c r="AC132" i="4"/>
  <c r="AC134" i="4"/>
  <c r="AC140" i="4"/>
  <c r="AC144" i="4"/>
  <c r="AC148" i="4"/>
  <c r="AC150" i="4"/>
  <c r="AC152" i="4"/>
  <c r="AC156" i="4"/>
  <c r="AC158" i="4"/>
  <c r="AC162" i="4"/>
  <c r="AC164" i="4"/>
  <c r="AC176" i="4"/>
  <c r="AC192" i="4"/>
  <c r="AC210" i="4"/>
  <c r="AC212" i="4"/>
  <c r="AC216" i="4"/>
  <c r="AC234" i="4"/>
  <c r="AC236" i="4"/>
  <c r="AC240" i="4"/>
  <c r="AC242" i="4"/>
  <c r="AC244" i="4"/>
  <c r="AC246" i="4"/>
  <c r="AC256" i="4"/>
  <c r="AC260" i="4"/>
  <c r="AC262" i="4"/>
  <c r="AC264" i="4"/>
  <c r="AC266" i="4"/>
  <c r="AC280" i="4"/>
  <c r="AC282" i="4"/>
  <c r="AC286" i="4"/>
  <c r="AC288" i="4"/>
  <c r="AC290" i="4"/>
  <c r="AC294" i="4"/>
  <c r="AC296" i="4"/>
  <c r="AC298" i="4"/>
  <c r="AC300" i="4"/>
  <c r="AC302" i="4"/>
  <c r="AC304" i="4"/>
  <c r="AC306" i="4"/>
  <c r="AC308" i="4"/>
  <c r="AC318" i="4"/>
  <c r="AC320" i="4"/>
  <c r="AC322" i="4"/>
  <c r="AC324" i="4"/>
  <c r="AC326" i="4"/>
  <c r="AC328" i="4"/>
  <c r="AC330" i="4"/>
  <c r="AC16" i="4"/>
  <c r="AC40" i="4"/>
  <c r="AC45" i="4"/>
  <c r="AC53" i="4"/>
  <c r="AC65" i="4"/>
  <c r="AC81" i="4"/>
  <c r="AC105" i="4"/>
  <c r="AC109" i="4"/>
  <c r="AC113" i="4"/>
  <c r="AC117" i="4"/>
  <c r="AC129" i="4"/>
  <c r="AC133" i="4"/>
  <c r="AC137" i="4"/>
  <c r="AC145" i="4"/>
  <c r="AC149" i="4"/>
  <c r="AC153" i="4"/>
  <c r="AC157" i="4"/>
  <c r="AC161" i="4"/>
  <c r="AC177" i="4"/>
  <c r="AC185" i="4"/>
  <c r="AC221" i="4"/>
  <c r="AC241" i="4"/>
  <c r="AC245" i="4"/>
  <c r="AC249" i="4"/>
  <c r="AC253" i="4"/>
  <c r="AC257" i="4"/>
  <c r="AC261" i="4"/>
  <c r="AC265" i="4"/>
  <c r="AC273" i="4"/>
  <c r="AC281" i="4"/>
  <c r="AC285" i="4"/>
  <c r="AC289" i="4"/>
  <c r="AC297" i="4"/>
  <c r="AC301" i="4"/>
  <c r="AC305" i="4"/>
  <c r="AC321" i="4"/>
  <c r="AC329" i="4"/>
  <c r="AC332" i="4"/>
  <c r="AC334" i="4"/>
  <c r="AC336" i="4"/>
  <c r="AC338" i="4"/>
  <c r="AC340" i="4"/>
  <c r="AC342" i="4"/>
  <c r="AC344" i="4"/>
  <c r="AC346" i="4"/>
  <c r="AC348" i="4"/>
  <c r="AC352" i="4"/>
  <c r="AC354" i="4"/>
  <c r="AC358" i="4"/>
  <c r="AC360" i="4"/>
  <c r="AC362" i="4"/>
  <c r="AC364" i="4"/>
  <c r="AC366" i="4"/>
  <c r="AC368" i="4"/>
  <c r="AC370" i="4"/>
  <c r="AC386" i="4"/>
  <c r="AC400" i="4"/>
  <c r="AC412" i="4"/>
  <c r="AC422" i="4"/>
  <c r="AC424" i="4"/>
  <c r="AC426" i="4"/>
  <c r="AC432" i="4"/>
  <c r="AC440" i="4"/>
  <c r="AC444" i="4"/>
  <c r="AC446" i="4"/>
  <c r="AC450" i="4"/>
  <c r="AC452" i="4"/>
  <c r="AC464" i="4"/>
  <c r="AC468" i="4"/>
  <c r="AC470" i="4"/>
  <c r="AC474" i="4"/>
  <c r="AC476" i="4"/>
  <c r="AC494" i="4"/>
  <c r="AC496" i="4"/>
  <c r="AC498" i="4"/>
  <c r="AC500" i="4"/>
  <c r="AC502" i="4"/>
  <c r="AC508" i="4"/>
  <c r="AC510" i="4"/>
  <c r="AC518" i="4"/>
  <c r="AC520" i="4"/>
  <c r="AC522" i="4"/>
  <c r="AC528" i="4"/>
  <c r="AC530" i="4"/>
  <c r="AC532" i="4"/>
  <c r="AC534" i="4"/>
  <c r="AC536" i="4"/>
  <c r="AC538" i="4"/>
  <c r="AC552" i="4"/>
  <c r="AC556" i="4"/>
  <c r="AC570" i="4"/>
  <c r="AC574" i="4"/>
  <c r="AC578" i="4"/>
  <c r="AC580" i="4"/>
  <c r="AC582" i="4"/>
  <c r="AC592" i="4"/>
  <c r="AC4" i="4"/>
  <c r="AC47" i="4"/>
  <c r="AC71" i="4"/>
  <c r="AC79" i="4"/>
  <c r="AC103" i="4"/>
  <c r="AC111" i="4"/>
  <c r="AC127" i="4"/>
  <c r="AC151" i="4"/>
  <c r="AC215" i="4"/>
  <c r="AC239" i="4"/>
  <c r="AC247" i="4"/>
  <c r="AC255" i="4"/>
  <c r="AC263" i="4"/>
  <c r="AC287" i="4"/>
  <c r="AC295" i="4"/>
  <c r="AC303" i="4"/>
  <c r="AC319" i="4"/>
  <c r="AC327" i="4"/>
  <c r="AC333" i="4"/>
  <c r="AC337" i="4"/>
  <c r="AC341" i="4"/>
  <c r="AC345" i="4"/>
  <c r="AC349" i="4"/>
  <c r="AC353" i="4"/>
  <c r="AC357" i="4"/>
  <c r="AC361" i="4"/>
  <c r="AC365" i="4"/>
  <c r="AC369" i="4"/>
  <c r="AC425" i="4"/>
  <c r="AC429" i="4"/>
  <c r="AC433" i="4"/>
  <c r="AC437" i="4"/>
  <c r="AC445" i="4"/>
  <c r="AC465" i="4"/>
  <c r="AC469" i="4"/>
  <c r="AC477" i="4"/>
  <c r="AC497" i="4"/>
  <c r="AC501" i="4"/>
  <c r="AC505" i="4"/>
  <c r="AC509" i="4"/>
  <c r="AC521" i="4"/>
  <c r="AC529" i="4"/>
  <c r="AC533" i="4"/>
  <c r="AC557" i="4"/>
  <c r="AC561" i="4"/>
  <c r="AC577" i="4"/>
  <c r="AC581" i="4"/>
  <c r="AC593" i="4"/>
  <c r="AC601" i="4"/>
  <c r="AC605" i="4"/>
  <c r="AC43" i="4"/>
  <c r="AC67" i="4"/>
  <c r="AC75" i="4"/>
  <c r="AC115" i="4"/>
  <c r="AC131" i="4"/>
  <c r="AC147" i="4"/>
  <c r="AC155" i="4"/>
  <c r="AC171" i="4"/>
  <c r="AC211" i="4"/>
  <c r="AC235" i="4"/>
  <c r="AC243" i="4"/>
  <c r="AC251" i="4"/>
  <c r="AC283" i="4"/>
  <c r="AC291" i="4"/>
  <c r="AC299" i="4"/>
  <c r="AC323" i="4"/>
  <c r="AC331" i="4"/>
  <c r="AC335" i="4"/>
  <c r="AC343" i="4"/>
  <c r="AC347" i="4"/>
  <c r="AC351" i="4"/>
  <c r="AC355" i="4"/>
  <c r="AC359" i="4"/>
  <c r="AC363" i="4"/>
  <c r="AC367" i="4"/>
  <c r="AC399" i="4"/>
  <c r="AC427" i="4"/>
  <c r="AC431" i="4"/>
  <c r="AC435" i="4"/>
  <c r="AC439" i="4"/>
  <c r="AC451" i="4"/>
  <c r="AC455" i="4"/>
  <c r="AC463" i="4"/>
  <c r="AC471" i="4"/>
  <c r="AC475" i="4"/>
  <c r="AC495" i="4"/>
  <c r="AC499" i="4"/>
  <c r="AC507" i="4"/>
  <c r="AC515" i="4"/>
  <c r="AC519" i="4"/>
  <c r="AC531" i="4"/>
  <c r="AC535" i="4"/>
  <c r="AC551" i="4"/>
  <c r="AC571" i="4"/>
  <c r="AC575" i="4"/>
  <c r="AC579" i="4"/>
  <c r="AC583" i="4"/>
  <c r="AC603" i="4"/>
  <c r="AC54" i="4"/>
  <c r="AC104" i="4"/>
  <c r="AC124" i="4"/>
  <c r="AC214" i="4"/>
  <c r="AC218" i="4"/>
  <c r="AC254" i="4"/>
  <c r="AC274" i="4"/>
  <c r="AC276" i="4"/>
  <c r="AC310" i="4"/>
  <c r="AC316" i="4"/>
  <c r="AC24" i="4"/>
  <c r="AC125" i="4"/>
  <c r="AC309" i="4"/>
  <c r="AC325" i="4"/>
  <c r="AC372" i="4"/>
  <c r="AC430" i="4"/>
  <c r="AC442" i="4"/>
  <c r="AC478" i="4"/>
  <c r="AC480" i="4"/>
  <c r="AC490" i="4"/>
  <c r="AC512" i="4"/>
  <c r="AC514" i="4"/>
  <c r="AC544" i="4"/>
  <c r="AC546" i="4"/>
  <c r="AC548" i="4"/>
  <c r="AC550" i="4"/>
  <c r="AC572" i="4"/>
  <c r="AC586" i="4"/>
  <c r="AC600" i="4"/>
  <c r="AC95" i="4"/>
  <c r="AC271" i="4"/>
  <c r="AC311" i="4"/>
  <c r="AC373" i="4"/>
  <c r="AC381" i="4"/>
  <c r="AC413" i="4"/>
  <c r="AC449" i="4"/>
  <c r="AC489" i="4"/>
  <c r="AC493" i="4"/>
  <c r="AC545" i="4"/>
  <c r="AC589" i="4"/>
  <c r="AC28" i="4"/>
  <c r="AC123" i="4"/>
  <c r="AC163" i="4"/>
  <c r="AC187" i="4"/>
  <c r="AC315" i="4"/>
  <c r="AC379" i="4"/>
  <c r="AC387" i="4"/>
  <c r="AC419" i="4"/>
  <c r="AC423" i="4"/>
  <c r="AC479" i="4"/>
  <c r="AC483" i="4"/>
  <c r="AC491" i="4"/>
  <c r="AC527" i="4"/>
  <c r="AC547" i="4"/>
  <c r="AC555" i="4"/>
  <c r="AC595" i="4"/>
  <c r="AC607" i="4"/>
  <c r="AC23" i="4"/>
  <c r="AC22" i="4"/>
  <c r="AC50" i="4"/>
  <c r="AC96" i="4"/>
  <c r="AC98" i="4"/>
  <c r="AC100" i="4"/>
  <c r="AC160" i="4"/>
  <c r="AC172" i="4"/>
  <c r="AC182" i="4"/>
  <c r="AC184" i="4"/>
  <c r="AC186" i="4"/>
  <c r="AC188" i="4"/>
  <c r="AC190" i="4"/>
  <c r="AC194" i="4"/>
  <c r="AC198" i="4"/>
  <c r="AC200" i="4"/>
  <c r="AC202" i="4"/>
  <c r="AC204" i="4"/>
  <c r="AC206" i="4"/>
  <c r="AC208" i="4"/>
  <c r="AC258" i="4"/>
  <c r="AC49" i="4"/>
  <c r="AC97" i="4"/>
  <c r="AC101" i="4"/>
  <c r="AC121" i="4"/>
  <c r="AC173" i="4"/>
  <c r="AC181" i="4"/>
  <c r="AC189" i="4"/>
  <c r="AC193" i="4"/>
  <c r="AC197" i="4"/>
  <c r="AC201" i="4"/>
  <c r="AC205" i="4"/>
  <c r="AC209" i="4"/>
  <c r="AC376" i="4"/>
  <c r="AC382" i="4"/>
  <c r="AC384" i="4"/>
  <c r="AC404" i="4"/>
  <c r="AC406" i="4"/>
  <c r="AC408" i="4"/>
  <c r="AC414" i="4"/>
  <c r="AC420" i="4"/>
  <c r="AC596" i="4"/>
  <c r="AC143" i="4"/>
  <c r="AC159" i="4"/>
  <c r="AC183" i="4"/>
  <c r="AC191" i="4"/>
  <c r="AC199" i="4"/>
  <c r="AC207" i="4"/>
  <c r="AC377" i="4"/>
  <c r="AC405" i="4"/>
  <c r="AC421" i="4"/>
  <c r="AC441" i="4"/>
  <c r="AC517" i="4"/>
  <c r="AC609" i="4"/>
  <c r="AC99" i="4"/>
  <c r="AC203" i="4"/>
  <c r="AC267" i="4"/>
  <c r="AC375" i="4"/>
  <c r="AC407" i="4"/>
  <c r="AC443" i="4"/>
  <c r="AC599" i="4"/>
  <c r="AA12" i="4"/>
  <c r="AA26" i="4"/>
  <c r="AA32" i="4"/>
  <c r="AA40" i="4"/>
  <c r="AA52" i="4"/>
  <c r="AA58" i="4"/>
  <c r="AA64" i="4"/>
  <c r="AA84" i="4"/>
  <c r="AA98" i="4"/>
  <c r="AA116" i="4"/>
  <c r="AA120" i="4"/>
  <c r="AA130" i="4"/>
  <c r="AA156" i="4"/>
  <c r="AA158" i="4"/>
  <c r="AA164" i="4"/>
  <c r="AA172" i="4"/>
  <c r="AA180" i="4"/>
  <c r="AA182" i="4"/>
  <c r="AA184" i="4"/>
  <c r="AA186" i="4"/>
  <c r="AA188" i="4"/>
  <c r="AA190" i="4"/>
  <c r="AA194" i="4"/>
  <c r="AA196" i="4"/>
  <c r="AA198" i="4"/>
  <c r="AA200" i="4"/>
  <c r="AA202" i="4"/>
  <c r="AA204" i="4"/>
  <c r="AA206" i="4"/>
  <c r="AA210" i="4"/>
  <c r="AA214" i="4"/>
  <c r="AA220" i="4"/>
  <c r="AA232" i="4"/>
  <c r="AA234" i="4"/>
  <c r="AA7" i="4"/>
  <c r="AA11" i="4"/>
  <c r="AA27" i="4"/>
  <c r="AA43" i="4"/>
  <c r="AA47" i="4"/>
  <c r="AA51" i="4"/>
  <c r="AA55" i="4"/>
  <c r="AA59" i="4"/>
  <c r="AA63" i="4"/>
  <c r="AA79" i="4"/>
  <c r="AA143" i="4"/>
  <c r="AA147" i="4"/>
  <c r="AA159" i="4"/>
  <c r="AA163" i="4"/>
  <c r="AA175" i="4"/>
  <c r="AA179" i="4"/>
  <c r="AA191" i="4"/>
  <c r="AA195" i="4"/>
  <c r="AA199" i="4"/>
  <c r="AA207" i="4"/>
  <c r="AA256" i="4"/>
  <c r="AA258" i="4"/>
  <c r="AA268" i="4"/>
  <c r="AA270" i="4"/>
  <c r="AA274" i="4"/>
  <c r="AA276" i="4"/>
  <c r="AA282" i="4"/>
  <c r="AA294" i="4"/>
  <c r="AA302" i="4"/>
  <c r="AA304" i="4"/>
  <c r="AA308" i="4"/>
  <c r="AA314" i="4"/>
  <c r="AA316" i="4"/>
  <c r="AA318" i="4"/>
  <c r="AA322" i="4"/>
  <c r="AA324" i="4"/>
  <c r="AA332" i="4"/>
  <c r="AA334" i="4"/>
  <c r="AA338" i="4"/>
  <c r="AA342" i="4"/>
  <c r="AA344" i="4"/>
  <c r="AA360" i="4"/>
  <c r="AA364" i="4"/>
  <c r="AA366" i="4"/>
  <c r="AA368" i="4"/>
  <c r="AA370" i="4"/>
  <c r="AA374" i="4"/>
  <c r="AA376" i="4"/>
  <c r="AA382" i="4"/>
  <c r="AA390" i="4"/>
  <c r="AA400" i="4"/>
  <c r="AA406" i="4"/>
  <c r="AA420" i="4"/>
  <c r="AA428" i="4"/>
  <c r="AA434" i="4"/>
  <c r="AA442" i="4"/>
  <c r="AA460" i="4"/>
  <c r="AA466" i="4"/>
  <c r="AA470" i="4"/>
  <c r="AA472" i="4"/>
  <c r="AA474" i="4"/>
  <c r="AA480" i="4"/>
  <c r="AA486" i="4"/>
  <c r="AA494" i="4"/>
  <c r="AA504" i="4"/>
  <c r="AA506" i="4"/>
  <c r="AA508" i="4"/>
  <c r="AA512" i="4"/>
  <c r="AA514" i="4"/>
  <c r="AA528" i="4"/>
  <c r="AA532" i="4"/>
  <c r="AA534" i="4"/>
  <c r="AA548" i="4"/>
  <c r="AA552" i="4"/>
  <c r="AA554" i="4"/>
  <c r="AA556" i="4"/>
  <c r="AA558" i="4"/>
  <c r="AA568" i="4"/>
  <c r="AA570" i="4"/>
  <c r="AA572" i="4"/>
  <c r="AA574" i="4"/>
  <c r="AA578" i="4"/>
  <c r="AA9" i="4"/>
  <c r="AA13" i="4"/>
  <c r="AA29" i="4"/>
  <c r="AA49" i="4"/>
  <c r="AA53" i="4"/>
  <c r="AA61" i="4"/>
  <c r="AA109" i="4"/>
  <c r="AA141" i="4"/>
  <c r="AA157" i="4"/>
  <c r="AA173" i="4"/>
  <c r="AA177" i="4"/>
  <c r="AA181" i="4"/>
  <c r="AA189" i="4"/>
  <c r="AA193" i="4"/>
  <c r="AA197" i="4"/>
  <c r="AA209" i="4"/>
  <c r="AA217" i="4"/>
  <c r="AA237" i="4"/>
  <c r="AA249" i="4"/>
  <c r="AA251" i="4"/>
  <c r="AA255" i="4"/>
  <c r="AA263" i="4"/>
  <c r="AA271" i="4"/>
  <c r="AA281" i="4"/>
  <c r="AA285" i="4"/>
  <c r="AA289" i="4"/>
  <c r="AA291" i="4"/>
  <c r="AA295" i="4"/>
  <c r="AA299" i="4"/>
  <c r="AA303" i="4"/>
  <c r="AA309" i="4"/>
  <c r="AA317" i="4"/>
  <c r="AA319" i="4"/>
  <c r="AA327" i="4"/>
  <c r="AA329" i="4"/>
  <c r="AA331" i="4"/>
  <c r="AA333" i="4"/>
  <c r="AA337" i="4"/>
  <c r="AA343" i="4"/>
  <c r="AA349" i="4"/>
  <c r="AA351" i="4"/>
  <c r="AA353" i="4"/>
  <c r="AA359" i="4"/>
  <c r="AA361" i="4"/>
  <c r="AA365" i="4"/>
  <c r="AA369" i="4"/>
  <c r="AA375" i="4"/>
  <c r="AA385" i="4"/>
  <c r="AA389" i="4"/>
  <c r="AA391" i="4"/>
  <c r="AA399" i="4"/>
  <c r="AA417" i="4"/>
  <c r="AA421" i="4"/>
  <c r="AA433" i="4"/>
  <c r="AA435" i="4"/>
  <c r="AA437" i="4"/>
  <c r="AA439" i="4"/>
  <c r="AA441" i="4"/>
  <c r="AA443" i="4"/>
  <c r="AA445" i="4"/>
  <c r="AA461" i="4"/>
  <c r="AA463" i="4"/>
  <c r="AA483" i="4"/>
  <c r="AA485" i="4"/>
  <c r="AA491" i="4"/>
  <c r="AA499" i="4"/>
  <c r="AA503" i="4"/>
  <c r="AA515" i="4"/>
  <c r="AA517" i="4"/>
  <c r="AA519" i="4"/>
  <c r="AA523" i="4"/>
  <c r="AA525" i="4"/>
  <c r="AA537" i="4"/>
  <c r="AA541" i="4"/>
  <c r="AA543" i="4"/>
  <c r="AA545" i="4"/>
  <c r="AA553" i="4"/>
  <c r="AA557" i="4"/>
  <c r="AA577" i="4"/>
  <c r="AA583" i="4"/>
  <c r="AA591" i="4"/>
  <c r="AA595" i="4"/>
  <c r="AA597" i="4"/>
  <c r="AA16" i="4"/>
  <c r="AA20" i="4"/>
  <c r="AA22" i="4"/>
  <c r="AA24" i="4"/>
  <c r="AA42" i="4"/>
  <c r="AA44" i="4"/>
  <c r="AA46" i="4"/>
  <c r="AA56" i="4"/>
  <c r="AA62" i="4"/>
  <c r="AA66" i="4"/>
  <c r="AA70" i="4"/>
  <c r="AA72" i="4"/>
  <c r="AA78" i="4"/>
  <c r="AA82" i="4"/>
  <c r="AA86" i="4"/>
  <c r="AA88" i="4"/>
  <c r="AA92" i="4"/>
  <c r="AA94" i="4"/>
  <c r="AA108" i="4"/>
  <c r="AA110" i="4"/>
  <c r="AA122" i="4"/>
  <c r="AA126" i="4"/>
  <c r="AA128" i="4"/>
  <c r="AA136" i="4"/>
  <c r="AA140" i="4"/>
  <c r="AA142" i="4"/>
  <c r="AA148" i="4"/>
  <c r="AA150" i="4"/>
  <c r="AA166" i="4"/>
  <c r="AA170" i="4"/>
  <c r="AA176" i="4"/>
  <c r="AA192" i="4"/>
  <c r="AA212" i="4"/>
  <c r="AA216" i="4"/>
  <c r="AA222" i="4"/>
  <c r="AA226" i="4"/>
  <c r="AA228" i="4"/>
  <c r="AA230" i="4"/>
  <c r="AA71" i="4"/>
  <c r="AA75" i="4"/>
  <c r="AA83" i="4"/>
  <c r="AA91" i="4"/>
  <c r="AA95" i="4"/>
  <c r="AA103" i="4"/>
  <c r="AA111" i="4"/>
  <c r="AA139" i="4"/>
  <c r="AA151" i="4"/>
  <c r="AA155" i="4"/>
  <c r="AA187" i="4"/>
  <c r="AA211" i="4"/>
  <c r="AA215" i="4"/>
  <c r="AA235" i="4"/>
  <c r="AA244" i="4"/>
  <c r="AA250" i="4"/>
  <c r="AA252" i="4"/>
  <c r="AA260" i="4"/>
  <c r="AA262" i="4"/>
  <c r="AA286" i="4"/>
  <c r="AA290" i="4"/>
  <c r="AA296" i="4"/>
  <c r="AA298" i="4"/>
  <c r="AA300" i="4"/>
  <c r="AA310" i="4"/>
  <c r="AA354" i="4"/>
  <c r="AA380" i="4"/>
  <c r="AA394" i="4"/>
  <c r="AA410" i="4"/>
  <c r="AA412" i="4"/>
  <c r="AA418" i="4"/>
  <c r="AA444" i="4"/>
  <c r="AA446" i="4"/>
  <c r="AA448" i="4"/>
  <c r="AA450" i="4"/>
  <c r="AA454" i="4"/>
  <c r="AA464" i="4"/>
  <c r="AA468" i="4"/>
  <c r="AA476" i="4"/>
  <c r="AA478" i="4"/>
  <c r="AA484" i="4"/>
  <c r="AA496" i="4"/>
  <c r="AA510" i="4"/>
  <c r="AA516" i="4"/>
  <c r="AA520" i="4"/>
  <c r="AA542" i="4"/>
  <c r="AA546" i="4"/>
  <c r="AA564" i="4"/>
  <c r="AA33" i="4"/>
  <c r="AA41" i="4"/>
  <c r="AA45" i="4"/>
  <c r="AA57" i="4"/>
  <c r="AA65" i="4"/>
  <c r="AA81" i="4"/>
  <c r="AA93" i="4"/>
  <c r="AA121" i="4"/>
  <c r="AA125" i="4"/>
  <c r="AA129" i="4"/>
  <c r="AA137" i="4"/>
  <c r="AA145" i="4"/>
  <c r="AA149" i="4"/>
  <c r="AA161" i="4"/>
  <c r="AA185" i="4"/>
  <c r="AA205" i="4"/>
  <c r="AA221" i="4"/>
  <c r="AA225" i="4"/>
  <c r="AA233" i="4"/>
  <c r="AA247" i="4"/>
  <c r="AA273" i="4"/>
  <c r="AA275" i="4"/>
  <c r="AA323" i="4"/>
  <c r="AA341" i="4"/>
  <c r="AA355" i="4"/>
  <c r="AA367" i="4"/>
  <c r="AA371" i="4"/>
  <c r="AA393" i="4"/>
  <c r="AA401" i="4"/>
  <c r="AA403" i="4"/>
  <c r="AA409" i="4"/>
  <c r="AA429" i="4"/>
  <c r="AA431" i="4"/>
  <c r="AA449" i="4"/>
  <c r="AA455" i="4"/>
  <c r="AA457" i="4"/>
  <c r="AA507" i="4"/>
  <c r="AA511" i="4"/>
  <c r="AA513" i="4"/>
  <c r="AA533" i="4"/>
  <c r="AA547" i="4"/>
  <c r="AA563" i="4"/>
  <c r="AA565" i="4"/>
  <c r="AA575" i="4"/>
  <c r="AA587" i="4"/>
  <c r="AA601" i="4"/>
  <c r="AA607" i="4"/>
  <c r="AA8" i="4"/>
  <c r="AA48" i="4"/>
  <c r="AA68" i="4"/>
  <c r="AA114" i="4"/>
  <c r="AA132" i="4"/>
  <c r="AA134" i="4"/>
  <c r="AA138" i="4"/>
  <c r="AA162" i="4"/>
  <c r="AA168" i="4"/>
  <c r="AA178" i="4"/>
  <c r="AA15" i="4"/>
  <c r="AA107" i="4"/>
  <c r="AA115" i="4"/>
  <c r="AA167" i="4"/>
  <c r="AA171" i="4"/>
  <c r="AA223" i="4"/>
  <c r="AA227" i="4"/>
  <c r="AA238" i="4"/>
  <c r="AA240" i="4"/>
  <c r="AA248" i="4"/>
  <c r="AA254" i="4"/>
  <c r="AA266" i="4"/>
  <c r="AA396" i="4"/>
  <c r="AA452" i="4"/>
  <c r="AA500" i="4"/>
  <c r="AA538" i="4"/>
  <c r="AA69" i="4"/>
  <c r="AA73" i="4"/>
  <c r="AA77" i="4"/>
  <c r="AA89" i="4"/>
  <c r="AA133" i="4"/>
  <c r="AA239" i="4"/>
  <c r="AA243" i="4"/>
  <c r="AA293" i="4"/>
  <c r="AA301" i="4"/>
  <c r="AA305" i="4"/>
  <c r="AA307" i="4"/>
  <c r="AA339" i="4"/>
  <c r="AA357" i="4"/>
  <c r="AA395" i="4"/>
  <c r="AA397" i="4"/>
  <c r="AA411" i="4"/>
  <c r="AA425" i="4"/>
  <c r="AA427" i="4"/>
  <c r="AA451" i="4"/>
  <c r="AA465" i="4"/>
  <c r="AA469" i="4"/>
  <c r="AA497" i="4"/>
  <c r="AA567" i="4"/>
  <c r="AA571" i="4"/>
  <c r="AA579" i="4"/>
  <c r="AA593" i="4"/>
  <c r="AD28" i="4"/>
  <c r="AD50" i="4"/>
  <c r="AD96" i="4"/>
  <c r="AD97" i="4"/>
  <c r="AD189" i="4"/>
  <c r="AD191" i="4"/>
  <c r="AD375" i="4"/>
  <c r="AD405" i="4"/>
  <c r="AD599" i="4"/>
  <c r="AD376" i="4"/>
  <c r="AD404" i="4"/>
  <c r="AD420" i="4"/>
  <c r="AD6" i="4"/>
  <c r="AD12" i="4"/>
  <c r="AD14" i="4"/>
  <c r="AD16" i="4"/>
  <c r="AD18" i="4"/>
  <c r="AD20" i="4"/>
  <c r="AD24" i="4"/>
  <c r="AD40" i="4"/>
  <c r="AD42" i="4"/>
  <c r="AD44" i="4"/>
  <c r="AD46" i="4"/>
  <c r="AD48" i="4"/>
  <c r="AD52" i="4"/>
  <c r="AD56" i="4"/>
  <c r="AD60" i="4"/>
  <c r="AD62" i="4"/>
  <c r="AD66" i="4"/>
  <c r="AD70" i="4"/>
  <c r="AD72" i="4"/>
  <c r="AD74" i="4"/>
  <c r="AD76" i="4"/>
  <c r="AD78" i="4"/>
  <c r="AD80" i="4"/>
  <c r="AD84" i="4"/>
  <c r="AD88" i="4"/>
  <c r="AD92" i="4"/>
  <c r="AD94" i="4"/>
  <c r="AD106" i="4"/>
  <c r="AD108" i="4"/>
  <c r="AD110" i="4"/>
  <c r="AD112" i="4"/>
  <c r="AD114" i="4"/>
  <c r="AD116" i="4"/>
  <c r="AD120" i="4"/>
  <c r="AD124" i="4"/>
  <c r="AD126" i="4"/>
  <c r="AD128" i="4"/>
  <c r="AD130" i="4"/>
  <c r="AD132" i="4"/>
  <c r="AD136" i="4"/>
  <c r="AD140" i="4"/>
  <c r="AD142" i="4"/>
  <c r="AD146" i="4"/>
  <c r="AD148" i="4"/>
  <c r="AD150" i="4"/>
  <c r="AD7" i="4"/>
  <c r="AD9" i="4"/>
  <c r="AD11" i="4"/>
  <c r="AD13" i="4"/>
  <c r="AD15" i="4"/>
  <c r="AD17" i="4"/>
  <c r="AD19" i="4"/>
  <c r="AD25" i="4"/>
  <c r="AD27" i="4"/>
  <c r="AD31" i="4"/>
  <c r="AD33" i="4"/>
  <c r="AD39" i="4"/>
  <c r="AD41" i="4"/>
  <c r="AD43" i="4"/>
  <c r="AD45" i="4"/>
  <c r="AD47" i="4"/>
  <c r="AD51" i="4"/>
  <c r="AD53" i="4"/>
  <c r="AD57" i="4"/>
  <c r="AD61" i="4"/>
  <c r="AD63" i="4"/>
  <c r="AD65" i="4"/>
  <c r="AD67" i="4"/>
  <c r="AD69" i="4"/>
  <c r="AD71" i="4"/>
  <c r="AD75" i="4"/>
  <c r="AD77" i="4"/>
  <c r="AD79" i="4"/>
  <c r="AD81" i="4"/>
  <c r="AD83" i="4"/>
  <c r="AD87" i="4"/>
  <c r="AD89" i="4"/>
  <c r="AD93" i="4"/>
  <c r="AD95" i="4"/>
  <c r="AD103" i="4"/>
  <c r="AD105" i="4"/>
  <c r="AD107" i="4"/>
  <c r="AD109" i="4"/>
  <c r="AD111" i="4"/>
  <c r="AD113" i="4"/>
  <c r="AD115" i="4"/>
  <c r="AD119" i="4"/>
  <c r="AD125" i="4"/>
  <c r="AD129" i="4"/>
  <c r="AD133" i="4"/>
  <c r="AD137" i="4"/>
  <c r="AD141" i="4"/>
  <c r="AD145" i="4"/>
  <c r="AD149" i="4"/>
  <c r="AD152" i="4"/>
  <c r="AD154" i="4"/>
  <c r="AD156" i="4"/>
  <c r="AD162" i="4"/>
  <c r="AD164" i="4"/>
  <c r="AD166" i="4"/>
  <c r="AD168" i="4"/>
  <c r="AD170" i="4"/>
  <c r="AD192" i="4"/>
  <c r="AD210" i="4"/>
  <c r="AD212" i="4"/>
  <c r="AD214" i="4"/>
  <c r="AD216" i="4"/>
  <c r="AD218" i="4"/>
  <c r="AD220" i="4"/>
  <c r="AD222" i="4"/>
  <c r="AD226" i="4"/>
  <c r="AD228" i="4"/>
  <c r="AD230" i="4"/>
  <c r="AD234" i="4"/>
  <c r="AD236" i="4"/>
  <c r="AD242" i="4"/>
  <c r="AD244" i="4"/>
  <c r="AD246" i="4"/>
  <c r="AD248" i="4"/>
  <c r="AD250" i="4"/>
  <c r="AD256" i="4"/>
  <c r="AD262" i="4"/>
  <c r="AD264" i="4"/>
  <c r="AD268" i="4"/>
  <c r="AD270" i="4"/>
  <c r="AD272" i="4"/>
  <c r="AD274" i="4"/>
  <c r="AD276" i="4"/>
  <c r="AD278" i="4"/>
  <c r="AD282" i="4"/>
  <c r="AD284" i="4"/>
  <c r="AD286" i="4"/>
  <c r="AD288" i="4"/>
  <c r="AD294" i="4"/>
  <c r="AD296" i="4"/>
  <c r="AD298" i="4"/>
  <c r="AD304" i="4"/>
  <c r="AD306" i="4"/>
  <c r="AD308" i="4"/>
  <c r="AD127" i="4"/>
  <c r="AD131" i="4"/>
  <c r="AD139" i="4"/>
  <c r="AD147" i="4"/>
  <c r="AD151" i="4"/>
  <c r="AD153" i="4"/>
  <c r="AD155" i="4"/>
  <c r="AD157" i="4"/>
  <c r="AD161" i="4"/>
  <c r="AD163" i="4"/>
  <c r="AD165" i="4"/>
  <c r="AD167" i="4"/>
  <c r="AD169" i="4"/>
  <c r="AD171" i="4"/>
  <c r="AD177" i="4"/>
  <c r="AD185" i="4"/>
  <c r="AD211" i="4"/>
  <c r="AD213" i="4"/>
  <c r="AD215" i="4"/>
  <c r="AD217" i="4"/>
  <c r="AD221" i="4"/>
  <c r="AD223" i="4"/>
  <c r="AD229" i="4"/>
  <c r="AD231" i="4"/>
  <c r="AD233" i="4"/>
  <c r="AD235" i="4"/>
  <c r="AD237" i="4"/>
  <c r="AD239" i="4"/>
  <c r="AD245" i="4"/>
  <c r="AD247" i="4"/>
  <c r="AD249" i="4"/>
  <c r="AD251" i="4"/>
  <c r="AD253" i="4"/>
  <c r="AD255" i="4"/>
  <c r="AD257" i="4"/>
  <c r="AD261" i="4"/>
  <c r="AD263" i="4"/>
  <c r="AD265" i="4"/>
  <c r="AD269" i="4"/>
  <c r="AD271" i="4"/>
  <c r="AD273" i="4"/>
  <c r="AD275" i="4"/>
  <c r="AD277" i="4"/>
  <c r="AD281" i="4"/>
  <c r="AD283" i="4"/>
  <c r="AD285" i="4"/>
  <c r="AD287" i="4"/>
  <c r="AD289" i="4"/>
  <c r="AD291" i="4"/>
  <c r="AD295" i="4"/>
  <c r="AD297" i="4"/>
  <c r="AD299" i="4"/>
  <c r="AD303" i="4"/>
  <c r="AD311" i="4"/>
  <c r="AD313" i="4"/>
  <c r="AD315" i="4"/>
  <c r="AD317" i="4"/>
  <c r="AD319" i="4"/>
  <c r="AD321" i="4"/>
  <c r="AD323" i="4"/>
  <c r="AD325" i="4"/>
  <c r="AD327" i="4"/>
  <c r="AD329" i="4"/>
  <c r="AD331" i="4"/>
  <c r="AD333" i="4"/>
  <c r="AD339" i="4"/>
  <c r="AD343" i="4"/>
  <c r="AD345" i="4"/>
  <c r="AD349" i="4"/>
  <c r="AD351" i="4"/>
  <c r="AD353" i="4"/>
  <c r="AD355" i="4"/>
  <c r="AD357" i="4"/>
  <c r="AD359" i="4"/>
  <c r="AD361" i="4"/>
  <c r="AD363" i="4"/>
  <c r="AD365" i="4"/>
  <c r="AD367" i="4"/>
  <c r="AD369" i="4"/>
  <c r="AD371" i="4"/>
  <c r="AD373" i="4"/>
  <c r="AD381" i="4"/>
  <c r="AD383" i="4"/>
  <c r="AD385" i="4"/>
  <c r="AD387" i="4"/>
  <c r="AD389" i="4"/>
  <c r="AD391" i="4"/>
  <c r="AD393" i="4"/>
  <c r="AD399" i="4"/>
  <c r="AD401" i="4"/>
  <c r="AD403" i="4"/>
  <c r="AD409" i="4"/>
  <c r="AD411" i="4"/>
  <c r="AD415" i="4"/>
  <c r="AD417" i="4"/>
  <c r="AD419" i="4"/>
  <c r="AD423" i="4"/>
  <c r="AD425" i="4"/>
  <c r="AD429" i="4"/>
  <c r="AD431" i="4"/>
  <c r="AD433" i="4"/>
  <c r="AD435" i="4"/>
  <c r="AD437" i="4"/>
  <c r="AD439" i="4"/>
  <c r="AD441" i="4"/>
  <c r="AD445" i="4"/>
  <c r="AD447" i="4"/>
  <c r="AD449" i="4"/>
  <c r="AD451" i="4"/>
  <c r="AD453" i="4"/>
  <c r="AD455" i="4"/>
  <c r="AD457" i="4"/>
  <c r="AD459" i="4"/>
  <c r="AD461" i="4"/>
  <c r="AD463" i="4"/>
  <c r="AD465" i="4"/>
  <c r="AD467" i="4"/>
  <c r="AD469" i="4"/>
  <c r="AD473" i="4"/>
  <c r="AD475" i="4"/>
  <c r="AD477" i="4"/>
  <c r="AD483" i="4"/>
  <c r="AD485" i="4"/>
  <c r="AD491" i="4"/>
  <c r="AD493" i="4"/>
  <c r="AD495" i="4"/>
  <c r="AD497" i="4"/>
  <c r="AD499" i="4"/>
  <c r="AD503" i="4"/>
  <c r="AD505" i="4"/>
  <c r="AD507" i="4"/>
  <c r="AD509" i="4"/>
  <c r="AD511" i="4"/>
  <c r="AD513" i="4"/>
  <c r="AD515" i="4"/>
  <c r="AD519" i="4"/>
  <c r="AD521" i="4"/>
  <c r="AD525" i="4"/>
  <c r="AD529" i="4"/>
  <c r="AD531" i="4"/>
  <c r="AD533" i="4"/>
  <c r="AD535" i="4"/>
  <c r="AD539" i="4"/>
  <c r="AD541" i="4"/>
  <c r="AD549" i="4"/>
  <c r="AD553" i="4"/>
  <c r="AD557" i="4"/>
  <c r="AD559" i="4"/>
  <c r="AD563" i="4"/>
  <c r="AD565" i="4"/>
  <c r="AD569" i="4"/>
  <c r="AD571" i="4"/>
  <c r="AD573" i="4"/>
  <c r="AD577" i="4"/>
  <c r="AD581" i="4"/>
  <c r="AD583" i="4"/>
  <c r="AD585" i="4"/>
  <c r="AD589" i="4"/>
  <c r="AD597" i="4"/>
  <c r="AD601" i="4"/>
  <c r="AD603" i="4"/>
  <c r="AD605" i="4"/>
  <c r="AD307" i="4"/>
  <c r="AD312" i="4"/>
  <c r="AD314" i="4"/>
  <c r="AD316" i="4"/>
  <c r="AD318" i="4"/>
  <c r="AD320" i="4"/>
  <c r="AD324" i="4"/>
  <c r="AD326" i="4"/>
  <c r="AD330" i="4"/>
  <c r="AD332" i="4"/>
  <c r="AD334" i="4"/>
  <c r="AD338" i="4"/>
  <c r="AD340" i="4"/>
  <c r="AD342" i="4"/>
  <c r="AD344" i="4"/>
  <c r="AD346" i="4"/>
  <c r="AD350" i="4"/>
  <c r="AD352" i="4"/>
  <c r="AD356" i="4"/>
  <c r="AD358" i="4"/>
  <c r="AD360" i="4"/>
  <c r="AD364" i="4"/>
  <c r="AD366" i="4"/>
  <c r="AD370" i="4"/>
  <c r="AD372" i="4"/>
  <c r="AD380" i="4"/>
  <c r="AD386" i="4"/>
  <c r="AD388" i="4"/>
  <c r="AD390" i="4"/>
  <c r="AD392" i="4"/>
  <c r="AD394" i="4"/>
  <c r="AD400" i="4"/>
  <c r="AD412" i="4"/>
  <c r="AD416" i="4"/>
  <c r="AD418" i="4"/>
  <c r="AD422" i="4"/>
  <c r="AD424" i="4"/>
  <c r="AD426" i="4"/>
  <c r="AD428" i="4"/>
  <c r="AD430" i="4"/>
  <c r="AD432" i="4"/>
  <c r="AD434" i="4"/>
  <c r="AD436" i="4"/>
  <c r="AD442" i="4"/>
  <c r="AD450" i="4"/>
  <c r="AD452" i="4"/>
  <c r="AD454" i="4"/>
  <c r="AD456" i="4"/>
  <c r="AD458" i="4"/>
  <c r="AD460" i="4"/>
  <c r="AD462" i="4"/>
  <c r="AD464" i="4"/>
  <c r="AD466" i="4"/>
  <c r="AD468" i="4"/>
  <c r="AD470" i="4"/>
  <c r="AD472" i="4"/>
  <c r="AD474" i="4"/>
  <c r="AD476" i="4"/>
  <c r="AD480" i="4"/>
  <c r="AD482" i="4"/>
  <c r="AD484" i="4"/>
  <c r="AD486" i="4"/>
  <c r="AD488" i="4"/>
  <c r="AD492" i="4"/>
  <c r="AD494" i="4"/>
  <c r="AD496" i="4"/>
  <c r="AD498" i="4"/>
  <c r="AD502" i="4"/>
  <c r="AD504" i="4"/>
  <c r="AD508" i="4"/>
  <c r="AD510" i="4"/>
  <c r="AD514" i="4"/>
  <c r="AD516" i="4"/>
  <c r="AD518" i="4"/>
  <c r="AD522" i="4"/>
  <c r="AD526" i="4"/>
  <c r="AD528" i="4"/>
  <c r="AD530" i="4"/>
  <c r="AD532" i="4"/>
  <c r="AD534" i="4"/>
  <c r="AD538" i="4"/>
  <c r="AD540" i="4"/>
  <c r="AD548" i="4"/>
  <c r="AD552" i="4"/>
  <c r="AD556" i="4"/>
  <c r="AD564" i="4"/>
  <c r="AD568" i="4"/>
  <c r="AD580" i="4"/>
  <c r="AD592" i="4"/>
  <c r="AD608" i="4"/>
  <c r="AD550" i="4"/>
  <c r="AD558" i="4"/>
  <c r="AD566" i="4"/>
  <c r="AD574" i="4"/>
  <c r="AD582" i="4"/>
  <c r="AD606" i="4"/>
  <c r="AD578" i="4"/>
  <c r="AD4" i="4"/>
  <c r="AD554" i="4"/>
  <c r="AD570" i="4"/>
  <c r="AB609" i="4"/>
  <c r="AB607" i="4"/>
  <c r="AB605" i="4"/>
  <c r="AB603" i="4"/>
  <c r="AB601" i="4"/>
  <c r="AB599" i="4"/>
  <c r="AB597" i="4"/>
  <c r="AB595" i="4"/>
  <c r="AB593" i="4"/>
  <c r="AB591" i="4"/>
  <c r="AB589" i="4"/>
  <c r="AB587" i="4"/>
  <c r="AB585" i="4"/>
  <c r="AB583" i="4"/>
  <c r="AB581" i="4"/>
  <c r="AB579" i="4"/>
  <c r="AB577" i="4"/>
  <c r="AB575" i="4"/>
  <c r="AB573" i="4"/>
  <c r="AB571" i="4"/>
  <c r="AB569" i="4"/>
  <c r="AB567" i="4"/>
  <c r="AB565" i="4"/>
  <c r="AB563" i="4"/>
  <c r="AB561" i="4"/>
  <c r="AB559" i="4"/>
  <c r="AB557" i="4"/>
  <c r="AB555" i="4"/>
  <c r="AB553" i="4"/>
  <c r="AB551" i="4"/>
  <c r="AB549" i="4"/>
  <c r="AB547" i="4"/>
  <c r="AB545" i="4"/>
  <c r="AB543" i="4"/>
  <c r="AB541" i="4"/>
  <c r="AB539" i="4"/>
  <c r="AB537" i="4"/>
  <c r="AB535" i="4"/>
  <c r="AB533" i="4"/>
  <c r="AB531" i="4"/>
  <c r="AB529" i="4"/>
  <c r="AB527" i="4"/>
  <c r="AB525" i="4"/>
  <c r="AB523" i="4"/>
  <c r="AB521" i="4"/>
  <c r="AB519" i="4"/>
  <c r="AB517" i="4"/>
  <c r="AB515" i="4"/>
  <c r="AB513" i="4"/>
  <c r="AB511" i="4"/>
  <c r="AB509" i="4"/>
  <c r="AB507" i="4"/>
  <c r="AB505" i="4"/>
  <c r="AB503" i="4"/>
  <c r="AB501" i="4"/>
  <c r="AB499" i="4"/>
  <c r="AB497" i="4"/>
  <c r="AB495" i="4"/>
  <c r="AB493" i="4"/>
  <c r="AB491" i="4"/>
  <c r="AB489" i="4"/>
  <c r="AB487" i="4"/>
  <c r="AB485" i="4"/>
  <c r="AB483" i="4"/>
  <c r="AB481" i="4"/>
  <c r="AB479" i="4"/>
  <c r="AB477" i="4"/>
  <c r="AB475" i="4"/>
  <c r="AB473" i="4"/>
  <c r="AB471" i="4"/>
  <c r="AB469" i="4"/>
  <c r="AB467" i="4"/>
  <c r="AB465" i="4"/>
  <c r="AB463" i="4"/>
  <c r="AB461" i="4"/>
  <c r="AB459" i="4"/>
  <c r="AB457" i="4"/>
  <c r="AB455" i="4"/>
  <c r="AB453" i="4"/>
  <c r="AB451" i="4"/>
  <c r="AB449" i="4"/>
  <c r="AB447" i="4"/>
  <c r="AB445" i="4"/>
  <c r="AB443" i="4"/>
  <c r="AB441" i="4"/>
  <c r="AB439" i="4"/>
  <c r="AB437" i="4"/>
  <c r="AB435" i="4"/>
  <c r="AB433" i="4"/>
  <c r="AB431" i="4"/>
  <c r="AB429" i="4"/>
  <c r="AB427" i="4"/>
  <c r="AB425" i="4"/>
  <c r="AB423" i="4"/>
  <c r="AB421" i="4"/>
  <c r="AB418" i="4"/>
  <c r="AB414" i="4"/>
  <c r="AB410" i="4"/>
  <c r="AB406" i="4"/>
  <c r="AB402" i="4"/>
  <c r="AB398" i="4"/>
  <c r="AB394" i="4"/>
  <c r="AB390" i="4"/>
  <c r="AB386" i="4"/>
  <c r="AB382" i="4"/>
  <c r="AB378" i="4"/>
  <c r="AB374" i="4"/>
  <c r="AB370" i="4"/>
  <c r="AB366" i="4"/>
  <c r="AB362" i="4"/>
  <c r="AB358" i="4"/>
  <c r="AB354" i="4"/>
  <c r="AB350" i="4"/>
  <c r="AB346" i="4"/>
  <c r="AB342" i="4"/>
  <c r="AB338" i="4"/>
  <c r="AB334" i="4"/>
  <c r="AB330" i="4"/>
  <c r="AB326" i="4"/>
  <c r="AB322" i="4"/>
  <c r="AB318" i="4"/>
  <c r="AB314" i="4"/>
  <c r="AB310" i="4"/>
  <c r="AB306" i="4"/>
  <c r="AB302" i="4"/>
  <c r="AB298" i="4"/>
  <c r="AB294" i="4"/>
  <c r="AB290" i="4"/>
  <c r="AB286" i="4"/>
  <c r="AB282" i="4"/>
  <c r="AB278" i="4"/>
  <c r="AB274" i="4"/>
  <c r="AB270" i="4"/>
  <c r="AB266" i="4"/>
  <c r="AB262" i="4"/>
  <c r="AB258" i="4"/>
  <c r="AB254" i="4"/>
  <c r="AB250" i="4"/>
  <c r="AB246" i="4"/>
  <c r="AB242" i="4"/>
  <c r="AB238" i="4"/>
  <c r="AB234" i="4"/>
  <c r="AB230" i="4"/>
  <c r="AB226" i="4"/>
  <c r="AB222" i="4"/>
  <c r="AB218" i="4"/>
  <c r="AB214" i="4"/>
  <c r="AB210" i="4"/>
  <c r="AB206" i="4"/>
  <c r="AB202" i="4"/>
  <c r="AB198" i="4"/>
  <c r="AB194" i="4"/>
  <c r="AB190" i="4"/>
  <c r="AB186" i="4"/>
  <c r="AB182" i="4"/>
  <c r="AB178" i="4"/>
  <c r="AB174" i="4"/>
  <c r="AB170" i="4"/>
  <c r="AB166" i="4"/>
  <c r="AB162" i="4"/>
  <c r="AB158" i="4"/>
  <c r="AB150" i="4"/>
  <c r="AB146" i="4"/>
  <c r="AB142" i="4"/>
  <c r="AB138" i="4"/>
  <c r="AB134" i="4"/>
  <c r="AB130" i="4"/>
  <c r="AB126" i="4"/>
  <c r="AB122" i="4"/>
  <c r="AB118" i="4"/>
  <c r="AB114" i="4"/>
  <c r="AB110" i="4"/>
  <c r="AB106" i="4"/>
  <c r="AB102" i="4"/>
  <c r="AB98" i="4"/>
  <c r="AB94" i="4"/>
  <c r="AB90" i="4"/>
  <c r="AB86" i="4"/>
  <c r="AB82" i="4"/>
  <c r="AB78" i="4"/>
  <c r="AB74" i="4"/>
  <c r="AB70" i="4"/>
  <c r="AB66" i="4"/>
  <c r="AB62" i="4"/>
  <c r="AB58" i="4"/>
  <c r="AB54" i="4"/>
  <c r="AB50" i="4"/>
  <c r="AB46" i="4"/>
  <c r="AB42" i="4"/>
  <c r="AB38" i="4"/>
  <c r="AB34" i="4"/>
  <c r="AB30" i="4"/>
  <c r="AB22" i="4"/>
  <c r="AB18" i="4"/>
  <c r="AB14" i="4"/>
  <c r="AB6" i="4"/>
  <c r="AA604" i="4"/>
  <c r="AA600" i="4"/>
  <c r="AA596" i="4"/>
  <c r="AA592" i="4"/>
  <c r="AA584" i="4"/>
  <c r="AA580" i="4"/>
  <c r="AB31" i="4"/>
  <c r="AB141" i="4"/>
  <c r="AB231" i="4"/>
  <c r="AB259" i="4"/>
  <c r="AB389" i="4"/>
  <c r="AB391" i="4"/>
  <c r="AB7" i="4"/>
  <c r="AB17" i="4"/>
  <c r="AB19" i="4"/>
  <c r="AB25" i="4"/>
  <c r="AB29" i="4"/>
  <c r="AB33" i="4"/>
  <c r="AB41" i="4"/>
  <c r="AB45" i="4"/>
  <c r="AB51" i="4"/>
  <c r="AB55" i="4"/>
  <c r="AB57" i="4"/>
  <c r="AB59" i="4"/>
  <c r="AB61" i="4"/>
  <c r="AB65" i="4"/>
  <c r="AB67" i="4"/>
  <c r="AB71" i="4"/>
  <c r="AB75" i="4"/>
  <c r="AB81" i="4"/>
  <c r="AB87" i="4"/>
  <c r="AB93" i="4"/>
  <c r="AB103" i="4"/>
  <c r="AB105" i="4"/>
  <c r="AB111" i="4"/>
  <c r="AB115" i="4"/>
  <c r="AB117" i="4"/>
  <c r="AB127" i="4"/>
  <c r="AB129" i="4"/>
  <c r="AB133" i="4"/>
  <c r="AB137" i="4"/>
  <c r="AB139" i="4"/>
  <c r="AB145" i="4"/>
  <c r="AB149" i="4"/>
  <c r="AB151" i="4"/>
  <c r="AB155" i="4"/>
  <c r="AB161" i="4"/>
  <c r="AB167" i="4"/>
  <c r="AB171" i="4"/>
  <c r="AB179" i="4"/>
  <c r="AB185" i="4"/>
  <c r="AB211" i="4"/>
  <c r="AB213" i="4"/>
  <c r="AB215" i="4"/>
  <c r="AB217" i="4"/>
  <c r="AB221" i="4"/>
  <c r="AB239" i="4"/>
  <c r="AB243" i="4"/>
  <c r="AB245" i="4"/>
  <c r="AB247" i="4"/>
  <c r="AB251" i="4"/>
  <c r="AB265" i="4"/>
  <c r="AB273" i="4"/>
  <c r="AB277" i="4"/>
  <c r="AB281" i="4"/>
  <c r="AB283" i="4"/>
  <c r="AB285" i="4"/>
  <c r="AB287" i="4"/>
  <c r="AB289" i="4"/>
  <c r="AB291" i="4"/>
  <c r="AB297" i="4"/>
  <c r="AB323" i="4"/>
  <c r="AB335" i="4"/>
  <c r="AB339" i="4"/>
  <c r="AB341" i="4"/>
  <c r="AB355" i="4"/>
  <c r="AB357" i="4"/>
  <c r="AB361" i="4"/>
  <c r="AB367" i="4"/>
  <c r="AB395" i="4"/>
  <c r="AB397" i="4"/>
  <c r="AB27" i="4"/>
  <c r="AB77" i="4"/>
  <c r="AB85" i="4"/>
  <c r="AB89" i="4"/>
  <c r="AB175" i="4"/>
  <c r="AB187" i="4"/>
  <c r="AB223" i="4"/>
  <c r="AB227" i="4"/>
  <c r="AB269" i="4"/>
  <c r="AB307" i="4"/>
  <c r="AB313" i="4"/>
  <c r="AB317" i="4"/>
  <c r="AB373" i="4"/>
  <c r="AB383" i="4"/>
  <c r="AB387" i="4"/>
  <c r="AB413" i="4"/>
  <c r="AC11" i="4"/>
  <c r="AC31" i="4"/>
  <c r="AC6" i="4"/>
  <c r="AC116" i="4"/>
  <c r="AC146" i="4"/>
  <c r="AC154" i="4"/>
  <c r="AC166" i="4"/>
  <c r="AC168" i="4"/>
  <c r="AC170" i="4"/>
  <c r="AC224" i="4"/>
  <c r="AC228" i="4"/>
  <c r="AC230" i="4"/>
  <c r="AC248" i="4"/>
  <c r="AC141" i="4"/>
  <c r="AC165" i="4"/>
  <c r="AC169" i="4"/>
  <c r="AC229" i="4"/>
  <c r="AC233" i="4"/>
  <c r="AC237" i="4"/>
  <c r="AC350" i="4"/>
  <c r="AC356" i="4"/>
  <c r="AC388" i="4"/>
  <c r="AC390" i="4"/>
  <c r="AC392" i="4"/>
  <c r="AC394" i="4"/>
  <c r="AC396" i="4"/>
  <c r="AC428" i="4"/>
  <c r="AC434" i="4"/>
  <c r="AC438" i="4"/>
  <c r="AC458" i="4"/>
  <c r="AC466" i="4"/>
  <c r="AC472" i="4"/>
  <c r="AC554" i="4"/>
  <c r="AC558" i="4"/>
  <c r="AC560" i="4"/>
  <c r="AC562" i="4"/>
  <c r="AC564" i="4"/>
  <c r="AC566" i="4"/>
  <c r="AC119" i="4"/>
  <c r="AC167" i="4"/>
  <c r="AC231" i="4"/>
  <c r="AC389" i="4"/>
  <c r="AC393" i="4"/>
  <c r="AC397" i="4"/>
  <c r="AC409" i="4"/>
  <c r="AC473" i="4"/>
  <c r="AC553" i="4"/>
  <c r="AC565" i="4"/>
  <c r="AC569" i="4"/>
  <c r="AC12" i="4"/>
  <c r="AC259" i="4"/>
  <c r="AC339" i="4"/>
  <c r="AC391" i="4"/>
  <c r="AC395" i="4"/>
  <c r="AC467" i="4"/>
  <c r="AC559" i="4"/>
  <c r="AC563" i="4"/>
  <c r="AC567" i="4"/>
  <c r="AC29" i="4"/>
  <c r="AC33" i="4"/>
  <c r="AC10" i="4"/>
  <c r="AC30" i="4"/>
  <c r="AC38" i="4"/>
  <c r="AC48" i="4"/>
  <c r="AC52" i="4"/>
  <c r="AC56" i="4"/>
  <c r="AC58" i="4"/>
  <c r="AC62" i="4"/>
  <c r="AC64" i="4"/>
  <c r="AC68" i="4"/>
  <c r="AC76" i="4"/>
  <c r="AC82" i="4"/>
  <c r="AC122" i="4"/>
  <c r="AC136" i="4"/>
  <c r="AC138" i="4"/>
  <c r="AC142" i="4"/>
  <c r="AC178" i="4"/>
  <c r="AC220" i="4"/>
  <c r="AC222" i="4"/>
  <c r="AC226" i="4"/>
  <c r="AC238" i="4"/>
  <c r="AC250" i="4"/>
  <c r="AC252" i="4"/>
  <c r="AC272" i="4"/>
  <c r="AC278" i="4"/>
  <c r="AC284" i="4"/>
  <c r="AC292" i="4"/>
  <c r="AC314" i="4"/>
  <c r="AC8" i="4"/>
  <c r="AC57" i="4"/>
  <c r="AC61" i="4"/>
  <c r="AC69" i="4"/>
  <c r="AC73" i="4"/>
  <c r="AC77" i="4"/>
  <c r="AC89" i="4"/>
  <c r="AC93" i="4"/>
  <c r="AC213" i="4"/>
  <c r="AC217" i="4"/>
  <c r="AC225" i="4"/>
  <c r="AC277" i="4"/>
  <c r="AC293" i="4"/>
  <c r="AC380" i="4"/>
  <c r="AC402" i="4"/>
  <c r="AC416" i="4"/>
  <c r="AC418" i="4"/>
  <c r="AC436" i="4"/>
  <c r="AC448" i="4"/>
  <c r="AC454" i="4"/>
  <c r="AC456" i="4"/>
  <c r="AC460" i="4"/>
  <c r="AC462" i="4"/>
  <c r="AC482" i="4"/>
  <c r="AC484" i="4"/>
  <c r="AC486" i="4"/>
  <c r="AC488" i="4"/>
  <c r="AC492" i="4"/>
  <c r="AC504" i="4"/>
  <c r="AC516" i="4"/>
  <c r="AC524" i="4"/>
  <c r="AC526" i="4"/>
  <c r="AC540" i="4"/>
  <c r="AC542" i="4"/>
  <c r="AC568" i="4"/>
  <c r="AC576" i="4"/>
  <c r="AC584" i="4"/>
  <c r="AC588" i="4"/>
  <c r="AC590" i="4"/>
  <c r="AC602" i="4"/>
  <c r="AC604" i="4"/>
  <c r="AC608" i="4"/>
  <c r="AC20" i="4"/>
  <c r="AC55" i="4"/>
  <c r="AC87" i="4"/>
  <c r="AC223" i="4"/>
  <c r="AC279" i="4"/>
  <c r="AC401" i="4"/>
  <c r="AC417" i="4"/>
  <c r="AC453" i="4"/>
  <c r="AC457" i="4"/>
  <c r="AC461" i="4"/>
  <c r="AC481" i="4"/>
  <c r="AC485" i="4"/>
  <c r="AC513" i="4"/>
  <c r="AC525" i="4"/>
  <c r="AC537" i="4"/>
  <c r="AC541" i="4"/>
  <c r="AC549" i="4"/>
  <c r="AC573" i="4"/>
  <c r="AC585" i="4"/>
  <c r="AC51" i="4"/>
  <c r="AC59" i="4"/>
  <c r="AC83" i="4"/>
  <c r="AC91" i="4"/>
  <c r="AC107" i="4"/>
  <c r="AC139" i="4"/>
  <c r="AC179" i="4"/>
  <c r="AC219" i="4"/>
  <c r="AC227" i="4"/>
  <c r="AC275" i="4"/>
  <c r="AC307" i="4"/>
  <c r="AC371" i="4"/>
  <c r="AC403" i="4"/>
  <c r="AC411" i="4"/>
  <c r="AC415" i="4"/>
  <c r="AC447" i="4"/>
  <c r="AC459" i="4"/>
  <c r="AC487" i="4"/>
  <c r="AC503" i="4"/>
  <c r="AC511" i="4"/>
  <c r="AC523" i="4"/>
  <c r="AC539" i="4"/>
  <c r="AC587" i="4"/>
  <c r="AC591" i="4"/>
  <c r="AC21" i="4"/>
  <c r="AC27" i="4"/>
  <c r="AC35" i="4"/>
  <c r="AC37" i="4"/>
  <c r="AC26" i="4"/>
  <c r="AC34" i="4"/>
  <c r="AC84" i="4"/>
  <c r="AC90" i="4"/>
  <c r="AC102" i="4"/>
  <c r="AC174" i="4"/>
  <c r="AC180" i="4"/>
  <c r="AC196" i="4"/>
  <c r="AC232" i="4"/>
  <c r="AC268" i="4"/>
  <c r="AC270" i="4"/>
  <c r="AC312" i="4"/>
  <c r="AC32" i="4"/>
  <c r="AC85" i="4"/>
  <c r="AC269" i="4"/>
  <c r="AC313" i="4"/>
  <c r="AC317" i="4"/>
  <c r="AC374" i="4"/>
  <c r="AC378" i="4"/>
  <c r="AC398" i="4"/>
  <c r="AC410" i="4"/>
  <c r="AC506" i="4"/>
  <c r="AC594" i="4"/>
  <c r="AC598" i="4"/>
  <c r="AC606" i="4"/>
  <c r="AC36" i="4"/>
  <c r="AC63" i="4"/>
  <c r="AC135" i="4"/>
  <c r="AC175" i="4"/>
  <c r="AC385" i="4"/>
  <c r="AC597" i="4"/>
  <c r="AC195" i="4"/>
  <c r="AC383" i="4"/>
  <c r="AC543" i="4"/>
  <c r="H627" i="4"/>
  <c r="AA10" i="4"/>
  <c r="AA18" i="4"/>
  <c r="AA28" i="4"/>
  <c r="AA30" i="4"/>
  <c r="AA36" i="4"/>
  <c r="AA60" i="4"/>
  <c r="AA74" i="4"/>
  <c r="AA144" i="4"/>
  <c r="AA146" i="4"/>
  <c r="AA152" i="4"/>
  <c r="AA154" i="4"/>
  <c r="AA224" i="4"/>
  <c r="AA236" i="4"/>
  <c r="AA31" i="4"/>
  <c r="AA119" i="4"/>
  <c r="AA231" i="4"/>
  <c r="AA340" i="4"/>
  <c r="AA346" i="4"/>
  <c r="AA350" i="4"/>
  <c r="AA356" i="4"/>
  <c r="AA378" i="4"/>
  <c r="AA386" i="4"/>
  <c r="AA404" i="4"/>
  <c r="AA458" i="4"/>
  <c r="AA482" i="4"/>
  <c r="AA488" i="4"/>
  <c r="AA492" i="4"/>
  <c r="AA498" i="4"/>
  <c r="AA502" i="4"/>
  <c r="AA522" i="4"/>
  <c r="AA526" i="4"/>
  <c r="AA560" i="4"/>
  <c r="AA5" i="4"/>
  <c r="AA165" i="4"/>
  <c r="AA253" i="4"/>
  <c r="AA257" i="4"/>
  <c r="AA259" i="4"/>
  <c r="AA267" i="4"/>
  <c r="AA311" i="4"/>
  <c r="AA321" i="4"/>
  <c r="AA363" i="4"/>
  <c r="AA381" i="4"/>
  <c r="AA383" i="4"/>
  <c r="AA405" i="4"/>
  <c r="AA481" i="4"/>
  <c r="AA487" i="4"/>
  <c r="AA489" i="4"/>
  <c r="AA505" i="4"/>
  <c r="AA521" i="4"/>
  <c r="AA531" i="4"/>
  <c r="AA535" i="4"/>
  <c r="AA549" i="4"/>
  <c r="AA551" i="4"/>
  <c r="AA559" i="4"/>
  <c r="AA561" i="4"/>
  <c r="AA569" i="4"/>
  <c r="AA609" i="4"/>
  <c r="AA6" i="4"/>
  <c r="AA14" i="4"/>
  <c r="AA34" i="4"/>
  <c r="AA38" i="4"/>
  <c r="AA50" i="4"/>
  <c r="AA54" i="4"/>
  <c r="AA76" i="4"/>
  <c r="AA80" i="4"/>
  <c r="AA90" i="4"/>
  <c r="AA96" i="4"/>
  <c r="AA100" i="4"/>
  <c r="AA102" i="4"/>
  <c r="AA104" i="4"/>
  <c r="AA106" i="4"/>
  <c r="AA112" i="4"/>
  <c r="AA118" i="4"/>
  <c r="AA124" i="4"/>
  <c r="AA160" i="4"/>
  <c r="AA174" i="4"/>
  <c r="AA208" i="4"/>
  <c r="AA218" i="4"/>
  <c r="AA19" i="4"/>
  <c r="AA23" i="4"/>
  <c r="AA35" i="4"/>
  <c r="AA39" i="4"/>
  <c r="AA67" i="4"/>
  <c r="AA87" i="4"/>
  <c r="AA99" i="4"/>
  <c r="AA123" i="4"/>
  <c r="AA127" i="4"/>
  <c r="AA131" i="4"/>
  <c r="AA135" i="4"/>
  <c r="AA183" i="4"/>
  <c r="AA203" i="4"/>
  <c r="AA219" i="4"/>
  <c r="AA242" i="4"/>
  <c r="AA246" i="4"/>
  <c r="AA264" i="4"/>
  <c r="AA272" i="4"/>
  <c r="AA280" i="4"/>
  <c r="AA284" i="4"/>
  <c r="AA288" i="4"/>
  <c r="AA292" i="4"/>
  <c r="AA306" i="4"/>
  <c r="AA312" i="4"/>
  <c r="AA320" i="4"/>
  <c r="AA326" i="4"/>
  <c r="AA328" i="4"/>
  <c r="AA330" i="4"/>
  <c r="AA336" i="4"/>
  <c r="AA348" i="4"/>
  <c r="AA352" i="4"/>
  <c r="AA358" i="4"/>
  <c r="AA362" i="4"/>
  <c r="AA372" i="4"/>
  <c r="AA384" i="4"/>
  <c r="AA388" i="4"/>
  <c r="AA392" i="4"/>
  <c r="AA398" i="4"/>
  <c r="AA402" i="4"/>
  <c r="AA408" i="4"/>
  <c r="AA414" i="4"/>
  <c r="AA416" i="4"/>
  <c r="AA422" i="4"/>
  <c r="AA426" i="4"/>
  <c r="AA430" i="4"/>
  <c r="AA432" i="4"/>
  <c r="AA436" i="4"/>
  <c r="AA456" i="4"/>
  <c r="AA462" i="4"/>
  <c r="AA490" i="4"/>
  <c r="AA518" i="4"/>
  <c r="AA524" i="4"/>
  <c r="AA530" i="4"/>
  <c r="AA536" i="4"/>
  <c r="AA540" i="4"/>
  <c r="AA544" i="4"/>
  <c r="AA550" i="4"/>
  <c r="AA17" i="4"/>
  <c r="AA21" i="4"/>
  <c r="AA25" i="4"/>
  <c r="AA37" i="4"/>
  <c r="AA85" i="4"/>
  <c r="AA97" i="4"/>
  <c r="AA101" i="4"/>
  <c r="AA113" i="4"/>
  <c r="AA117" i="4"/>
  <c r="AA153" i="4"/>
  <c r="AA169" i="4"/>
  <c r="AA201" i="4"/>
  <c r="AA213" i="4"/>
  <c r="AA229" i="4"/>
  <c r="AA241" i="4"/>
  <c r="AA245" i="4"/>
  <c r="AA261" i="4"/>
  <c r="AA265" i="4"/>
  <c r="AA269" i="4"/>
  <c r="AA277" i="4"/>
  <c r="AA279" i="4"/>
  <c r="AA283" i="4"/>
  <c r="AA287" i="4"/>
  <c r="AA297" i="4"/>
  <c r="AA313" i="4"/>
  <c r="AA315" i="4"/>
  <c r="AA325" i="4"/>
  <c r="AA335" i="4"/>
  <c r="AA345" i="4"/>
  <c r="AA347" i="4"/>
  <c r="AA373" i="4"/>
  <c r="AA377" i="4"/>
  <c r="AA379" i="4"/>
  <c r="AA387" i="4"/>
  <c r="AA407" i="4"/>
  <c r="AA413" i="4"/>
  <c r="AA415" i="4"/>
  <c r="AA419" i="4"/>
  <c r="AA423" i="4"/>
  <c r="AA453" i="4"/>
  <c r="AA459" i="4"/>
  <c r="AA467" i="4"/>
  <c r="AA471" i="4"/>
  <c r="AA473" i="4"/>
  <c r="AA479" i="4"/>
  <c r="AA493" i="4"/>
  <c r="AA495" i="4"/>
  <c r="AA501" i="4"/>
  <c r="AA509" i="4"/>
  <c r="AA527" i="4"/>
  <c r="AA529" i="4"/>
  <c r="AA539" i="4"/>
  <c r="AA555" i="4"/>
  <c r="AA573" i="4"/>
  <c r="AA581" i="4"/>
  <c r="AA585" i="4"/>
  <c r="AA589" i="4"/>
  <c r="AA599" i="4"/>
  <c r="AA603" i="4"/>
  <c r="AA605" i="4"/>
  <c r="AA278" i="4"/>
  <c r="AA424" i="4"/>
  <c r="AA438" i="4"/>
  <c r="AA440" i="4"/>
  <c r="AA562" i="4"/>
  <c r="AA566" i="4"/>
  <c r="AA576" i="4"/>
  <c r="AA105" i="4"/>
  <c r="AA447" i="4"/>
  <c r="AA475" i="4"/>
  <c r="AA477" i="4"/>
  <c r="H635" i="4"/>
  <c r="AD204" i="4"/>
  <c r="AD267" i="4"/>
  <c r="AD377" i="4"/>
  <c r="AD8" i="4"/>
  <c r="AD10" i="4"/>
  <c r="AD22" i="4"/>
  <c r="AD26" i="4"/>
  <c r="AD30" i="4"/>
  <c r="AD32" i="4"/>
  <c r="AD34" i="4"/>
  <c r="AD36" i="4"/>
  <c r="AD38" i="4"/>
  <c r="AD54" i="4"/>
  <c r="AD58" i="4"/>
  <c r="AD64" i="4"/>
  <c r="AD68" i="4"/>
  <c r="AD82" i="4"/>
  <c r="AD86" i="4"/>
  <c r="AD90" i="4"/>
  <c r="AD98" i="4"/>
  <c r="AD100" i="4"/>
  <c r="AD102" i="4"/>
  <c r="AD104" i="4"/>
  <c r="AD122" i="4"/>
  <c r="AD138" i="4"/>
  <c r="AD144" i="4"/>
  <c r="AD5" i="4"/>
  <c r="AD21" i="4"/>
  <c r="AD23" i="4"/>
  <c r="AD29" i="4"/>
  <c r="AD35" i="4"/>
  <c r="AD37" i="4"/>
  <c r="AD49" i="4"/>
  <c r="AD55" i="4"/>
  <c r="AD59" i="4"/>
  <c r="AD73" i="4"/>
  <c r="AD85" i="4"/>
  <c r="AD91" i="4"/>
  <c r="AD99" i="4"/>
  <c r="AD101" i="4"/>
  <c r="AD121" i="4"/>
  <c r="AD158" i="4"/>
  <c r="AD160" i="4"/>
  <c r="AD172" i="4"/>
  <c r="AD174" i="4"/>
  <c r="AD176" i="4"/>
  <c r="AD178" i="4"/>
  <c r="AD180" i="4"/>
  <c r="AD182" i="4"/>
  <c r="AD184" i="4"/>
  <c r="AD186" i="4"/>
  <c r="AD188" i="4"/>
  <c r="AD190" i="4"/>
  <c r="AD194" i="4"/>
  <c r="AD196" i="4"/>
  <c r="AD198" i="4"/>
  <c r="AD200" i="4"/>
  <c r="AD202" i="4"/>
  <c r="AD206" i="4"/>
  <c r="AD208" i="4"/>
  <c r="AD224" i="4"/>
  <c r="AD232" i="4"/>
  <c r="AD238" i="4"/>
  <c r="AD252" i="4"/>
  <c r="AD254" i="4"/>
  <c r="AD258" i="4"/>
  <c r="AD260" i="4"/>
  <c r="AD266" i="4"/>
  <c r="AD280" i="4"/>
  <c r="AD290" i="4"/>
  <c r="AD292" i="4"/>
  <c r="AD300" i="4"/>
  <c r="AD302" i="4"/>
  <c r="AD123" i="4"/>
  <c r="AD135" i="4"/>
  <c r="AD143" i="4"/>
  <c r="AD159" i="4"/>
  <c r="AD173" i="4"/>
  <c r="AD175" i="4"/>
  <c r="AD179" i="4"/>
  <c r="AD181" i="4"/>
  <c r="AD183" i="4"/>
  <c r="AD187" i="4"/>
  <c r="AD193" i="4"/>
  <c r="AD195" i="4"/>
  <c r="AD197" i="4"/>
  <c r="AD199" i="4"/>
  <c r="AD201" i="4"/>
  <c r="AD203" i="4"/>
  <c r="AD205" i="4"/>
  <c r="AD207" i="4"/>
  <c r="AD209" i="4"/>
  <c r="AD219" i="4"/>
  <c r="AD225" i="4"/>
  <c r="AD227" i="4"/>
  <c r="AD259" i="4"/>
  <c r="AD293" i="4"/>
  <c r="AD301" i="4"/>
  <c r="AD305" i="4"/>
  <c r="AD309" i="4"/>
  <c r="AD335" i="4"/>
  <c r="AD337" i="4"/>
  <c r="AD341" i="4"/>
  <c r="AD347" i="4"/>
  <c r="AD379" i="4"/>
  <c r="AD407" i="4"/>
  <c r="AD413" i="4"/>
  <c r="AD421" i="4"/>
  <c r="AD443" i="4"/>
  <c r="AD479" i="4"/>
  <c r="AD481" i="4"/>
  <c r="AD487" i="4"/>
  <c r="AD489" i="4"/>
  <c r="AD517" i="4"/>
  <c r="AD523" i="4"/>
  <c r="AD527" i="4"/>
  <c r="AD537" i="4"/>
  <c r="AD543" i="4"/>
  <c r="AD545" i="4"/>
  <c r="AD547" i="4"/>
  <c r="AD551" i="4"/>
  <c r="AD555" i="4"/>
  <c r="AD561" i="4"/>
  <c r="AD575" i="4"/>
  <c r="AD579" i="4"/>
  <c r="AD587" i="4"/>
  <c r="AD591" i="4"/>
  <c r="AD593" i="4"/>
  <c r="AD595" i="4"/>
  <c r="AD607" i="4"/>
  <c r="AD609" i="4"/>
  <c r="AD310" i="4"/>
  <c r="AD322" i="4"/>
  <c r="AD328" i="4"/>
  <c r="AD336" i="4"/>
  <c r="AD348" i="4"/>
  <c r="AD354" i="4"/>
  <c r="AD362" i="4"/>
  <c r="AD368" i="4"/>
  <c r="AD374" i="4"/>
  <c r="AD378" i="4"/>
  <c r="AD382" i="4"/>
  <c r="AD384" i="4"/>
  <c r="AD398" i="4"/>
  <c r="AD402" i="4"/>
  <c r="AD406" i="4"/>
  <c r="AD408" i="4"/>
  <c r="AD410" i="4"/>
  <c r="AD414" i="4"/>
  <c r="AD444" i="4"/>
  <c r="AD446" i="4"/>
  <c r="AD448" i="4"/>
  <c r="AD478" i="4"/>
  <c r="AD490" i="4"/>
  <c r="AD506" i="4"/>
  <c r="AD512" i="4"/>
  <c r="AD520" i="4"/>
  <c r="AD524" i="4"/>
  <c r="AD542" i="4"/>
  <c r="AD544" i="4"/>
  <c r="AD546" i="4"/>
  <c r="AD560" i="4"/>
  <c r="AD572" i="4"/>
  <c r="AD584" i="4"/>
  <c r="AD588" i="4"/>
  <c r="AD596" i="4"/>
  <c r="AD600" i="4"/>
  <c r="AD604" i="4"/>
  <c r="AD590" i="4"/>
  <c r="AD598" i="4"/>
  <c r="AD562" i="4"/>
  <c r="AD594" i="4"/>
  <c r="AD586" i="4"/>
  <c r="AD602" i="4"/>
  <c r="AD118" i="4"/>
  <c r="AD134" i="4"/>
  <c r="AD117" i="4"/>
  <c r="AD240" i="4"/>
  <c r="AD241" i="4"/>
  <c r="AD243" i="4"/>
  <c r="AD279" i="4"/>
  <c r="AD395" i="4"/>
  <c r="AD397" i="4"/>
  <c r="AD427" i="4"/>
  <c r="AD471" i="4"/>
  <c r="AD501" i="4"/>
  <c r="AD396" i="4"/>
  <c r="AD438" i="4"/>
  <c r="AD440" i="4"/>
  <c r="AD500" i="4"/>
  <c r="AD536" i="4"/>
  <c r="AD576" i="4"/>
  <c r="H643" i="4"/>
  <c r="AB4" i="4"/>
  <c r="AB608" i="4"/>
  <c r="AB606" i="4"/>
  <c r="AB604" i="4"/>
  <c r="AB602" i="4"/>
  <c r="AB600" i="4"/>
  <c r="AB598" i="4"/>
  <c r="AB596" i="4"/>
  <c r="AB594" i="4"/>
  <c r="AB592" i="4"/>
  <c r="AB590" i="4"/>
  <c r="AB588" i="4"/>
  <c r="AB586" i="4"/>
  <c r="AB584" i="4"/>
  <c r="AB582" i="4"/>
  <c r="AB580" i="4"/>
  <c r="AB578" i="4"/>
  <c r="AB576" i="4"/>
  <c r="AB574" i="4"/>
  <c r="AB572" i="4"/>
  <c r="AB570" i="4"/>
  <c r="AB568" i="4"/>
  <c r="AB566" i="4"/>
  <c r="AB564" i="4"/>
  <c r="AB562" i="4"/>
  <c r="AB560" i="4"/>
  <c r="AB558" i="4"/>
  <c r="AB556" i="4"/>
  <c r="AB554" i="4"/>
  <c r="AB552" i="4"/>
  <c r="AB550" i="4"/>
  <c r="AB548" i="4"/>
  <c r="AB546" i="4"/>
  <c r="AB544" i="4"/>
  <c r="AB542" i="4"/>
  <c r="AB540" i="4"/>
  <c r="AB538" i="4"/>
  <c r="AB536" i="4"/>
  <c r="AB534" i="4"/>
  <c r="AB532" i="4"/>
  <c r="AB530" i="4"/>
  <c r="AB528" i="4"/>
  <c r="AB526" i="4"/>
  <c r="AB524" i="4"/>
  <c r="AB522" i="4"/>
  <c r="AB520" i="4"/>
  <c r="AB518" i="4"/>
  <c r="AB516" i="4"/>
  <c r="AB514" i="4"/>
  <c r="AB512" i="4"/>
  <c r="AB510" i="4"/>
  <c r="AB508" i="4"/>
  <c r="AB506" i="4"/>
  <c r="AB504" i="4"/>
  <c r="AB502" i="4"/>
  <c r="AB500" i="4"/>
  <c r="AB498" i="4"/>
  <c r="AB496" i="4"/>
  <c r="AB494" i="4"/>
  <c r="AB492" i="4"/>
  <c r="AB490" i="4"/>
  <c r="AB488" i="4"/>
  <c r="AB486" i="4"/>
  <c r="AB484" i="4"/>
  <c r="AB482" i="4"/>
  <c r="AB480" i="4"/>
  <c r="AB478" i="4"/>
  <c r="AB476" i="4"/>
  <c r="AB474" i="4"/>
  <c r="AB472" i="4"/>
  <c r="AB470" i="4"/>
  <c r="AB468" i="4"/>
  <c r="AB466" i="4"/>
  <c r="AB464" i="4"/>
  <c r="AB462" i="4"/>
  <c r="AB460" i="4"/>
  <c r="AB458" i="4"/>
  <c r="AB456" i="4"/>
  <c r="AB454" i="4"/>
  <c r="AB452" i="4"/>
  <c r="AB450" i="4"/>
  <c r="AB448" i="4"/>
  <c r="AB446" i="4"/>
  <c r="AB444" i="4"/>
  <c r="AB442" i="4"/>
  <c r="AB440" i="4"/>
  <c r="AB438" i="4"/>
  <c r="AB436" i="4"/>
  <c r="AB434" i="4"/>
  <c r="AB432" i="4"/>
  <c r="AB430" i="4"/>
  <c r="AB428" i="4"/>
  <c r="AB426" i="4"/>
  <c r="AB424" i="4"/>
  <c r="AB422" i="4"/>
  <c r="AB420" i="4"/>
  <c r="AB416" i="4"/>
  <c r="AB412" i="4"/>
  <c r="AB408" i="4"/>
  <c r="AB404" i="4"/>
  <c r="AB400" i="4"/>
  <c r="AB396" i="4"/>
  <c r="AB392" i="4"/>
  <c r="AB388" i="4"/>
  <c r="AB384" i="4"/>
  <c r="AB380" i="4"/>
  <c r="AB376" i="4"/>
  <c r="AB372" i="4"/>
  <c r="AB368" i="4"/>
  <c r="AB364" i="4"/>
  <c r="AB360" i="4"/>
  <c r="AB356" i="4"/>
  <c r="AB352" i="4"/>
  <c r="AB348" i="4"/>
  <c r="AB344" i="4"/>
  <c r="AB340" i="4"/>
  <c r="AB336" i="4"/>
  <c r="AB332" i="4"/>
  <c r="AB328" i="4"/>
  <c r="AB324" i="4"/>
  <c r="AB320" i="4"/>
  <c r="AB316" i="4"/>
  <c r="AB312" i="4"/>
  <c r="AB308" i="4"/>
  <c r="AB304" i="4"/>
  <c r="AB300" i="4"/>
  <c r="AB296" i="4"/>
  <c r="AB292" i="4"/>
  <c r="AB288" i="4"/>
  <c r="AB284" i="4"/>
  <c r="AB280" i="4"/>
  <c r="AB276" i="4"/>
  <c r="AB272" i="4"/>
  <c r="AB268" i="4"/>
  <c r="AB264" i="4"/>
  <c r="AB260" i="4"/>
  <c r="AB256" i="4"/>
  <c r="AB252" i="4"/>
  <c r="AB248" i="4"/>
  <c r="AB244" i="4"/>
  <c r="AB240" i="4"/>
  <c r="AB236" i="4"/>
  <c r="AB232" i="4"/>
  <c r="AB228" i="4"/>
  <c r="AB224" i="4"/>
  <c r="AB220" i="4"/>
  <c r="AB216" i="4"/>
  <c r="AB212" i="4"/>
  <c r="AB208" i="4"/>
  <c r="AB204" i="4"/>
  <c r="AB200" i="4"/>
  <c r="AB196" i="4"/>
  <c r="AB192" i="4"/>
  <c r="AB188" i="4"/>
  <c r="AB184" i="4"/>
  <c r="AB180" i="4"/>
  <c r="AB176" i="4"/>
  <c r="AB172" i="4"/>
  <c r="AB168" i="4"/>
  <c r="AB164" i="4"/>
  <c r="AB160" i="4"/>
  <c r="AB156" i="4"/>
  <c r="AB152" i="4"/>
  <c r="AB148" i="4"/>
  <c r="AB144" i="4"/>
  <c r="AB140" i="4"/>
  <c r="AB136" i="4"/>
  <c r="AB132" i="4"/>
  <c r="AB128" i="4"/>
  <c r="AB124" i="4"/>
  <c r="AB120" i="4"/>
  <c r="AB116" i="4"/>
  <c r="AB112" i="4"/>
  <c r="AB108" i="4"/>
  <c r="AB104" i="4"/>
  <c r="AB100" i="4"/>
  <c r="AB96" i="4"/>
  <c r="AB92" i="4"/>
  <c r="AB88" i="4"/>
  <c r="AB84" i="4"/>
  <c r="AB80" i="4"/>
  <c r="AB76" i="4"/>
  <c r="AB72" i="4"/>
  <c r="AB68" i="4"/>
  <c r="AB64" i="4"/>
  <c r="AB60" i="4"/>
  <c r="AB56" i="4"/>
  <c r="AB52" i="4"/>
  <c r="AB48" i="4"/>
  <c r="AB44" i="4"/>
  <c r="AB40" i="4"/>
  <c r="AB36" i="4"/>
  <c r="AB32" i="4"/>
  <c r="AB28" i="4"/>
  <c r="AB24" i="4"/>
  <c r="AB20" i="4"/>
  <c r="AB16" i="4"/>
  <c r="AB12" i="4"/>
  <c r="AB8" i="4"/>
  <c r="AA4" i="4"/>
  <c r="AA606" i="4"/>
  <c r="AA602" i="4"/>
  <c r="AA598" i="4"/>
  <c r="AA594" i="4"/>
  <c r="AA590" i="4"/>
  <c r="AA586" i="4"/>
  <c r="AA582" i="4"/>
  <c r="U25" i="3"/>
  <c r="H69" i="3"/>
  <c r="H77" i="3"/>
  <c r="T43" i="3"/>
  <c r="H85" i="3"/>
  <c r="U34" i="3"/>
  <c r="V25" i="3"/>
  <c r="V34" i="3"/>
  <c r="T23" i="3"/>
  <c r="T52" i="3"/>
  <c r="T54" i="3"/>
  <c r="T50" i="3"/>
  <c r="T48" i="3"/>
  <c r="T46" i="3"/>
  <c r="T44" i="3"/>
  <c r="T42" i="3"/>
  <c r="T40" i="3"/>
  <c r="T38" i="3"/>
  <c r="T36" i="3"/>
  <c r="T34" i="3"/>
  <c r="T32" i="3"/>
  <c r="T30" i="3"/>
  <c r="T28" i="3"/>
  <c r="T26" i="3"/>
  <c r="T24" i="3"/>
  <c r="T22" i="3"/>
  <c r="T20" i="3"/>
  <c r="U54" i="3"/>
  <c r="U52" i="3"/>
  <c r="U50" i="3"/>
  <c r="U48" i="3"/>
  <c r="U46" i="3"/>
  <c r="U44" i="3"/>
  <c r="U42" i="3"/>
  <c r="U40" i="3"/>
  <c r="U38" i="3"/>
  <c r="U36" i="3"/>
  <c r="U32" i="3"/>
  <c r="U30" i="3"/>
  <c r="U28" i="3"/>
  <c r="U26" i="3"/>
  <c r="U24" i="3"/>
  <c r="U22" i="3"/>
  <c r="U20" i="3"/>
  <c r="V54" i="3"/>
  <c r="V52" i="3"/>
  <c r="V50" i="3"/>
  <c r="V48" i="3"/>
  <c r="V46" i="3"/>
  <c r="V44" i="3"/>
  <c r="V42" i="3"/>
  <c r="V40" i="3"/>
  <c r="V38" i="3"/>
  <c r="V36" i="3"/>
  <c r="V32" i="3"/>
  <c r="V30" i="3"/>
  <c r="V28" i="3"/>
  <c r="V26" i="3"/>
  <c r="V24" i="3"/>
  <c r="V22" i="3"/>
  <c r="V20" i="3"/>
  <c r="G69" i="3"/>
  <c r="G77" i="3"/>
  <c r="G85" i="3"/>
  <c r="T19" i="3"/>
  <c r="T53" i="3"/>
  <c r="T51" i="3"/>
  <c r="T49" i="3"/>
  <c r="T47" i="3"/>
  <c r="T45" i="3"/>
  <c r="T41" i="3"/>
  <c r="T39" i="3"/>
  <c r="T37" i="3"/>
  <c r="T35" i="3"/>
  <c r="T33" i="3"/>
  <c r="T31" i="3"/>
  <c r="T29" i="3"/>
  <c r="L82" i="3" s="1"/>
  <c r="T21" i="3"/>
  <c r="U53" i="3"/>
  <c r="U51" i="3"/>
  <c r="U49" i="3"/>
  <c r="U47" i="3"/>
  <c r="U45" i="3"/>
  <c r="U43" i="3"/>
  <c r="U41" i="3"/>
  <c r="U39" i="3"/>
  <c r="L64" i="3" s="1"/>
  <c r="U35" i="3"/>
  <c r="U33" i="3"/>
  <c r="U31" i="3"/>
  <c r="U27" i="3"/>
  <c r="U23" i="3"/>
  <c r="L66" i="3" s="1"/>
  <c r="V53" i="3"/>
  <c r="V51" i="3"/>
  <c r="V49" i="3"/>
  <c r="V47" i="3"/>
  <c r="V45" i="3"/>
  <c r="V43" i="3"/>
  <c r="V39" i="3"/>
  <c r="V37" i="3"/>
  <c r="V35" i="3"/>
  <c r="V33" i="3"/>
  <c r="V31" i="3"/>
  <c r="V27" i="3"/>
  <c r="V23" i="3"/>
  <c r="Z15" i="2"/>
  <c r="Z35" i="2"/>
  <c r="Z51" i="2"/>
  <c r="Z16" i="2"/>
  <c r="Z42" i="2"/>
  <c r="Z46" i="2"/>
  <c r="Z151" i="2"/>
  <c r="Z155" i="2"/>
  <c r="Z159" i="2"/>
  <c r="Z195" i="2"/>
  <c r="Z146" i="2"/>
  <c r="Z152" i="2"/>
  <c r="Z11" i="2"/>
  <c r="Z23" i="2"/>
  <c r="Z25" i="2"/>
  <c r="Z31" i="2"/>
  <c r="Z33" i="2"/>
  <c r="Z41" i="2"/>
  <c r="Z45" i="2"/>
  <c r="Z49" i="2"/>
  <c r="Z53" i="2"/>
  <c r="Z55" i="2"/>
  <c r="Z95" i="2"/>
  <c r="Z97" i="2"/>
  <c r="Z20" i="2"/>
  <c r="Z22" i="2"/>
  <c r="Z28" i="2"/>
  <c r="Z32" i="2"/>
  <c r="Z34" i="2"/>
  <c r="Z38" i="2"/>
  <c r="Z40" i="2"/>
  <c r="Z44" i="2"/>
  <c r="Z50" i="2"/>
  <c r="Z52" i="2"/>
  <c r="Z56" i="2"/>
  <c r="Z58" i="2"/>
  <c r="Z88" i="2"/>
  <c r="Z92" i="2"/>
  <c r="Z94" i="2"/>
  <c r="Z96" i="2"/>
  <c r="Z125" i="2"/>
  <c r="Z131" i="2"/>
  <c r="Z133" i="2"/>
  <c r="Z135" i="2"/>
  <c r="Z137" i="2"/>
  <c r="Z147" i="2"/>
  <c r="Z153" i="2"/>
  <c r="Z165" i="2"/>
  <c r="Z167" i="2"/>
  <c r="Z173" i="2"/>
  <c r="Z177" i="2"/>
  <c r="Z181" i="2"/>
  <c r="Z183" i="2"/>
  <c r="Z189" i="2"/>
  <c r="Z191" i="2"/>
  <c r="Z193" i="2"/>
  <c r="Z197" i="2"/>
  <c r="Z199" i="2"/>
  <c r="Z203" i="2"/>
  <c r="Z225" i="2"/>
  <c r="Z245" i="2"/>
  <c r="Z120" i="2"/>
  <c r="Z124" i="2"/>
  <c r="Z132" i="2"/>
  <c r="Z148" i="2"/>
  <c r="Z150" i="2"/>
  <c r="Z156" i="2"/>
  <c r="Z160" i="2"/>
  <c r="Z176" i="2"/>
  <c r="Z188" i="2"/>
  <c r="Z190" i="2"/>
  <c r="Z194" i="2"/>
  <c r="Z196" i="2"/>
  <c r="Z210" i="2"/>
  <c r="Z220" i="2"/>
  <c r="Z222" i="2"/>
  <c r="Z224" i="2"/>
  <c r="Z230" i="2"/>
  <c r="Z238" i="2"/>
  <c r="Z61" i="2"/>
  <c r="Z63" i="2"/>
  <c r="Z69" i="2"/>
  <c r="Z71" i="2"/>
  <c r="Z73" i="2"/>
  <c r="Z75" i="2"/>
  <c r="Z79" i="2"/>
  <c r="Z87" i="2"/>
  <c r="Z48" i="2"/>
  <c r="Z60" i="2"/>
  <c r="Z62" i="2"/>
  <c r="Z68" i="2"/>
  <c r="Z72" i="2"/>
  <c r="Z76" i="2"/>
  <c r="Z78" i="2"/>
  <c r="Z80" i="2"/>
  <c r="Z84" i="2"/>
  <c r="Z102" i="2"/>
  <c r="Z141" i="2"/>
  <c r="Z143" i="2"/>
  <c r="Z213" i="2"/>
  <c r="Z215" i="2"/>
  <c r="Z227" i="2"/>
  <c r="Z233" i="2"/>
  <c r="Z235" i="2"/>
  <c r="Z239" i="2"/>
  <c r="Z140" i="2"/>
  <c r="Z142" i="2"/>
  <c r="Z162" i="2"/>
  <c r="Z206" i="2"/>
  <c r="Z216" i="2"/>
  <c r="Z218" i="2"/>
  <c r="Z226" i="2"/>
  <c r="Z234" i="2"/>
  <c r="Z244" i="2"/>
  <c r="Z282" i="2"/>
  <c r="Z5" i="2"/>
  <c r="Z7" i="2"/>
  <c r="Z9" i="2"/>
  <c r="Z6" i="2"/>
  <c r="Z8" i="2"/>
  <c r="Z10" i="2"/>
  <c r="Z163" i="2"/>
  <c r="Z247" i="2"/>
  <c r="Z255" i="2"/>
  <c r="Z261" i="2"/>
  <c r="Z263" i="2"/>
  <c r="Z265" i="2"/>
  <c r="Z267" i="2"/>
  <c r="Z269" i="2"/>
  <c r="Z271" i="2"/>
  <c r="Z273" i="2"/>
  <c r="Z275" i="2"/>
  <c r="Z277" i="2"/>
  <c r="Z279" i="2"/>
  <c r="Z281" i="2"/>
  <c r="Z101" i="2"/>
  <c r="Z164" i="2"/>
  <c r="Z246" i="2"/>
  <c r="Z260" i="2"/>
  <c r="Z262" i="2"/>
  <c r="Z264" i="2"/>
  <c r="Z266" i="2"/>
  <c r="Z268" i="2"/>
  <c r="Z270" i="2"/>
  <c r="Z272" i="2"/>
  <c r="Z274" i="2"/>
  <c r="Z276" i="2"/>
  <c r="Z278" i="2"/>
  <c r="Z280" i="2"/>
  <c r="Z4" i="2"/>
  <c r="AA13" i="2"/>
  <c r="AA17" i="2"/>
  <c r="AA19" i="2"/>
  <c r="AA27" i="2"/>
  <c r="AA29" i="2"/>
  <c r="AA31" i="2"/>
  <c r="AA39" i="2"/>
  <c r="AA43" i="2"/>
  <c r="AA47" i="2"/>
  <c r="AA49" i="2"/>
  <c r="AA57" i="2"/>
  <c r="AA12" i="2"/>
  <c r="AA14" i="2"/>
  <c r="AA26" i="2"/>
  <c r="AA30" i="2"/>
  <c r="AA44" i="2"/>
  <c r="AA48" i="2"/>
  <c r="AA52" i="2"/>
  <c r="AA59" i="2"/>
  <c r="AA67" i="2"/>
  <c r="AA81" i="2"/>
  <c r="AA83" i="2"/>
  <c r="AA85" i="2"/>
  <c r="AA87" i="2"/>
  <c r="AA89" i="2"/>
  <c r="AA91" i="2"/>
  <c r="AA93" i="2"/>
  <c r="AA95" i="2"/>
  <c r="AA97" i="2"/>
  <c r="AA99" i="2"/>
  <c r="AA109" i="2"/>
  <c r="AA113" i="2"/>
  <c r="AA115" i="2"/>
  <c r="AA117" i="2"/>
  <c r="AA119" i="2"/>
  <c r="AA121" i="2"/>
  <c r="AA123" i="2"/>
  <c r="AA125" i="2"/>
  <c r="AA127" i="2"/>
  <c r="AA129" i="2"/>
  <c r="AA137" i="2"/>
  <c r="AA139" i="2"/>
  <c r="AA141" i="2"/>
  <c r="AA143" i="2"/>
  <c r="AA145" i="2"/>
  <c r="AA149" i="2"/>
  <c r="AA157" i="2"/>
  <c r="AA161" i="2"/>
  <c r="AA169" i="2"/>
  <c r="AA171" i="2"/>
  <c r="AA175" i="2"/>
  <c r="AA177" i="2"/>
  <c r="AA179" i="2"/>
  <c r="AA183" i="2"/>
  <c r="AA185" i="2"/>
  <c r="AA187" i="2"/>
  <c r="AA189" i="2"/>
  <c r="AA193" i="2"/>
  <c r="AA197" i="2"/>
  <c r="AA199" i="2"/>
  <c r="AA201" i="2"/>
  <c r="AA203" i="2"/>
  <c r="AA205" i="2"/>
  <c r="AA211" i="2"/>
  <c r="AA219" i="2"/>
  <c r="AA223" i="2"/>
  <c r="AA225" i="2"/>
  <c r="AA229" i="2"/>
  <c r="AA231" i="2"/>
  <c r="AA233" i="2"/>
  <c r="AA235" i="2"/>
  <c r="AA237" i="2"/>
  <c r="AA239" i="2"/>
  <c r="AA241" i="2"/>
  <c r="AA243" i="2"/>
  <c r="AA245" i="2"/>
  <c r="AA257" i="2"/>
  <c r="AA259" i="2"/>
  <c r="AA50" i="2"/>
  <c r="AA66" i="2"/>
  <c r="AA82" i="2"/>
  <c r="AA84" i="2"/>
  <c r="AA86" i="2"/>
  <c r="AA88" i="2"/>
  <c r="AA90" i="2"/>
  <c r="AA92" i="2"/>
  <c r="AA94" i="2"/>
  <c r="AA96" i="2"/>
  <c r="AA98" i="2"/>
  <c r="AA110" i="2"/>
  <c r="AA114" i="2"/>
  <c r="AA116" i="2"/>
  <c r="AA118" i="2"/>
  <c r="AA120" i="2"/>
  <c r="AA122" i="2"/>
  <c r="AA124" i="2"/>
  <c r="AA126" i="2"/>
  <c r="AA128" i="2"/>
  <c r="AA130" i="2"/>
  <c r="AA136" i="2"/>
  <c r="AA138" i="2"/>
  <c r="AA140" i="2"/>
  <c r="AA142" i="2"/>
  <c r="AA144" i="2"/>
  <c r="AA154" i="2"/>
  <c r="AA158" i="2"/>
  <c r="AA170" i="2"/>
  <c r="AA172" i="2"/>
  <c r="AA174" i="2"/>
  <c r="AA178" i="2"/>
  <c r="AA180" i="2"/>
  <c r="AA182" i="2"/>
  <c r="AA184" i="2"/>
  <c r="AA186" i="2"/>
  <c r="AA192" i="2"/>
  <c r="AA194" i="2"/>
  <c r="AA196" i="2"/>
  <c r="AA198" i="2"/>
  <c r="AA200" i="2"/>
  <c r="AA202" i="2"/>
  <c r="AA204" i="2"/>
  <c r="AA208" i="2"/>
  <c r="AA210" i="2"/>
  <c r="AA212" i="2"/>
  <c r="AA220" i="2"/>
  <c r="AA224" i="2"/>
  <c r="AA230" i="2"/>
  <c r="AA232" i="2"/>
  <c r="AA234" i="2"/>
  <c r="AA236" i="2"/>
  <c r="AA238" i="2"/>
  <c r="AA240" i="2"/>
  <c r="AA242" i="2"/>
  <c r="AA244" i="2"/>
  <c r="AA256" i="2"/>
  <c r="AA258" i="2"/>
  <c r="AA6" i="2"/>
  <c r="AA213" i="2"/>
  <c r="AA217" i="2"/>
  <c r="AA102" i="2"/>
  <c r="AA252" i="2"/>
  <c r="AA254" i="2"/>
  <c r="AA9" i="2"/>
  <c r="AA8" i="2"/>
  <c r="AA10" i="2"/>
  <c r="AA101" i="2"/>
  <c r="AA163" i="2"/>
  <c r="AA247" i="2"/>
  <c r="AA255" i="2"/>
  <c r="AA263" i="2"/>
  <c r="AA265" i="2"/>
  <c r="AA267" i="2"/>
  <c r="AA269" i="2"/>
  <c r="AA271" i="2"/>
  <c r="AA273" i="2"/>
  <c r="AA275" i="2"/>
  <c r="AA277" i="2"/>
  <c r="AA279" i="2"/>
  <c r="AA281" i="2"/>
  <c r="AA164" i="2"/>
  <c r="AA246" i="2"/>
  <c r="AA260" i="2"/>
  <c r="AA262" i="2"/>
  <c r="AA264" i="2"/>
  <c r="AA266" i="2"/>
  <c r="AA268" i="2"/>
  <c r="AA270" i="2"/>
  <c r="AA272" i="2"/>
  <c r="AA274" i="2"/>
  <c r="AA276" i="2"/>
  <c r="AA278" i="2"/>
  <c r="AA280" i="2"/>
  <c r="Y11" i="2"/>
  <c r="Y15" i="2"/>
  <c r="Y25" i="2"/>
  <c r="Y31" i="2"/>
  <c r="Y45" i="2"/>
  <c r="Y49" i="2"/>
  <c r="Y65" i="2"/>
  <c r="Y77" i="2"/>
  <c r="Y97" i="2"/>
  <c r="Y105" i="2"/>
  <c r="Y107" i="2"/>
  <c r="Y115" i="2"/>
  <c r="Y121" i="2"/>
  <c r="Y129" i="2"/>
  <c r="Y131" i="2"/>
  <c r="Y133" i="2"/>
  <c r="Y137" i="2"/>
  <c r="Y151" i="2"/>
  <c r="Y8" i="2"/>
  <c r="Y34" i="2"/>
  <c r="Y44" i="2"/>
  <c r="Y50" i="2"/>
  <c r="Y58" i="2"/>
  <c r="Y64" i="2"/>
  <c r="Y66" i="2"/>
  <c r="Y88" i="2"/>
  <c r="Y92" i="2"/>
  <c r="Y96" i="2"/>
  <c r="Y104" i="2"/>
  <c r="Y108" i="2"/>
  <c r="Y120" i="2"/>
  <c r="Y122" i="2"/>
  <c r="Y152" i="2"/>
  <c r="Y5" i="2"/>
  <c r="Y13" i="2"/>
  <c r="Y33" i="2"/>
  <c r="Y39" i="2"/>
  <c r="Y41" i="2"/>
  <c r="Y47" i="2"/>
  <c r="Y61" i="2"/>
  <c r="Y63" i="2"/>
  <c r="Y67" i="2"/>
  <c r="Y69" i="2"/>
  <c r="Y75" i="2"/>
  <c r="Y79" i="2"/>
  <c r="Y83" i="2"/>
  <c r="Y91" i="2"/>
  <c r="Y101" i="2"/>
  <c r="Y109" i="2"/>
  <c r="Y113" i="2"/>
  <c r="Y117" i="2"/>
  <c r="Y119" i="2"/>
  <c r="Y123" i="2"/>
  <c r="Y135" i="2"/>
  <c r="Y153" i="2"/>
  <c r="Y159" i="2"/>
  <c r="Y10" i="2"/>
  <c r="Y12" i="2"/>
  <c r="Y20" i="2"/>
  <c r="Y22" i="2"/>
  <c r="Y28" i="2"/>
  <c r="Y32" i="2"/>
  <c r="Y52" i="2"/>
  <c r="Y56" i="2"/>
  <c r="Y60" i="2"/>
  <c r="Y62" i="2"/>
  <c r="Y70" i="2"/>
  <c r="Y78" i="2"/>
  <c r="Y86" i="2"/>
  <c r="Y90" i="2"/>
  <c r="Y110" i="2"/>
  <c r="Y118" i="2"/>
  <c r="Y128" i="2"/>
  <c r="Y130" i="2"/>
  <c r="Y132" i="2"/>
  <c r="Y136" i="2"/>
  <c r="Y138" i="2"/>
  <c r="Y144" i="2"/>
  <c r="Y148" i="2"/>
  <c r="Y19" i="2"/>
  <c r="Y21" i="2"/>
  <c r="Y37" i="2"/>
  <c r="Y57" i="2"/>
  <c r="Y71" i="2"/>
  <c r="Y73" i="2"/>
  <c r="Y87" i="2"/>
  <c r="Y93" i="2"/>
  <c r="Y99" i="2"/>
  <c r="Y103" i="2"/>
  <c r="Y141" i="2"/>
  <c r="Y143" i="2"/>
  <c r="Y149" i="2"/>
  <c r="Y157" i="2"/>
  <c r="Y161" i="2"/>
  <c r="Y6" i="2"/>
  <c r="Y18" i="2"/>
  <c r="Y24" i="2"/>
  <c r="Y26" i="2"/>
  <c r="Y36" i="2"/>
  <c r="Y48" i="2"/>
  <c r="Y54" i="2"/>
  <c r="Y68" i="2"/>
  <c r="Y72" i="2"/>
  <c r="Y80" i="2"/>
  <c r="Y84" i="2"/>
  <c r="Y98" i="2"/>
  <c r="Y134" i="2"/>
  <c r="Y140" i="2"/>
  <c r="Y142" i="2"/>
  <c r="Y154" i="2"/>
  <c r="AB7" i="2"/>
  <c r="AB9" i="2"/>
  <c r="AB61" i="2"/>
  <c r="AB65" i="2"/>
  <c r="AB77" i="2"/>
  <c r="AB79" i="2"/>
  <c r="AB103" i="2"/>
  <c r="AB115" i="2"/>
  <c r="AB141" i="2"/>
  <c r="AB149" i="2"/>
  <c r="AB8" i="2"/>
  <c r="AB40" i="2"/>
  <c r="AB60" i="2"/>
  <c r="AB62" i="2"/>
  <c r="AB68" i="2"/>
  <c r="AB78" i="2"/>
  <c r="AB80" i="2"/>
  <c r="AB100" i="2"/>
  <c r="AB104" i="2"/>
  <c r="AB116" i="2"/>
  <c r="AB213" i="2"/>
  <c r="AB235" i="2"/>
  <c r="AB247" i="2"/>
  <c r="AB249" i="2"/>
  <c r="AB251" i="2"/>
  <c r="AB253" i="2"/>
  <c r="AB265" i="2"/>
  <c r="AB269" i="2"/>
  <c r="AB146" i="2"/>
  <c r="AB164" i="2"/>
  <c r="AB206" i="2"/>
  <c r="AB218" i="2"/>
  <c r="AB246" i="2"/>
  <c r="AB248" i="2"/>
  <c r="AB250" i="2"/>
  <c r="AB252" i="2"/>
  <c r="AB254" i="2"/>
  <c r="AB268" i="2"/>
  <c r="AB276" i="2"/>
  <c r="AB282" i="2"/>
  <c r="AB15" i="2"/>
  <c r="AB37" i="2"/>
  <c r="AB55" i="2"/>
  <c r="AB57" i="2"/>
  <c r="AB59" i="2"/>
  <c r="AB133" i="2"/>
  <c r="AB135" i="2"/>
  <c r="AB145" i="2"/>
  <c r="AB18" i="2"/>
  <c r="AB24" i="2"/>
  <c r="AB28" i="2"/>
  <c r="AB38" i="2"/>
  <c r="AB56" i="2"/>
  <c r="AB98" i="2"/>
  <c r="AB108" i="2"/>
  <c r="AB134" i="2"/>
  <c r="AB173" i="2"/>
  <c r="AB187" i="2"/>
  <c r="AB189" i="2"/>
  <c r="AB191" i="2"/>
  <c r="AB193" i="2"/>
  <c r="AB257" i="2"/>
  <c r="AB259" i="2"/>
  <c r="AB154" i="2"/>
  <c r="AB158" i="2"/>
  <c r="AB160" i="2"/>
  <c r="AB166" i="2"/>
  <c r="AB168" i="2"/>
  <c r="AB172" i="2"/>
  <c r="AB174" i="2"/>
  <c r="AB176" i="2"/>
  <c r="AB186" i="2"/>
  <c r="AB190" i="2"/>
  <c r="AB194" i="2"/>
  <c r="AB224" i="2"/>
  <c r="AB244" i="2"/>
  <c r="AB256" i="2"/>
  <c r="AB258" i="2"/>
  <c r="Y4" i="2"/>
  <c r="Y282" i="2"/>
  <c r="Y280" i="2"/>
  <c r="Y278" i="2"/>
  <c r="Y276" i="2"/>
  <c r="Y274" i="2"/>
  <c r="Y272" i="2"/>
  <c r="Y270" i="2"/>
  <c r="Y268" i="2"/>
  <c r="Y266" i="2"/>
  <c r="Y264" i="2"/>
  <c r="Y262" i="2"/>
  <c r="Y260" i="2"/>
  <c r="Y258" i="2"/>
  <c r="Y256" i="2"/>
  <c r="Y254" i="2"/>
  <c r="Y252" i="2"/>
  <c r="Y250" i="2"/>
  <c r="Y248" i="2"/>
  <c r="Y246" i="2"/>
  <c r="Y244" i="2"/>
  <c r="Y242" i="2"/>
  <c r="Y240" i="2"/>
  <c r="Y238" i="2"/>
  <c r="Y236" i="2"/>
  <c r="Y234" i="2"/>
  <c r="Y232" i="2"/>
  <c r="Y230" i="2"/>
  <c r="Y228" i="2"/>
  <c r="Y226" i="2"/>
  <c r="Y224" i="2"/>
  <c r="Y222" i="2"/>
  <c r="Y220" i="2"/>
  <c r="Y218" i="2"/>
  <c r="Y216" i="2"/>
  <c r="Y214" i="2"/>
  <c r="Y212" i="2"/>
  <c r="Y208" i="2"/>
  <c r="Y206" i="2"/>
  <c r="Y204" i="2"/>
  <c r="Y202" i="2"/>
  <c r="Y200" i="2"/>
  <c r="Y198" i="2"/>
  <c r="Y196" i="2"/>
  <c r="Y194" i="2"/>
  <c r="Y192" i="2"/>
  <c r="Y190" i="2"/>
  <c r="Y188" i="2"/>
  <c r="Y186" i="2"/>
  <c r="Y184" i="2"/>
  <c r="Y182" i="2"/>
  <c r="Y180" i="2"/>
  <c r="Y176" i="2"/>
  <c r="Y174" i="2"/>
  <c r="Y172" i="2"/>
  <c r="Y170" i="2"/>
  <c r="Y166" i="2"/>
  <c r="Y164" i="2"/>
  <c r="Y162" i="2"/>
  <c r="Y158" i="2"/>
  <c r="Z13" i="2"/>
  <c r="Z17" i="2"/>
  <c r="Z19" i="2"/>
  <c r="Z21" i="2"/>
  <c r="Z27" i="2"/>
  <c r="Z29" i="2"/>
  <c r="Z37" i="2"/>
  <c r="Z39" i="2"/>
  <c r="Z43" i="2"/>
  <c r="Z47" i="2"/>
  <c r="Z57" i="2"/>
  <c r="Z59" i="2"/>
  <c r="Z67" i="2"/>
  <c r="Z77" i="2"/>
  <c r="Z81" i="2"/>
  <c r="Z83" i="2"/>
  <c r="Z85" i="2"/>
  <c r="Z89" i="2"/>
  <c r="Z91" i="2"/>
  <c r="Z93" i="2"/>
  <c r="Z12" i="2"/>
  <c r="Z14" i="2"/>
  <c r="Z24" i="2"/>
  <c r="Z26" i="2"/>
  <c r="Z30" i="2"/>
  <c r="Z36" i="2"/>
  <c r="Z54" i="2"/>
  <c r="Z64" i="2"/>
  <c r="Z66" i="2"/>
  <c r="Z70" i="2"/>
  <c r="Z74" i="2"/>
  <c r="Z82" i="2"/>
  <c r="Z86" i="2"/>
  <c r="Z90" i="2"/>
  <c r="Z98" i="2"/>
  <c r="Z104" i="2"/>
  <c r="Z106" i="2"/>
  <c r="Z99" i="2"/>
  <c r="Z107" i="2"/>
  <c r="Z109" i="2"/>
  <c r="Z111" i="2"/>
  <c r="Z113" i="2"/>
  <c r="Z115" i="2"/>
  <c r="Z117" i="2"/>
  <c r="Z119" i="2"/>
  <c r="Z121" i="2"/>
  <c r="Z123" i="2"/>
  <c r="Z127" i="2"/>
  <c r="Z129" i="2"/>
  <c r="Z139" i="2"/>
  <c r="Z145" i="2"/>
  <c r="Z149" i="2"/>
  <c r="Z157" i="2"/>
  <c r="Z161" i="2"/>
  <c r="Z169" i="2"/>
  <c r="Z171" i="2"/>
  <c r="Z175" i="2"/>
  <c r="Z179" i="2"/>
  <c r="Z185" i="2"/>
  <c r="Z187" i="2"/>
  <c r="Z201" i="2"/>
  <c r="Z205" i="2"/>
  <c r="Z207" i="2"/>
  <c r="Z209" i="2"/>
  <c r="Z211" i="2"/>
  <c r="Z219" i="2"/>
  <c r="Z221" i="2"/>
  <c r="Z223" i="2"/>
  <c r="Z229" i="2"/>
  <c r="Z231" i="2"/>
  <c r="Z237" i="2"/>
  <c r="Z241" i="2"/>
  <c r="Z243" i="2"/>
  <c r="Z257" i="2"/>
  <c r="Z259" i="2"/>
  <c r="Z283" i="2"/>
  <c r="Z105" i="2"/>
  <c r="Z108" i="2"/>
  <c r="Z110" i="2"/>
  <c r="Z112" i="2"/>
  <c r="Z114" i="2"/>
  <c r="Z116" i="2"/>
  <c r="Z118" i="2"/>
  <c r="Z122" i="2"/>
  <c r="Z126" i="2"/>
  <c r="Z128" i="2"/>
  <c r="Z130" i="2"/>
  <c r="Z134" i="2"/>
  <c r="Z136" i="2"/>
  <c r="Z138" i="2"/>
  <c r="Z144" i="2"/>
  <c r="Z154" i="2"/>
  <c r="Z158" i="2"/>
  <c r="Z166" i="2"/>
  <c r="Z168" i="2"/>
  <c r="Z170" i="2"/>
  <c r="Z172" i="2"/>
  <c r="Z174" i="2"/>
  <c r="Z178" i="2"/>
  <c r="Z180" i="2"/>
  <c r="Z182" i="2"/>
  <c r="Z184" i="2"/>
  <c r="Z186" i="2"/>
  <c r="Z192" i="2"/>
  <c r="Z198" i="2"/>
  <c r="Z200" i="2"/>
  <c r="Z202" i="2"/>
  <c r="Z204" i="2"/>
  <c r="Z208" i="2"/>
  <c r="Z212" i="2"/>
  <c r="Z214" i="2"/>
  <c r="Z228" i="2"/>
  <c r="Z232" i="2"/>
  <c r="Z236" i="2"/>
  <c r="Z240" i="2"/>
  <c r="Z242" i="2"/>
  <c r="Z256" i="2"/>
  <c r="Z258" i="2"/>
  <c r="Z65" i="2"/>
  <c r="Z18" i="2"/>
  <c r="Z100" i="2"/>
  <c r="Z103" i="2"/>
  <c r="Z217" i="2"/>
  <c r="Z249" i="2"/>
  <c r="Z251" i="2"/>
  <c r="Z253" i="2"/>
  <c r="Z248" i="2"/>
  <c r="Z250" i="2"/>
  <c r="Z252" i="2"/>
  <c r="Z254" i="2"/>
  <c r="AA11" i="2"/>
  <c r="AA15" i="2"/>
  <c r="AA21" i="2"/>
  <c r="AA23" i="2"/>
  <c r="AA25" i="2"/>
  <c r="AA33" i="2"/>
  <c r="AA35" i="2"/>
  <c r="AA37" i="2"/>
  <c r="AA41" i="2"/>
  <c r="AA45" i="2"/>
  <c r="AA51" i="2"/>
  <c r="AA53" i="2"/>
  <c r="AA55" i="2"/>
  <c r="AA16" i="2"/>
  <c r="AA20" i="2"/>
  <c r="AA22" i="2"/>
  <c r="AA24" i="2"/>
  <c r="AA28" i="2"/>
  <c r="AA32" i="2"/>
  <c r="AA34" i="2"/>
  <c r="AA36" i="2"/>
  <c r="AA40" i="2"/>
  <c r="AA56" i="2"/>
  <c r="AA131" i="2"/>
  <c r="AA133" i="2"/>
  <c r="AA135" i="2"/>
  <c r="AA147" i="2"/>
  <c r="AA151" i="2"/>
  <c r="AA153" i="2"/>
  <c r="AA155" i="2"/>
  <c r="AA159" i="2"/>
  <c r="AA165" i="2"/>
  <c r="AA167" i="2"/>
  <c r="AA173" i="2"/>
  <c r="AA181" i="2"/>
  <c r="AA191" i="2"/>
  <c r="AA195" i="2"/>
  <c r="AA221" i="2"/>
  <c r="AA38" i="2"/>
  <c r="AA42" i="2"/>
  <c r="AA46" i="2"/>
  <c r="AA54" i="2"/>
  <c r="AA58" i="2"/>
  <c r="AA132" i="2"/>
  <c r="AA134" i="2"/>
  <c r="AA146" i="2"/>
  <c r="AA148" i="2"/>
  <c r="AA150" i="2"/>
  <c r="AA152" i="2"/>
  <c r="AA156" i="2"/>
  <c r="AA160" i="2"/>
  <c r="AA166" i="2"/>
  <c r="AA168" i="2"/>
  <c r="AA176" i="2"/>
  <c r="AA188" i="2"/>
  <c r="AA190" i="2"/>
  <c r="AA222" i="2"/>
  <c r="AA18" i="2"/>
  <c r="AA61" i="2"/>
  <c r="AA63" i="2"/>
  <c r="AA69" i="2"/>
  <c r="AA71" i="2"/>
  <c r="AA73" i="2"/>
  <c r="AA75" i="2"/>
  <c r="AA77" i="2"/>
  <c r="AA79" i="2"/>
  <c r="AA103" i="2"/>
  <c r="AA105" i="2"/>
  <c r="AA107" i="2"/>
  <c r="AA111" i="2"/>
  <c r="AA207" i="2"/>
  <c r="AA209" i="2"/>
  <c r="AA215" i="2"/>
  <c r="AA227" i="2"/>
  <c r="AA283" i="2"/>
  <c r="AA60" i="2"/>
  <c r="AA62" i="2"/>
  <c r="AA64" i="2"/>
  <c r="AA68" i="2"/>
  <c r="AA70" i="2"/>
  <c r="AA72" i="2"/>
  <c r="AA74" i="2"/>
  <c r="AA76" i="2"/>
  <c r="AA78" i="2"/>
  <c r="AA80" i="2"/>
  <c r="AA100" i="2"/>
  <c r="AA104" i="2"/>
  <c r="AA106" i="2"/>
  <c r="AA108" i="2"/>
  <c r="AA112" i="2"/>
  <c r="AA162" i="2"/>
  <c r="AA206" i="2"/>
  <c r="AA214" i="2"/>
  <c r="AA216" i="2"/>
  <c r="AA218" i="2"/>
  <c r="AA226" i="2"/>
  <c r="AA228" i="2"/>
  <c r="AA282" i="2"/>
  <c r="AA5" i="2"/>
  <c r="AA7" i="2"/>
  <c r="AA65" i="2"/>
  <c r="AA249" i="2"/>
  <c r="AA251" i="2"/>
  <c r="AA253" i="2"/>
  <c r="AA261" i="2"/>
  <c r="AA248" i="2"/>
  <c r="AA250" i="2"/>
  <c r="Y35" i="2"/>
  <c r="Y51" i="2"/>
  <c r="Y111" i="2"/>
  <c r="Y125" i="2"/>
  <c r="Y155" i="2"/>
  <c r="Y16" i="2"/>
  <c r="Y42" i="2"/>
  <c r="Y46" i="2"/>
  <c r="Y124" i="2"/>
  <c r="Y146" i="2"/>
  <c r="Y7" i="2"/>
  <c r="Y9" i="2"/>
  <c r="Y23" i="2"/>
  <c r="Y43" i="2"/>
  <c r="Y55" i="2"/>
  <c r="Y81" i="2"/>
  <c r="Y85" i="2"/>
  <c r="Y89" i="2"/>
  <c r="Y95" i="2"/>
  <c r="Y127" i="2"/>
  <c r="Y139" i="2"/>
  <c r="Y145" i="2"/>
  <c r="Y147" i="2"/>
  <c r="Y14" i="2"/>
  <c r="Y38" i="2"/>
  <c r="Y74" i="2"/>
  <c r="Y76" i="2"/>
  <c r="Y82" i="2"/>
  <c r="Y94" i="2"/>
  <c r="Y102" i="2"/>
  <c r="Y106" i="2"/>
  <c r="Y112" i="2"/>
  <c r="Y114" i="2"/>
  <c r="Y116" i="2"/>
  <c r="Y126" i="2"/>
  <c r="Y150" i="2"/>
  <c r="Y17" i="2"/>
  <c r="Y27" i="2"/>
  <c r="Y29" i="2"/>
  <c r="Y53" i="2"/>
  <c r="Y59" i="2"/>
  <c r="Y30" i="2"/>
  <c r="Y40" i="2"/>
  <c r="Y100" i="2"/>
  <c r="AB5" i="2"/>
  <c r="AB101" i="2"/>
  <c r="AB10" i="2"/>
  <c r="AB163" i="2"/>
  <c r="AB267" i="2"/>
  <c r="AB271" i="2"/>
  <c r="AB273" i="2"/>
  <c r="AB275" i="2"/>
  <c r="AB277" i="2"/>
  <c r="AB279" i="2"/>
  <c r="AB281" i="2"/>
  <c r="AB260" i="2"/>
  <c r="AB262" i="2"/>
  <c r="AB264" i="2"/>
  <c r="AB270" i="2"/>
  <c r="AB272" i="2"/>
  <c r="AB274" i="2"/>
  <c r="AB278" i="2"/>
  <c r="AB280" i="2"/>
  <c r="AB4" i="2"/>
  <c r="AB11" i="2"/>
  <c r="AB13" i="2"/>
  <c r="AB21" i="2"/>
  <c r="AB23" i="2"/>
  <c r="AB25" i="2"/>
  <c r="AB31" i="2"/>
  <c r="AB33" i="2"/>
  <c r="AB35" i="2"/>
  <c r="AB39" i="2"/>
  <c r="AB41" i="2"/>
  <c r="AB43" i="2"/>
  <c r="AB45" i="2"/>
  <c r="AB47" i="2"/>
  <c r="AB49" i="2"/>
  <c r="AB51" i="2"/>
  <c r="AB53" i="2"/>
  <c r="AB63" i="2"/>
  <c r="AB67" i="2"/>
  <c r="AB69" i="2"/>
  <c r="AB71" i="2"/>
  <c r="AB73" i="2"/>
  <c r="AB75" i="2"/>
  <c r="AB81" i="2"/>
  <c r="AB83" i="2"/>
  <c r="AB85" i="2"/>
  <c r="AB87" i="2"/>
  <c r="AB91" i="2"/>
  <c r="AB93" i="2"/>
  <c r="AB95" i="2"/>
  <c r="AB97" i="2"/>
  <c r="AB105" i="2"/>
  <c r="AB107" i="2"/>
  <c r="AB109" i="2"/>
  <c r="AB111" i="2"/>
  <c r="AB113" i="2"/>
  <c r="AB117" i="2"/>
  <c r="AB119" i="2"/>
  <c r="AB121" i="2"/>
  <c r="AB123" i="2"/>
  <c r="AB125" i="2"/>
  <c r="AB127" i="2"/>
  <c r="AB129" i="2"/>
  <c r="AB131" i="2"/>
  <c r="AB137" i="2"/>
  <c r="AB139" i="2"/>
  <c r="AB143" i="2"/>
  <c r="AB12" i="2"/>
  <c r="AB14" i="2"/>
  <c r="AB16" i="2"/>
  <c r="AB20" i="2"/>
  <c r="AB22" i="2"/>
  <c r="AB32" i="2"/>
  <c r="AB34" i="2"/>
  <c r="AB36" i="2"/>
  <c r="AB42" i="2"/>
  <c r="AB44" i="2"/>
  <c r="AB46" i="2"/>
  <c r="AB48" i="2"/>
  <c r="AB50" i="2"/>
  <c r="AB54" i="2"/>
  <c r="AB58" i="2"/>
  <c r="AB64" i="2"/>
  <c r="AB66" i="2"/>
  <c r="AB70" i="2"/>
  <c r="AB72" i="2"/>
  <c r="AB74" i="2"/>
  <c r="AB76" i="2"/>
  <c r="AB82" i="2"/>
  <c r="AB84" i="2"/>
  <c r="AB86" i="2"/>
  <c r="AB88" i="2"/>
  <c r="AB90" i="2"/>
  <c r="AB92" i="2"/>
  <c r="AB94" i="2"/>
  <c r="AB96" i="2"/>
  <c r="AB102" i="2"/>
  <c r="AB106" i="2"/>
  <c r="AB110" i="2"/>
  <c r="AB112" i="2"/>
  <c r="AB114" i="2"/>
  <c r="AB118" i="2"/>
  <c r="AB120" i="2"/>
  <c r="AB122" i="2"/>
  <c r="AB124" i="2"/>
  <c r="AB126" i="2"/>
  <c r="AB128" i="2"/>
  <c r="AB130" i="2"/>
  <c r="AB132" i="2"/>
  <c r="AB136" i="2"/>
  <c r="AB138" i="2"/>
  <c r="AB140" i="2"/>
  <c r="AB144" i="2"/>
  <c r="AB148" i="2"/>
  <c r="AB151" i="2"/>
  <c r="AB153" i="2"/>
  <c r="AB155" i="2"/>
  <c r="AB157" i="2"/>
  <c r="AB165" i="2"/>
  <c r="AB167" i="2"/>
  <c r="AB171" i="2"/>
  <c r="AB177" i="2"/>
  <c r="AB179" i="2"/>
  <c r="AB181" i="2"/>
  <c r="AB183" i="2"/>
  <c r="AB185" i="2"/>
  <c r="AB195" i="2"/>
  <c r="AB197" i="2"/>
  <c r="AB199" i="2"/>
  <c r="AB203" i="2"/>
  <c r="AB205" i="2"/>
  <c r="AB207" i="2"/>
  <c r="AB209" i="2"/>
  <c r="AB211" i="2"/>
  <c r="AB215" i="2"/>
  <c r="AB217" i="2"/>
  <c r="AB219" i="2"/>
  <c r="AB221" i="2"/>
  <c r="AB223" i="2"/>
  <c r="AB225" i="2"/>
  <c r="AB227" i="2"/>
  <c r="AB231" i="2"/>
  <c r="AB233" i="2"/>
  <c r="AB237" i="2"/>
  <c r="AB239" i="2"/>
  <c r="AB241" i="2"/>
  <c r="AB243" i="2"/>
  <c r="AB245" i="2"/>
  <c r="AB283" i="2"/>
  <c r="AB142" i="2"/>
  <c r="AB150" i="2"/>
  <c r="AB152" i="2"/>
  <c r="AB156" i="2"/>
  <c r="AB162" i="2"/>
  <c r="AB178" i="2"/>
  <c r="AB182" i="2"/>
  <c r="AB184" i="2"/>
  <c r="AB188" i="2"/>
  <c r="AB196" i="2"/>
  <c r="AB198" i="2"/>
  <c r="AB200" i="2"/>
  <c r="AB204" i="2"/>
  <c r="AB208" i="2"/>
  <c r="AB210" i="2"/>
  <c r="AB212" i="2"/>
  <c r="AB214" i="2"/>
  <c r="AB216" i="2"/>
  <c r="AB220" i="2"/>
  <c r="AB222" i="2"/>
  <c r="AB226" i="2"/>
  <c r="AB228" i="2"/>
  <c r="AB230" i="2"/>
  <c r="AB232" i="2"/>
  <c r="AB234" i="2"/>
  <c r="AB236" i="2"/>
  <c r="AB238" i="2"/>
  <c r="AB240" i="2"/>
  <c r="AB242" i="2"/>
  <c r="AB266" i="2"/>
  <c r="AB17" i="2"/>
  <c r="AB19" i="2"/>
  <c r="AB27" i="2"/>
  <c r="AB29" i="2"/>
  <c r="AB89" i="2"/>
  <c r="AB99" i="2"/>
  <c r="AB147" i="2"/>
  <c r="AB26" i="2"/>
  <c r="AB30" i="2"/>
  <c r="AB52" i="2"/>
  <c r="AB159" i="2"/>
  <c r="AB161" i="2"/>
  <c r="AB169" i="2"/>
  <c r="AB175" i="2"/>
  <c r="AB201" i="2"/>
  <c r="AB229" i="2"/>
  <c r="AB170" i="2"/>
  <c r="AB180" i="2"/>
  <c r="AB192" i="2"/>
  <c r="AB202" i="2"/>
  <c r="Y283" i="2"/>
  <c r="Y281" i="2"/>
  <c r="Y279" i="2"/>
  <c r="Y277" i="2"/>
  <c r="Y275" i="2"/>
  <c r="Y273" i="2"/>
  <c r="Y271" i="2"/>
  <c r="Y269" i="2"/>
  <c r="Y267" i="2"/>
  <c r="Y265" i="2"/>
  <c r="Y263" i="2"/>
  <c r="Y261" i="2"/>
  <c r="Y259" i="2"/>
  <c r="Y257" i="2"/>
  <c r="Y255" i="2"/>
  <c r="Y253" i="2"/>
  <c r="Y251" i="2"/>
  <c r="Y249" i="2"/>
  <c r="Y247" i="2"/>
  <c r="Y245" i="2"/>
  <c r="Y243" i="2"/>
  <c r="Y241" i="2"/>
  <c r="Y239" i="2"/>
  <c r="Y237" i="2"/>
  <c r="Y235" i="2"/>
  <c r="Y233" i="2"/>
  <c r="Y231" i="2"/>
  <c r="Y229" i="2"/>
  <c r="Y227" i="2"/>
  <c r="Y225" i="2"/>
  <c r="Y223" i="2"/>
  <c r="Y221" i="2"/>
  <c r="Y219" i="2"/>
  <c r="Y217" i="2"/>
  <c r="Y215" i="2"/>
  <c r="Y213" i="2"/>
  <c r="Y211" i="2"/>
  <c r="Y209" i="2"/>
  <c r="Y207" i="2"/>
  <c r="Y205" i="2"/>
  <c r="Y203" i="2"/>
  <c r="Y201" i="2"/>
  <c r="Y199" i="2"/>
  <c r="Y197" i="2"/>
  <c r="Y195" i="2"/>
  <c r="Y193" i="2"/>
  <c r="Y191" i="2"/>
  <c r="Y189" i="2"/>
  <c r="Y187" i="2"/>
  <c r="Y185" i="2"/>
  <c r="Y183" i="2"/>
  <c r="Y181" i="2"/>
  <c r="Y179" i="2"/>
  <c r="Y177" i="2"/>
  <c r="Y175" i="2"/>
  <c r="Y173" i="2"/>
  <c r="Y171" i="2"/>
  <c r="Y169" i="2"/>
  <c r="Y167" i="2"/>
  <c r="Y165" i="2"/>
  <c r="Y163" i="2"/>
  <c r="Y160" i="2"/>
  <c r="Y156" i="2"/>
  <c r="W19" i="1"/>
  <c r="X52" i="1"/>
  <c r="H75" i="1"/>
  <c r="Y52" i="1"/>
  <c r="Y60" i="1"/>
  <c r="Y19" i="1"/>
  <c r="W27" i="1"/>
  <c r="H83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L90" i="1" s="1"/>
  <c r="W20" i="1"/>
  <c r="X60" i="1"/>
  <c r="X58" i="1"/>
  <c r="X56" i="1"/>
  <c r="X54" i="1"/>
  <c r="X50" i="1"/>
  <c r="X48" i="1"/>
  <c r="X46" i="1"/>
  <c r="X44" i="1"/>
  <c r="X42" i="1"/>
  <c r="X40" i="1"/>
  <c r="X38" i="1"/>
  <c r="X36" i="1"/>
  <c r="X34" i="1"/>
  <c r="X32" i="1"/>
  <c r="X30" i="1"/>
  <c r="X28" i="1"/>
  <c r="X26" i="1"/>
  <c r="X24" i="1"/>
  <c r="X22" i="1"/>
  <c r="X20" i="1"/>
  <c r="Y59" i="1"/>
  <c r="Y57" i="1"/>
  <c r="Y55" i="1"/>
  <c r="Y53" i="1"/>
  <c r="Y51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G91" i="1"/>
  <c r="W18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1" i="1"/>
  <c r="W25" i="1"/>
  <c r="W23" i="1"/>
  <c r="X18" i="1"/>
  <c r="X59" i="1"/>
  <c r="X57" i="1"/>
  <c r="X55" i="1"/>
  <c r="X51" i="1"/>
  <c r="X49" i="1"/>
  <c r="X47" i="1"/>
  <c r="X45" i="1"/>
  <c r="X43" i="1"/>
  <c r="X39" i="1"/>
  <c r="X37" i="1"/>
  <c r="X35" i="1"/>
  <c r="X33" i="1"/>
  <c r="X31" i="1"/>
  <c r="X29" i="1"/>
  <c r="X27" i="1"/>
  <c r="X25" i="1"/>
  <c r="X23" i="1"/>
  <c r="G83" i="1"/>
  <c r="Y18" i="1"/>
  <c r="Y58" i="1"/>
  <c r="Y56" i="1"/>
  <c r="Y50" i="1"/>
  <c r="Y48" i="1"/>
  <c r="Y46" i="1"/>
  <c r="Y44" i="1"/>
  <c r="Y42" i="1"/>
  <c r="Y40" i="1"/>
  <c r="Y36" i="1"/>
  <c r="Y34" i="1"/>
  <c r="Y32" i="1"/>
  <c r="Y30" i="1"/>
  <c r="Y28" i="1"/>
  <c r="Y26" i="1"/>
  <c r="Y24" i="1"/>
  <c r="Y20" i="1"/>
  <c r="N125" i="5"/>
  <c r="N133" i="5"/>
  <c r="G75" i="1"/>
  <c r="AB255" i="2"/>
  <c r="K316" i="2" l="1"/>
  <c r="K314" i="2"/>
  <c r="K305" i="2"/>
  <c r="K295" i="2"/>
  <c r="K289" i="2"/>
  <c r="K307" i="2"/>
  <c r="K315" i="2"/>
  <c r="K308" i="2"/>
  <c r="K306" i="2"/>
  <c r="K304" i="2"/>
  <c r="K288" i="2"/>
  <c r="K287" i="2"/>
  <c r="K303" i="2"/>
  <c r="K291" i="2"/>
  <c r="K292" i="2"/>
  <c r="K290" i="2"/>
  <c r="L73" i="3"/>
  <c r="L68" i="3"/>
  <c r="L84" i="3"/>
  <c r="L83" i="3"/>
  <c r="L76" i="3"/>
  <c r="L74" i="3"/>
  <c r="L72" i="3"/>
  <c r="L79" i="3"/>
  <c r="L75" i="3"/>
  <c r="L67" i="3"/>
  <c r="L65" i="3"/>
  <c r="L80" i="3"/>
  <c r="L81" i="3"/>
  <c r="K299" i="2"/>
  <c r="K297" i="2"/>
  <c r="K296" i="2"/>
  <c r="K298" i="2"/>
  <c r="K300" i="2"/>
  <c r="AB6" i="2"/>
  <c r="K311" i="2" s="1"/>
  <c r="AB261" i="2"/>
  <c r="K313" i="2" s="1"/>
  <c r="AB263" i="2"/>
  <c r="K312" i="2" s="1"/>
  <c r="L80" i="1"/>
  <c r="L82" i="1"/>
  <c r="L74" i="1"/>
  <c r="L81" i="1"/>
  <c r="L73" i="1"/>
  <c r="L89" i="1"/>
  <c r="L86" i="1"/>
  <c r="L70" i="1"/>
  <c r="L77" i="1"/>
  <c r="L88" i="1"/>
  <c r="L78" i="1"/>
  <c r="L79" i="1"/>
  <c r="L71" i="1"/>
  <c r="L72" i="1"/>
  <c r="L87" i="1"/>
  <c r="H90" i="1"/>
  <c r="H91" i="1" l="1"/>
  <c r="AD4" i="5" l="1"/>
  <c r="AD19" i="5"/>
  <c r="AD10" i="5"/>
  <c r="AD30" i="5"/>
  <c r="AD13" i="5"/>
  <c r="AD5" i="5"/>
  <c r="AD20" i="5"/>
  <c r="AD23" i="5"/>
  <c r="AD14" i="5"/>
  <c r="AD89" i="5"/>
  <c r="AD17" i="5"/>
  <c r="AD8" i="5"/>
  <c r="AD29" i="5"/>
  <c r="AD11" i="5"/>
  <c r="AD102" i="5"/>
  <c r="AD18" i="5"/>
  <c r="AD6" i="5"/>
  <c r="AD21" i="5"/>
  <c r="AD12" i="5"/>
  <c r="AD39" i="5"/>
  <c r="AD15" i="5"/>
  <c r="AD7" i="5"/>
  <c r="AD9" i="5"/>
  <c r="AD24" i="5"/>
  <c r="AD16" i="5"/>
  <c r="AD51" i="5"/>
  <c r="AD56" i="5"/>
  <c r="AD83" i="5"/>
  <c r="AD96" i="5"/>
  <c r="AD63" i="5"/>
  <c r="AD69" i="5"/>
  <c r="AD95" i="5"/>
  <c r="AD37" i="5"/>
  <c r="AD97" i="5"/>
  <c r="AD70" i="5"/>
  <c r="AD44" i="5"/>
  <c r="AD66" i="5"/>
  <c r="AD60" i="5"/>
  <c r="AD85" i="5"/>
  <c r="AD67" i="5"/>
  <c r="AD86" i="5"/>
  <c r="AD72" i="5"/>
  <c r="AD105" i="5"/>
  <c r="AD54" i="5"/>
  <c r="AD31" i="5"/>
  <c r="AD82" i="5"/>
  <c r="AD36" i="5"/>
  <c r="AD98" i="5"/>
  <c r="AD84" i="5"/>
  <c r="AD52" i="5"/>
  <c r="AD43" i="5"/>
  <c r="AD75" i="5"/>
  <c r="AD25" i="5"/>
  <c r="AD87" i="5"/>
  <c r="AD33" i="5"/>
  <c r="AD34" i="5"/>
  <c r="AD48" i="5"/>
  <c r="AD53" i="5"/>
  <c r="AD64" i="5"/>
  <c r="AD101" i="5"/>
  <c r="AD58" i="5"/>
  <c r="AD46" i="5"/>
  <c r="AD68" i="5"/>
  <c r="AD62" i="5"/>
  <c r="AD38" i="5"/>
  <c r="AD55" i="5"/>
  <c r="AD41" i="5"/>
  <c r="AD71" i="5"/>
  <c r="AD88" i="5"/>
  <c r="AD103" i="5"/>
  <c r="AD80" i="5"/>
  <c r="AD74" i="5"/>
  <c r="AD93" i="5"/>
  <c r="AD73" i="5"/>
  <c r="AD81" i="5"/>
  <c r="AD100" i="5"/>
  <c r="AD40" i="5"/>
  <c r="AD90" i="5"/>
  <c r="AD92" i="5"/>
  <c r="AD35" i="5"/>
  <c r="AD99" i="5"/>
  <c r="AD32" i="5"/>
  <c r="AD61" i="5"/>
  <c r="AD47" i="5"/>
  <c r="AD50" i="5"/>
  <c r="AD79" i="5"/>
  <c r="AD28" i="5"/>
  <c r="AD65" i="5"/>
  <c r="AD78" i="5"/>
  <c r="AD42" i="5"/>
  <c r="AD45" i="5"/>
  <c r="AD76" i="5"/>
  <c r="AD57" i="5"/>
  <c r="AD94" i="5"/>
  <c r="AD104" i="5"/>
  <c r="AD77" i="5"/>
  <c r="AD49" i="5"/>
  <c r="AD91" i="5"/>
  <c r="AD59" i="5"/>
  <c r="P131" i="5" l="1"/>
  <c r="P128" i="5"/>
  <c r="P132" i="5"/>
  <c r="P130" i="5"/>
  <c r="P129" i="5"/>
  <c r="P127" i="5"/>
  <c r="N141" i="5" l="1"/>
  <c r="L141" i="5"/>
</calcChain>
</file>

<file path=xl/sharedStrings.xml><?xml version="1.0" encoding="utf-8"?>
<sst xmlns="http://schemas.openxmlformats.org/spreadsheetml/2006/main" count="11307" uniqueCount="4689">
  <si>
    <t>Bam Id</t>
  </si>
  <si>
    <t>Date</t>
  </si>
  <si>
    <t>Instrument</t>
  </si>
  <si>
    <t>Index Level</t>
  </si>
  <si>
    <t>Face OS</t>
  </si>
  <si>
    <t>Mkt Cap</t>
  </si>
  <si>
    <t>Mkt Cap %</t>
  </si>
  <si>
    <t>Avr. Life</t>
  </si>
  <si>
    <t>EIR Duration</t>
  </si>
  <si>
    <t>Blended YTM</t>
  </si>
  <si>
    <t>Stripped YTM</t>
  </si>
  <si>
    <t>Blended Spread</t>
  </si>
  <si>
    <t>Stripped Spread</t>
  </si>
  <si>
    <t>Spread Duration</t>
  </si>
  <si>
    <t>Daily Change (%)</t>
  </si>
  <si>
    <t>MTD Change (%)</t>
  </si>
  <si>
    <t>YTD Change (%)</t>
  </si>
  <si>
    <t>FC_EMBIG</t>
  </si>
  <si>
    <t>EMBI Global Diversified</t>
  </si>
  <si>
    <t>By instrument type</t>
  </si>
  <si>
    <t>FC_EMBIG-BRADY</t>
  </si>
  <si>
    <t>Restructured (Brady)</t>
  </si>
  <si>
    <t>FC_EMBIG-EURO</t>
  </si>
  <si>
    <t>Eurobonds</t>
  </si>
  <si>
    <t>By region</t>
  </si>
  <si>
    <t>FC_EMBIG_LATIN</t>
  </si>
  <si>
    <t>Latin America</t>
  </si>
  <si>
    <t>FC_EMBIG_NONLAT</t>
  </si>
  <si>
    <t>Non-Latin</t>
  </si>
  <si>
    <t>By sub-region</t>
  </si>
  <si>
    <t>FC_EMBIG_AFRICA</t>
  </si>
  <si>
    <t>Africa</t>
  </si>
  <si>
    <t>FC_EMBIG_ASIA</t>
  </si>
  <si>
    <t>Asia</t>
  </si>
  <si>
    <t>FC_EMBIG_EUROPE</t>
  </si>
  <si>
    <t>Europe</t>
  </si>
  <si>
    <t>Latin</t>
  </si>
  <si>
    <t>FC_EMBIG_MIDEAST</t>
  </si>
  <si>
    <t>Middle East</t>
  </si>
  <si>
    <t>By collateral type</t>
  </si>
  <si>
    <t>FC_EMBIG_UNCOLLAT</t>
  </si>
  <si>
    <t>Uncollateralized</t>
  </si>
  <si>
    <t>By country</t>
  </si>
  <si>
    <t>FC_EMBIG_AR</t>
  </si>
  <si>
    <t>Argentina</t>
  </si>
  <si>
    <t>FC_EMBIG_BY</t>
  </si>
  <si>
    <t>Belarus</t>
  </si>
  <si>
    <t>FC_EMBIG_BZ</t>
  </si>
  <si>
    <t>Belize</t>
  </si>
  <si>
    <t>FC_EMBIG_BR</t>
  </si>
  <si>
    <t>Brazil</t>
  </si>
  <si>
    <t>FC_EMBIG_BG</t>
  </si>
  <si>
    <t>Bulgaria</t>
  </si>
  <si>
    <t>FC_EMBIG_CL</t>
  </si>
  <si>
    <t>Chile</t>
  </si>
  <si>
    <t>FC_EMBIG_CN</t>
  </si>
  <si>
    <t>China</t>
  </si>
  <si>
    <t>FC_EMBIG_CO</t>
  </si>
  <si>
    <t>Colombia</t>
  </si>
  <si>
    <t>FC_EMBIG_HR</t>
  </si>
  <si>
    <t>Croatia</t>
  </si>
  <si>
    <t>FC_EMBIG_DO</t>
  </si>
  <si>
    <t>Dominican Republic</t>
  </si>
  <si>
    <t>FC_EMBIG_EC</t>
  </si>
  <si>
    <t>Ecuador</t>
  </si>
  <si>
    <t>FC_EMBIG_EG</t>
  </si>
  <si>
    <t>Egypt</t>
  </si>
  <si>
    <t>FC_EMBIG_SV</t>
  </si>
  <si>
    <t>El Salvador</t>
  </si>
  <si>
    <t>FC_EMBIG_GA</t>
  </si>
  <si>
    <t>Gabon</t>
  </si>
  <si>
    <t>FC_EMBIG_GE</t>
  </si>
  <si>
    <t>Georgia</t>
  </si>
  <si>
    <t>FC_EMBIG_GH</t>
  </si>
  <si>
    <t>Ghana</t>
  </si>
  <si>
    <t>FC_EMBIG_HU</t>
  </si>
  <si>
    <t>Hungary</t>
  </si>
  <si>
    <t>FC_EMBIG_ID</t>
  </si>
  <si>
    <t>Indonesia</t>
  </si>
  <si>
    <t>FC_EMBIG_IQ</t>
  </si>
  <si>
    <t>Iraq</t>
  </si>
  <si>
    <t>FC_EMBIG_CI</t>
  </si>
  <si>
    <t>Ivory Coast</t>
  </si>
  <si>
    <t>FC_EMBIG_JM</t>
  </si>
  <si>
    <t>Jamaica</t>
  </si>
  <si>
    <t>FC_EMBIG_JO</t>
  </si>
  <si>
    <t>Jordan</t>
  </si>
  <si>
    <t>FC_EMBIG_KZ</t>
  </si>
  <si>
    <t>Kazakhstan</t>
  </si>
  <si>
    <t>FC_EMBIG_LB</t>
  </si>
  <si>
    <t>Lebanon</t>
  </si>
  <si>
    <t>FC_EMBIG_LT</t>
  </si>
  <si>
    <t>Lithuania</t>
  </si>
  <si>
    <t>FC_EMBIG_MY</t>
  </si>
  <si>
    <t>Malaysia</t>
  </si>
  <si>
    <t>FC_EMBIG_MX</t>
  </si>
  <si>
    <t>Mexico</t>
  </si>
  <si>
    <t>FC_EMBIG_NG</t>
  </si>
  <si>
    <t>Nigeria</t>
  </si>
  <si>
    <t>FC_EMBIG_PK</t>
  </si>
  <si>
    <t>Pakistan</t>
  </si>
  <si>
    <t>FC_EMBIG_PA</t>
  </si>
  <si>
    <t>Panama</t>
  </si>
  <si>
    <t>FC_EMBIG_PE</t>
  </si>
  <si>
    <t>Peru</t>
  </si>
  <si>
    <t>FC_EMBIG_PH</t>
  </si>
  <si>
    <t>Philippines</t>
  </si>
  <si>
    <t>FC_EMBIG_PL</t>
  </si>
  <si>
    <t>Poland</t>
  </si>
  <si>
    <t>FC_EMBIG_RU</t>
  </si>
  <si>
    <t>Russia</t>
  </si>
  <si>
    <t>FC_EMBIG_CS</t>
  </si>
  <si>
    <t>Serbia</t>
  </si>
  <si>
    <t>FC_EMBIG_SN</t>
  </si>
  <si>
    <t>Senegal</t>
  </si>
  <si>
    <t>FC_EMBIG_ZA</t>
  </si>
  <si>
    <t>South Africa</t>
  </si>
  <si>
    <t>FC_EMBIG_LK</t>
  </si>
  <si>
    <t>Sri Lanka</t>
  </si>
  <si>
    <t>FC_EMBIG_TR</t>
  </si>
  <si>
    <t>Turkey</t>
  </si>
  <si>
    <t>FC_EMBIG_UA</t>
  </si>
  <si>
    <t>Ukraine</t>
  </si>
  <si>
    <t>FC_EMBIG_UY</t>
  </si>
  <si>
    <t>Uruguay</t>
  </si>
  <si>
    <t>FC_EMBIG_VE</t>
  </si>
  <si>
    <t>Venezuela</t>
  </si>
  <si>
    <t>FC_EMBIG_VN</t>
  </si>
  <si>
    <t>Vietnam</t>
  </si>
  <si>
    <t>By Credit Bucket</t>
  </si>
  <si>
    <t>FC_EMBIG_CREDIT_IG</t>
  </si>
  <si>
    <t>Investment Grade</t>
  </si>
  <si>
    <t>FC_EMBIG_CREDIT_BB</t>
  </si>
  <si>
    <t>BB</t>
  </si>
  <si>
    <t>FC_EMBIG_CREDIT_B</t>
  </si>
  <si>
    <t>B</t>
  </si>
  <si>
    <t>FC_EMBIG_CREDIT_R</t>
  </si>
  <si>
    <t>Residual</t>
  </si>
  <si>
    <t xml:space="preserve"> Current Face Price Bid </t>
  </si>
  <si>
    <t xml:space="preserve"> Current Face Price Offer </t>
  </si>
  <si>
    <t xml:space="preserve"> Original Face Price Bid </t>
  </si>
  <si>
    <t xml:space="preserve"> Original Face Price Offer </t>
  </si>
  <si>
    <t>Quote Method</t>
  </si>
  <si>
    <t>ISIN ID</t>
  </si>
  <si>
    <t>AR27241001</t>
  </si>
  <si>
    <t>AR Discount 8.28% due 33</t>
  </si>
  <si>
    <t>Current Face</t>
  </si>
  <si>
    <t>US040114GL81</t>
  </si>
  <si>
    <t>AR31231001</t>
  </si>
  <si>
    <t>AR Discount 8.28% due 33 Exch</t>
  </si>
  <si>
    <t>XS0501194756</t>
  </si>
  <si>
    <t>AR27242001</t>
  </si>
  <si>
    <t>AR Par Step-up due 38</t>
  </si>
  <si>
    <t>US040114GK09</t>
  </si>
  <si>
    <t>AR31214001</t>
  </si>
  <si>
    <t>AR Republic 8 3/4% due 17</t>
  </si>
  <si>
    <t>Original Face</t>
  </si>
  <si>
    <t>XS0501195480</t>
  </si>
  <si>
    <t>BG26257001</t>
  </si>
  <si>
    <t>BG Republic 8 1/4% due 15</t>
  </si>
  <si>
    <t>XS0145623624</t>
  </si>
  <si>
    <t>BR27696001</t>
  </si>
  <si>
    <t>BR A bond</t>
  </si>
  <si>
    <t>US105756BH29</t>
  </si>
  <si>
    <t>BR30870001</t>
  </si>
  <si>
    <t>BR BNDES 5 1/2% due 20</t>
  </si>
  <si>
    <t>USP14486AD93</t>
  </si>
  <si>
    <t>BR30392001</t>
  </si>
  <si>
    <t>BR BNDES 6 1/2% due 19</t>
  </si>
  <si>
    <t>USP14486AC11</t>
  </si>
  <si>
    <t>BR29949001</t>
  </si>
  <si>
    <t>BR BNDES 6.369% due 18</t>
  </si>
  <si>
    <t>USP14486AA54</t>
  </si>
  <si>
    <t>BR26997001</t>
  </si>
  <si>
    <t>BR Republic 10 1/2% due 14</t>
  </si>
  <si>
    <t>US105756BD15</t>
  </si>
  <si>
    <t>BR26673001</t>
  </si>
  <si>
    <t>BR Republic 10 1/4% due 13</t>
  </si>
  <si>
    <t>US105756AX87</t>
  </si>
  <si>
    <t>BR22038001</t>
  </si>
  <si>
    <t>BR Republic 10 1/8% due 27</t>
  </si>
  <si>
    <t>US105756AE07</t>
  </si>
  <si>
    <t>BR25122001</t>
  </si>
  <si>
    <t>BR Republic 11% due 40</t>
  </si>
  <si>
    <t>US105756AP53</t>
  </si>
  <si>
    <t>BR24950001</t>
  </si>
  <si>
    <t>BR Republic 12 1/4% due 30</t>
  </si>
  <si>
    <t>US105756AL40</t>
  </si>
  <si>
    <t>BR31121001</t>
  </si>
  <si>
    <t>BR Republic 4 7/8% due 21</t>
  </si>
  <si>
    <t>US105756BS83</t>
  </si>
  <si>
    <t>BR30614001</t>
  </si>
  <si>
    <t>BR Republic 5 5/8% due 41</t>
  </si>
  <si>
    <t>US105756BR01</t>
  </si>
  <si>
    <t>BR30207001</t>
  </si>
  <si>
    <t>BR Republic 5 7/8% due 19</t>
  </si>
  <si>
    <t>US105756BQ28</t>
  </si>
  <si>
    <t>BR28728001</t>
  </si>
  <si>
    <t>BR Republic 6% due 17</t>
  </si>
  <si>
    <t>US105756BM14</t>
  </si>
  <si>
    <t>BR28251001</t>
  </si>
  <si>
    <t>BR Republic 7 1/8% due 37</t>
  </si>
  <si>
    <t>US105756BK57</t>
  </si>
  <si>
    <t>BR27248001</t>
  </si>
  <si>
    <t>BR Republic 7 7/8% due 15</t>
  </si>
  <si>
    <t>US105756BG46</t>
  </si>
  <si>
    <t>BR26869001</t>
  </si>
  <si>
    <t>BR Republic 8 1/4% due 34</t>
  </si>
  <si>
    <t>US105756BB58</t>
  </si>
  <si>
    <t>BR27216001</t>
  </si>
  <si>
    <t>BR Republic 8 3/4% due 25</t>
  </si>
  <si>
    <t>US105756BF62</t>
  </si>
  <si>
    <t>BR27103001</t>
  </si>
  <si>
    <t>BR Republic 8 7/8% due 19</t>
  </si>
  <si>
    <t>US105756BE97</t>
  </si>
  <si>
    <t>BR25373001</t>
  </si>
  <si>
    <t>BR Republic 8 7/8% due 24</t>
  </si>
  <si>
    <t>US105756AR10</t>
  </si>
  <si>
    <t>BR26705001</t>
  </si>
  <si>
    <t>BR Republic 8 7/8% due 24 - B</t>
  </si>
  <si>
    <t>US105756AZ36</t>
  </si>
  <si>
    <t>BY31369001</t>
  </si>
  <si>
    <t>BY Republic 8 3/4% due 15</t>
  </si>
  <si>
    <t>XS0529394701</t>
  </si>
  <si>
    <t>BY31744001</t>
  </si>
  <si>
    <t>BY Republic 8.95% due 18</t>
  </si>
  <si>
    <t>XS0583616239</t>
  </si>
  <si>
    <t>BZ28907001</t>
  </si>
  <si>
    <t>BZ Republic 4 1/4% due 29</t>
  </si>
  <si>
    <t>USP16394AF89</t>
  </si>
  <si>
    <t>CI31043001</t>
  </si>
  <si>
    <t>CI Ivory Coast Step-up due 32</t>
  </si>
  <si>
    <t>XS0496488395</t>
  </si>
  <si>
    <t>CL31533001</t>
  </si>
  <si>
    <t>CL Banco del Estado 4 1/8% due 20</t>
  </si>
  <si>
    <t>USP1027DEN77</t>
  </si>
  <si>
    <t>CL31618001</t>
  </si>
  <si>
    <t>CL Codelco 3 3/4% due 20</t>
  </si>
  <si>
    <t>USP3143NAM67</t>
  </si>
  <si>
    <t>CL27115001</t>
  </si>
  <si>
    <t>CL Codelco 4 3/4% due 14</t>
  </si>
  <si>
    <t>USP3143NAF17</t>
  </si>
  <si>
    <t>CL26762001</t>
  </si>
  <si>
    <t>CL Codelco 5 1/2% due 13</t>
  </si>
  <si>
    <t>USP3143NAE42</t>
  </si>
  <si>
    <t>CL28008001</t>
  </si>
  <si>
    <t>CL Codelco 5 5/8% due 35</t>
  </si>
  <si>
    <t>USP3143NAG99</t>
  </si>
  <si>
    <t>CL28693001</t>
  </si>
  <si>
    <t>CL Codelco 6.15% due 36</t>
  </si>
  <si>
    <t>USP3143NAH72</t>
  </si>
  <si>
    <t>CL30219001</t>
  </si>
  <si>
    <t>CL Codelco 7 1/2% due 19</t>
  </si>
  <si>
    <t>USP3143NAJ39</t>
  </si>
  <si>
    <t>CL31397001</t>
  </si>
  <si>
    <t>CL Empresa Nac 5 1/4% due 20</t>
  </si>
  <si>
    <t>USP37110AF39</t>
  </si>
  <si>
    <t>CL32263001</t>
  </si>
  <si>
    <t>CL Republic 3 1/4% due 21</t>
  </si>
  <si>
    <t>US168863AW86</t>
  </si>
  <si>
    <t>CL31377001</t>
  </si>
  <si>
    <t>CL Republic 3 7/8% due 20</t>
  </si>
  <si>
    <t>US168863AV04</t>
  </si>
  <si>
    <t>CL26506001</t>
  </si>
  <si>
    <t>CL Republic 5 1/2% due 13</t>
  </si>
  <si>
    <t>US168863AS74</t>
  </si>
  <si>
    <t>CN32205001</t>
  </si>
  <si>
    <t>CN China Metals 4 7/8% due 16</t>
  </si>
  <si>
    <t>XS0650848723</t>
  </si>
  <si>
    <t>CN27874001</t>
  </si>
  <si>
    <t>CN Ex Im Bk 4 7/8% due 15</t>
  </si>
  <si>
    <t>USY23862AD09</t>
  </si>
  <si>
    <t>CN27061001</t>
  </si>
  <si>
    <t>CN Ex Im Bk 5 1/4% due 14</t>
  </si>
  <si>
    <t>USY23862AC26</t>
  </si>
  <si>
    <t>CN26778001</t>
  </si>
  <si>
    <t>CN Republic 4 3/4% due 13</t>
  </si>
  <si>
    <t>US712219AJ30</t>
  </si>
  <si>
    <t>CN31658001</t>
  </si>
  <si>
    <t>CN Sinochem 4 1/2% due 20</t>
  </si>
  <si>
    <t>USG8185TAA72</t>
  </si>
  <si>
    <t>CN31649001</t>
  </si>
  <si>
    <t>CN Sinochem 6.3% due 40</t>
  </si>
  <si>
    <t>USG8185TAB55</t>
  </si>
  <si>
    <t>CN27113001</t>
  </si>
  <si>
    <t>CN State Dev Bank 4 3/4% due 14</t>
  </si>
  <si>
    <t>US16937MAB19</t>
  </si>
  <si>
    <t>CN28114001</t>
  </si>
  <si>
    <t>CN State Dev Bank 5% due 15</t>
  </si>
  <si>
    <t>US16937MAC91</t>
  </si>
  <si>
    <t>CO26489001</t>
  </si>
  <si>
    <t>CO Republic 10 3/4% due 13</t>
  </si>
  <si>
    <t>US195325BA29</t>
  </si>
  <si>
    <t>CO24947001</t>
  </si>
  <si>
    <t>CO Republic 11 3/4% due 20</t>
  </si>
  <si>
    <t>US195325AU91</t>
  </si>
  <si>
    <t>CO32119001</t>
  </si>
  <si>
    <t>CO Republic 4 3/8% due 21</t>
  </si>
  <si>
    <t>US195325BN40</t>
  </si>
  <si>
    <t>CO30633001</t>
  </si>
  <si>
    <t>CO Republic 6 1/8% due 41</t>
  </si>
  <si>
    <t>US195325BM66</t>
  </si>
  <si>
    <t>CO28530001</t>
  </si>
  <si>
    <t>CO Republic 7 3/8% due 17</t>
  </si>
  <si>
    <t>US195325BJ38</t>
  </si>
  <si>
    <t>CO30208001</t>
  </si>
  <si>
    <t>CO Republic 7 3/8% due 19</t>
  </si>
  <si>
    <t>US195325BL83</t>
  </si>
  <si>
    <t>CO28587001</t>
  </si>
  <si>
    <t>CO Republic 7 3/8% due 37</t>
  </si>
  <si>
    <t>US195325BK01</t>
  </si>
  <si>
    <t>CO27073001</t>
  </si>
  <si>
    <t>CO Republic 8 1/4% due 14</t>
  </si>
  <si>
    <t>US195325BE41</t>
  </si>
  <si>
    <t>CO26872001</t>
  </si>
  <si>
    <t>CO Republic 8 1/8% due 24</t>
  </si>
  <si>
    <t>US195325BD67</t>
  </si>
  <si>
    <t>CS27535001</t>
  </si>
  <si>
    <t>CS Republic Step-up due 24</t>
  </si>
  <si>
    <t>XS0214240482</t>
  </si>
  <si>
    <t>DO31178001</t>
  </si>
  <si>
    <t>DO Republic 7 1/2% due 21</t>
  </si>
  <si>
    <t>USP3579EAH01</t>
  </si>
  <si>
    <t>DO27611001</t>
  </si>
  <si>
    <t>DO Republic 9.04% due 18</t>
  </si>
  <si>
    <t>USP3579EAD96</t>
  </si>
  <si>
    <t>EC28205001</t>
  </si>
  <si>
    <t>EC Republic 9 3/8% due 15</t>
  </si>
  <si>
    <t>USP8055QDE90</t>
  </si>
  <si>
    <t>EG31443001</t>
  </si>
  <si>
    <t>EG Nile Finance Ltd 5 1/4% due 15</t>
  </si>
  <si>
    <t>XS0531270378</t>
  </si>
  <si>
    <t>EG31137001</t>
  </si>
  <si>
    <t>EG Republic 5 3/4% due 20</t>
  </si>
  <si>
    <t>XS0505265859</t>
  </si>
  <si>
    <t>EG31138001</t>
  </si>
  <si>
    <t>EG Republic 6 7/8% due 40</t>
  </si>
  <si>
    <t>XS0505478684</t>
  </si>
  <si>
    <t>GA29721001</t>
  </si>
  <si>
    <t>GA Republic 8.2% due 17</t>
  </si>
  <si>
    <t>XS0333225000</t>
  </si>
  <si>
    <t>GE31896001</t>
  </si>
  <si>
    <t>GE Republic 6 7/8% due 21</t>
  </si>
  <si>
    <t>XS0617134092</t>
  </si>
  <si>
    <t>GH29643001</t>
  </si>
  <si>
    <t>GH Republic 8 1/2% due 17</t>
  </si>
  <si>
    <t>XS0323760370</t>
  </si>
  <si>
    <t>HR30679001</t>
  </si>
  <si>
    <t>HR Republic 6 3/4% due 19</t>
  </si>
  <si>
    <t>XS0464257152</t>
  </si>
  <si>
    <t>HR31864001</t>
  </si>
  <si>
    <t>HR Republic 6 3/8% due 21</t>
  </si>
  <si>
    <t>XS0607904264</t>
  </si>
  <si>
    <t>HR31309001</t>
  </si>
  <si>
    <t>HR Republic 6 5/8% due 20</t>
  </si>
  <si>
    <t>XS0525827845</t>
  </si>
  <si>
    <t>HU27218001</t>
  </si>
  <si>
    <t>HU Republic 4 3/4% due 15</t>
  </si>
  <si>
    <t>US445545AC05</t>
  </si>
  <si>
    <t>HU30913001</t>
  </si>
  <si>
    <t>HU Republic 6 1/4% due 20</t>
  </si>
  <si>
    <t>US445545AD87</t>
  </si>
  <si>
    <t>HU31880001</t>
  </si>
  <si>
    <t>HU Republic 6 3/8% due 21</t>
  </si>
  <si>
    <t>US445545AE60</t>
  </si>
  <si>
    <t>HU31872001</t>
  </si>
  <si>
    <t>HU Republic 7 5/8% due 41</t>
  </si>
  <si>
    <t>US445545AF36</t>
  </si>
  <si>
    <t>ID29529001</t>
  </si>
  <si>
    <t>ID PLNIJ 7 1/4% due 17</t>
  </si>
  <si>
    <t>USN54360AC13</t>
  </si>
  <si>
    <t>ID28667001</t>
  </si>
  <si>
    <t>ID PLNIJ 7 3/4% due 16</t>
  </si>
  <si>
    <t>USN54360AB30</t>
  </si>
  <si>
    <t>ID30687001</t>
  </si>
  <si>
    <t>ID PLNIJ 7 3/4% due 20</t>
  </si>
  <si>
    <t>USN54360AF44</t>
  </si>
  <si>
    <t>ID29530001</t>
  </si>
  <si>
    <t>ID PLNIJ 7 7/8% due 37</t>
  </si>
  <si>
    <t>USN54360AD95</t>
  </si>
  <si>
    <t>ID30508001</t>
  </si>
  <si>
    <t>ID PLNIJ 8% due 19</t>
  </si>
  <si>
    <t>USN54360AE78</t>
  </si>
  <si>
    <t>ID32048001</t>
  </si>
  <si>
    <t>ID Pertamina 5 1/4% due 21</t>
  </si>
  <si>
    <t>USY7138AAA89</t>
  </si>
  <si>
    <t>ID32062001</t>
  </si>
  <si>
    <t>ID Pertamina 6 1/2% due 41</t>
  </si>
  <si>
    <t>USY7138AAB62</t>
  </si>
  <si>
    <t>ID30246001</t>
  </si>
  <si>
    <t>ID Republic 10 3/8% due 14</t>
  </si>
  <si>
    <t>USY20721AN95</t>
  </si>
  <si>
    <t>ID30245001</t>
  </si>
  <si>
    <t>ID Republic 11 5/8% due 19</t>
  </si>
  <si>
    <t>USY20721AP44</t>
  </si>
  <si>
    <t>ID31948001</t>
  </si>
  <si>
    <t>ID Republic 4 7/8% due 21</t>
  </si>
  <si>
    <t>USY20721AU39</t>
  </si>
  <si>
    <t>ID30876001</t>
  </si>
  <si>
    <t>ID Republic 5 7/8% due 20</t>
  </si>
  <si>
    <t>USY20721AQ27</t>
  </si>
  <si>
    <t>ID26920001</t>
  </si>
  <si>
    <t>ID Republic 6 3/4% due 14</t>
  </si>
  <si>
    <t>USY20721AA74</t>
  </si>
  <si>
    <t>ID28891001</t>
  </si>
  <si>
    <t>ID Republic 6 5/8% due 37</t>
  </si>
  <si>
    <t>USY20721AJ83</t>
  </si>
  <si>
    <t>ID28317001</t>
  </si>
  <si>
    <t>ID Republic 6 7/8% due 17</t>
  </si>
  <si>
    <t>USY20721AF61</t>
  </si>
  <si>
    <t>ID29783001</t>
  </si>
  <si>
    <t>ID Republic 6 7/8% due 18</t>
  </si>
  <si>
    <t>USY20721AK56</t>
  </si>
  <si>
    <t>ID28093001</t>
  </si>
  <si>
    <t>ID Republic 7 1/2% due 16</t>
  </si>
  <si>
    <t>USY20721AD14</t>
  </si>
  <si>
    <t>ID27538001</t>
  </si>
  <si>
    <t>ID Republic 7 1/4% due 15</t>
  </si>
  <si>
    <t>USY20721AB57</t>
  </si>
  <si>
    <t>ID29785001</t>
  </si>
  <si>
    <t>ID Republic 7 3/4% due 38</t>
  </si>
  <si>
    <t>USY20721AL30</t>
  </si>
  <si>
    <t>ID28094001</t>
  </si>
  <si>
    <t>ID Republic 8 1/2% due 35</t>
  </si>
  <si>
    <t>USY20721AE96</t>
  </si>
  <si>
    <t>IQ28242001</t>
  </si>
  <si>
    <t>IQ Republic 5.8% due 28</t>
  </si>
  <si>
    <t>XS0240295575</t>
  </si>
  <si>
    <t>JM29970001</t>
  </si>
  <si>
    <t>JM Govt of Jamaica 8% due 19</t>
  </si>
  <si>
    <t>US470160AW29</t>
  </si>
  <si>
    <t>JM28970001</t>
  </si>
  <si>
    <t>JM Govt of Jamaica 8% due 39</t>
  </si>
  <si>
    <t>US470160AV46</t>
  </si>
  <si>
    <t>JO31631001</t>
  </si>
  <si>
    <t>JO Kingdom 3 7/8% due 15</t>
  </si>
  <si>
    <t>XS0557127353</t>
  </si>
  <si>
    <t>KZ31710001</t>
  </si>
  <si>
    <t>KZ Dev Bank of Kazakhstan 5 1/2% due 15</t>
  </si>
  <si>
    <t>XS0570541317</t>
  </si>
  <si>
    <t>KZ29098001</t>
  </si>
  <si>
    <t>KZ Intergas 6 3/8% due 17</t>
  </si>
  <si>
    <t>USN45748AB15</t>
  </si>
  <si>
    <t>KZ31198001</t>
  </si>
  <si>
    <t>KZ Kazatoprom 6 1/4% due 15</t>
  </si>
  <si>
    <t>XS0510820011</t>
  </si>
  <si>
    <t>KZ30458001</t>
  </si>
  <si>
    <t>KZ Kazmunaigaz 11 3/4% due 15</t>
  </si>
  <si>
    <t>XS0441261921</t>
  </si>
  <si>
    <t>KZ31626001</t>
  </si>
  <si>
    <t>KZ Kazmunaigaz 6 3/8% due 21</t>
  </si>
  <si>
    <t>XS0556885753</t>
  </si>
  <si>
    <t>KZ31183001</t>
  </si>
  <si>
    <t>KZ Kazmunaigaz 7% due 20</t>
  </si>
  <si>
    <t>XS0506527851</t>
  </si>
  <si>
    <t>KZ30002001</t>
  </si>
  <si>
    <t>KZ Kazmunaigaz 8 3/8% due 13</t>
  </si>
  <si>
    <t>XS0373642585</t>
  </si>
  <si>
    <t>KZ30007001</t>
  </si>
  <si>
    <t>KZ Kazmunaigaz 9 1/8% due 18</t>
  </si>
  <si>
    <t>XS0373641009</t>
  </si>
  <si>
    <t>KZ31531001</t>
  </si>
  <si>
    <t>KZ Temir 6 3/8% due 20</t>
  </si>
  <si>
    <t>XS0546214007</t>
  </si>
  <si>
    <t>LB32183001</t>
  </si>
  <si>
    <t>LB Republic 4 3/4% due 16</t>
  </si>
  <si>
    <t>XS0655338555</t>
  </si>
  <si>
    <t>LB30309001</t>
  </si>
  <si>
    <t>LB Republic 4% due 17</t>
  </si>
  <si>
    <t>XS0160503347</t>
  </si>
  <si>
    <t>LB31652001</t>
  </si>
  <si>
    <t>LB Republic 5.15% due 18</t>
  </si>
  <si>
    <t>XS0559237952</t>
  </si>
  <si>
    <t>LB31015001</t>
  </si>
  <si>
    <t>LB Republic 6 3/8% due 20</t>
  </si>
  <si>
    <t>XS0493540297</t>
  </si>
  <si>
    <t>LB32025001</t>
  </si>
  <si>
    <t>LB Republic 6% due 19</t>
  </si>
  <si>
    <t>XS0629509943</t>
  </si>
  <si>
    <t>LB31651001</t>
  </si>
  <si>
    <t>LB Republic 6.1% due 22</t>
  </si>
  <si>
    <t>XS0559237796</t>
  </si>
  <si>
    <t>LB28698001</t>
  </si>
  <si>
    <t>LB Republic 7 3/8% due 14</t>
  </si>
  <si>
    <t>XS0250882809</t>
  </si>
  <si>
    <t>LB30125001</t>
  </si>
  <si>
    <t>LB Republic 8 1/2% due 15</t>
  </si>
  <si>
    <t>XS0381915353</t>
  </si>
  <si>
    <t>LB28095001</t>
  </si>
  <si>
    <t>LB Republic 8 1/2% due 16</t>
  </si>
  <si>
    <t>US52238PAJ84</t>
  </si>
  <si>
    <t>LB28418001</t>
  </si>
  <si>
    <t>LB Republic 8 1/4% due 21</t>
  </si>
  <si>
    <t>XS0250882478</t>
  </si>
  <si>
    <t>LB27663001</t>
  </si>
  <si>
    <t>LB Republic 8 5/8% due 13</t>
  </si>
  <si>
    <t>XS0222794249</t>
  </si>
  <si>
    <t>LB29843001</t>
  </si>
  <si>
    <t>LB Republic 9 1/8% due 13</t>
  </si>
  <si>
    <t>XS0352629546</t>
  </si>
  <si>
    <t>LB30266001</t>
  </si>
  <si>
    <t>LB Republic 9% due 17</t>
  </si>
  <si>
    <t>XS0418193917</t>
  </si>
  <si>
    <t>LK31510001</t>
  </si>
  <si>
    <t>LK Republic 6 1/4% due 20</t>
  </si>
  <si>
    <t>USY2029SAF12</t>
  </si>
  <si>
    <t>LK32150001</t>
  </si>
  <si>
    <t>LK Republic 6 1/4% due 21</t>
  </si>
  <si>
    <t>USY2029SAG94</t>
  </si>
  <si>
    <t>LK30637001</t>
  </si>
  <si>
    <t>LK Republic 7.4% due 15</t>
  </si>
  <si>
    <t>USY2029SAE47</t>
  </si>
  <si>
    <t>LT31460001</t>
  </si>
  <si>
    <t>LT Republic 5 1/8% due 17</t>
  </si>
  <si>
    <t>XS0541528682</t>
  </si>
  <si>
    <t>LT31846001</t>
  </si>
  <si>
    <t>LT Republic 6 1/8% due 21</t>
  </si>
  <si>
    <t>XS0602546136</t>
  </si>
  <si>
    <t>LT30628001</t>
  </si>
  <si>
    <t>LT Republic 6 3/4% due 15</t>
  </si>
  <si>
    <t>XS0457764339</t>
  </si>
  <si>
    <t>LT30957001</t>
  </si>
  <si>
    <t>LT Republic 7 3/8% due 20</t>
  </si>
  <si>
    <t>XS0485991417</t>
  </si>
  <si>
    <t>MX32059001</t>
  </si>
  <si>
    <t>MX Commission Fed De Electric 4 7/8% due 21</t>
  </si>
  <si>
    <t>USP30179AJ79</t>
  </si>
  <si>
    <t>MX30578001</t>
  </si>
  <si>
    <t>MX Pemex 4 7/8% due 15</t>
  </si>
  <si>
    <t>US71654QAV41</t>
  </si>
  <si>
    <t>MX31323001</t>
  </si>
  <si>
    <t>MX Pemex 5 1/2% due 21</t>
  </si>
  <si>
    <t>US71654QAX07</t>
  </si>
  <si>
    <t>MX29657001</t>
  </si>
  <si>
    <t>MX Pemex 5 3/4% due 18</t>
  </si>
  <si>
    <t>US706451BS94</t>
  </si>
  <si>
    <t>MX32065001</t>
  </si>
  <si>
    <t>MX Pemex 6 1/2% due 41</t>
  </si>
  <si>
    <t>MX31502001</t>
  </si>
  <si>
    <t>MX Pemex 6 5/8% due 15 Perp</t>
  </si>
  <si>
    <t>US71656MAF68</t>
  </si>
  <si>
    <t>MX27641001</t>
  </si>
  <si>
    <t>MX Pemex 6 5/8% due 35</t>
  </si>
  <si>
    <t>US706451BG56</t>
  </si>
  <si>
    <t>MX29954001</t>
  </si>
  <si>
    <t>MX Pemex 6 5/8% due 38</t>
  </si>
  <si>
    <t>US706451BR12</t>
  </si>
  <si>
    <t>MX30940001</t>
  </si>
  <si>
    <t>MX Pemex 6% due 20</t>
  </si>
  <si>
    <t>US71654QAW24</t>
  </si>
  <si>
    <t>MX30227001</t>
  </si>
  <si>
    <t>MX Pemex 8% due 19</t>
  </si>
  <si>
    <t>US71654QAU67</t>
  </si>
  <si>
    <t>MX28178001</t>
  </si>
  <si>
    <t>MX Pemex FRN due 12</t>
  </si>
  <si>
    <t>US70645KAR05</t>
  </si>
  <si>
    <t>MX21141001</t>
  </si>
  <si>
    <t>MX UMS 11 3/8% due 16</t>
  </si>
  <si>
    <t>US593048BA88</t>
  </si>
  <si>
    <t>MX30874001</t>
  </si>
  <si>
    <t>MX UMS 5 1/8% due 20</t>
  </si>
  <si>
    <t>US91086QAY44</t>
  </si>
  <si>
    <t>MX31540001</t>
  </si>
  <si>
    <t>MX UMS 5 3/4% due 2110</t>
  </si>
  <si>
    <t>US91086QAZ19</t>
  </si>
  <si>
    <t>MX28320001</t>
  </si>
  <si>
    <t>MX UMS 5 5/8% due 17</t>
  </si>
  <si>
    <t>US91086QAU22</t>
  </si>
  <si>
    <t>MX30231001</t>
  </si>
  <si>
    <t>MX UMS 5 7/8% due 02/14</t>
  </si>
  <si>
    <t>US91086QAX60</t>
  </si>
  <si>
    <t>MX26761001</t>
  </si>
  <si>
    <t>MX UMS 5 7/8% due 14</t>
  </si>
  <si>
    <t>US91086QAQ10</t>
  </si>
  <si>
    <t>MX30199001</t>
  </si>
  <si>
    <t>MX UMS 5.95% due 19</t>
  </si>
  <si>
    <t>US91086QAW87</t>
  </si>
  <si>
    <t>MX27083001</t>
  </si>
  <si>
    <t>MX UMS 6 3/4% due 34</t>
  </si>
  <si>
    <t>US91086QAS75</t>
  </si>
  <si>
    <t>MX26508001</t>
  </si>
  <si>
    <t>MX UMS 6 3/8% due 13</t>
  </si>
  <si>
    <t>US91086QAK40</t>
  </si>
  <si>
    <t>MX26568001</t>
  </si>
  <si>
    <t>MX UMS 6 5/8% due 15</t>
  </si>
  <si>
    <t>US91086QAL23</t>
  </si>
  <si>
    <t>MX29749001</t>
  </si>
  <si>
    <t>MX UMS 6.05% due 40</t>
  </si>
  <si>
    <t>US91086QAV05</t>
  </si>
  <si>
    <t>MX26581001</t>
  </si>
  <si>
    <t>MX UMS 7 1/2% due 33</t>
  </si>
  <si>
    <t>US91086QAN88</t>
  </si>
  <si>
    <t>MX25377001</t>
  </si>
  <si>
    <t>MX UMS 8 1/8% due 19</t>
  </si>
  <si>
    <t>US593048BN00</t>
  </si>
  <si>
    <t>MX26389001</t>
  </si>
  <si>
    <t>MX UMS 8% due 22</t>
  </si>
  <si>
    <t>US91086QAJ76</t>
  </si>
  <si>
    <t>MX25796001</t>
  </si>
  <si>
    <t>MX UMS 8.3% due 31</t>
  </si>
  <si>
    <t>US91086QAG38</t>
  </si>
  <si>
    <t>MY28398001</t>
  </si>
  <si>
    <t>MY Penerbangan 5 5/8% due 16</t>
  </si>
  <si>
    <t>USY6826RAA06</t>
  </si>
  <si>
    <t>MY30517001</t>
  </si>
  <si>
    <t>MY Petronas 5 1/4% due 19</t>
  </si>
  <si>
    <t>USY68856AH99</t>
  </si>
  <si>
    <t>MY22921001</t>
  </si>
  <si>
    <t>MY Petronas 7 3/4% due 15</t>
  </si>
  <si>
    <t>USY68851AC16</t>
  </si>
  <si>
    <t>MY22918001</t>
  </si>
  <si>
    <t>MY Petronas 7 5/8% due 26</t>
  </si>
  <si>
    <t>USY68851AK32</t>
  </si>
  <si>
    <t>MY26303001</t>
  </si>
  <si>
    <t>MY Petronas 7 7/8% due 22</t>
  </si>
  <si>
    <t>USY68856AB20</t>
  </si>
  <si>
    <t>NG31767001</t>
  </si>
  <si>
    <t>NG Republic 6 3/4% due 21</t>
  </si>
  <si>
    <t>XS0584435142</t>
  </si>
  <si>
    <t>PA30708001</t>
  </si>
  <si>
    <t>PA Republic 5.2% due 20</t>
  </si>
  <si>
    <t>US698299AX28</t>
  </si>
  <si>
    <t>PA28261001</t>
  </si>
  <si>
    <t>PA Republic 6.7% due 36</t>
  </si>
  <si>
    <t>US698299AW45</t>
  </si>
  <si>
    <t>PA27135001</t>
  </si>
  <si>
    <t>PA Republic 7 1/4% due 15</t>
  </si>
  <si>
    <t>US698299AU88</t>
  </si>
  <si>
    <t>PA28171001</t>
  </si>
  <si>
    <t>PA Republic 7 1/8% due 26</t>
  </si>
  <si>
    <t>US698299AV61</t>
  </si>
  <si>
    <t>PA22471001</t>
  </si>
  <si>
    <t>PA Republic 8 7/8% due 27</t>
  </si>
  <si>
    <t>US698299AD63</t>
  </si>
  <si>
    <t>PA24444001</t>
  </si>
  <si>
    <t>PA Republic 9 3/8% due 29</t>
  </si>
  <si>
    <t>US698299AK07</t>
  </si>
  <si>
    <t>PE31653001</t>
  </si>
  <si>
    <t>PE Republic 5 5/8% due 50</t>
  </si>
  <si>
    <t>US715638BM30</t>
  </si>
  <si>
    <t>PE28910001</t>
  </si>
  <si>
    <t>PE Republic 6.55% due 37</t>
  </si>
  <si>
    <t>US715638AU64</t>
  </si>
  <si>
    <t>PE30280001</t>
  </si>
  <si>
    <t>PE Republic 7 1/8% due 19</t>
  </si>
  <si>
    <t>US715638AW21</t>
  </si>
  <si>
    <t>PE27687001</t>
  </si>
  <si>
    <t>PE Republic 7.35% due 25</t>
  </si>
  <si>
    <t>US715638AS19</t>
  </si>
  <si>
    <t>PE26817001</t>
  </si>
  <si>
    <t>PE Republic 8 3/4% due 33</t>
  </si>
  <si>
    <t>US715638AP79</t>
  </si>
  <si>
    <t>PE26960001</t>
  </si>
  <si>
    <t>PE Republic 8 3/8% due 16</t>
  </si>
  <si>
    <t>US715638AQ52</t>
  </si>
  <si>
    <t>PH28726001</t>
  </si>
  <si>
    <t>PH Natl Power 6 7/8% due 16</t>
  </si>
  <si>
    <t>USY6244HAE81</t>
  </si>
  <si>
    <t>PH30372001</t>
  </si>
  <si>
    <t>PH PSALM 7 1/4% due 19</t>
  </si>
  <si>
    <t>USY7083VAB54</t>
  </si>
  <si>
    <t>PH30750001</t>
  </si>
  <si>
    <t>PH PSALM 7.39% due 24</t>
  </si>
  <si>
    <t>USY7083VAD11</t>
  </si>
  <si>
    <t>PH24957001</t>
  </si>
  <si>
    <t>PH Republic 10 5/8% due 25</t>
  </si>
  <si>
    <t>US718286AP29</t>
  </si>
  <si>
    <t>PH31554001</t>
  </si>
  <si>
    <t>PH Republic 4% due 21</t>
  </si>
  <si>
    <t>US718286BK23</t>
  </si>
  <si>
    <t>PH31868001</t>
  </si>
  <si>
    <t>PH Republic 5 1/2% due 26</t>
  </si>
  <si>
    <t>US718286BN61</t>
  </si>
  <si>
    <t>PH30448001</t>
  </si>
  <si>
    <t>PH Republic 6 1/2% due 20</t>
  </si>
  <si>
    <t>US718286BF38</t>
  </si>
  <si>
    <t>PH28849001</t>
  </si>
  <si>
    <t>PH Republic 6 3/8% due 32</t>
  </si>
  <si>
    <t>US718286BD89</t>
  </si>
  <si>
    <t>PH30641001</t>
  </si>
  <si>
    <t>PH Republic 6 3/8% due 34</t>
  </si>
  <si>
    <t>US718286BG11</t>
  </si>
  <si>
    <t>PH28597001</t>
  </si>
  <si>
    <t>PH Republic 7 1/2% due 24</t>
  </si>
  <si>
    <t>US718286BC07</t>
  </si>
  <si>
    <t>PH28248001</t>
  </si>
  <si>
    <t>PH Republic 7 3/4% due 31</t>
  </si>
  <si>
    <t>US718286BB24</t>
  </si>
  <si>
    <t>PH26692001</t>
  </si>
  <si>
    <t>PH Republic 8 1/4% due 14</t>
  </si>
  <si>
    <t>US718286AU14</t>
  </si>
  <si>
    <t>PH30209001</t>
  </si>
  <si>
    <t>PH Republic 8 3/8% due 19</t>
  </si>
  <si>
    <t>US718286BE62</t>
  </si>
  <si>
    <t>PH26929001</t>
  </si>
  <si>
    <t>PH Republic 8 7/8% due 15</t>
  </si>
  <si>
    <t>US718286AW79</t>
  </si>
  <si>
    <t>PH27991001</t>
  </si>
  <si>
    <t>PH Republic 8% due 16</t>
  </si>
  <si>
    <t>US718286BA41</t>
  </si>
  <si>
    <t>PH27206001</t>
  </si>
  <si>
    <t>PH Republic 9 1/2% due 30</t>
  </si>
  <si>
    <t>US718286AY36</t>
  </si>
  <si>
    <t>PH26182001</t>
  </si>
  <si>
    <t>PH Republic 9 3/8% due 17</t>
  </si>
  <si>
    <t>US718286AQ02</t>
  </si>
  <si>
    <t>PH24314001</t>
  </si>
  <si>
    <t>PH Republic 9 7/8% due 19</t>
  </si>
  <si>
    <t>US718286AK32</t>
  </si>
  <si>
    <t>PH26478001</t>
  </si>
  <si>
    <t>PH Republic 9% due 13</t>
  </si>
  <si>
    <t>US718286AT41</t>
  </si>
  <si>
    <t>PK29122001</t>
  </si>
  <si>
    <t>PK Republic 6 7/8% due 17</t>
  </si>
  <si>
    <t>USY8793YAM40</t>
  </si>
  <si>
    <t>PK28338001</t>
  </si>
  <si>
    <t>PK Republic 7 1/8% due 16</t>
  </si>
  <si>
    <t>USY8793YAK83</t>
  </si>
  <si>
    <t>PL31312001</t>
  </si>
  <si>
    <t>PL Republic 3 7/8% due 15</t>
  </si>
  <si>
    <t>US731011AS13</t>
  </si>
  <si>
    <t>PL26779001</t>
  </si>
  <si>
    <t>PL Republic 5 1/4% due 14</t>
  </si>
  <si>
    <t>US731011AN26</t>
  </si>
  <si>
    <t>PL31905001</t>
  </si>
  <si>
    <t>PL Republic 5 1/8% due 21</t>
  </si>
  <si>
    <t>US857524AA08</t>
  </si>
  <si>
    <t>PL28170001</t>
  </si>
  <si>
    <t>PL Republic 5% due 15</t>
  </si>
  <si>
    <t>US731011AP73</t>
  </si>
  <si>
    <t>PL30441001</t>
  </si>
  <si>
    <t>PL Republic 6 3/8% due 19</t>
  </si>
  <si>
    <t>US731011AR30</t>
  </si>
  <si>
    <t>RU23441001</t>
  </si>
  <si>
    <t>RU Ministry Fin 11% due 18</t>
  </si>
  <si>
    <t>XS0089375249</t>
  </si>
  <si>
    <t>RU23257001</t>
  </si>
  <si>
    <t>RU Ministry Fin 12 3/4% due 28</t>
  </si>
  <si>
    <t>XS0088543193</t>
  </si>
  <si>
    <t>RU31139001</t>
  </si>
  <si>
    <t>RU Republic 3 5/8% due 15</t>
  </si>
  <si>
    <t>XS0504954180</t>
  </si>
  <si>
    <t>RU31140001</t>
  </si>
  <si>
    <t>RU Republic 5% due 20</t>
  </si>
  <si>
    <t>XS0504954347</t>
  </si>
  <si>
    <t>RU24941001</t>
  </si>
  <si>
    <t>RU Republic Step-Up due 30</t>
  </si>
  <si>
    <t>XS0114288789</t>
  </si>
  <si>
    <t>RU32070001</t>
  </si>
  <si>
    <t>RU Russian Agric Bank 6% due 21</t>
  </si>
  <si>
    <t>XS0632887997</t>
  </si>
  <si>
    <t>RU29097001</t>
  </si>
  <si>
    <t>RU Russian Agric Bank 6.299% due 17</t>
  </si>
  <si>
    <t>XS0300998779</t>
  </si>
  <si>
    <t>RU29947001</t>
  </si>
  <si>
    <t>RU Russian Agric Bank 7 1/8% due 14</t>
  </si>
  <si>
    <t>XS0366599800</t>
  </si>
  <si>
    <t>RU29948001</t>
  </si>
  <si>
    <t>RU Russian Agric Bank 7 3/4% due 18</t>
  </si>
  <si>
    <t>XS0366630902</t>
  </si>
  <si>
    <t>RU28453001</t>
  </si>
  <si>
    <t>RU Russian Agric Bank 7.175% due 13</t>
  </si>
  <si>
    <t>XS0254887176</t>
  </si>
  <si>
    <t>RU30393001</t>
  </si>
  <si>
    <t>RU Russian Agric Bank 9% due 14</t>
  </si>
  <si>
    <t>XS0433568101</t>
  </si>
  <si>
    <t>RU31070001</t>
  </si>
  <si>
    <t>RU Russian Railways 5.739% due 17</t>
  </si>
  <si>
    <t>XS0499245180</t>
  </si>
  <si>
    <t>RU31605001</t>
  </si>
  <si>
    <t>RU SCF Capital 5 3/8% due 17</t>
  </si>
  <si>
    <t>XS0552679879</t>
  </si>
  <si>
    <t>RU31663001</t>
  </si>
  <si>
    <t>RU VEB Finance 5.45% due 17</t>
  </si>
  <si>
    <t>XS0559800122</t>
  </si>
  <si>
    <t>RU31657001</t>
  </si>
  <si>
    <t>RU VEB Finance 6.8% due 25</t>
  </si>
  <si>
    <t>XS0559915961</t>
  </si>
  <si>
    <t>RU31300001</t>
  </si>
  <si>
    <t>RU VEB Finance 6.902% due 20</t>
  </si>
  <si>
    <t>XS0524610812</t>
  </si>
  <si>
    <t>SN31984001</t>
  </si>
  <si>
    <t>SN Republic 8 3/4% due 21</t>
  </si>
  <si>
    <t>XS0625251854</t>
  </si>
  <si>
    <t>SV26433001</t>
  </si>
  <si>
    <t>SV Republic 7 3/4% due 23</t>
  </si>
  <si>
    <t>USP01012AJ55</t>
  </si>
  <si>
    <t>SV30734001</t>
  </si>
  <si>
    <t>SV Republic 7 3/8% due 19</t>
  </si>
  <si>
    <t>USP01012AQ98</t>
  </si>
  <si>
    <t>SV31769001</t>
  </si>
  <si>
    <t>SV Republic 7 5/8% due 41</t>
  </si>
  <si>
    <t>USP01012AR71</t>
  </si>
  <si>
    <t>SV27638001</t>
  </si>
  <si>
    <t>SV Republic 7.65% due 35</t>
  </si>
  <si>
    <t>USP01012AN67</t>
  </si>
  <si>
    <t>SV26268001</t>
  </si>
  <si>
    <t>SV Republic 8 1/4% due 32</t>
  </si>
  <si>
    <t>XS0146173371</t>
  </si>
  <si>
    <t>TR24877001</t>
  </si>
  <si>
    <t>TR Republic 11 7/8% due 30</t>
  </si>
  <si>
    <t>US900123AL40</t>
  </si>
  <si>
    <t>TR26510001</t>
  </si>
  <si>
    <t>TR Republic 11% due 13</t>
  </si>
  <si>
    <t>US900123AR10</t>
  </si>
  <si>
    <t>TR31035001</t>
  </si>
  <si>
    <t>TR Republic 5 5/8% due 21</t>
  </si>
  <si>
    <t>US900123BH29</t>
  </si>
  <si>
    <t>TR29639001</t>
  </si>
  <si>
    <t>TR Republic 6 3/4% due 18</t>
  </si>
  <si>
    <t>US900123BA75</t>
  </si>
  <si>
    <t>TR30869001</t>
  </si>
  <si>
    <t>TR Republic 6 3/4% due 40</t>
  </si>
  <si>
    <t>US900123BG46</t>
  </si>
  <si>
    <t>TR28247001</t>
  </si>
  <si>
    <t>TR Republic 6 7/8% due 36</t>
  </si>
  <si>
    <t>US900123AY60</t>
  </si>
  <si>
    <t>TR31733001</t>
  </si>
  <si>
    <t>TR Republic 6% due 41</t>
  </si>
  <si>
    <t>US900123BJ84</t>
  </si>
  <si>
    <t>TR30210001</t>
  </si>
  <si>
    <t>TR Republic 7 1/2% due 17</t>
  </si>
  <si>
    <t>US900123BE97</t>
  </si>
  <si>
    <t>TR30345001</t>
  </si>
  <si>
    <t>TR Republic 7 1/2% due 19</t>
  </si>
  <si>
    <t>US900123BF62</t>
  </si>
  <si>
    <t>TR27096001</t>
  </si>
  <si>
    <t>TR Republic 7 1/4% due 15</t>
  </si>
  <si>
    <t>US900123AV22</t>
  </si>
  <si>
    <t>TR29834001</t>
  </si>
  <si>
    <t>TR Republic 7 1/4% due 38</t>
  </si>
  <si>
    <t>US900123BB58</t>
  </si>
  <si>
    <t>TR27198001</t>
  </si>
  <si>
    <t>TR Republic 7 3/8% due 25</t>
  </si>
  <si>
    <t>US900123AW05</t>
  </si>
  <si>
    <t>TR28603001</t>
  </si>
  <si>
    <t>TR Republic 7% due 16</t>
  </si>
  <si>
    <t>US900123AZ36</t>
  </si>
  <si>
    <t>TR30103001</t>
  </si>
  <si>
    <t>TR Republic 7% due 19</t>
  </si>
  <si>
    <t>US900123BD15</t>
  </si>
  <si>
    <t>TR27642001</t>
  </si>
  <si>
    <t>TR Republic 7% due 20</t>
  </si>
  <si>
    <t>US900123AX87</t>
  </si>
  <si>
    <t>TR26854001</t>
  </si>
  <si>
    <t>TR Republic 8% due 34</t>
  </si>
  <si>
    <t>US900123AT75</t>
  </si>
  <si>
    <t>TR26735001</t>
  </si>
  <si>
    <t>TR Republic 9 1/2% due 14</t>
  </si>
  <si>
    <t>US900123AS92</t>
  </si>
  <si>
    <t>UA30610001</t>
  </si>
  <si>
    <t>UA Naftogaz 9 1/2% due 14</t>
  </si>
  <si>
    <t>XS0459207121</t>
  </si>
  <si>
    <t>UA31871001</t>
  </si>
  <si>
    <t>UA Oschadbank 8 1/4% due 16</t>
  </si>
  <si>
    <t>XS0594294695</t>
  </si>
  <si>
    <t>UA32075001</t>
  </si>
  <si>
    <t>UA Republic 6 1/4% due 16</t>
  </si>
  <si>
    <t>XS0638552942</t>
  </si>
  <si>
    <t>UA29701001</t>
  </si>
  <si>
    <t>UA Republic 6 3/4% due 17</t>
  </si>
  <si>
    <t>XS0330776617</t>
  </si>
  <si>
    <t>UA31488001</t>
  </si>
  <si>
    <t>UA Republic 6 7/8% due 15</t>
  </si>
  <si>
    <t>XS0543783434</t>
  </si>
  <si>
    <t>UA28774001</t>
  </si>
  <si>
    <t>UA Republic 6.58% due 16</t>
  </si>
  <si>
    <t>XS0276053112</t>
  </si>
  <si>
    <t>UA31489001</t>
  </si>
  <si>
    <t>UA Republic 7 3/4% due 20</t>
  </si>
  <si>
    <t>XS0543783194</t>
  </si>
  <si>
    <t>UA26666001</t>
  </si>
  <si>
    <t>UA Republic 7.65% due 13</t>
  </si>
  <si>
    <t>XS0170177306</t>
  </si>
  <si>
    <t>UA31810001</t>
  </si>
  <si>
    <t>UA Republic 7.95% due 21</t>
  </si>
  <si>
    <t>XS0594390816</t>
  </si>
  <si>
    <t>UA31120001</t>
  </si>
  <si>
    <t>UA Ukreximbank 8 3/8% due 15</t>
  </si>
  <si>
    <t>XS0503737461</t>
  </si>
  <si>
    <t>UY30594001</t>
  </si>
  <si>
    <t>UY Republic 6 7/8% due 25</t>
  </si>
  <si>
    <t>US760942AX01</t>
  </si>
  <si>
    <t>UY28325001</t>
  </si>
  <si>
    <t>UY Republic 7 5/8% due 36</t>
  </si>
  <si>
    <t>US760942AS16</t>
  </si>
  <si>
    <t>UY26603001</t>
  </si>
  <si>
    <t>UY Republic 7 7/8% due 33</t>
  </si>
  <si>
    <t>US917288BA96</t>
  </si>
  <si>
    <t>UY28169001</t>
  </si>
  <si>
    <t>UY Republic 8% due 22</t>
  </si>
  <si>
    <t>US917288BC52</t>
  </si>
  <si>
    <t>VE31808001</t>
  </si>
  <si>
    <t>VE PDVSA 12 3/4% due 22</t>
  </si>
  <si>
    <t>USP7807HAM71</t>
  </si>
  <si>
    <t>VE28992001</t>
  </si>
  <si>
    <t>VE PDVSA 5 1/2% due 37</t>
  </si>
  <si>
    <t>XS0294367205</t>
  </si>
  <si>
    <t>VE28990001</t>
  </si>
  <si>
    <t>VE PDVSA 5 1/4% due 17</t>
  </si>
  <si>
    <t>XS0294364103</t>
  </si>
  <si>
    <t>VE28991001</t>
  </si>
  <si>
    <t>VE PDVSA 5 3/8% due 27</t>
  </si>
  <si>
    <t>XS0294364954</t>
  </si>
  <si>
    <t>VE31560001</t>
  </si>
  <si>
    <t>VE PDVSA 8 1/2% due 17</t>
  </si>
  <si>
    <t>USP7807HAK16</t>
  </si>
  <si>
    <t>VE31557001</t>
  </si>
  <si>
    <t>VE PDVSA 8% due 13</t>
  </si>
  <si>
    <t>USP7807HAJ43</t>
  </si>
  <si>
    <t>VE26731001</t>
  </si>
  <si>
    <t>VE Republic 10 3/4% due 13</t>
  </si>
  <si>
    <t>US922646BJ29</t>
  </si>
  <si>
    <t>VE32174001</t>
  </si>
  <si>
    <t>VE Republic 11.95% due 31</t>
  </si>
  <si>
    <t>USP17625AD98</t>
  </si>
  <si>
    <t>VE31402001</t>
  </si>
  <si>
    <t>VE Republic 12 3/4% due 22</t>
  </si>
  <si>
    <t>USP17625AC16</t>
  </si>
  <si>
    <t>VE23528001</t>
  </si>
  <si>
    <t>VE Republic 13 5/8% due 18</t>
  </si>
  <si>
    <t>US922646AT10</t>
  </si>
  <si>
    <t>VE28183001</t>
  </si>
  <si>
    <t>VE Republic 5 3/4% due 16</t>
  </si>
  <si>
    <t>USP97475AF73</t>
  </si>
  <si>
    <t>VE28184001</t>
  </si>
  <si>
    <t>VE Republic 6% due 20</t>
  </si>
  <si>
    <t>USP97475AG56</t>
  </si>
  <si>
    <t>VE30608001</t>
  </si>
  <si>
    <t>VE Republic 7 3/4% due 19</t>
  </si>
  <si>
    <t>USP97475AN08</t>
  </si>
  <si>
    <t>VE26822001</t>
  </si>
  <si>
    <t>VE Republic 7% due 18</t>
  </si>
  <si>
    <t>USP97475AD26</t>
  </si>
  <si>
    <t>VE29699001</t>
  </si>
  <si>
    <t>VE Republic 7% due 38</t>
  </si>
  <si>
    <t>USP97475AJ95</t>
  </si>
  <si>
    <t>VE27536001</t>
  </si>
  <si>
    <t>VE Republic 7.65% due 25</t>
  </si>
  <si>
    <t>XS0217249126</t>
  </si>
  <si>
    <t>VE27092001</t>
  </si>
  <si>
    <t>VE Republic 8 1/2% due 14</t>
  </si>
  <si>
    <t>US922646BM57</t>
  </si>
  <si>
    <t>VE30609001</t>
  </si>
  <si>
    <t>VE Republic 8 1/4% due 24</t>
  </si>
  <si>
    <t>USP97475AP55</t>
  </si>
  <si>
    <t>VE22388001</t>
  </si>
  <si>
    <t>VE Republic 9 1/4% due 27</t>
  </si>
  <si>
    <t>US922646AS37</t>
  </si>
  <si>
    <t>VE29852001</t>
  </si>
  <si>
    <t>VE Republic 9 1/4% due 28</t>
  </si>
  <si>
    <t>USP17625AB33</t>
  </si>
  <si>
    <t>VE26853001</t>
  </si>
  <si>
    <t>VE Republic 9 3/8% due 34</t>
  </si>
  <si>
    <t>US922646BL74</t>
  </si>
  <si>
    <t>VE26945001</t>
  </si>
  <si>
    <t>VE Republic 9% due 23</t>
  </si>
  <si>
    <t>USP17625AA59</t>
  </si>
  <si>
    <t>VN30902001</t>
  </si>
  <si>
    <t>VN Republic 6 3/4% due 20</t>
  </si>
  <si>
    <t>USY9374MAF06</t>
  </si>
  <si>
    <t>VN28119001</t>
  </si>
  <si>
    <t>VN Republic 6 7/8% due 16</t>
  </si>
  <si>
    <t>XS0234072568</t>
  </si>
  <si>
    <t>ZA31771001</t>
  </si>
  <si>
    <t>ZA Eskom 5 3/4% due 21</t>
  </si>
  <si>
    <t>XS0579851949</t>
  </si>
  <si>
    <t>ZA31013001</t>
  </si>
  <si>
    <t>ZA Republic 5 1/2% due 20</t>
  </si>
  <si>
    <t>US836205AN45</t>
  </si>
  <si>
    <t>ZA29101001</t>
  </si>
  <si>
    <t>ZA Republic 5 7/8% due 22</t>
  </si>
  <si>
    <t>US836205AL88</t>
  </si>
  <si>
    <t>ZA26975001</t>
  </si>
  <si>
    <t>ZA Republic 6 1/2% due 14</t>
  </si>
  <si>
    <t>US836205AJ33</t>
  </si>
  <si>
    <t>ZA31835001</t>
  </si>
  <si>
    <t>ZA Republic 6 1/4% due 41</t>
  </si>
  <si>
    <t>US836205AP92</t>
  </si>
  <si>
    <t>ZA30371001</t>
  </si>
  <si>
    <t>ZA Republic 6 7/8% due 19</t>
  </si>
  <si>
    <t>US836205AM61</t>
  </si>
  <si>
    <t>ZA31801001</t>
  </si>
  <si>
    <t>ZA Transnet 4 1/2% due 16</t>
  </si>
  <si>
    <t>XS0590902325</t>
  </si>
  <si>
    <t>Country</t>
  </si>
  <si>
    <t>Columbia</t>
  </si>
  <si>
    <t>By Stripped YTM Bucket</t>
  </si>
  <si>
    <t>Weighted Stripped YTM</t>
  </si>
  <si>
    <t>Weighted Stripped Spread</t>
  </si>
  <si>
    <t>By Stripped Spread Bucket</t>
  </si>
  <si>
    <t>By EIR Duration Bucket</t>
  </si>
  <si>
    <t>10+</t>
  </si>
  <si>
    <t>Weighted EIR Duration</t>
  </si>
  <si>
    <t>By Current Price Offer Bucket</t>
  </si>
  <si>
    <t>Weighted Current Price Offer</t>
  </si>
  <si>
    <t>Market Cap</t>
  </si>
  <si>
    <t>Market Cap %</t>
  </si>
  <si>
    <t>Sector</t>
  </si>
  <si>
    <t>Current Face Price Bid</t>
  </si>
  <si>
    <t>Current Face Price Offer</t>
  </si>
  <si>
    <t>Original Face Price Bid</t>
  </si>
  <si>
    <t>Original Face Price Offer</t>
  </si>
  <si>
    <t>FC_CEMBI_BROAD</t>
  </si>
  <si>
    <t>FC_CEMBI_BROAD2</t>
  </si>
  <si>
    <t>AE30620001</t>
  </si>
  <si>
    <t>AE ADCB 4 3/4% due 14</t>
  </si>
  <si>
    <t>Banks</t>
  </si>
  <si>
    <t>XS0456606481</t>
  </si>
  <si>
    <t>AE29754001</t>
  </si>
  <si>
    <t>AE Abu Dhabi ComBank FRN due 16</t>
  </si>
  <si>
    <t>XS0253013238</t>
  </si>
  <si>
    <t>AE31362001</t>
  </si>
  <si>
    <t>AE Adwa 3.925% due 20</t>
  </si>
  <si>
    <t>Industrials</t>
  </si>
  <si>
    <t>XS0528721623</t>
  </si>
  <si>
    <t>AE30377001</t>
  </si>
  <si>
    <t>AE Aldar Properties 8 3/4% due 14</t>
  </si>
  <si>
    <t>XS0430234897</t>
  </si>
  <si>
    <t>AE29762001</t>
  </si>
  <si>
    <t>AE DP World 6.85% due 37</t>
  </si>
  <si>
    <t>XS0308427581</t>
  </si>
  <si>
    <t>AE30471001</t>
  </si>
  <si>
    <t>AE Dolphin Energy 5.888% due 19</t>
  </si>
  <si>
    <t>Oil</t>
  </si>
  <si>
    <t>USM28368AA21</t>
  </si>
  <si>
    <t>AE29752001</t>
  </si>
  <si>
    <t>AE Mashreqbank FRN due 17</t>
  </si>
  <si>
    <t>XS0283928264</t>
  </si>
  <si>
    <t>AE30566001</t>
  </si>
  <si>
    <t>AE Nat Bank of Abu Dhabi 4 1/2% due 14</t>
  </si>
  <si>
    <t>XS0450891691</t>
  </si>
  <si>
    <t>AE31052001</t>
  </si>
  <si>
    <t>AE Nat Bank of Abu Dhabi 4 1/4% due 15</t>
  </si>
  <si>
    <t>XS0497249341</t>
  </si>
  <si>
    <t>AE30574001</t>
  </si>
  <si>
    <t>AE Taqa Abu Dhabi 4 3/4% due 14</t>
  </si>
  <si>
    <t>Utilities</t>
  </si>
  <si>
    <t>XS0452295560</t>
  </si>
  <si>
    <t>AE29761001</t>
  </si>
  <si>
    <t>AE Taqa Abu Dhabi 5 7/8% due 16</t>
  </si>
  <si>
    <t>XS0272948554</t>
  </si>
  <si>
    <t>AE29803001</t>
  </si>
  <si>
    <t>AE Taqa Abu Dhabi 6 1/2% due 36</t>
  </si>
  <si>
    <t>XS0272949016</t>
  </si>
  <si>
    <t>AE30575001</t>
  </si>
  <si>
    <t>AE Taqa Abu Dhabi 6 1/4% due 19</t>
  </si>
  <si>
    <t>XS0452300402</t>
  </si>
  <si>
    <t>AE29795001</t>
  </si>
  <si>
    <t>AE Taqa Abu Dhabi 6.165% due 17</t>
  </si>
  <si>
    <t>XS0328390702</t>
  </si>
  <si>
    <t>AE30087001</t>
  </si>
  <si>
    <t>AE Taqa Abu Dhabi 6.6% due 13</t>
  </si>
  <si>
    <t>XS0380055888</t>
  </si>
  <si>
    <t>AE30088001</t>
  </si>
  <si>
    <t>AE Taqa Abu Dhabi 7 1/4% due 18</t>
  </si>
  <si>
    <t>XS0380056183</t>
  </si>
  <si>
    <t>AR30603001</t>
  </si>
  <si>
    <t>AR Arcos Dorados 7 1/2% due 19</t>
  </si>
  <si>
    <t>Retail</t>
  </si>
  <si>
    <t>USP04568AA23</t>
  </si>
  <si>
    <t>AR31954001</t>
  </si>
  <si>
    <t>AR Bco Galicia 8 3/4% due 18</t>
  </si>
  <si>
    <t>USP09669BZ79</t>
  </si>
  <si>
    <t>AR31566001</t>
  </si>
  <si>
    <t>AR Edenor 9 3/4% due 22</t>
  </si>
  <si>
    <t>USP3710FAJ32</t>
  </si>
  <si>
    <t>AR31538001</t>
  </si>
  <si>
    <t>AR IMPSA 10 3/8% due 20</t>
  </si>
  <si>
    <t>USN96616AA00</t>
  </si>
  <si>
    <t>AR31195001</t>
  </si>
  <si>
    <t>AR Paname 7 7/8% due 21</t>
  </si>
  <si>
    <t>US69783UAA97</t>
  </si>
  <si>
    <t>AR29103001</t>
  </si>
  <si>
    <t>AR Petrobras 5 7/8% due 17</t>
  </si>
  <si>
    <t>USP7873PAD89</t>
  </si>
  <si>
    <t>AR29086001</t>
  </si>
  <si>
    <t>AR Tragas 7 7/8% due 17</t>
  </si>
  <si>
    <t>USP9308RAX19</t>
  </si>
  <si>
    <t>BB30707001</t>
  </si>
  <si>
    <t>BB Columbus Intl 11 1/2% due 14</t>
  </si>
  <si>
    <t>Telecom</t>
  </si>
  <si>
    <t>USP2894NAA56</t>
  </si>
  <si>
    <t>BH29567001</t>
  </si>
  <si>
    <t>BH Arab Banking Corp FRN due 17</t>
  </si>
  <si>
    <t>XS0293688304</t>
  </si>
  <si>
    <t>BH31723001</t>
  </si>
  <si>
    <t>BH BBK 4 1/2% due 15</t>
  </si>
  <si>
    <t>XS0553706135</t>
  </si>
  <si>
    <t>BH29562001</t>
  </si>
  <si>
    <t>BH Gulf International Bank FRN due 15</t>
  </si>
  <si>
    <t>XS0230799925</t>
  </si>
  <si>
    <t>BR26756001</t>
  </si>
  <si>
    <t>BR Ambev 8 3/4% due 13</t>
  </si>
  <si>
    <t>US20441XAD49</t>
  </si>
  <si>
    <t>BR31049001</t>
  </si>
  <si>
    <t>BR BES Investimento 5 5/8% due 15</t>
  </si>
  <si>
    <t>US05540NAA37</t>
  </si>
  <si>
    <t>BR30901001</t>
  </si>
  <si>
    <t>BR BFF Intl Ltd 7 1/4% due 20</t>
  </si>
  <si>
    <t>USG3400TAA72</t>
  </si>
  <si>
    <t>BR31124001</t>
  </si>
  <si>
    <t>BR Banco ABC 7 7/8% due 20</t>
  </si>
  <si>
    <t>USP0763MBW03</t>
  </si>
  <si>
    <t>BR31899001</t>
  </si>
  <si>
    <t>BR Banco BMG 8% due 18</t>
  </si>
  <si>
    <t>USP07785AF85</t>
  </si>
  <si>
    <t>BR29147001</t>
  </si>
  <si>
    <t>BR Banco BMG 9.15% due 16</t>
  </si>
  <si>
    <t>USP07785AB71</t>
  </si>
  <si>
    <t>BR30742001</t>
  </si>
  <si>
    <t>BR Banco BMG 9.95% due 19</t>
  </si>
  <si>
    <t>USP07785AD38</t>
  </si>
  <si>
    <t>BR32120001</t>
  </si>
  <si>
    <t>BR Banco BTG 4 7/8% due 16</t>
  </si>
  <si>
    <t>USP07790AA91</t>
  </si>
  <si>
    <t>BR31987001</t>
  </si>
  <si>
    <t>BR Banco Bradesco 4 1/8% due 16</t>
  </si>
  <si>
    <t>US05947LAK44</t>
  </si>
  <si>
    <t>BR31046001</t>
  </si>
  <si>
    <t>BR Banco Bradesco 4.1% due 15</t>
  </si>
  <si>
    <t>US05947LAG32</t>
  </si>
  <si>
    <t>BR31398001</t>
  </si>
  <si>
    <t>BR Banco Bradesco 5.9% due 21</t>
  </si>
  <si>
    <t>USG0732RAF58</t>
  </si>
  <si>
    <t>BR30596001</t>
  </si>
  <si>
    <t>BR Banco Bradesco 6 3/4% due 19</t>
  </si>
  <si>
    <t>USG08010BH52</t>
  </si>
  <si>
    <t>BR30890001</t>
  </si>
  <si>
    <t>BR Banco Brasil 4 1/2% due 15</t>
  </si>
  <si>
    <t>US05957PAQ90</t>
  </si>
  <si>
    <t>BR31535001</t>
  </si>
  <si>
    <t>BR Banco Brasil 5 3/8% due 21</t>
  </si>
  <si>
    <t>USP3772WAB83</t>
  </si>
  <si>
    <t>BR32049001</t>
  </si>
  <si>
    <t>BR Banco Brasil 5 7/8% due 22</t>
  </si>
  <si>
    <t>USG07402DN01</t>
  </si>
  <si>
    <t>BR30891001</t>
  </si>
  <si>
    <t>BR Banco Brasil 6% due 20</t>
  </si>
  <si>
    <t>US05957PAR73</t>
  </si>
  <si>
    <t>BR27116001</t>
  </si>
  <si>
    <t>BR Banco Brasil 8 1/2% due 14</t>
  </si>
  <si>
    <t>USG07402AE39</t>
  </si>
  <si>
    <t>BR30748001</t>
  </si>
  <si>
    <t>BR Banco Brasil 8 1/2% due 20 Perp</t>
  </si>
  <si>
    <t>USP3772WAA01</t>
  </si>
  <si>
    <t>BR31817001</t>
  </si>
  <si>
    <t>BR Banco Cruz 8 1/4% due 16</t>
  </si>
  <si>
    <t>US05955XAB73</t>
  </si>
  <si>
    <t>BR31484001</t>
  </si>
  <si>
    <t>BR Banco Cruz 8 7/8% due 20</t>
  </si>
  <si>
    <t>USP09133BF89</t>
  </si>
  <si>
    <t>BR31134001</t>
  </si>
  <si>
    <t>BR Banco Daycoval 6 1/2% due 15</t>
  </si>
  <si>
    <t>XS0494896250</t>
  </si>
  <si>
    <t>BR31818001</t>
  </si>
  <si>
    <t>BR Banco Daycoval 6 1/4% due 16</t>
  </si>
  <si>
    <t>US05956QAA31</t>
  </si>
  <si>
    <t>BR31679001</t>
  </si>
  <si>
    <t>BR Banco Do Nordeste 3 5/8% due 15</t>
  </si>
  <si>
    <t>USP1193TAJ36</t>
  </si>
  <si>
    <t>BR31177001</t>
  </si>
  <si>
    <t>BR Banco Ind 8 1/2% due 20</t>
  </si>
  <si>
    <t>USP1337QAT42</t>
  </si>
  <si>
    <t>BR31419001</t>
  </si>
  <si>
    <t>BR Banco Panamericano 5 1/2% due 15</t>
  </si>
  <si>
    <t>XS0530499663</t>
  </si>
  <si>
    <t>BR31208001</t>
  </si>
  <si>
    <t>BR Banco Panamericano 8 1/2% due 20</t>
  </si>
  <si>
    <t>USP14996AG02</t>
  </si>
  <si>
    <t>BR31774001</t>
  </si>
  <si>
    <t>BR Banco Safra 6 3/4% due 21</t>
  </si>
  <si>
    <t>USP1507FAA32</t>
  </si>
  <si>
    <t>BR31103001</t>
  </si>
  <si>
    <t>BR Banco Santander 4 1/2% due 04/15</t>
  </si>
  <si>
    <t>US05966TAB35</t>
  </si>
  <si>
    <t>BR31745001</t>
  </si>
  <si>
    <t>BR Banco Santander 4 1/4% due 01/16</t>
  </si>
  <si>
    <t>US05966UAH77</t>
  </si>
  <si>
    <t>BR30960001</t>
  </si>
  <si>
    <t>BR Banco Votorantim 4 1/4% due 13</t>
  </si>
  <si>
    <t>XS0485675507</t>
  </si>
  <si>
    <t>BR31802001</t>
  </si>
  <si>
    <t>BR Banco Votorantim 5 1/4% due 16</t>
  </si>
  <si>
    <t>XS0591920607</t>
  </si>
  <si>
    <t>BR30877001</t>
  </si>
  <si>
    <t>BR Banco Votorantim 7 3/8% due 20</t>
  </si>
  <si>
    <t>USP1516SFE11</t>
  </si>
  <si>
    <t>BR28708001</t>
  </si>
  <si>
    <t>BR Bertin 10 1/4% due 16</t>
  </si>
  <si>
    <t>USP1655PAB96</t>
  </si>
  <si>
    <t>BR31599001</t>
  </si>
  <si>
    <t>BR Bic Banco 5 1/4% due 15</t>
  </si>
  <si>
    <t>XS0552649021</t>
  </si>
  <si>
    <t>BR31322001</t>
  </si>
  <si>
    <t>BR Bovespa 5 1/2% due 20</t>
  </si>
  <si>
    <t>USP1728MAA10</t>
  </si>
  <si>
    <t>BR31934001</t>
  </si>
  <si>
    <t>BR Braskem 5 3/4% due 21</t>
  </si>
  <si>
    <t>USG1315RAD38</t>
  </si>
  <si>
    <t>BR29983001</t>
  </si>
  <si>
    <t>BR Braskem 7 1/4% due 18</t>
  </si>
  <si>
    <t>USG1315RAA98</t>
  </si>
  <si>
    <t>BR32167001</t>
  </si>
  <si>
    <t>BR Braskem 7 1/8% due 41</t>
  </si>
  <si>
    <t>USU1065PAA94</t>
  </si>
  <si>
    <t>BR31536001</t>
  </si>
  <si>
    <t>BR Braskem 7 3/8% due 15 Perp</t>
  </si>
  <si>
    <t>USG1315RAC54</t>
  </si>
  <si>
    <t>BR31187001</t>
  </si>
  <si>
    <t>BR Braskem 7% due 20</t>
  </si>
  <si>
    <t>USG1315RAB71</t>
  </si>
  <si>
    <t>BR31339001</t>
  </si>
  <si>
    <t>BR CSN 6 1/2% due 20</t>
  </si>
  <si>
    <t>Metals</t>
  </si>
  <si>
    <t>USL21779AA88</t>
  </si>
  <si>
    <t>BR30582001</t>
  </si>
  <si>
    <t>BR CSN 6 7/8% due 19</t>
  </si>
  <si>
    <t>USG2583XAA93</t>
  </si>
  <si>
    <t>BR31495001</t>
  </si>
  <si>
    <t>BR CSN 7% due 15 Perp</t>
  </si>
  <si>
    <t>USG2585XAA75</t>
  </si>
  <si>
    <t>BR26870001</t>
  </si>
  <si>
    <t>BR CSN 9 3/4% due 13</t>
  </si>
  <si>
    <t>USG2584XAA84</t>
  </si>
  <si>
    <t>BR31713001</t>
  </si>
  <si>
    <t>BR Cia Saneamento 6 1/4% due 20</t>
  </si>
  <si>
    <t>USP3058WAC12</t>
  </si>
  <si>
    <t>BR28876001</t>
  </si>
  <si>
    <t>BR Cosan 7% due 17</t>
  </si>
  <si>
    <t>USG24419AA47</t>
  </si>
  <si>
    <t>BR31681001</t>
  </si>
  <si>
    <t>BR Cosan 8 1/4% due 15 Perp</t>
  </si>
  <si>
    <t>XS0556373347</t>
  </si>
  <si>
    <t>BR30470001</t>
  </si>
  <si>
    <t>BR Eletrobras 6 7/8% due 19</t>
  </si>
  <si>
    <t>USP22854AF31</t>
  </si>
  <si>
    <t>BR28235001</t>
  </si>
  <si>
    <t>BR Eletrobras 7 3/4% due 15</t>
  </si>
  <si>
    <t>USP22854AE65</t>
  </si>
  <si>
    <t>BR28690001</t>
  </si>
  <si>
    <t>BR Embraer 6 3/8% due 17</t>
  </si>
  <si>
    <t>US29081YAB20</t>
  </si>
  <si>
    <t>BR30619001</t>
  </si>
  <si>
    <t>BR Embraer 6 3/8% due 20</t>
  </si>
  <si>
    <t>US29081YAC03</t>
  </si>
  <si>
    <t>BR31834001</t>
  </si>
  <si>
    <t>BR Fibria Overseas 6 3/4% due 21</t>
  </si>
  <si>
    <t>USG3400PAC17</t>
  </si>
  <si>
    <t>BR31182001</t>
  </si>
  <si>
    <t>BR Fibria Overseas 7 1/2% due 20</t>
  </si>
  <si>
    <t>USG3400PAB34</t>
  </si>
  <si>
    <t>BR28546001</t>
  </si>
  <si>
    <t>BR Friboi 10 1/2% due 16</t>
  </si>
  <si>
    <t>USP59695AC39</t>
  </si>
  <si>
    <t>BR31360001</t>
  </si>
  <si>
    <t>BR Friboi 8 1/4% due 18</t>
  </si>
  <si>
    <t>USG11010AA62</t>
  </si>
  <si>
    <t>BR31504001</t>
  </si>
  <si>
    <t>BR Gerdau 5 3/4% due 21</t>
  </si>
  <si>
    <t>USG3925DAA84</t>
  </si>
  <si>
    <t>BR29656001</t>
  </si>
  <si>
    <t>BR Gerdau 7 1/4% due 17</t>
  </si>
  <si>
    <t>USG2440JAE58</t>
  </si>
  <si>
    <t>BR30731001</t>
  </si>
  <si>
    <t>BR Gerdau 7% due 20</t>
  </si>
  <si>
    <t>USU37405AA20</t>
  </si>
  <si>
    <t>BR31393001</t>
  </si>
  <si>
    <t>BR Globopar 6 1/4% due 15 Perp</t>
  </si>
  <si>
    <t>USP47773AK54</t>
  </si>
  <si>
    <t>BR31349001</t>
  </si>
  <si>
    <t>BR Gol 9 1/4% due 20</t>
  </si>
  <si>
    <t>USG3980PAD71</t>
  </si>
  <si>
    <t>BR31931001</t>
  </si>
  <si>
    <t>BR Hypermarcas 6 1/2% due 21</t>
  </si>
  <si>
    <t>USP5246AAF05</t>
  </si>
  <si>
    <t>BR31491001</t>
  </si>
  <si>
    <t>BR Itau 5 3/4% due 21</t>
  </si>
  <si>
    <t>US46556MAB81</t>
  </si>
  <si>
    <t>BR31125001</t>
  </si>
  <si>
    <t>BR Itau 6.2% due 20</t>
  </si>
  <si>
    <t>US46556MAA09</t>
  </si>
  <si>
    <t>BR32078001</t>
  </si>
  <si>
    <t>BR Itau 6.2% due 21</t>
  </si>
  <si>
    <t>US46556MAE21</t>
  </si>
  <si>
    <t>BR31075001</t>
  </si>
  <si>
    <t>BR Magnes 7 7/8% due 20</t>
  </si>
  <si>
    <t>USD33488AA17</t>
  </si>
  <si>
    <t>BR31973001</t>
  </si>
  <si>
    <t>BR Marfrig Holding Europe 8 3/8% due 18</t>
  </si>
  <si>
    <t>USN54468AA65</t>
  </si>
  <si>
    <t>BR31186001</t>
  </si>
  <si>
    <t>BR Marfrig Overseas 9 1/2% due 20</t>
  </si>
  <si>
    <t>USG5814RAB45</t>
  </si>
  <si>
    <t>BR28846001</t>
  </si>
  <si>
    <t>BR Marfrig Overseas 9 5/8% due 16</t>
  </si>
  <si>
    <t>USG5814RAA61</t>
  </si>
  <si>
    <t>BR30962001</t>
  </si>
  <si>
    <t>BR Minerva Overseas 10 7/8% due 19</t>
  </si>
  <si>
    <t>USG6147PAA69</t>
  </si>
  <si>
    <t>BR32102001</t>
  </si>
  <si>
    <t>BR Mirabela Nicklel Ltd 8 3/4% due 18</t>
  </si>
  <si>
    <t>USQ6188CAA47</t>
  </si>
  <si>
    <t>BR32104001</t>
  </si>
  <si>
    <t>BR Navios Maritime 8 1/8% due 19</t>
  </si>
  <si>
    <t>USY62196AC70</t>
  </si>
  <si>
    <t>BR32103001</t>
  </si>
  <si>
    <t>BR Navios Maritime 8 7/8% due 17</t>
  </si>
  <si>
    <t>US639365AD74</t>
  </si>
  <si>
    <t>BR30680001</t>
  </si>
  <si>
    <t>BR Net Servicos 7 1/2% due 20</t>
  </si>
  <si>
    <t>US64109TAD46</t>
  </si>
  <si>
    <t>BR32067001</t>
  </si>
  <si>
    <t>BR OGX Petroleo 8 1/2% due 18</t>
  </si>
  <si>
    <t>USP7356YAA12</t>
  </si>
  <si>
    <t>BR31878001</t>
  </si>
  <si>
    <t>BR Odebrecht 6% due 23</t>
  </si>
  <si>
    <t>USG6710EAG55</t>
  </si>
  <si>
    <t>BR31656001</t>
  </si>
  <si>
    <t>BR Odebrecht 6.35% due 21</t>
  </si>
  <si>
    <t>USG67106AA51</t>
  </si>
  <si>
    <t>BR31493001</t>
  </si>
  <si>
    <t>BR Odebrecht 7 1/2% due 15 Perp</t>
  </si>
  <si>
    <t>USG6710EAF72</t>
  </si>
  <si>
    <t>BR30636001</t>
  </si>
  <si>
    <t>BR Odebrecht 7% due 20</t>
  </si>
  <si>
    <t>USG6710EAD25</t>
  </si>
  <si>
    <t>BR31750001</t>
  </si>
  <si>
    <t>BR Petrobras 3 7/8% due 16</t>
  </si>
  <si>
    <t>US71645WAT80</t>
  </si>
  <si>
    <t>BR30653001</t>
  </si>
  <si>
    <t>BR Petrobras 5 3/4% due 20</t>
  </si>
  <si>
    <t>US71645WAP68</t>
  </si>
  <si>
    <t>BR31749001</t>
  </si>
  <si>
    <t>BR Petrobras 5 3/8% due 21</t>
  </si>
  <si>
    <t>US71645WAR25</t>
  </si>
  <si>
    <t>BR29711001</t>
  </si>
  <si>
    <t>BR Petrobras 5 7/8% due 18</t>
  </si>
  <si>
    <t>US71645WAM38</t>
  </si>
  <si>
    <t>BR28666001</t>
  </si>
  <si>
    <t>BR Petrobras 6 1/8% due 16</t>
  </si>
  <si>
    <t>US71645WAL54</t>
  </si>
  <si>
    <t>BR31748001</t>
  </si>
  <si>
    <t>BR Petrobras 6 3/4% due 41</t>
  </si>
  <si>
    <t>US71645WAS08</t>
  </si>
  <si>
    <t>BR30654001</t>
  </si>
  <si>
    <t>BR Petrobras 6 7/8% due 40</t>
  </si>
  <si>
    <t>US71645WAQ42</t>
  </si>
  <si>
    <t>BR27069001</t>
  </si>
  <si>
    <t>BR Petrobras 7 3/4% due 14</t>
  </si>
  <si>
    <t>US71645WAJ09</t>
  </si>
  <si>
    <t>BR30230001</t>
  </si>
  <si>
    <t>BR Petrobras 7 7/8% due 19</t>
  </si>
  <si>
    <t>US71645WAN11</t>
  </si>
  <si>
    <t>BR26829001</t>
  </si>
  <si>
    <t>BR Petrobras 8 3/8% due 18</t>
  </si>
  <si>
    <t>US71645WAH43</t>
  </si>
  <si>
    <t>BR26685001</t>
  </si>
  <si>
    <t>BR Petrobras 9 1/8% due 13</t>
  </si>
  <si>
    <t>US71645WAG69</t>
  </si>
  <si>
    <t>BR32151001</t>
  </si>
  <si>
    <t>BR QGOG Atlantic/Alaskan Rig 5 1/4% due 18</t>
  </si>
  <si>
    <t>USG7306EAA67</t>
  </si>
  <si>
    <t>BR29041001</t>
  </si>
  <si>
    <t>BR REDE Empresas 11 1/8% due 12 Perp</t>
  </si>
  <si>
    <t>USP8001VAD84</t>
  </si>
  <si>
    <t>BR31494001</t>
  </si>
  <si>
    <t>BR Suzano 5 7/8% due 21</t>
  </si>
  <si>
    <t>USG8600UAA19</t>
  </si>
  <si>
    <t>BR29090001</t>
  </si>
  <si>
    <t>BR TAM Cap 7 3/8% due 17</t>
  </si>
  <si>
    <t>US87484EAB74</t>
  </si>
  <si>
    <t>BR30652001</t>
  </si>
  <si>
    <t>BR TAM Cap 9 1/2% due 20</t>
  </si>
  <si>
    <t>USG86665AA70</t>
  </si>
  <si>
    <t>BR32076001</t>
  </si>
  <si>
    <t>BR Tam Cap 8 3/8% due 21</t>
  </si>
  <si>
    <t>USG86668AA10</t>
  </si>
  <si>
    <t>BR31461001</t>
  </si>
  <si>
    <t>BR Tele Norte 5 1/2% due 20</t>
  </si>
  <si>
    <t>USP9037HAL70</t>
  </si>
  <si>
    <t>BR29797001</t>
  </si>
  <si>
    <t>BR Usiminas 7 1/4% due 18</t>
  </si>
  <si>
    <t>USG93085AA94</t>
  </si>
  <si>
    <t>BR31462001</t>
  </si>
  <si>
    <t>BR Vale Overseas 4 5/8% due 20</t>
  </si>
  <si>
    <t>US91911TAL70</t>
  </si>
  <si>
    <t>BR30572001</t>
  </si>
  <si>
    <t>BR Vale Overseas 5 5/8% due 19</t>
  </si>
  <si>
    <t>US91911TAJ25</t>
  </si>
  <si>
    <t>BR28249001</t>
  </si>
  <si>
    <t>BR Vale Overseas 6 1/4% due 16</t>
  </si>
  <si>
    <t>US91911TAF03</t>
  </si>
  <si>
    <t>BR28845001</t>
  </si>
  <si>
    <t>BR Vale Overseas 6 1/4% due 17</t>
  </si>
  <si>
    <t>US91911TAG85</t>
  </si>
  <si>
    <t>BR28779001</t>
  </si>
  <si>
    <t>BR Vale Overseas 6 7/8% due 36</t>
  </si>
  <si>
    <t>US91911TAH68</t>
  </si>
  <si>
    <t>BR30691001</t>
  </si>
  <si>
    <t>BR Vale Overseas 6 7/8% due 39</t>
  </si>
  <si>
    <t>US91911TAK97</t>
  </si>
  <si>
    <t>BR26864001</t>
  </si>
  <si>
    <t>BR Vale Overseas 8 1/4% due 34</t>
  </si>
  <si>
    <t>US91911TAE38</t>
  </si>
  <si>
    <t>BR31776001</t>
  </si>
  <si>
    <t>BR Virgolino 10 1/2% due 18</t>
  </si>
  <si>
    <t>USG9372JAA00</t>
  </si>
  <si>
    <t>BR31076001</t>
  </si>
  <si>
    <t>BR Votorantim 6 3/4% due 21</t>
  </si>
  <si>
    <t>USG9400PAA24</t>
  </si>
  <si>
    <t>BR30591001</t>
  </si>
  <si>
    <t>BR Votorantim 6 5/8% due 19</t>
  </si>
  <si>
    <t>USG9393UAA00</t>
  </si>
  <si>
    <t>BR31935001</t>
  </si>
  <si>
    <t>BR Votorantim 7 1/4% due 41</t>
  </si>
  <si>
    <t>USP98088AA83</t>
  </si>
  <si>
    <t>BR27702001</t>
  </si>
  <si>
    <t>BR Votorantim 7 3/4% due 20</t>
  </si>
  <si>
    <t>USG93932AA24</t>
  </si>
  <si>
    <t>CL32212001</t>
  </si>
  <si>
    <t>CL Aes Gener SA 5 1/4% due 21</t>
  </si>
  <si>
    <t>USP0607JAE84</t>
  </si>
  <si>
    <t>CL26951001</t>
  </si>
  <si>
    <t>CL Aes Gener SA 7 1/2% due 14</t>
  </si>
  <si>
    <t>US00105DAB10</t>
  </si>
  <si>
    <t>CL32024001</t>
  </si>
  <si>
    <t>CL Auto Gil 8 1/4% due 21</t>
  </si>
  <si>
    <t>USP06006AA10</t>
  </si>
  <si>
    <t>CL31816001</t>
  </si>
  <si>
    <t>CL BRT Escrow 8% due 18</t>
  </si>
  <si>
    <t>USP1911CAA01</t>
  </si>
  <si>
    <t>CL31819001</t>
  </si>
  <si>
    <t>CL Banco Santander FRN due 16</t>
  </si>
  <si>
    <t>USP15069AM29</t>
  </si>
  <si>
    <t>CL31478001</t>
  </si>
  <si>
    <t>CL Cel Arauco 5 % due 21</t>
  </si>
  <si>
    <t>US151191AT07</t>
  </si>
  <si>
    <t>CL26687001</t>
  </si>
  <si>
    <t>CL Cel Arauco 5 1/8% due 13</t>
  </si>
  <si>
    <t>US151191AL70</t>
  </si>
  <si>
    <t>CL27556001</t>
  </si>
  <si>
    <t>CL Cel Arauco 5 5/8% due 15</t>
  </si>
  <si>
    <t>US151191AN37</t>
  </si>
  <si>
    <t>CL30468001</t>
  </si>
  <si>
    <t>CL Cel Arauco 7 1/4% due 19</t>
  </si>
  <si>
    <t>US151191AQ67</t>
  </si>
  <si>
    <t>CL31779001</t>
  </si>
  <si>
    <t>CL Cencosud 5 1/2% due 21</t>
  </si>
  <si>
    <t>USP2205JAE03</t>
  </si>
  <si>
    <t>CL30889001</t>
  </si>
  <si>
    <t>CL Colbun 6% due 20</t>
  </si>
  <si>
    <t>USP2867KAC01</t>
  </si>
  <si>
    <t>CL31711001</t>
  </si>
  <si>
    <t>CL Edelnor 5 5/8 due 21</t>
  </si>
  <si>
    <t>USP36020AA68</t>
  </si>
  <si>
    <t>CL26701001</t>
  </si>
  <si>
    <t>CL Endesa 8.35% due 13</t>
  </si>
  <si>
    <t>US29245SAC61</t>
  </si>
  <si>
    <t>CL31740001</t>
  </si>
  <si>
    <t>CL Inversiones 4 3/4% due 18</t>
  </si>
  <si>
    <t>USG49215AA73</t>
  </si>
  <si>
    <t>CL26674001</t>
  </si>
  <si>
    <t>CL Inversiones 4 7/8% due 13</t>
  </si>
  <si>
    <t>USP58072AB84</t>
  </si>
  <si>
    <t>CL30685001</t>
  </si>
  <si>
    <t>CL Inversiones 6 1/8% due 19</t>
  </si>
  <si>
    <t>USP58072AE24</t>
  </si>
  <si>
    <t>CL31482001</t>
  </si>
  <si>
    <t>CL Santander 3 3/4% due 15</t>
  </si>
  <si>
    <t>USP1506ADF14</t>
  </si>
  <si>
    <t>CL27240001</t>
  </si>
  <si>
    <t>CL Santander 5 3/8% due 14</t>
  </si>
  <si>
    <t>USP1506AAB37</t>
  </si>
  <si>
    <t>CL31680001</t>
  </si>
  <si>
    <t>CL Telefonica Movil 2 7/8% due 15</t>
  </si>
  <si>
    <t>USP90375AB57</t>
  </si>
  <si>
    <t>CN30692001</t>
  </si>
  <si>
    <t>CN Agile 10% due 16</t>
  </si>
  <si>
    <t>USG01198AC73</t>
  </si>
  <si>
    <t>CN31173001</t>
  </si>
  <si>
    <t>CN Agile 8 7/8% due 17</t>
  </si>
  <si>
    <t>USG01218AB54</t>
  </si>
  <si>
    <t>CN32036001</t>
  </si>
  <si>
    <t>CN Beijing Enterprises 5% due 21</t>
  </si>
  <si>
    <t>USG59606AA46</t>
  </si>
  <si>
    <t>CN32039001</t>
  </si>
  <si>
    <t>CN Beijing Enterprises 6 3/8% due 41</t>
  </si>
  <si>
    <t>USG59606AB29</t>
  </si>
  <si>
    <t>CN29605001</t>
  </si>
  <si>
    <t>CN CITIC 6 3/4% due 14</t>
  </si>
  <si>
    <t>USG21555AA88</t>
  </si>
  <si>
    <t>CN27564001</t>
  </si>
  <si>
    <t>CN CMHI Finance 5 3/8% due 15</t>
  </si>
  <si>
    <t>XS0214151978</t>
  </si>
  <si>
    <t>CN30027001</t>
  </si>
  <si>
    <t>CN CMHI Finance 6 1/8% due 13</t>
  </si>
  <si>
    <t>XS0368738091</t>
  </si>
  <si>
    <t>CN31788001</t>
  </si>
  <si>
    <t>CN CNOOC Fin 4 1/4% due 21</t>
  </si>
  <si>
    <t>USG2353WAA92</t>
  </si>
  <si>
    <t>CN26659001</t>
  </si>
  <si>
    <t>CN CNOOC Fin 5 1/2% due 33</t>
  </si>
  <si>
    <t>USG21886AB53</t>
  </si>
  <si>
    <t>CN31796001</t>
  </si>
  <si>
    <t>CN CNOOC Fin 5 3/4% due 41</t>
  </si>
  <si>
    <t>USG2353WAB75</t>
  </si>
  <si>
    <t>CN31945001</t>
  </si>
  <si>
    <t>CN CNPC Overseas Capital 3 1/8% due 16</t>
  </si>
  <si>
    <t>USG21895AA87</t>
  </si>
  <si>
    <t>CN31946001</t>
  </si>
  <si>
    <t>CN CNPC Overseas Capital 4 1/2% due 21</t>
  </si>
  <si>
    <t>USG21895AB60</t>
  </si>
  <si>
    <t>CN31947001</t>
  </si>
  <si>
    <t>CN CNPC Overseas Capital 5.95% due 41</t>
  </si>
  <si>
    <t>USG21895AC44</t>
  </si>
  <si>
    <t>CN31568001</t>
  </si>
  <si>
    <t>CN Central China Real Estate 12 1/4% due 15</t>
  </si>
  <si>
    <t>USG20768AA83</t>
  </si>
  <si>
    <t>CN31985001</t>
  </si>
  <si>
    <t>CN China Liansu Grp 7 7/8% due 16</t>
  </si>
  <si>
    <t>USG2159FAA24</t>
  </si>
  <si>
    <t>CN31685001</t>
  </si>
  <si>
    <t>CN China Oriental 7% due 17</t>
  </si>
  <si>
    <t>USG2108VAC57</t>
  </si>
  <si>
    <t>CN31421001</t>
  </si>
  <si>
    <t>CN China Oriental 8% due 15</t>
  </si>
  <si>
    <t>USG2108VAB74</t>
  </si>
  <si>
    <t>CN31647001</t>
  </si>
  <si>
    <t>CN China Overseas 5 1/2% due 20</t>
  </si>
  <si>
    <t>XS0508012092</t>
  </si>
  <si>
    <t>CN31407001</t>
  </si>
  <si>
    <t>CN China Resources 3 3/4% due 15</t>
  </si>
  <si>
    <t>XS0528404733</t>
  </si>
  <si>
    <t>CN32010001</t>
  </si>
  <si>
    <t>CN China Resources 7 1/4% due 16 Perp</t>
  </si>
  <si>
    <t>XS0622491701</t>
  </si>
  <si>
    <t>CN32089001</t>
  </si>
  <si>
    <t>CN China Resources Land 4 5/8% due 16</t>
  </si>
  <si>
    <t>USG2108YAA31</t>
  </si>
  <si>
    <t>CN32087001</t>
  </si>
  <si>
    <t>CN China Shansui 8 1/2% due 16</t>
  </si>
  <si>
    <t>USG2116MAA92</t>
  </si>
  <si>
    <t>CN31388001</t>
  </si>
  <si>
    <t>CN Country Garden 10 1/2% due 15</t>
  </si>
  <si>
    <t>XS0531782273</t>
  </si>
  <si>
    <t>CN31171001</t>
  </si>
  <si>
    <t>CN Country Garden 11 1/4% due 17</t>
  </si>
  <si>
    <t>USG24524AE37</t>
  </si>
  <si>
    <t>CN31833001</t>
  </si>
  <si>
    <t>CN Country Garden 11 1/8% due 18</t>
  </si>
  <si>
    <t>USG24524AF02</t>
  </si>
  <si>
    <t>CN30562001</t>
  </si>
  <si>
    <t>CN Country Garden 11 3/4% due 14</t>
  </si>
  <si>
    <t>USG24524AD53</t>
  </si>
  <si>
    <t>CN32042001</t>
  </si>
  <si>
    <t>CN ENN Energy Holdings 6% due 21</t>
  </si>
  <si>
    <t>USG3066LAA91</t>
  </si>
  <si>
    <t>CN30899001</t>
  </si>
  <si>
    <t>CN Evergrande 13% due 15</t>
  </si>
  <si>
    <t>USG3225AAA19</t>
  </si>
  <si>
    <t>CN31994001</t>
  </si>
  <si>
    <t>CN Franshion Dev 6 3/4% due 21</t>
  </si>
  <si>
    <t>USG3709DAA03</t>
  </si>
  <si>
    <t>CN31923001</t>
  </si>
  <si>
    <t>CN Fufeng 7 5/8% due 16</t>
  </si>
  <si>
    <t>USG36844AB78</t>
  </si>
  <si>
    <t>CN31583001</t>
  </si>
  <si>
    <t>CN Glorious Property Holding 13% due 15</t>
  </si>
  <si>
    <t>XS0552084849</t>
  </si>
  <si>
    <t>CN31675001</t>
  </si>
  <si>
    <t>CN Hidili Industry 8 5/8% due 15</t>
  </si>
  <si>
    <t>USG44403AB26</t>
  </si>
  <si>
    <t>CN31765001</t>
  </si>
  <si>
    <t>CN Hopson Dev 11 3/4% due 16</t>
  </si>
  <si>
    <t>XS0577732190</t>
  </si>
  <si>
    <t>CN28215001</t>
  </si>
  <si>
    <t>CN Hopson Dev 8 1/8% due 12</t>
  </si>
  <si>
    <t>USG4600HAA98</t>
  </si>
  <si>
    <t>CN31706001</t>
  </si>
  <si>
    <t>CN ICBC 5 1/8% due 20</t>
  </si>
  <si>
    <t>XS0563742138</t>
  </si>
  <si>
    <t>CN31913001</t>
  </si>
  <si>
    <t>CN KWG Property Ltd 12 3/4% due 16</t>
  </si>
  <si>
    <t>XS0606309846</t>
  </si>
  <si>
    <t>CN31175001</t>
  </si>
  <si>
    <t>CN Kaisa Group Ltd 13 1/2% due 15</t>
  </si>
  <si>
    <t>USG52132AA85</t>
  </si>
  <si>
    <t>CN31891001</t>
  </si>
  <si>
    <t>CN Longfor 9 1/2% due 16</t>
  </si>
  <si>
    <t>USG5635PAA78</t>
  </si>
  <si>
    <t>CN32081001</t>
  </si>
  <si>
    <t>CN Lonking 8 1/2% due 16</t>
  </si>
  <si>
    <t>USG5636CAB30</t>
  </si>
  <si>
    <t>CN31986001</t>
  </si>
  <si>
    <t>CN MIE Holdings Corp 9 3/4% due 16</t>
  </si>
  <si>
    <t>USG61157AA45</t>
  </si>
  <si>
    <t>CN31246001</t>
  </si>
  <si>
    <t>CN Renhe 11 3/4% due 15</t>
  </si>
  <si>
    <t>USG75004AA24</t>
  </si>
  <si>
    <t>CN31506001</t>
  </si>
  <si>
    <t>CN Renhe 13% due 16</t>
  </si>
  <si>
    <t>USG75004AB07</t>
  </si>
  <si>
    <t>CN31602001</t>
  </si>
  <si>
    <t>CN Road King 9 1/2% due 15</t>
  </si>
  <si>
    <t>XS0530341873</t>
  </si>
  <si>
    <t>CN31845001</t>
  </si>
  <si>
    <t>CN Shimao PPTY 11% due 18</t>
  </si>
  <si>
    <t>XS0592717689</t>
  </si>
  <si>
    <t>CN28810001</t>
  </si>
  <si>
    <t>CN Shimao PPTY 8% due 16</t>
  </si>
  <si>
    <t>USG81043AB08</t>
  </si>
  <si>
    <t>CN31406001</t>
  </si>
  <si>
    <t>CN Shimao PPTY 9.65% due 17</t>
  </si>
  <si>
    <t>XS0529670159</t>
  </si>
  <si>
    <t>CN31596001</t>
  </si>
  <si>
    <t>CN Sino Forest 6 1/4% due 17</t>
  </si>
  <si>
    <t>USC83912AF98</t>
  </si>
  <si>
    <t>CN32016001</t>
  </si>
  <si>
    <t>CN Sino Ocean Land 10 1/4% due 16 Perp</t>
  </si>
  <si>
    <t>XS0622690575</t>
  </si>
  <si>
    <t>CN31821001</t>
  </si>
  <si>
    <t>CN West China Cement 7 1/2% due 16</t>
  </si>
  <si>
    <t>USG9550BAA10</t>
  </si>
  <si>
    <t>CN31893001</t>
  </si>
  <si>
    <t>CN Winsway 8 1/2% due 16</t>
  </si>
  <si>
    <t>USG97214AA16</t>
  </si>
  <si>
    <t>CN31900001</t>
  </si>
  <si>
    <t>CN Yanlord 10 5/8% due 18</t>
  </si>
  <si>
    <t>USY9729AAD38</t>
  </si>
  <si>
    <t>CN31205001</t>
  </si>
  <si>
    <t>CN Yanlord 9 1/2% due 17</t>
  </si>
  <si>
    <t>USY9729AAC54</t>
  </si>
  <si>
    <t>CO31734001</t>
  </si>
  <si>
    <t>CO Bancolombia 4 1/4% due 16</t>
  </si>
  <si>
    <t>USP1329PAA77</t>
  </si>
  <si>
    <t>CO32066001</t>
  </si>
  <si>
    <t>CO Bancolombia 5.95% due 21</t>
  </si>
  <si>
    <t>USP1329PAW97</t>
  </si>
  <si>
    <t>CO31353001</t>
  </si>
  <si>
    <t>CO Bancolombia 6 1/8% due 20</t>
  </si>
  <si>
    <t>US05968LAB80</t>
  </si>
  <si>
    <t>CO29116001</t>
  </si>
  <si>
    <t>CO Bancolombia 6 7/8% due 17</t>
  </si>
  <si>
    <t>US05968LAA08</t>
  </si>
  <si>
    <t>CO29708001</t>
  </si>
  <si>
    <t>CO EEB International 8 3/4% due 14</t>
  </si>
  <si>
    <t>USG2938AAA19</t>
  </si>
  <si>
    <t>CO30456001</t>
  </si>
  <si>
    <t>CO Ecopetrol 7 5/8% due 19</t>
  </si>
  <si>
    <t>US279158AB56</t>
  </si>
  <si>
    <t>CO31991001</t>
  </si>
  <si>
    <t>CO Gruposura 5.7% due 21</t>
  </si>
  <si>
    <t>USG42036AA42</t>
  </si>
  <si>
    <t>CO30732001</t>
  </si>
  <si>
    <t>CO Pacific Rubiales 8 3/4% due 16</t>
  </si>
  <si>
    <t>USC71058AA68</t>
  </si>
  <si>
    <t>CO29644001</t>
  </si>
  <si>
    <t>CO TGI International 9 1/2% due 17</t>
  </si>
  <si>
    <t>USG87734AA00</t>
  </si>
  <si>
    <t>EG32192001</t>
  </si>
  <si>
    <t>EG AFREXI 5 3/4% due 16</t>
  </si>
  <si>
    <t>XS0650262875</t>
  </si>
  <si>
    <t>EG30743001</t>
  </si>
  <si>
    <t>EG AFREXI 8 3/4% due 14</t>
  </si>
  <si>
    <t>XS0465913993</t>
  </si>
  <si>
    <t>HK30980001</t>
  </si>
  <si>
    <t>HK Bank of China 5.55% due 20</t>
  </si>
  <si>
    <t>USY1391CAJ00</t>
  </si>
  <si>
    <t>HK31347001</t>
  </si>
  <si>
    <t>HK Bank of East Asia 6 1/8% due 20</t>
  </si>
  <si>
    <t>XS0521073428</t>
  </si>
  <si>
    <t>HK30744001</t>
  </si>
  <si>
    <t>HK Bank of East Asia 8 1/2% due 19 Perp</t>
  </si>
  <si>
    <t>XS0462883603</t>
  </si>
  <si>
    <t>HK29606001</t>
  </si>
  <si>
    <t>HK Bank of East Asia FRN due 17</t>
  </si>
  <si>
    <t>XS0306271999</t>
  </si>
  <si>
    <t>HK32000001</t>
  </si>
  <si>
    <t>HK CITIC 6 5/8% due 21</t>
  </si>
  <si>
    <t>XS0611586263</t>
  </si>
  <si>
    <t>HK31318001</t>
  </si>
  <si>
    <t>HK CITIC 6 7/8% due 20</t>
  </si>
  <si>
    <t>XS0520490672</t>
  </si>
  <si>
    <t>HK31996001</t>
  </si>
  <si>
    <t>HK CITIC 7 7/8% due 16 Perp</t>
  </si>
  <si>
    <t>XS0612337500</t>
  </si>
  <si>
    <t>HK32126001</t>
  </si>
  <si>
    <t>HK CLP 4 3/4% due 21</t>
  </si>
  <si>
    <t>XS0635017196</t>
  </si>
  <si>
    <t>HK30083001</t>
  </si>
  <si>
    <t>HK China Gas 6 1/4% due 18</t>
  </si>
  <si>
    <t>USY32358AA46</t>
  </si>
  <si>
    <t>HK31133001</t>
  </si>
  <si>
    <t>HK China Lt Pwr 4 3/4% due 20</t>
  </si>
  <si>
    <t>XS0493535966</t>
  </si>
  <si>
    <t>HK27567001</t>
  </si>
  <si>
    <t>HK Cosco 5 7/8% due 13</t>
  </si>
  <si>
    <t>XS0177609392</t>
  </si>
  <si>
    <t>HK32014001</t>
  </si>
  <si>
    <t>HK Fosun Intl 7 1/2% due 16</t>
  </si>
  <si>
    <t>USY26265AB72</t>
  </si>
  <si>
    <t>HK31708001</t>
  </si>
  <si>
    <t>HK Hong Kong Electric Finance 4 1/4% due 20</t>
  </si>
  <si>
    <t>XS0565475505</t>
  </si>
  <si>
    <t>HK30568001</t>
  </si>
  <si>
    <t>HK Hutchison 4 5/8% due 15</t>
  </si>
  <si>
    <t>USG46726AA63</t>
  </si>
  <si>
    <t>HK30569001</t>
  </si>
  <si>
    <t>HK Hutchison 5 3/4% due 19</t>
  </si>
  <si>
    <t>USG4671AAA81</t>
  </si>
  <si>
    <t>HK26660001</t>
  </si>
  <si>
    <t>HK Hutchison 6 1/2% due 13</t>
  </si>
  <si>
    <t>USG4672QAA25</t>
  </si>
  <si>
    <t>HK26820001</t>
  </si>
  <si>
    <t>HK Hutchison 6 1/4% due 14</t>
  </si>
  <si>
    <t>USG4672CAB12</t>
  </si>
  <si>
    <t>HK31603001</t>
  </si>
  <si>
    <t>HK Hutchison 6 5/8% due 15 Perp</t>
  </si>
  <si>
    <t>XS0543477821</t>
  </si>
  <si>
    <t>HK31634001</t>
  </si>
  <si>
    <t>HK Hutchison 6% due 15 Perp</t>
  </si>
  <si>
    <t>USG4672JAA81</t>
  </si>
  <si>
    <t>HK22928001</t>
  </si>
  <si>
    <t>HK Hutchison 7 1/2% due 27</t>
  </si>
  <si>
    <t>USG46715AC56</t>
  </si>
  <si>
    <t>HK30291001</t>
  </si>
  <si>
    <t>HK Hutchison 7 5/8% due 19</t>
  </si>
  <si>
    <t>USG4672UAA37</t>
  </si>
  <si>
    <t>HK24535001</t>
  </si>
  <si>
    <t>HK Hutchison 7.45% due 17</t>
  </si>
  <si>
    <t>USG46715AB73</t>
  </si>
  <si>
    <t>HK26821001</t>
  </si>
  <si>
    <t>HK Hutchison 7.45% due 33</t>
  </si>
  <si>
    <t>USG4672CAC94</t>
  </si>
  <si>
    <t>HK31919001</t>
  </si>
  <si>
    <t>HK Kerry Prop 5 7/8% due 21</t>
  </si>
  <si>
    <t>XS0611607879</t>
  </si>
  <si>
    <t>HK28576001</t>
  </si>
  <si>
    <t>HK Kerry Prop 6 3/8% due 16</t>
  </si>
  <si>
    <t>XS0265173467</t>
  </si>
  <si>
    <t>HK29607001</t>
  </si>
  <si>
    <t>HK LIFUNG 5 1/2% due 17</t>
  </si>
  <si>
    <t>XS0300694394</t>
  </si>
  <si>
    <t>HK31204001</t>
  </si>
  <si>
    <t>HK LIFUNG 5 1/4% due 20</t>
  </si>
  <si>
    <t>XS0507147725</t>
  </si>
  <si>
    <t>HK31545001</t>
  </si>
  <si>
    <t>HK Land Finance 4 1/2% due 25</t>
  </si>
  <si>
    <t>XS0546241075</t>
  </si>
  <si>
    <t>HK27020001</t>
  </si>
  <si>
    <t>HK Land Finance 5 1/2% due 14</t>
  </si>
  <si>
    <t>XS0191426807</t>
  </si>
  <si>
    <t>HK30972001</t>
  </si>
  <si>
    <t>HK New World 7% due 20</t>
  </si>
  <si>
    <t>XS0485770670</t>
  </si>
  <si>
    <t>HK31409001</t>
  </si>
  <si>
    <t>HK Noble 4 7/8% due 15</t>
  </si>
  <si>
    <t>USG6542FAA96</t>
  </si>
  <si>
    <t>HK30651001</t>
  </si>
  <si>
    <t>HK Noble 6 3/4% due 20</t>
  </si>
  <si>
    <t>USG6542TAE13</t>
  </si>
  <si>
    <t>HK29968001</t>
  </si>
  <si>
    <t>HK Noble 8 1/2% due 13</t>
  </si>
  <si>
    <t>USG6542TAD30</t>
  </si>
  <si>
    <t>HK31645001</t>
  </si>
  <si>
    <t>HK Noble 8 1/2% due 15 Perp</t>
  </si>
  <si>
    <t>XS0552553850</t>
  </si>
  <si>
    <t>HK31420001</t>
  </si>
  <si>
    <t>HK PCCW 4 1/4% due 16</t>
  </si>
  <si>
    <t>XS0536564981</t>
  </si>
  <si>
    <t>HK27897001</t>
  </si>
  <si>
    <t>HK PCCW 5 1/4% due 15</t>
  </si>
  <si>
    <t>USG69552AA80</t>
  </si>
  <si>
    <t>HK26693001</t>
  </si>
  <si>
    <t>HK PCCW 6% due 13</t>
  </si>
  <si>
    <t>USU7046PAA04</t>
  </si>
  <si>
    <t>HK31671001</t>
  </si>
  <si>
    <t>HK Pacnet 9 1/4% due 15</t>
  </si>
  <si>
    <t>USG68656AA87</t>
  </si>
  <si>
    <t>HK29767001</t>
  </si>
  <si>
    <t>HK Standard FRN due 17</t>
  </si>
  <si>
    <t>XS0295153109</t>
  </si>
  <si>
    <t>HK31640001</t>
  </si>
  <si>
    <t>HK Sun Hung 4% due 20</t>
  </si>
  <si>
    <t>XS0554846781</t>
  </si>
  <si>
    <t>HK29768001</t>
  </si>
  <si>
    <t>HK Sun Hung 5 3/8% due 17</t>
  </si>
  <si>
    <t>XS0290534212</t>
  </si>
  <si>
    <t>HK30522001</t>
  </si>
  <si>
    <t>HK Swire Pac 5 1/2% due 19</t>
  </si>
  <si>
    <t>XS0446665886</t>
  </si>
  <si>
    <t>HK28406001</t>
  </si>
  <si>
    <t>HK Swire Pac 5 5/8% due 16</t>
  </si>
  <si>
    <t>XS0247747081</t>
  </si>
  <si>
    <t>HK29939001</t>
  </si>
  <si>
    <t>HK Swire Pac 6 1/4% due 18</t>
  </si>
  <si>
    <t>XS0359089512</t>
  </si>
  <si>
    <t>HK29769001</t>
  </si>
  <si>
    <t>HK Wharf 6 1/8% due 17</t>
  </si>
  <si>
    <t>XS0329230469</t>
  </si>
  <si>
    <t>HK29770001</t>
  </si>
  <si>
    <t>HK Wing Hang 6% due 17 Perp</t>
  </si>
  <si>
    <t>XS0296645012</t>
  </si>
  <si>
    <t>ID29061001</t>
  </si>
  <si>
    <t>ID BLT Finance 7 1/2% due 14</t>
  </si>
  <si>
    <t>USN14007AA18</t>
  </si>
  <si>
    <t>ID31317001</t>
  </si>
  <si>
    <t>ID Berau Coal 12 1/2% due 15</t>
  </si>
  <si>
    <t>USY1004WAA46</t>
  </si>
  <si>
    <t>ID30746001</t>
  </si>
  <si>
    <t>USY10038AA81</t>
  </si>
  <si>
    <t>ID31541001</t>
  </si>
  <si>
    <t>ID Bumi Resources 10 3/4% due 17</t>
  </si>
  <si>
    <t>USY10048AA71</t>
  </si>
  <si>
    <t>ID30944001</t>
  </si>
  <si>
    <t>ID Cikarang 9 1/4% due 15</t>
  </si>
  <si>
    <t>USN5276YAB22</t>
  </si>
  <si>
    <t>ID32054001</t>
  </si>
  <si>
    <t>USN44515AA77</t>
  </si>
  <si>
    <t>ID31372001</t>
  </si>
  <si>
    <t>ID Indosat 7 3/8% due 20</t>
  </si>
  <si>
    <t>USN44519AA99</t>
  </si>
  <si>
    <t>ID31250001</t>
  </si>
  <si>
    <t>ID Lippo Karawaci 9% due 15</t>
  </si>
  <si>
    <t>XS0504998393</t>
  </si>
  <si>
    <t>ID30640001</t>
  </si>
  <si>
    <t>ID PT Adaro 7 5/8% due 19</t>
  </si>
  <si>
    <t>USY70902AA21</t>
  </si>
  <si>
    <t>ID30976001</t>
  </si>
  <si>
    <t>ID Star Energy 11 1/2% due 15</t>
  </si>
  <si>
    <t>USG84393AA82</t>
  </si>
  <si>
    <t>IL29936001</t>
  </si>
  <si>
    <t>IL Electric Corp 7 1/4% due 19</t>
  </si>
  <si>
    <t>US46507NAA81</t>
  </si>
  <si>
    <t>IL29556001</t>
  </si>
  <si>
    <t>IL Electric Corp 7 3/4% due 27</t>
  </si>
  <si>
    <t>US46507WAB63</t>
  </si>
  <si>
    <t>IL30221001</t>
  </si>
  <si>
    <t>IL Electric Corp 9 3/8% due 20</t>
  </si>
  <si>
    <t>US46507NAB64</t>
  </si>
  <si>
    <t>IN31636001</t>
  </si>
  <si>
    <t>IN Axis Bank 4 3/4% due 16</t>
  </si>
  <si>
    <t>US05463EAA64</t>
  </si>
  <si>
    <t>IN31073001</t>
  </si>
  <si>
    <t>IN Axis Bank 5 1/4% due 15</t>
  </si>
  <si>
    <t>XS0463466028</t>
  </si>
  <si>
    <t>IN31131001</t>
  </si>
  <si>
    <t>IN Bank of Baroda 4 3/4% due 15</t>
  </si>
  <si>
    <t>XS0483734298</t>
  </si>
  <si>
    <t>IN31841001</t>
  </si>
  <si>
    <t>IN Bank of Baroda 5% due 16</t>
  </si>
  <si>
    <t>XS0594008517</t>
  </si>
  <si>
    <t>IN29772001</t>
  </si>
  <si>
    <t>IN Bank of Baroda 6 5/8% due 22</t>
  </si>
  <si>
    <t>XS0301888615</t>
  </si>
  <si>
    <t>IN31071001</t>
  </si>
  <si>
    <t>IN Bank of India 4 3/4% due 15</t>
  </si>
  <si>
    <t>XS0498932721</t>
  </si>
  <si>
    <t>IN31839001</t>
  </si>
  <si>
    <t>IN Bank of India 6 1/4% due 21</t>
  </si>
  <si>
    <t>XS0592238876</t>
  </si>
  <si>
    <t>IN31866001</t>
  </si>
  <si>
    <t>IN Canara Bank 5 1/8% due 16</t>
  </si>
  <si>
    <t>XS0595649608</t>
  </si>
  <si>
    <t>IN32085001</t>
  </si>
  <si>
    <t>IN ICICI 4 3/4% due 16</t>
  </si>
  <si>
    <t>US45112FAB22</t>
  </si>
  <si>
    <t>IN30824001</t>
  </si>
  <si>
    <t>IN ICICI 5 1/2% due 15</t>
  </si>
  <si>
    <t>USM5314BAE13</t>
  </si>
  <si>
    <t>IN31662001</t>
  </si>
  <si>
    <t>IN ICICI 5 3/4% due 20</t>
  </si>
  <si>
    <t>USY3860XAC75</t>
  </si>
  <si>
    <t>IN31314001</t>
  </si>
  <si>
    <t>IN ICICI 5% due 16</t>
  </si>
  <si>
    <t>USY3860XAB92</t>
  </si>
  <si>
    <t>IN28852001</t>
  </si>
  <si>
    <t>IN ICICI 6 3/8% due 22</t>
  </si>
  <si>
    <t>USY38575DE68</t>
  </si>
  <si>
    <t>IN28569001</t>
  </si>
  <si>
    <t>IN ICICI 7 1/4% due 16 Perp</t>
  </si>
  <si>
    <t>USY38575CZ07</t>
  </si>
  <si>
    <t>IN31408001</t>
  </si>
  <si>
    <t>IN IDBI 4 3/4% due 16</t>
  </si>
  <si>
    <t>XS0530173987</t>
  </si>
  <si>
    <t>IN30892001</t>
  </si>
  <si>
    <t>IN Indian Oil 4 3/4% due 15</t>
  </si>
  <si>
    <t>XS0480289189</t>
  </si>
  <si>
    <t>IN32207001</t>
  </si>
  <si>
    <t>IN Indian Oil 5 5/8% due 21</t>
  </si>
  <si>
    <t>XS0654493823</t>
  </si>
  <si>
    <t>IN32002001</t>
  </si>
  <si>
    <t>IN Indian Overseas Bk 5% due 16</t>
  </si>
  <si>
    <t>XS0615783239</t>
  </si>
  <si>
    <t>IN32132001</t>
  </si>
  <si>
    <t>IN Natl Thermal 5 5/8% due 21</t>
  </si>
  <si>
    <t>XS0648477593</t>
  </si>
  <si>
    <t>IN28408001</t>
  </si>
  <si>
    <t>IN Natl Thermal 5 7/8% due 16</t>
  </si>
  <si>
    <t>XS0245398226</t>
  </si>
  <si>
    <t>IN31577001</t>
  </si>
  <si>
    <t>IN Reliance 4 1/2% due 20</t>
  </si>
  <si>
    <t>USU75888AA26</t>
  </si>
  <si>
    <t>IN31579001</t>
  </si>
  <si>
    <t>IN Reliance 6 1/4% due 40</t>
  </si>
  <si>
    <t>USU75888AB09</t>
  </si>
  <si>
    <t>IN31763001</t>
  </si>
  <si>
    <t>IN Rural Electrification 4 1/4% due 16</t>
  </si>
  <si>
    <t>XS0579361428</t>
  </si>
  <si>
    <t>IN30735001</t>
  </si>
  <si>
    <t>IN State Bk of India 4 1/2 due 14</t>
  </si>
  <si>
    <t>XS0458057352</t>
  </si>
  <si>
    <t>IN31373001</t>
  </si>
  <si>
    <t>IN State Bk of India 4 1/2 due 15</t>
  </si>
  <si>
    <t>USY81636AA39</t>
  </si>
  <si>
    <t>IN28905001</t>
  </si>
  <si>
    <t>IN State Bk of India 6.439% due 17 Perp</t>
  </si>
  <si>
    <t>XS0287244627</t>
  </si>
  <si>
    <t>IN32012001</t>
  </si>
  <si>
    <t>IN Syndicate Bank 4 3/4% due 16</t>
  </si>
  <si>
    <t>XS0620328392</t>
  </si>
  <si>
    <t>IN32018001</t>
  </si>
  <si>
    <t>IN Tata Power 8 1/2% due 71</t>
  </si>
  <si>
    <t>XS0620623636</t>
  </si>
  <si>
    <t>IN31386001</t>
  </si>
  <si>
    <t>IN Union Bank 4 5/8% due 16</t>
  </si>
  <si>
    <t>XS0502133159</t>
  </si>
  <si>
    <t>IN32083001</t>
  </si>
  <si>
    <t>IN Vedanta 6 3/4% due 16</t>
  </si>
  <si>
    <t>USG9328DAF71</t>
  </si>
  <si>
    <t>IN32072001</t>
  </si>
  <si>
    <t>IN Vedanta 8 1/4% due 21</t>
  </si>
  <si>
    <t>USG9328DAG54</t>
  </si>
  <si>
    <t>IN30004001</t>
  </si>
  <si>
    <t>IN Vedanta 8 3/4% due 14</t>
  </si>
  <si>
    <t>USG9328DAE07</t>
  </si>
  <si>
    <t>IN30005001</t>
  </si>
  <si>
    <t>IN Vedanta 9 1/2% due 18</t>
  </si>
  <si>
    <t>USG9328DAD24</t>
  </si>
  <si>
    <t>JM31057001</t>
  </si>
  <si>
    <t>JM Digicel 10 1/2% due 18</t>
  </si>
  <si>
    <t>USG27631AC73</t>
  </si>
  <si>
    <t>JM30262001</t>
  </si>
  <si>
    <t>JM Digicel 12% due 14</t>
  </si>
  <si>
    <t>USG27649AB17</t>
  </si>
  <si>
    <t>JM30751001</t>
  </si>
  <si>
    <t>JM Digicel 8 1/4% due 17</t>
  </si>
  <si>
    <t>USG27649AC99</t>
  </si>
  <si>
    <t>JM28940001</t>
  </si>
  <si>
    <t>JM Digicel 8 7/8% due 15</t>
  </si>
  <si>
    <t>USG27631AA18</t>
  </si>
  <si>
    <t>JM28995001</t>
  </si>
  <si>
    <t>JM Digicel 9 1/8% due 15</t>
  </si>
  <si>
    <t>USG27631AB90</t>
  </si>
  <si>
    <t>KR28220001</t>
  </si>
  <si>
    <t>KR East-West Pwr 5 1/4% due 12</t>
  </si>
  <si>
    <t>USY4836TAF85</t>
  </si>
  <si>
    <t>KR30446001</t>
  </si>
  <si>
    <t>KR Gas Corp 6% due 14</t>
  </si>
  <si>
    <t>USY48861BG52</t>
  </si>
  <si>
    <t>KR31206001</t>
  </si>
  <si>
    <t>KR Hana Bank 4 1/2% due 15</t>
  </si>
  <si>
    <t>US40963MAB81</t>
  </si>
  <si>
    <t>KR32008001</t>
  </si>
  <si>
    <t>KR Hana Bank 4% due 16</t>
  </si>
  <si>
    <t>US40963MAC64</t>
  </si>
  <si>
    <t>KR29608001</t>
  </si>
  <si>
    <t>KR Hana Bank 5 3/8% due 17</t>
  </si>
  <si>
    <t>XS0294771083</t>
  </si>
  <si>
    <t>KR31470001</t>
  </si>
  <si>
    <t>KR Hydro &amp; Nuclear 3 1/8% due 15</t>
  </si>
  <si>
    <t>USY4899GAQ65</t>
  </si>
  <si>
    <t>KR32130001</t>
  </si>
  <si>
    <t>KR Hydro &amp; Nuclear 4 3/4% due 21</t>
  </si>
  <si>
    <t>USY4899GAS22</t>
  </si>
  <si>
    <t>KR30395001</t>
  </si>
  <si>
    <t>KR Hydro &amp; Nuclear 6 1/4% due 14</t>
  </si>
  <si>
    <t>USY4899GAF01</t>
  </si>
  <si>
    <t>KR29773001</t>
  </si>
  <si>
    <t>KR Hynix Semi 7 7/8% due 17</t>
  </si>
  <si>
    <t>USY3817WBH17</t>
  </si>
  <si>
    <t>KR31820001</t>
  </si>
  <si>
    <t>KR Hyundai Capital 4 3/8% due 16</t>
  </si>
  <si>
    <t>USY3815NAG61</t>
  </si>
  <si>
    <t>KR30747001</t>
  </si>
  <si>
    <t>KR Hyundai Capital 6% due 15</t>
  </si>
  <si>
    <t>USY3815NAB74</t>
  </si>
  <si>
    <t>KR31543001</t>
  </si>
  <si>
    <t>KR Hyundai Motor 3 3/4% due 16</t>
  </si>
  <si>
    <t>USY38168AA19</t>
  </si>
  <si>
    <t>KR31166001</t>
  </si>
  <si>
    <t>KR Hyundai Motors 4 1/2% due 15</t>
  </si>
  <si>
    <t>USX3458MAA46</t>
  </si>
  <si>
    <t>KR32004001</t>
  </si>
  <si>
    <t>KR Hyundai Steel 4 5/8% due 16</t>
  </si>
  <si>
    <t>USY38383AJ76</t>
  </si>
  <si>
    <t>KR30299001</t>
  </si>
  <si>
    <t>KR IBK 7 1/8% due 14</t>
  </si>
  <si>
    <t>USY3994MAN66</t>
  </si>
  <si>
    <t>KR31316001</t>
  </si>
  <si>
    <t>KR KEB 4 7/8% due 16</t>
  </si>
  <si>
    <t>XS0525717582</t>
  </si>
  <si>
    <t>KR27681001</t>
  </si>
  <si>
    <t>KR KT Corp 4 7/8% due 15</t>
  </si>
  <si>
    <t>US48268FAB85</t>
  </si>
  <si>
    <t>KR26986001</t>
  </si>
  <si>
    <t>KR KT Corp 5 7/8% due 14</t>
  </si>
  <si>
    <t>US48268FAA03</t>
  </si>
  <si>
    <t>KR32079001</t>
  </si>
  <si>
    <t>KR Kia Motors 3 5/8% due 16</t>
  </si>
  <si>
    <t>USY47606AC59</t>
  </si>
  <si>
    <t>KR32128001</t>
  </si>
  <si>
    <t>KR Kookmin 3 5/8% due 17</t>
  </si>
  <si>
    <t>XS0648400702</t>
  </si>
  <si>
    <t>KR31547001</t>
  </si>
  <si>
    <t>KR Korea Elec 3% due 15</t>
  </si>
  <si>
    <t>US50065GAB77</t>
  </si>
  <si>
    <t>KR30485001</t>
  </si>
  <si>
    <t>KR Korea Elec 5 1/2% due 14</t>
  </si>
  <si>
    <t>US50065GAA94</t>
  </si>
  <si>
    <t>KR27587001</t>
  </si>
  <si>
    <t>KR Korea Elec 5 1/8% due 34</t>
  </si>
  <si>
    <t>USY48406BA27</t>
  </si>
  <si>
    <t>KR22912001</t>
  </si>
  <si>
    <t>KR Korea Elec 7 3/4% due 13</t>
  </si>
  <si>
    <t>US500631AB29</t>
  </si>
  <si>
    <t>KR31638001</t>
  </si>
  <si>
    <t>KR Korea Gas Corp 4 1/4% due 20</t>
  </si>
  <si>
    <t>US50066CAA71</t>
  </si>
  <si>
    <t>KR28506001</t>
  </si>
  <si>
    <t>KR Kosepw 6% due 16</t>
  </si>
  <si>
    <t>USY4948QAD44</t>
  </si>
  <si>
    <t>KR27060001</t>
  </si>
  <si>
    <t>KR LG Caltex 5 1/2% due 14</t>
  </si>
  <si>
    <t>USY5275KAP04</t>
  </si>
  <si>
    <t>KR28213001</t>
  </si>
  <si>
    <t>KR LG Caltex 5 1/2% due 15</t>
  </si>
  <si>
    <t>USY29011AC07</t>
  </si>
  <si>
    <t>KR29775001</t>
  </si>
  <si>
    <t>KR LG Caltex 5 1/2% due 17</t>
  </si>
  <si>
    <t>USY29011AT32</t>
  </si>
  <si>
    <t>KR30026001</t>
  </si>
  <si>
    <t>KR LG Caltex 7 1/4% due 13</t>
  </si>
  <si>
    <t>USY29011BB15</t>
  </si>
  <si>
    <t>KR31887001</t>
  </si>
  <si>
    <t>KR Lotte Shopping 3 7/8% due 16</t>
  </si>
  <si>
    <t>XS0611897694</t>
  </si>
  <si>
    <t>KR32200001</t>
  </si>
  <si>
    <t>KR Natl Agri 3 1/2% due 17</t>
  </si>
  <si>
    <t>US63243MAC01</t>
  </si>
  <si>
    <t>KR31371001</t>
  </si>
  <si>
    <t>KR Natl Agri 4 1/4% due 16</t>
  </si>
  <si>
    <t>US63243MAB28</t>
  </si>
  <si>
    <t>KR29067001</t>
  </si>
  <si>
    <t>KR Natl Agri 5 3/8% due 17</t>
  </si>
  <si>
    <t>XS0296947889</t>
  </si>
  <si>
    <t>KR30598001</t>
  </si>
  <si>
    <t>KR Natl Agri 5% due 14</t>
  </si>
  <si>
    <t>US63243MAA45</t>
  </si>
  <si>
    <t>KR28572001</t>
  </si>
  <si>
    <t>KR Pohang 5 7/8% due 16</t>
  </si>
  <si>
    <t>XS0263366865</t>
  </si>
  <si>
    <t>KR30292001</t>
  </si>
  <si>
    <t>KR Pohang 8 3/4% due 14</t>
  </si>
  <si>
    <t>USY70750AL13</t>
  </si>
  <si>
    <t>KR31632001</t>
  </si>
  <si>
    <t>KR Posco 4 1/4% due 20</t>
  </si>
  <si>
    <t>USY70750AN78</t>
  </si>
  <si>
    <t>KR31925001</t>
  </si>
  <si>
    <t>KR Posco 5 1/4% due 21</t>
  </si>
  <si>
    <t>USY70750AR82</t>
  </si>
  <si>
    <t>KR30084001</t>
  </si>
  <si>
    <t>KR SK Energy 7% due 13</t>
  </si>
  <si>
    <t>XS0371359091</t>
  </si>
  <si>
    <t>KR29777001</t>
  </si>
  <si>
    <t>KR SK Telecom 6 5/8% due 27</t>
  </si>
  <si>
    <t>USY4935NAS37</t>
  </si>
  <si>
    <t>KR31917001</t>
  </si>
  <si>
    <t>KR Shinhan 4 1/8% due 16</t>
  </si>
  <si>
    <t>USY77488AB35</t>
  </si>
  <si>
    <t>KR31019001</t>
  </si>
  <si>
    <t>KR Shinhan 4 3/8% due 15</t>
  </si>
  <si>
    <t>US82460EAA82</t>
  </si>
  <si>
    <t>KR27582001</t>
  </si>
  <si>
    <t>KR Shinhan 5.663% due 35</t>
  </si>
  <si>
    <t>XS0213126492</t>
  </si>
  <si>
    <t>KR28621001</t>
  </si>
  <si>
    <t>KR Shinhan 6.819% due 36</t>
  </si>
  <si>
    <t>XS0267870508</t>
  </si>
  <si>
    <t>KR32210001</t>
  </si>
  <si>
    <t>KR South-East Pwr 3 5/8% due 17</t>
  </si>
  <si>
    <t>XS0653886183</t>
  </si>
  <si>
    <t>KR29938001</t>
  </si>
  <si>
    <t>KR Southern Power 5 3/8% due 13</t>
  </si>
  <si>
    <t>USY4949FAJ40</t>
  </si>
  <si>
    <t>KR30450001</t>
  </si>
  <si>
    <t>KR Suhyup Bank 6 3/8% due 14</t>
  </si>
  <si>
    <t>XS0440652666</t>
  </si>
  <si>
    <t>KR31132001</t>
  </si>
  <si>
    <t>KR Woori Bank 4 1/2% due 15</t>
  </si>
  <si>
    <t>US98105GAF90</t>
  </si>
  <si>
    <t>KR31345001</t>
  </si>
  <si>
    <t>KR Woori Bank 4 3/4% due 16</t>
  </si>
  <si>
    <t>US98105GAG73</t>
  </si>
  <si>
    <t>KR31921001</t>
  </si>
  <si>
    <t>KR Woori Bank 5 7/8% due 21</t>
  </si>
  <si>
    <t>US98105HAB69</t>
  </si>
  <si>
    <t>KR29778001</t>
  </si>
  <si>
    <t>KR Woori Bank 6.208% due 37</t>
  </si>
  <si>
    <t>USY9695NBR36</t>
  </si>
  <si>
    <t>KR30479001</t>
  </si>
  <si>
    <t>KR Woori Bank 7% due 15</t>
  </si>
  <si>
    <t>US98105GAE26</t>
  </si>
  <si>
    <t>KR30478001</t>
  </si>
  <si>
    <t>KR Woori Bank 7.63% due 15</t>
  </si>
  <si>
    <t>USY9695NDG52</t>
  </si>
  <si>
    <t>KW32276001</t>
  </si>
  <si>
    <t>KW Burgan Finance 7 7/8% due 20</t>
  </si>
  <si>
    <t>XS0545106592</t>
  </si>
  <si>
    <t>KW30626001</t>
  </si>
  <si>
    <t>KW Kipco 8 7/8% due 16</t>
  </si>
  <si>
    <t>XS0457137841</t>
  </si>
  <si>
    <t>KW31313001</t>
  </si>
  <si>
    <t>KW Kipco 9 3/8% due 20</t>
  </si>
  <si>
    <t>XS0526235535</t>
  </si>
  <si>
    <t>KZ28467001</t>
  </si>
  <si>
    <t>KZ ATF Bank 9% due 16</t>
  </si>
  <si>
    <t>XS0253723281</t>
  </si>
  <si>
    <t>KZ31234001</t>
  </si>
  <si>
    <t>KZ Alliance Bank 10 1/2% due 17</t>
  </si>
  <si>
    <t>XS0495755562</t>
  </si>
  <si>
    <t>KZ31455001</t>
  </si>
  <si>
    <t>KZ BTA Bank 10 3/4% due 18</t>
  </si>
  <si>
    <t>XS0532988770</t>
  </si>
  <si>
    <t>KZ31456001</t>
  </si>
  <si>
    <t>KZ BTA Bank 7.2% due 25</t>
  </si>
  <si>
    <t>XS0532990677</t>
  </si>
  <si>
    <t>KZ28922001</t>
  </si>
  <si>
    <t>KZ Bank Centercredit 8 5/8% due 14</t>
  </si>
  <si>
    <t>XS0282585859</t>
  </si>
  <si>
    <t>KZ29601001</t>
  </si>
  <si>
    <t>KZ Halyk Bank 7 1/4% due 17</t>
  </si>
  <si>
    <t>XS0298931287</t>
  </si>
  <si>
    <t>KZ31790001</t>
  </si>
  <si>
    <t>KZ Halyk Bank 7 1/4% due 21</t>
  </si>
  <si>
    <t>XS0583796973</t>
  </si>
  <si>
    <t>KZ29868001</t>
  </si>
  <si>
    <t>KZ Halyk Bank 9 1/4% due 10/13</t>
  </si>
  <si>
    <t>XS0358156510</t>
  </si>
  <si>
    <t>KZ28789001</t>
  </si>
  <si>
    <t>KZ Kazkommertsbank 7 1/2% due 16</t>
  </si>
  <si>
    <t>XS0276707923</t>
  </si>
  <si>
    <t>KZ26587001</t>
  </si>
  <si>
    <t>KZ Kazkommertsbank 8 1/2% due 13</t>
  </si>
  <si>
    <t>XS0167149094</t>
  </si>
  <si>
    <t>KZ32052001</t>
  </si>
  <si>
    <t>KZ Kazkommertsbank 8 1/2% due 18</t>
  </si>
  <si>
    <t>XS0625516157</t>
  </si>
  <si>
    <t>KZ31555001</t>
  </si>
  <si>
    <t>KZ Zhaikmunai Finance 10 1/2% due 15</t>
  </si>
  <si>
    <t>USN97708AA49</t>
  </si>
  <si>
    <t>LB29742001</t>
  </si>
  <si>
    <t>LB Bank Med Sal 7 5/8% due 12</t>
  </si>
  <si>
    <t>XS0238612088</t>
  </si>
  <si>
    <t>MO31260001</t>
  </si>
  <si>
    <t>MO Melco Crown 10 1/4% due 18</t>
  </si>
  <si>
    <t>US55277BAB18</t>
  </si>
  <si>
    <t>MX32259001</t>
  </si>
  <si>
    <t>MX America Movil 2 3/8% due 16</t>
  </si>
  <si>
    <t>US02364WBC82</t>
  </si>
  <si>
    <t>MX31059001</t>
  </si>
  <si>
    <t>MX America Movil 3 5/8% due 15</t>
  </si>
  <si>
    <t>US02364WAU99</t>
  </si>
  <si>
    <t>MX26918001</t>
  </si>
  <si>
    <t>MX America Movil 5 1/2% due 14</t>
  </si>
  <si>
    <t>US02364WAF23</t>
  </si>
  <si>
    <t>MX27138001</t>
  </si>
  <si>
    <t>MX America Movil 5 3/4% due 15</t>
  </si>
  <si>
    <t>US02364WAH88</t>
  </si>
  <si>
    <t>MX29710001</t>
  </si>
  <si>
    <t>MX America Movil 5 5/8% due 17</t>
  </si>
  <si>
    <t>US02364WAN56</t>
  </si>
  <si>
    <t>MX30630001</t>
  </si>
  <si>
    <t>MX America Movil 5% due 19</t>
  </si>
  <si>
    <t>US02364WAX39</t>
  </si>
  <si>
    <t>MX31058001</t>
  </si>
  <si>
    <t>MX America Movil 5% due 20</t>
  </si>
  <si>
    <t>US02364WAV72</t>
  </si>
  <si>
    <t>MX29709001</t>
  </si>
  <si>
    <t>MX America Movil 6 1/8% due 37</t>
  </si>
  <si>
    <t>US02364WAP05</t>
  </si>
  <si>
    <t>MX31055001</t>
  </si>
  <si>
    <t>MX America Movil 6 1/8% due 40</t>
  </si>
  <si>
    <t>US02364WAW55</t>
  </si>
  <si>
    <t>MX27280001</t>
  </si>
  <si>
    <t>MX America Movil 6 3/8% due 35</t>
  </si>
  <si>
    <t>US02364WAJ45</t>
  </si>
  <si>
    <t>MX30588001</t>
  </si>
  <si>
    <t>MX Axtel 9% due 19</t>
  </si>
  <si>
    <t>USP06064AB83</t>
  </si>
  <si>
    <t>MX31340001</t>
  </si>
  <si>
    <t>MX Banorte 4 3/8% due 15</t>
  </si>
  <si>
    <t>USP14008AA79</t>
  </si>
  <si>
    <t>MX31851001</t>
  </si>
  <si>
    <t>MX Bbva Bancomer 4 1/2% due 16</t>
  </si>
  <si>
    <t>USP16259AA47</t>
  </si>
  <si>
    <t>MX31850001</t>
  </si>
  <si>
    <t>MX Bbva Bancomer 6 1/2% due 21</t>
  </si>
  <si>
    <t>USP16259AB20</t>
  </si>
  <si>
    <t>MX29528001</t>
  </si>
  <si>
    <t>MX Bbva Bancomer 6.008% due 22</t>
  </si>
  <si>
    <t>USG09077AB73</t>
  </si>
  <si>
    <t>MX31123001</t>
  </si>
  <si>
    <t>MX Bbva Bancomer 7 1/4% due 20</t>
  </si>
  <si>
    <t>USP1R23DAA49</t>
  </si>
  <si>
    <t>MX28963001</t>
  </si>
  <si>
    <t>MX Cemex 6.64% due 14 Perp</t>
  </si>
  <si>
    <t>USG2024RAA98</t>
  </si>
  <si>
    <t>MX29683001</t>
  </si>
  <si>
    <t>MX Cemex 6.722% due 16 Perp</t>
  </si>
  <si>
    <t>USG23491AA40</t>
  </si>
  <si>
    <t>MX30823001</t>
  </si>
  <si>
    <t>MX Cemex 9 1/2% due 16</t>
  </si>
  <si>
    <t>USU12763AA37</t>
  </si>
  <si>
    <t>MX31199001</t>
  </si>
  <si>
    <t>MX Cemex 9 1/4% due 20</t>
  </si>
  <si>
    <t>USE28087AA77</t>
  </si>
  <si>
    <t>MX31732001</t>
  </si>
  <si>
    <t>MX Cemex 9% due 18</t>
  </si>
  <si>
    <t>USP2253THR34</t>
  </si>
  <si>
    <t>MX30943001</t>
  </si>
  <si>
    <t>MX Coke Femsa 4 5/8% due 20</t>
  </si>
  <si>
    <t>US191241AD01</t>
  </si>
  <si>
    <t>MX31795001</t>
  </si>
  <si>
    <t>MX Empresas 8.9% due 21</t>
  </si>
  <si>
    <t>USP37149AN42</t>
  </si>
  <si>
    <t>MX27212001</t>
  </si>
  <si>
    <t>MX Gruma 7 3/4% due 10 Perp</t>
  </si>
  <si>
    <t>USP4948KAC91</t>
  </si>
  <si>
    <t>MX31279001</t>
  </si>
  <si>
    <t>MX Grupo Bimbo 4 7/8% due 20</t>
  </si>
  <si>
    <t>USP4949BAG97</t>
  </si>
  <si>
    <t>MX32217001</t>
  </si>
  <si>
    <t>MX Grupo Elektra 7 1/4% due 18</t>
  </si>
  <si>
    <t>XS0655700762</t>
  </si>
  <si>
    <t>MX31106001</t>
  </si>
  <si>
    <t>MX Grupo Scribe 8 7/8% due 20</t>
  </si>
  <si>
    <t>USP49768AA59</t>
  </si>
  <si>
    <t>MX30648001</t>
  </si>
  <si>
    <t>MX Mabe 7 7/8% due 19</t>
  </si>
  <si>
    <t>USP3100SAA26</t>
  </si>
  <si>
    <t>MX30715001</t>
  </si>
  <si>
    <t>MX Mexichem 8 3/4% due 19</t>
  </si>
  <si>
    <t>USP57908AB45</t>
  </si>
  <si>
    <t>MX30571001</t>
  </si>
  <si>
    <t>MX Nii Capital Corp 10% due 16</t>
  </si>
  <si>
    <t>US67021BAD10</t>
  </si>
  <si>
    <t>MX31875001</t>
  </si>
  <si>
    <t>MX Nii Capital Corp 7 5/8% due 21</t>
  </si>
  <si>
    <t>US67021BAE92</t>
  </si>
  <si>
    <t>MX31265001</t>
  </si>
  <si>
    <t>MX Nii Capital Corp 8 7/8% due 19 Exch</t>
  </si>
  <si>
    <t>US67021BAC37</t>
  </si>
  <si>
    <t>MX30025001</t>
  </si>
  <si>
    <t>MX Oceanografia 11 1/4% due 15</t>
  </si>
  <si>
    <t>USP73424AA48</t>
  </si>
  <si>
    <t>MX32027001</t>
  </si>
  <si>
    <t>MX Satmex 9 1/2% due 17</t>
  </si>
  <si>
    <t>USP8521XAA11</t>
  </si>
  <si>
    <t>MX31901001</t>
  </si>
  <si>
    <t>MX Sigma 5 5/8% due 18</t>
  </si>
  <si>
    <t>USP8674JAC38</t>
  </si>
  <si>
    <t>MX32058001</t>
  </si>
  <si>
    <t>MX TV Azteca 7 1/2% due 18</t>
  </si>
  <si>
    <t>XS0630959152</t>
  </si>
  <si>
    <t>MX27270001</t>
  </si>
  <si>
    <t>MX Televisa 6 5/8% due 25</t>
  </si>
  <si>
    <t>US40049JAV98</t>
  </si>
  <si>
    <t>MX30749001</t>
  </si>
  <si>
    <t>MX Televisa 6 5/8% due 40</t>
  </si>
  <si>
    <t>US40049JAZ03</t>
  </si>
  <si>
    <t>MX29913001</t>
  </si>
  <si>
    <t>MX Televisa 6% due 18</t>
  </si>
  <si>
    <t>US40049JAX54</t>
  </si>
  <si>
    <t>MX26233001</t>
  </si>
  <si>
    <t>MX Televisa 8 1/2% due 32</t>
  </si>
  <si>
    <t>US40049JAT43</t>
  </si>
  <si>
    <t>MX27201001</t>
  </si>
  <si>
    <t>MX Telmex 5 1/2% due 15</t>
  </si>
  <si>
    <t>US879403AS24</t>
  </si>
  <si>
    <t>MX30693001</t>
  </si>
  <si>
    <t>MX Telmex 5 1/2% due 19</t>
  </si>
  <si>
    <t>US879403AV52</t>
  </si>
  <si>
    <t>MX30878001</t>
  </si>
  <si>
    <t>MX Urbimm 9 1/2% due 20</t>
  </si>
  <si>
    <t>USP9592YAD50</t>
  </si>
  <si>
    <t>MY31207001</t>
  </si>
  <si>
    <t>MY Axiata 5 3/8% due 20</t>
  </si>
  <si>
    <t>XS0504981746</t>
  </si>
  <si>
    <t>MY31907001</t>
  </si>
  <si>
    <t>MY Hong Leong Bk 3 3/4% due 16</t>
  </si>
  <si>
    <t>XS0602697772</t>
  </si>
  <si>
    <t>MY27592001</t>
  </si>
  <si>
    <t>MY IOI Ventures 5 1/4% due 15</t>
  </si>
  <si>
    <t>XS0212370869</t>
  </si>
  <si>
    <t>MY27590001</t>
  </si>
  <si>
    <t>MY Misc Capital 6 1/8% due 14</t>
  </si>
  <si>
    <t>USY60808AB18</t>
  </si>
  <si>
    <t>MY27591001</t>
  </si>
  <si>
    <t>MY Prime Holdings 5 3/8% due 14</t>
  </si>
  <si>
    <t>XS0200561180</t>
  </si>
  <si>
    <t>MY27885001</t>
  </si>
  <si>
    <t>MY Public Bk Berhad Step-up due 17</t>
  </si>
  <si>
    <t>XS0222020066</t>
  </si>
  <si>
    <t>MY27588001</t>
  </si>
  <si>
    <t>MY Telekom 5 1/4% due 14</t>
  </si>
  <si>
    <t>XS0200959384</t>
  </si>
  <si>
    <t>MY23099001</t>
  </si>
  <si>
    <t>MY Telekom 7 7/8% due 25</t>
  </si>
  <si>
    <t>USY8578HAC44</t>
  </si>
  <si>
    <t>MY27883001</t>
  </si>
  <si>
    <t>MY Tenaga Nas 5 1/4% due 15</t>
  </si>
  <si>
    <t>XS0218870052</t>
  </si>
  <si>
    <t>MY22917001</t>
  </si>
  <si>
    <t>MY Tenaga Nas 7 1/2% due 25</t>
  </si>
  <si>
    <t>USY85859AB54</t>
  </si>
  <si>
    <t>NG31822001</t>
  </si>
  <si>
    <t>NG Afren PLC 11 1/2% due 16</t>
  </si>
  <si>
    <t>USG01283AD52</t>
  </si>
  <si>
    <t>NG32101001</t>
  </si>
  <si>
    <t>NG GTB Finance 7 1/2% due 16</t>
  </si>
  <si>
    <t>XS0628652884</t>
  </si>
  <si>
    <t>OM31747001</t>
  </si>
  <si>
    <t>OM MBPS 11 1/4% due 15</t>
  </si>
  <si>
    <t>XS0559155717</t>
  </si>
  <si>
    <t>PE31772001</t>
  </si>
  <si>
    <t>PE BBVA Continental 5 1/2% due 20</t>
  </si>
  <si>
    <t>USG2523RAA52</t>
  </si>
  <si>
    <t>PE31858001</t>
  </si>
  <si>
    <t>PE BCP 4 3/4% due 16</t>
  </si>
  <si>
    <t>USP09645AG07</t>
  </si>
  <si>
    <t>PE31463001</t>
  </si>
  <si>
    <t>PE BCP 5 3/8% due 20</t>
  </si>
  <si>
    <t>USP09646AC75</t>
  </si>
  <si>
    <t>PE31534001</t>
  </si>
  <si>
    <t>PE Banco Internac Del Peru 5 3/4% due 20</t>
  </si>
  <si>
    <t>USP1342SAC00</t>
  </si>
  <si>
    <t>PE31881001</t>
  </si>
  <si>
    <t>PE Inkia Energy LTD 8 3/8% due 21</t>
  </si>
  <si>
    <t>USG4808VAA82</t>
  </si>
  <si>
    <t>PE31118001</t>
  </si>
  <si>
    <t>PE Southern 5 3/8% due 20</t>
  </si>
  <si>
    <t>US84265VAD73</t>
  </si>
  <si>
    <t>PE31119001</t>
  </si>
  <si>
    <t>PE Southern 6 3/4% due 40</t>
  </si>
  <si>
    <t>US84265VAE56</t>
  </si>
  <si>
    <t>PE27982001</t>
  </si>
  <si>
    <t>PE Southern 7 1/2% due 35</t>
  </si>
  <si>
    <t>US84265VAA35</t>
  </si>
  <si>
    <t>PH31446001</t>
  </si>
  <si>
    <t>PH Alliance Global  6 1/2% due 17</t>
  </si>
  <si>
    <t>XS0533657440</t>
  </si>
  <si>
    <t>PH31761001</t>
  </si>
  <si>
    <t>PH Energy Development 6 1/2% due 21</t>
  </si>
  <si>
    <t>XS0575947642</t>
  </si>
  <si>
    <t>PH31604001</t>
  </si>
  <si>
    <t>PH First Pacific 6 3/8% due 20</t>
  </si>
  <si>
    <t>XS0544536047</t>
  </si>
  <si>
    <t>PH31370001</t>
  </si>
  <si>
    <t>PH First Pacific 7 3/8% due 17</t>
  </si>
  <si>
    <t>XS0528191058</t>
  </si>
  <si>
    <t>PH31146001</t>
  </si>
  <si>
    <t>PH Intl Container 7 3/8% due 20</t>
  </si>
  <si>
    <t>XS0493501125</t>
  </si>
  <si>
    <t>PH28298001</t>
  </si>
  <si>
    <t>PH JG Summit 8% due 13</t>
  </si>
  <si>
    <t>XS0240225010</t>
  </si>
  <si>
    <t>PH31570001</t>
  </si>
  <si>
    <t>PH SM Investments 5 1/2% due 17</t>
  </si>
  <si>
    <t>XS0543421100</t>
  </si>
  <si>
    <t>PH30585001</t>
  </si>
  <si>
    <t>PH SM Investments 6% due 14</t>
  </si>
  <si>
    <t>XS0453112285</t>
  </si>
  <si>
    <t>PH31870001</t>
  </si>
  <si>
    <t>PH SMC Global Power 7% due 16</t>
  </si>
  <si>
    <t>XS0579034223</t>
  </si>
  <si>
    <t>PH31643001</t>
  </si>
  <si>
    <t>PH Travel Int Hotel Grp 6.9% due 17</t>
  </si>
  <si>
    <t>XS0550702889</t>
  </si>
  <si>
    <t>QA30703001</t>
  </si>
  <si>
    <t>QA CBQ Finance 5% due 14</t>
  </si>
  <si>
    <t>XS0466365110</t>
  </si>
  <si>
    <t>QA30704001</t>
  </si>
  <si>
    <t>QA CBQ Finance 7 1/2% due 19</t>
  </si>
  <si>
    <t>XS0466365383</t>
  </si>
  <si>
    <t>QA29568001</t>
  </si>
  <si>
    <t>QA Nakilat 6.067% due 33</t>
  </si>
  <si>
    <t>USY62014AA64</t>
  </si>
  <si>
    <t>QA31724001</t>
  </si>
  <si>
    <t>QA QNB Finance 3 1/8% due 15</t>
  </si>
  <si>
    <t>XS0559355135</t>
  </si>
  <si>
    <t>QA31550001</t>
  </si>
  <si>
    <t>QA Qatar Telecom 3 3/8% due 16</t>
  </si>
  <si>
    <t>XS0549116290</t>
  </si>
  <si>
    <t>QA31551001</t>
  </si>
  <si>
    <t>QA Qatar Telecom 4 3/4% due 21</t>
  </si>
  <si>
    <t>XS0549116530</t>
  </si>
  <si>
    <t>QA31556001</t>
  </si>
  <si>
    <t>QA Qatar Telecom 5% due 25</t>
  </si>
  <si>
    <t>XS0551307100</t>
  </si>
  <si>
    <t>QA30389001</t>
  </si>
  <si>
    <t>QA Qatar Telecom 6 1/2% due 14</t>
  </si>
  <si>
    <t>XS0432791498</t>
  </si>
  <si>
    <t>QA30390001</t>
  </si>
  <si>
    <t>QA Qatar Telecom 7 7/8% due 19</t>
  </si>
  <si>
    <t>XS0432791571</t>
  </si>
  <si>
    <t>QA30460001</t>
  </si>
  <si>
    <t>QA Raslaf 5 1/2% due 14</t>
  </si>
  <si>
    <t>USM8222MAF97</t>
  </si>
  <si>
    <t>QA27914001</t>
  </si>
  <si>
    <t>QA Raslaf 5.289% due 20</t>
  </si>
  <si>
    <t>USM8221WAA91</t>
  </si>
  <si>
    <t>QA29569001</t>
  </si>
  <si>
    <t>QA Raslaf 5.832% due 16</t>
  </si>
  <si>
    <t>USM8222MAB83</t>
  </si>
  <si>
    <t>QA27915001</t>
  </si>
  <si>
    <t>QA Raslaf 5.838% due 27</t>
  </si>
  <si>
    <t>USM8222MAA01</t>
  </si>
  <si>
    <t>QA30455001</t>
  </si>
  <si>
    <t>QA Raslaf 6 3/4% due 19</t>
  </si>
  <si>
    <t>USM8222MAG70</t>
  </si>
  <si>
    <t>QA29570001</t>
  </si>
  <si>
    <t>QA Raslaf 6.332% due 27</t>
  </si>
  <si>
    <t>USM8222MAD40</t>
  </si>
  <si>
    <t>RU32055001</t>
  </si>
  <si>
    <t>RU Alfa Bank 7 3/4% due 21</t>
  </si>
  <si>
    <t>XS0620695204</t>
  </si>
  <si>
    <t>RU31490001</t>
  </si>
  <si>
    <t>RU Alfa Bank 7 7/8% due 17</t>
  </si>
  <si>
    <t>XS0544362972</t>
  </si>
  <si>
    <t>RU31109001</t>
  </si>
  <si>
    <t>RU Alfa Bank 8% due 15</t>
  </si>
  <si>
    <t>XS0494933806</t>
  </si>
  <si>
    <t>RU28967001</t>
  </si>
  <si>
    <t>RU Alfa Bank 8.635% due 17</t>
  </si>
  <si>
    <t>XS0288690539</t>
  </si>
  <si>
    <t>RU30034001</t>
  </si>
  <si>
    <t>RU Alfa Bank 9 1/4% due 13</t>
  </si>
  <si>
    <t>XS0371926600</t>
  </si>
  <si>
    <t>RU31017001</t>
  </si>
  <si>
    <t>RU Alliance Oil 9 7/8% due 15</t>
  </si>
  <si>
    <t>XS0493579238</t>
  </si>
  <si>
    <t>RU31623001</t>
  </si>
  <si>
    <t>RU Alrosa 7 3/4% due 20</t>
  </si>
  <si>
    <t>XS0555493203</t>
  </si>
  <si>
    <t>RU27126001</t>
  </si>
  <si>
    <t>RU Alrosa 8 7/8% due 14</t>
  </si>
  <si>
    <t>XS0205828477</t>
  </si>
  <si>
    <t>RU31018001</t>
  </si>
  <si>
    <t>RU Bank of Moscow 6.699% due 15</t>
  </si>
  <si>
    <t>XS0494095754</t>
  </si>
  <si>
    <t>RU29105001</t>
  </si>
  <si>
    <t>RU Bank of Moscow 6.807% due 17</t>
  </si>
  <si>
    <t>XS0299183250</t>
  </si>
  <si>
    <t>RU28446001</t>
  </si>
  <si>
    <t>RU Bank of Moscow 7.335% due 13</t>
  </si>
  <si>
    <t>XS0253894256</t>
  </si>
  <si>
    <t>RU28240001</t>
  </si>
  <si>
    <t>RU Bank of Moscow Step-up due 15</t>
  </si>
  <si>
    <t>XS0236336045</t>
  </si>
  <si>
    <t>RU31933001</t>
  </si>
  <si>
    <t>RU Evraz 6 3/4% due 18</t>
  </si>
  <si>
    <t>XS0618905219</t>
  </si>
  <si>
    <t>RU28133001</t>
  </si>
  <si>
    <t>RU Evraz 8 1/4% due 15</t>
  </si>
  <si>
    <t>XS0234987153</t>
  </si>
  <si>
    <t>RU29880001</t>
  </si>
  <si>
    <t>RU Evraz 8 7/8% due 13</t>
  </si>
  <si>
    <t>XS0360055056</t>
  </si>
  <si>
    <t>RU29870001</t>
  </si>
  <si>
    <t>RU Evraz 9 1/2% due 18</t>
  </si>
  <si>
    <t>XS0359381331</t>
  </si>
  <si>
    <t>RU31666001</t>
  </si>
  <si>
    <t>RU Gazprom 5.092% due 15</t>
  </si>
  <si>
    <t>XS0562354182</t>
  </si>
  <si>
    <t>RU28780001</t>
  </si>
  <si>
    <t>RU Gazprom 6.212% due 16</t>
  </si>
  <si>
    <t>XS0276456315</t>
  </si>
  <si>
    <t>RU28960001</t>
  </si>
  <si>
    <t>RU Gazprom 6.51% due 22</t>
  </si>
  <si>
    <t>XS0290580595</t>
  </si>
  <si>
    <t>RU29554001</t>
  </si>
  <si>
    <t>RU Gazprom 7.288% due 37</t>
  </si>
  <si>
    <t>XS0316524130</t>
  </si>
  <si>
    <t>RU30086001</t>
  </si>
  <si>
    <t>RU Gazprom 7.51% due 13</t>
  </si>
  <si>
    <t>XS0379583015</t>
  </si>
  <si>
    <t>RU30467001</t>
  </si>
  <si>
    <t>RU Gazprom 8 1/8% due 14</t>
  </si>
  <si>
    <t>XS0442348404</t>
  </si>
  <si>
    <t>RU26959001</t>
  </si>
  <si>
    <t>RU Gazprom 8 5/8% due 34</t>
  </si>
  <si>
    <t>XS0191754729</t>
  </si>
  <si>
    <t>RU30304001</t>
  </si>
  <si>
    <t>RU Gazprom 9 1/4% due 19</t>
  </si>
  <si>
    <t>XS0424860947</t>
  </si>
  <si>
    <t>RU26554001</t>
  </si>
  <si>
    <t>RU Gazprom 9 5/8% due 13</t>
  </si>
  <si>
    <t>XS0164067836</t>
  </si>
  <si>
    <t>RU28010001</t>
  </si>
  <si>
    <t>RU Gazprombank 6 1/2% due 15</t>
  </si>
  <si>
    <t>XS0230577941</t>
  </si>
  <si>
    <t>RU31444001</t>
  </si>
  <si>
    <t>RU Gazprombank 6 1/4% due 14</t>
  </si>
  <si>
    <t>XS0531270964</t>
  </si>
  <si>
    <t>RU30000001</t>
  </si>
  <si>
    <t>RU Gazprombank 7.933% due 13</t>
  </si>
  <si>
    <t>XS0372523281</t>
  </si>
  <si>
    <t>RU32143001</t>
  </si>
  <si>
    <t>RU Koks 7 3/4% due 16</t>
  </si>
  <si>
    <t>XS0640334768</t>
  </si>
  <si>
    <t>RU31625001</t>
  </si>
  <si>
    <t>RU Lukoil 6 1/8% due 20</t>
  </si>
  <si>
    <t>XS0554659671</t>
  </si>
  <si>
    <t>RU30684001</t>
  </si>
  <si>
    <t>RU Lukoil 6 3/8% due 14</t>
  </si>
  <si>
    <t>XS0463663442</t>
  </si>
  <si>
    <t>RU29128001</t>
  </si>
  <si>
    <t>RU Lukoil 6.356% due 17</t>
  </si>
  <si>
    <t>XS0304273948</t>
  </si>
  <si>
    <t>RU29129001</t>
  </si>
  <si>
    <t>RU Lukoil 6.656% due 22</t>
  </si>
  <si>
    <t>XS0304274599</t>
  </si>
  <si>
    <t>RU30683001</t>
  </si>
  <si>
    <t>RU Lukoil 7 1/4% due 19</t>
  </si>
  <si>
    <t>XS0461926569</t>
  </si>
  <si>
    <t>RU32166001</t>
  </si>
  <si>
    <t>RU Metalloinvest 6 1/2% due 16</t>
  </si>
  <si>
    <t>XS0650962185</t>
  </si>
  <si>
    <t>RU31267001</t>
  </si>
  <si>
    <t>RU Mobtel 8 5/8% due 20</t>
  </si>
  <si>
    <t>XS0513723873</t>
  </si>
  <si>
    <t>RU31209001</t>
  </si>
  <si>
    <t>RU Nomos Cap 8 3/4% due 15</t>
  </si>
  <si>
    <t>XS0503839622</t>
  </si>
  <si>
    <t>RU31789001</t>
  </si>
  <si>
    <t>RU Novatek Finance Ltd 5.326% due 16</t>
  </si>
  <si>
    <t>XS0588436799</t>
  </si>
  <si>
    <t>RU31787001</t>
  </si>
  <si>
    <t>RU Novatek Finance Ltd 6.604% due 21</t>
  </si>
  <si>
    <t>XS0588433267</t>
  </si>
  <si>
    <t>RU32051001</t>
  </si>
  <si>
    <t>RU Renaissance Securities 11% due 16</t>
  </si>
  <si>
    <t>XS0616784509</t>
  </si>
  <si>
    <t>RU31498001</t>
  </si>
  <si>
    <t>RU Sberbank 5.4% due 17</t>
  </si>
  <si>
    <t>XS0543956717</t>
  </si>
  <si>
    <t>RU31301001</t>
  </si>
  <si>
    <t>RU Sberbank 5.499% due 15</t>
  </si>
  <si>
    <t>XS0524435715</t>
  </si>
  <si>
    <t>RU32073001</t>
  </si>
  <si>
    <t>RU Sberbank 5.717% due 21</t>
  </si>
  <si>
    <t>XS0638572973</t>
  </si>
  <si>
    <t>RU30069001</t>
  </si>
  <si>
    <t>RU Sberbank 6.468% due 13</t>
  </si>
  <si>
    <t>XS0372475292</t>
  </si>
  <si>
    <t>RU28432001</t>
  </si>
  <si>
    <t>RU Sberbank 6.48% due 13</t>
  </si>
  <si>
    <t>XS0253322886</t>
  </si>
  <si>
    <t>RU32146001</t>
  </si>
  <si>
    <t>RU Severstal 6 1/4% due 16</t>
  </si>
  <si>
    <t>XS0648402583</t>
  </si>
  <si>
    <t>RU31558001</t>
  </si>
  <si>
    <t>RU Severstal 6.7% due 17</t>
  </si>
  <si>
    <t>XS0551315384</t>
  </si>
  <si>
    <t>RU26954001</t>
  </si>
  <si>
    <t>RU Severstal 9 1/4% due 14</t>
  </si>
  <si>
    <t>XS0190490606</t>
  </si>
  <si>
    <t>RU30085001</t>
  </si>
  <si>
    <t>RU Severstal 9 3/4% due 13</t>
  </si>
  <si>
    <t>XS0376189857</t>
  </si>
  <si>
    <t>RU31869001</t>
  </si>
  <si>
    <t>RU TMK Capital 7 3/4% due 18</t>
  </si>
  <si>
    <t>XS0585211591</t>
  </si>
  <si>
    <t>RU30941001</t>
  </si>
  <si>
    <t>RU TNK-BP  6 1/4% due 15</t>
  </si>
  <si>
    <t>XS0484208771</t>
  </si>
  <si>
    <t>RU29665001</t>
  </si>
  <si>
    <t>RU TNK-BP  7 7/8% due 18</t>
  </si>
  <si>
    <t>XS0324963932</t>
  </si>
  <si>
    <t>RU28976001</t>
  </si>
  <si>
    <t>RU TNK-BP 6 5/8% due 17</t>
  </si>
  <si>
    <t>XS0292530309</t>
  </si>
  <si>
    <t>RU29664001</t>
  </si>
  <si>
    <t>RU TNK-BP 7 1/2% due 13</t>
  </si>
  <si>
    <t>XS0325013034</t>
  </si>
  <si>
    <t>RU29611001</t>
  </si>
  <si>
    <t>RU TNK-BP 7 1/2% due 16</t>
  </si>
  <si>
    <t>XS0261906738</t>
  </si>
  <si>
    <t>RU30939001</t>
  </si>
  <si>
    <t>RU TNK-BP 7 1/4% due 20</t>
  </si>
  <si>
    <t>XS0484209159</t>
  </si>
  <si>
    <t>RU28975001</t>
  </si>
  <si>
    <t>RU Transneft 5.67% due 14</t>
  </si>
  <si>
    <t>XS0288747669</t>
  </si>
  <si>
    <t>RU30045001</t>
  </si>
  <si>
    <t>RU Transneft 7.7% due 13</t>
  </si>
  <si>
    <t>XS0381365690</t>
  </si>
  <si>
    <t>RU30042001</t>
  </si>
  <si>
    <t>RU Transneft 8.7% due 18</t>
  </si>
  <si>
    <t>XS0381439305</t>
  </si>
  <si>
    <t>RU32114001</t>
  </si>
  <si>
    <t>RU VEB Leasing 5 1/8% due 16</t>
  </si>
  <si>
    <t>XS0630950870</t>
  </si>
  <si>
    <t>RU27665001</t>
  </si>
  <si>
    <t>RU VTB 6 1/4% due 35</t>
  </si>
  <si>
    <t>XS0223715920</t>
  </si>
  <si>
    <t>RU29935001</t>
  </si>
  <si>
    <t>RU VTB 6 7/8% due 18</t>
  </si>
  <si>
    <t>XS0365923977</t>
  </si>
  <si>
    <t>RU31809001</t>
  </si>
  <si>
    <t>RU VTB 6.315% due 18</t>
  </si>
  <si>
    <t>XS0592794597</t>
  </si>
  <si>
    <t>RU31005001</t>
  </si>
  <si>
    <t>RU VTB 6.465% due 15</t>
  </si>
  <si>
    <t>XS0491998133</t>
  </si>
  <si>
    <t>RU31552001</t>
  </si>
  <si>
    <t>RU VTB 6.551% due 20</t>
  </si>
  <si>
    <t>XS0548633659</t>
  </si>
  <si>
    <t>RU28115001</t>
  </si>
  <si>
    <t>RU VTB Step-up due 09/15</t>
  </si>
  <si>
    <t>XS0230683111</t>
  </si>
  <si>
    <t>RU32142001</t>
  </si>
  <si>
    <t>RU Vimpelcom 6.2546% due 17</t>
  </si>
  <si>
    <t>XS0643176448</t>
  </si>
  <si>
    <t>RU31781001</t>
  </si>
  <si>
    <t>RU Vimpelcom 6.493% due 16</t>
  </si>
  <si>
    <t>XS0587030957</t>
  </si>
  <si>
    <t>RU32121001</t>
  </si>
  <si>
    <t>RU Vimpelcom 7.5043% due 22</t>
  </si>
  <si>
    <t>XS0643183220</t>
  </si>
  <si>
    <t>RU31780001</t>
  </si>
  <si>
    <t>RU Vimpelcom 7.748% due 21</t>
  </si>
  <si>
    <t>XS0587031096</t>
  </si>
  <si>
    <t>RU28457001</t>
  </si>
  <si>
    <t>RU Vimpelcom 8 1/4% due 16</t>
  </si>
  <si>
    <t>XS0253861834</t>
  </si>
  <si>
    <t>RU29905001</t>
  </si>
  <si>
    <t>RU Vimpelcom 8 3/8% due 13</t>
  </si>
  <si>
    <t>XS0361041550</t>
  </si>
  <si>
    <t>RU29904001</t>
  </si>
  <si>
    <t>RU Vimpelcom 9 1/8% due 18</t>
  </si>
  <si>
    <t>XS0361041808</t>
  </si>
  <si>
    <t>SA29789001</t>
  </si>
  <si>
    <t>SA Arab National Bank FRN due 16</t>
  </si>
  <si>
    <t>XS0269970116</t>
  </si>
  <si>
    <t>SA31129001</t>
  </si>
  <si>
    <t>SA Banque Saudi Fransi 4 1/4% due 15</t>
  </si>
  <si>
    <t>XS0498751691</t>
  </si>
  <si>
    <t>SA31610001</t>
  </si>
  <si>
    <t>SA Sabic Capital 3% due 15</t>
  </si>
  <si>
    <t>XS0554434240</t>
  </si>
  <si>
    <t>SA31677001</t>
  </si>
  <si>
    <t>SA Saudi Britsh Bank 3% due 15</t>
  </si>
  <si>
    <t>XS0559277743</t>
  </si>
  <si>
    <t>SG29609001</t>
  </si>
  <si>
    <t>SG BW Group 6 5/8% due 17</t>
  </si>
  <si>
    <t>USG17465AA69</t>
  </si>
  <si>
    <t>SG31130001</t>
  </si>
  <si>
    <t>SG CapitaMall Trust 4.321% due 15</t>
  </si>
  <si>
    <t>XS0500330237</t>
  </si>
  <si>
    <t>SG27084001</t>
  </si>
  <si>
    <t>SG DBS 5% due 19</t>
  </si>
  <si>
    <t>USY2023JAR15</t>
  </si>
  <si>
    <t>SG31468001</t>
  </si>
  <si>
    <t>SG DBS Bank 2 3/8% due 15</t>
  </si>
  <si>
    <t>XS0541403803</t>
  </si>
  <si>
    <t>SG29779001</t>
  </si>
  <si>
    <t>SG DBS Bank 5 1/8% due 17</t>
  </si>
  <si>
    <t>USY2023JAW00</t>
  </si>
  <si>
    <t>SG29780001</t>
  </si>
  <si>
    <t>SG DBS Bank FRN due 17</t>
  </si>
  <si>
    <t>USY2023JAX82</t>
  </si>
  <si>
    <t>SG28534001</t>
  </si>
  <si>
    <t>SG DBS FRN due 21</t>
  </si>
  <si>
    <t>USY2023JAV27</t>
  </si>
  <si>
    <t>SG31682001</t>
  </si>
  <si>
    <t>SG Overseas Chinese 3 3/4% due 22</t>
  </si>
  <si>
    <t>XS0558774161</t>
  </si>
  <si>
    <t>SG30826001</t>
  </si>
  <si>
    <t>SG Overseas Chinese 4 1/4% due 19</t>
  </si>
  <si>
    <t>XS0466655890</t>
  </si>
  <si>
    <t>SG31384001</t>
  </si>
  <si>
    <t>SG PSA Corp 3 7/8% due 21</t>
  </si>
  <si>
    <t>XS0531622404</t>
  </si>
  <si>
    <t>SG30444001</t>
  </si>
  <si>
    <t>SG ST Engg 4.8% due 19</t>
  </si>
  <si>
    <t>XS0440041191</t>
  </si>
  <si>
    <t>SG31843001</t>
  </si>
  <si>
    <t>SG Sing Telecom 4 1/2% due 21</t>
  </si>
  <si>
    <t>XS0600103401</t>
  </si>
  <si>
    <t>SG26457001</t>
  </si>
  <si>
    <t>SG Sing Telecom 7 3/8% due 31</t>
  </si>
  <si>
    <t>USY79985AD29</t>
  </si>
  <si>
    <t>SG31391001</t>
  </si>
  <si>
    <t>SG Stats Chippac 7 1/2% due 15</t>
  </si>
  <si>
    <t>USY8162BAE57</t>
  </si>
  <si>
    <t>SG27560001</t>
  </si>
  <si>
    <t>SG United Overseas 4 1/2% due 13</t>
  </si>
  <si>
    <t>USY9244WAF69</t>
  </si>
  <si>
    <t>SG27595001</t>
  </si>
  <si>
    <t>SG United Overseas 5 3/8% due 19</t>
  </si>
  <si>
    <t>USY9244WAW92</t>
  </si>
  <si>
    <t>SG28295001</t>
  </si>
  <si>
    <t>SG United Overseas 5.796% due 16 Perp</t>
  </si>
  <si>
    <t>KYG9289K2003</t>
  </si>
  <si>
    <t>SV28554001</t>
  </si>
  <si>
    <t>SV AES 6 3/4% due 16</t>
  </si>
  <si>
    <t>USP6830JAA27</t>
  </si>
  <si>
    <t>SV31496001</t>
  </si>
  <si>
    <t>SV MICC 8% due 17</t>
  </si>
  <si>
    <t>USG87361AA26</t>
  </si>
  <si>
    <t>TH31575001</t>
  </si>
  <si>
    <t>TH Bangkok Bank 3 1/4% due 15</t>
  </si>
  <si>
    <t>USY0606WBR08</t>
  </si>
  <si>
    <t>TH31573001</t>
  </si>
  <si>
    <t>TH Bangkok Bank 4.8% due 20</t>
  </si>
  <si>
    <t>USY0606WBS80</t>
  </si>
  <si>
    <t>HK24371001</t>
  </si>
  <si>
    <t>TH Bangkok Bk 9.025% due 29</t>
  </si>
  <si>
    <t>USY0606WBQ25</t>
  </si>
  <si>
    <t>TH31346001</t>
  </si>
  <si>
    <t>TH PTTEP 4.152% due 15</t>
  </si>
  <si>
    <t>USQ7787RAA43</t>
  </si>
  <si>
    <t>TH27010001</t>
  </si>
  <si>
    <t>TH PTTEP 5 3/4% due 14</t>
  </si>
  <si>
    <t>USY71548AV65</t>
  </si>
  <si>
    <t>TH27873001</t>
  </si>
  <si>
    <t>TH PTTEP 5 7/8% due 35</t>
  </si>
  <si>
    <t>USY71548AX22</t>
  </si>
  <si>
    <t>TH31885001</t>
  </si>
  <si>
    <t>TH PTTEP 5.692% due 21</t>
  </si>
  <si>
    <t>USC75088AA97</t>
  </si>
  <si>
    <t>TH32041001</t>
  </si>
  <si>
    <t>TH Siam Commercial Bank 3.9% due 16</t>
  </si>
  <si>
    <t>XS0626018922</t>
  </si>
  <si>
    <t>TH27887001</t>
  </si>
  <si>
    <t>TH Thai Oil 5.1% due 15</t>
  </si>
  <si>
    <t>XS0221448557</t>
  </si>
  <si>
    <t>TH27889001</t>
  </si>
  <si>
    <t>TH Thai Olefins 5 1/2% due 15</t>
  </si>
  <si>
    <t>XS0223031476</t>
  </si>
  <si>
    <t>TR31338001</t>
  </si>
  <si>
    <t>TR Akbank 5 1/8% due 15</t>
  </si>
  <si>
    <t>USM0300LAA46</t>
  </si>
  <si>
    <t>TR31847001</t>
  </si>
  <si>
    <t>TR Akbank 6 1/2% due 18</t>
  </si>
  <si>
    <t>USM0300LAC02</t>
  </si>
  <si>
    <t>TR32047001</t>
  </si>
  <si>
    <t>TR Finansbank 5 1/2% due 16</t>
  </si>
  <si>
    <t>USM4R36CAA80</t>
  </si>
  <si>
    <t>TR31903001</t>
  </si>
  <si>
    <t>TR Garanti Bank 6 1/4% due 21</t>
  </si>
  <si>
    <t>USM8931TAA71</t>
  </si>
  <si>
    <t>TR32053001</t>
  </si>
  <si>
    <t>TR Garanti Bank FRN due 16</t>
  </si>
  <si>
    <t>USM8931TAB54</t>
  </si>
  <si>
    <t>TR29807001</t>
  </si>
  <si>
    <t>TR Garanti Bank Step-up due 17</t>
  </si>
  <si>
    <t>USL93580AA37</t>
  </si>
  <si>
    <t>TR31768001</t>
  </si>
  <si>
    <t>TR Isbank 5.1% due 16</t>
  </si>
  <si>
    <t>USM8933FAB33</t>
  </si>
  <si>
    <t>TR31553001</t>
  </si>
  <si>
    <t>TR Yapi 5.1875% due 15</t>
  </si>
  <si>
    <t>XS0524202610</t>
  </si>
  <si>
    <t>TW28091001</t>
  </si>
  <si>
    <t>TW Cathay United Bk 5 1/2% due 20</t>
  </si>
  <si>
    <t>XS0231644427</t>
  </si>
  <si>
    <t>TW27844001</t>
  </si>
  <si>
    <t>TW Chinatrust 5 5/8% due 15 Perp</t>
  </si>
  <si>
    <t>XS0215262402</t>
  </si>
  <si>
    <t>UA31203001</t>
  </si>
  <si>
    <t>UA Donbass Fuel &amp; Energy 9 1/2% due 15</t>
  </si>
  <si>
    <t>USN2800PAA59</t>
  </si>
  <si>
    <t>UA31895001</t>
  </si>
  <si>
    <t>UA Ferrexpo Finance 7 7/8% due 16</t>
  </si>
  <si>
    <t>XS0614325586</t>
  </si>
  <si>
    <t>UA31148001</t>
  </si>
  <si>
    <t>UA MHP 10 1/4% due 15</t>
  </si>
  <si>
    <t>USL6366MAB92</t>
  </si>
  <si>
    <t>UA31229001</t>
  </si>
  <si>
    <t>UA Metinvest 10 1/4% due 15</t>
  </si>
  <si>
    <t>XS0511379066</t>
  </si>
  <si>
    <t>UA31803001</t>
  </si>
  <si>
    <t>UA Metinvest 8 3/4% due 18</t>
  </si>
  <si>
    <t>XS0591549232</t>
  </si>
  <si>
    <t>VE29931001</t>
  </si>
  <si>
    <t>VE Elecar 8 1/2% due 18</t>
  </si>
  <si>
    <t>XS0356521160</t>
  </si>
  <si>
    <t>ZA32334001</t>
  </si>
  <si>
    <t>ZA African Bank Limited 6% due 16</t>
  </si>
  <si>
    <t>XS0638008051</t>
  </si>
  <si>
    <t>ZA31242001</t>
  </si>
  <si>
    <t>ZA Anglogold 5 3/8% due 20</t>
  </si>
  <si>
    <t>US03512TAA97</t>
  </si>
  <si>
    <t>ZA31243001</t>
  </si>
  <si>
    <t>ZA Anglogold 6 1/2% due 40</t>
  </si>
  <si>
    <t>US03512TAB70</t>
  </si>
  <si>
    <t>ZA32071001</t>
  </si>
  <si>
    <t>ZA Firstrand 4 3/8% due 16</t>
  </si>
  <si>
    <t>XS0635404477</t>
  </si>
  <si>
    <t>ZA31532001</t>
  </si>
  <si>
    <t>ZA Gold Fields 4 7/8% due 20</t>
  </si>
  <si>
    <t>XS0547082973</t>
  </si>
  <si>
    <t>ZA31361001</t>
  </si>
  <si>
    <t>ZA Myriad Int 6 3/8% due 17</t>
  </si>
  <si>
    <t>USN5946FAA59</t>
  </si>
  <si>
    <t>ZA30475001</t>
  </si>
  <si>
    <t>ZA Sappi Papier 12% due 14</t>
  </si>
  <si>
    <t>USA61798AA19</t>
  </si>
  <si>
    <t>ZA31936001</t>
  </si>
  <si>
    <t>ZA Sappi Papier 6 5/8% due 21</t>
  </si>
  <si>
    <t>USA35868AA59</t>
  </si>
  <si>
    <t>ZA30825001</t>
  </si>
  <si>
    <t>ZA Standard Bank 8 1/8% due 19</t>
  </si>
  <si>
    <t>XS0470473231</t>
  </si>
  <si>
    <t>CEMBI Broad Diversified</t>
  </si>
  <si>
    <t>By Region</t>
  </si>
  <si>
    <t>FC_CEMBI_BROAD_AFRIC</t>
  </si>
  <si>
    <t>FC_CEMBI_BROAD_ASIA</t>
  </si>
  <si>
    <t>FC_CEMBI_BROAD_EUROP</t>
  </si>
  <si>
    <t>FC_CEMBI_BROAD_LATIN</t>
  </si>
  <si>
    <t>FC_CEMBI_BROAD_MIDEA</t>
  </si>
  <si>
    <t>FC_CEMBI_BROAD_CEEME</t>
  </si>
  <si>
    <t>CEEMEA</t>
  </si>
  <si>
    <t>By Sector</t>
  </si>
  <si>
    <t>FC_CEMBI_BROAD_BANKS</t>
  </si>
  <si>
    <t>FC_CEMBI_BROAD_RETAI</t>
  </si>
  <si>
    <t>Consumer Products</t>
  </si>
  <si>
    <t>FC_CEMBI_BROAD_INDUS</t>
  </si>
  <si>
    <t>FC_CEMBI_BROAD_METAL</t>
  </si>
  <si>
    <t>Metals &amp; Mining</t>
  </si>
  <si>
    <t>FC_CEMBI_BROAD_OIL</t>
  </si>
  <si>
    <t>FC_CEMBI_BROAD_TELEC</t>
  </si>
  <si>
    <t>FC_CEMBI_BROAD_UTILI</t>
  </si>
  <si>
    <t>By Country</t>
  </si>
  <si>
    <t>FC_CEMBI_BROAD_AR</t>
  </si>
  <si>
    <t>FC_CEMBI_BROAD_BH</t>
  </si>
  <si>
    <t>Bahrain</t>
  </si>
  <si>
    <t>FC_CEMBI_BROAD_BB</t>
  </si>
  <si>
    <t>Barbados</t>
  </si>
  <si>
    <t>FC_CEMBI_BROAD_BR</t>
  </si>
  <si>
    <t>FC_CEMBI_BROAD_CL</t>
  </si>
  <si>
    <t>FC_CEMBI_BROAD_CN</t>
  </si>
  <si>
    <t>FC_CEMBI_BROAD_CO</t>
  </si>
  <si>
    <t>FC_CEMBI_BROAD_EG</t>
  </si>
  <si>
    <t>FC_CEMBI_BROAD_SV</t>
  </si>
  <si>
    <t>FC_CEMBI_BROAD_HK</t>
  </si>
  <si>
    <t>Hong Kong</t>
  </si>
  <si>
    <t>FC_CEMBI_BROAD_ID</t>
  </si>
  <si>
    <t>FC_CEMBI_BROAD_IL</t>
  </si>
  <si>
    <t>Israel</t>
  </si>
  <si>
    <t>FC_CEMBI_BROAD_IN</t>
  </si>
  <si>
    <t>India</t>
  </si>
  <si>
    <t>FC_CEMBI_BROAD_JM</t>
  </si>
  <si>
    <t>FC_CEMBI_BROAD_KZ</t>
  </si>
  <si>
    <t>FC_CEMBI_BROAD_KR</t>
  </si>
  <si>
    <t>Korea</t>
  </si>
  <si>
    <t>FC_CEMBI_BROAD_KW</t>
  </si>
  <si>
    <t>Kuwait</t>
  </si>
  <si>
    <t>FC_CEMBI_BROAD_LB</t>
  </si>
  <si>
    <t>FC_CEMBI_BROAD_MO</t>
  </si>
  <si>
    <t>Macau</t>
  </si>
  <si>
    <t>FC_CEMBI_BROAD_MY</t>
  </si>
  <si>
    <t>FC_CEMBI_BROAD_MX</t>
  </si>
  <si>
    <t>FC_CEMBI_BROAD_NG</t>
  </si>
  <si>
    <t>FC_CEMBI_BROAD_OM</t>
  </si>
  <si>
    <t>Oman</t>
  </si>
  <si>
    <t>FC_CEMBI_BROAD_PE</t>
  </si>
  <si>
    <t>FC_CEMBI_BROAD_PH</t>
  </si>
  <si>
    <t>FC_CEMBI_BROAD_QA</t>
  </si>
  <si>
    <t>Qatar</t>
  </si>
  <si>
    <t>FC_CEMBI_BROAD_RU</t>
  </si>
  <si>
    <t>FC_CEMBI_BROAD_SG</t>
  </si>
  <si>
    <t>Singapore</t>
  </si>
  <si>
    <t>FC_CEMBI_BROAD_SA</t>
  </si>
  <si>
    <t>Saudi Arabia</t>
  </si>
  <si>
    <t>FC_CEMBI_BROAD_ZA</t>
  </si>
  <si>
    <t>FC_CEMBI_BROAD_TH</t>
  </si>
  <si>
    <t>Thailand</t>
  </si>
  <si>
    <t>FC_CEMBI_BROAD_TR</t>
  </si>
  <si>
    <t>FC_CEMBI_BROAD_TW</t>
  </si>
  <si>
    <t>Taiwan</t>
  </si>
  <si>
    <t>FC_CEMBI_BROAD_UA</t>
  </si>
  <si>
    <t>FC_CEMBI_BROAD_AE</t>
  </si>
  <si>
    <t>UAE</t>
  </si>
  <si>
    <t>FC_CEMBI_BROAD_VE</t>
  </si>
  <si>
    <t>FC_CEMBI_BROAD_IG</t>
  </si>
  <si>
    <t>FC_CEMBI_BROAD_CRBB</t>
  </si>
  <si>
    <t>FC_CEMBI_BROAD_B</t>
  </si>
  <si>
    <t>FC_CEMBI_BROAD_R</t>
  </si>
  <si>
    <t>MNSTY GBL HI                                                                                                                                                                               As of Date:  10/21/11                                                                                                                                                                          Run Date:  10/25/11</t>
  </si>
  <si>
    <t>SHARES OR</t>
  </si>
  <si>
    <t>SECURITY</t>
  </si>
  <si>
    <t>CPN</t>
  </si>
  <si>
    <t>MATURITY</t>
  </si>
  <si>
    <t>YEARS TO</t>
  </si>
  <si>
    <t>YRS TO</t>
  </si>
  <si>
    <t>S&amp;P H</t>
  </si>
  <si>
    <t>MDY H</t>
  </si>
  <si>
    <t>MARKET</t>
  </si>
  <si>
    <t>PCT</t>
  </si>
  <si>
    <t>%PF</t>
  </si>
  <si>
    <t>YTM</t>
  </si>
  <si>
    <t>YTW</t>
  </si>
  <si>
    <t>Spread/</t>
  </si>
  <si>
    <t>OAS</t>
  </si>
  <si>
    <t>Eff</t>
  </si>
  <si>
    <t>CNVXTY</t>
  </si>
  <si>
    <t>ML SECTOR</t>
  </si>
  <si>
    <t>ML IND</t>
  </si>
  <si>
    <t>ISIN</t>
  </si>
  <si>
    <t>COUNTRY</t>
  </si>
  <si>
    <t>CURRENCY</t>
  </si>
  <si>
    <t>REG STATUS</t>
  </si>
  <si>
    <t>REG RIGHTS</t>
  </si>
  <si>
    <t>CUSIP</t>
  </si>
  <si>
    <t>PAR VALUE</t>
  </si>
  <si>
    <t>DESCRIPTION</t>
  </si>
  <si>
    <t xml:space="preserve">  DATE</t>
  </si>
  <si>
    <t>EFF MTY</t>
  </si>
  <si>
    <t xml:space="preserve"> PRICE</t>
  </si>
  <si>
    <t>VALUE</t>
  </si>
  <si>
    <t>PAR</t>
  </si>
  <si>
    <t>Worst</t>
  </si>
  <si>
    <t>Dur</t>
  </si>
  <si>
    <t>-ARS-</t>
  </si>
  <si>
    <t>ARGENTINE PESO</t>
  </si>
  <si>
    <t>-</t>
  </si>
  <si>
    <t>Cash&amp;Equivalents</t>
  </si>
  <si>
    <t>CASH ALTERNATIVE</t>
  </si>
  <si>
    <t>ARS</t>
  </si>
  <si>
    <t>ARGENTINA</t>
  </si>
  <si>
    <t>NA</t>
  </si>
  <si>
    <t>-AUD-</t>
  </si>
  <si>
    <t>AUSTRALIAN DOLLAR</t>
  </si>
  <si>
    <t>AUD</t>
  </si>
  <si>
    <t>AUSTRALIA</t>
  </si>
  <si>
    <t>-BRL-</t>
  </si>
  <si>
    <t>BRAZILIAN REAL</t>
  </si>
  <si>
    <t>BRL</t>
  </si>
  <si>
    <t>BRAZIL</t>
  </si>
  <si>
    <t>-CAD-</t>
  </si>
  <si>
    <t>CANADIAN DOLLAR</t>
  </si>
  <si>
    <t>CAD</t>
  </si>
  <si>
    <t>CANADA</t>
  </si>
  <si>
    <t>-CASH-</t>
  </si>
  <si>
    <t>UNITED STATES DOLLAR</t>
  </si>
  <si>
    <t>USD</t>
  </si>
  <si>
    <t>USA</t>
  </si>
  <si>
    <t>US</t>
  </si>
  <si>
    <t>-CLP-</t>
  </si>
  <si>
    <t>CHILEAN PESO</t>
  </si>
  <si>
    <t>CLP</t>
  </si>
  <si>
    <t>CHILE</t>
  </si>
  <si>
    <t>-CNY-</t>
  </si>
  <si>
    <t>CHINESE RENMINBI YUAN</t>
  </si>
  <si>
    <t>CNY</t>
  </si>
  <si>
    <t>CHINA</t>
  </si>
  <si>
    <t>-COP-</t>
  </si>
  <si>
    <t>COLOMBIAN PESO</t>
  </si>
  <si>
    <t>COP</t>
  </si>
  <si>
    <t>COLOMBIA</t>
  </si>
  <si>
    <t>-DEM-</t>
  </si>
  <si>
    <t>GERMAN DEUTSCHEMARK</t>
  </si>
  <si>
    <t>DEM</t>
  </si>
  <si>
    <t>GERMANY</t>
  </si>
  <si>
    <t>-EGP-</t>
  </si>
  <si>
    <t>EGYPTIAN POUND</t>
  </si>
  <si>
    <t>EGP</t>
  </si>
  <si>
    <t>EGYPT</t>
  </si>
  <si>
    <t>-EUR-</t>
  </si>
  <si>
    <t>EURO</t>
  </si>
  <si>
    <t>EUR</t>
  </si>
  <si>
    <t>EUROPE</t>
  </si>
  <si>
    <t>-GBP-</t>
  </si>
  <si>
    <t>UK POUND STERLING</t>
  </si>
  <si>
    <t>GBP</t>
  </si>
  <si>
    <t>UNITED KINGDOM</t>
  </si>
  <si>
    <t>-IDR-</t>
  </si>
  <si>
    <t>INDONESIAN RUPIAH</t>
  </si>
  <si>
    <t>IDR</t>
  </si>
  <si>
    <t>INDONESIA</t>
  </si>
  <si>
    <t>-JPY-</t>
  </si>
  <si>
    <t>JAPANESE YEN</t>
  </si>
  <si>
    <t>JPY</t>
  </si>
  <si>
    <t>JAPAN</t>
  </si>
  <si>
    <t>-MARGIN-</t>
  </si>
  <si>
    <t>MARGIN UNITED STATES DOLLAR</t>
  </si>
  <si>
    <t>-MXN-</t>
  </si>
  <si>
    <t>MEXICAN NUEVO PESO</t>
  </si>
  <si>
    <t>MXN</t>
  </si>
  <si>
    <t>MEXICO</t>
  </si>
  <si>
    <t>-MYR-</t>
  </si>
  <si>
    <t>MALAYSIAN RINGGIT</t>
  </si>
  <si>
    <t>MYR</t>
  </si>
  <si>
    <t>MALAYSIA</t>
  </si>
  <si>
    <t>-PLN-</t>
  </si>
  <si>
    <t>POLAND NEW ZLOTY</t>
  </si>
  <si>
    <t>PLN</t>
  </si>
  <si>
    <t>POLAND</t>
  </si>
  <si>
    <t>-TRY-</t>
  </si>
  <si>
    <t>TURKISH LIRA-NEW</t>
  </si>
  <si>
    <t>TRY</t>
  </si>
  <si>
    <t>TURKEY</t>
  </si>
  <si>
    <t>00130HBH7</t>
  </si>
  <si>
    <t>AES CORP REG</t>
  </si>
  <si>
    <t>BB-</t>
  </si>
  <si>
    <t>B1</t>
  </si>
  <si>
    <t>UTILITY</t>
  </si>
  <si>
    <t>Electric-Integrated</t>
  </si>
  <si>
    <t>US00130HBH75</t>
  </si>
  <si>
    <t>REGISTERED</t>
  </si>
  <si>
    <t>00850LAA2</t>
  </si>
  <si>
    <t>AGRIBANK FCB</t>
  </si>
  <si>
    <t>A</t>
  </si>
  <si>
    <t>NR</t>
  </si>
  <si>
    <t>BANKING</t>
  </si>
  <si>
    <t>Banking</t>
  </si>
  <si>
    <t>US00850LAA26</t>
  </si>
  <si>
    <t>PRIVATE</t>
  </si>
  <si>
    <t>NO</t>
  </si>
  <si>
    <t>02109TAC6</t>
  </si>
  <si>
    <t>ALROSA FINANCE SA 144A</t>
  </si>
  <si>
    <t>Ba3</t>
  </si>
  <si>
    <t>BASIC INDUSTRY</t>
  </si>
  <si>
    <t>Metals/Mining Excluding Steel</t>
  </si>
  <si>
    <t>US02109TAC62</t>
  </si>
  <si>
    <t>LUXEMBOURG</t>
  </si>
  <si>
    <t>144A</t>
  </si>
  <si>
    <t>YES</t>
  </si>
  <si>
    <t>040114GK0</t>
  </si>
  <si>
    <t>ARGENTINA REP 1.33 12/31/38 (</t>
  </si>
  <si>
    <t>FOREIGN SOVEREIGN</t>
  </si>
  <si>
    <t>Foreign Sovereign</t>
  </si>
  <si>
    <t>040114GL8</t>
  </si>
  <si>
    <t>ARGENTINA REP 8.280 12/31/33</t>
  </si>
  <si>
    <t>*</t>
  </si>
  <si>
    <t>AAA</t>
  </si>
  <si>
    <t>Aaa</t>
  </si>
  <si>
    <t>067070AF9</t>
  </si>
  <si>
    <t>GOVERNMENT OF BARBADOS 144A</t>
  </si>
  <si>
    <t>BBB-</t>
  </si>
  <si>
    <t>US067070AF98</t>
  </si>
  <si>
    <t>BARBADOS</t>
  </si>
  <si>
    <t>059895AL6</t>
  </si>
  <si>
    <t>BANGKOK BANK PUBLIC CO 144A</t>
  </si>
  <si>
    <t>BBB+</t>
  </si>
  <si>
    <t>A3</t>
  </si>
  <si>
    <t>US059895AL66</t>
  </si>
  <si>
    <t>THAILAND</t>
  </si>
  <si>
    <t>GOVERNMENT OF BELIZE STEP REG</t>
  </si>
  <si>
    <t>B-</t>
  </si>
  <si>
    <t>B3</t>
  </si>
  <si>
    <t>BELIZE</t>
  </si>
  <si>
    <t>REG S</t>
  </si>
  <si>
    <t>38377HAA5</t>
  </si>
  <si>
    <t>GOVERNMENT OF BERMUDA 144A</t>
  </si>
  <si>
    <t>AA</t>
  </si>
  <si>
    <t>Aa2</t>
  </si>
  <si>
    <t>US38377HAA59</t>
  </si>
  <si>
    <t>BERMUDA</t>
  </si>
  <si>
    <t>BRSTNCNTF071</t>
  </si>
  <si>
    <t>NOTA DO TESOURO NACIONAL 10.0</t>
  </si>
  <si>
    <t>Baa2</t>
  </si>
  <si>
    <t>05946NAJ4</t>
  </si>
  <si>
    <t>BANCO BRADESCO SA 144A</t>
  </si>
  <si>
    <t>Baa1</t>
  </si>
  <si>
    <t>US05946NAJ46</t>
  </si>
  <si>
    <t>10553YAB1</t>
  </si>
  <si>
    <t>BRASKEM FINANCE LTD 144A</t>
  </si>
  <si>
    <t>Baa3</t>
  </si>
  <si>
    <t>Chemicals</t>
  </si>
  <si>
    <t>US10553YAB11</t>
  </si>
  <si>
    <t>CAYMAN ISLANDS</t>
  </si>
  <si>
    <t>105756BS8</t>
  </si>
  <si>
    <t>FED REPUBLIC OF BRAZIL</t>
  </si>
  <si>
    <t>14976CAA2</t>
  </si>
  <si>
    <t>CAYMAN ISLAND GOV'T 144A</t>
  </si>
  <si>
    <t>Aa3</t>
  </si>
  <si>
    <t>US14976CAA27</t>
  </si>
  <si>
    <t>DD99CDS10</t>
  </si>
  <si>
    <t>CREDIT DEFAULT SWAP CONTRA CA</t>
  </si>
  <si>
    <t>17311KAA1</t>
  </si>
  <si>
    <t>CITIC RESOURCES FIN 144A 6.75</t>
  </si>
  <si>
    <t>US17311KAA16</t>
  </si>
  <si>
    <t>UK VIRGIN ISLDS</t>
  </si>
  <si>
    <t>-CCASH-</t>
  </si>
  <si>
    <t>USD COLLATERAL</t>
  </si>
  <si>
    <t>195325BN4</t>
  </si>
  <si>
    <t>REPUBLIC OF COLOMBIA 4.375 07</t>
  </si>
  <si>
    <t>12503JAA3</t>
  </si>
  <si>
    <t>CCL FINANCE LTD 144A</t>
  </si>
  <si>
    <t>CONSUMER NON-CYCLICAL</t>
  </si>
  <si>
    <t>Food-Wholesale</t>
  </si>
  <si>
    <t>US12503JAA34</t>
  </si>
  <si>
    <t>226775AD6</t>
  </si>
  <si>
    <t>REP OF CROATIA 144A</t>
  </si>
  <si>
    <t>US226775AD66</t>
  </si>
  <si>
    <t>CROATIA</t>
  </si>
  <si>
    <t>226775AC8</t>
  </si>
  <si>
    <t>US226775AC83</t>
  </si>
  <si>
    <t>12644VAA6</t>
  </si>
  <si>
    <t>CSN RESOURCES 144A</t>
  </si>
  <si>
    <t>Ba1</t>
  </si>
  <si>
    <t>Steel Producers/Products</t>
  </si>
  <si>
    <t>US12644VAA61</t>
  </si>
  <si>
    <t>DOMINICAN REPUBLIC REGS</t>
  </si>
  <si>
    <t>B+</t>
  </si>
  <si>
    <t>DOMREP</t>
  </si>
  <si>
    <t>279158AB5</t>
  </si>
  <si>
    <t>ECOPETROL REG</t>
  </si>
  <si>
    <t>ENERGY</t>
  </si>
  <si>
    <t>Integrated Energy</t>
  </si>
  <si>
    <t>THE EXPORT IMPORT BANK OF KOR</t>
  </si>
  <si>
    <t>A1</t>
  </si>
  <si>
    <t>AGENCY</t>
  </si>
  <si>
    <t>Agency</t>
  </si>
  <si>
    <t>US302154BA68</t>
  </si>
  <si>
    <t>KOREA</t>
  </si>
  <si>
    <t>283875AP7</t>
  </si>
  <si>
    <t>REPUBLIC OF EL SALVADOR 144A</t>
  </si>
  <si>
    <t>Ba2</t>
  </si>
  <si>
    <t>US283875AP70</t>
  </si>
  <si>
    <t>EL SALVADOR</t>
  </si>
  <si>
    <t>US283875AH54</t>
  </si>
  <si>
    <t>REP OF EL SALVADOR 8.25 04/10</t>
  </si>
  <si>
    <t>REP OF SALVADOR 7.65 06/15/35</t>
  </si>
  <si>
    <t>29245JAE2</t>
  </si>
  <si>
    <t>EMPRESA NACIONAL DE PETR 144A</t>
  </si>
  <si>
    <t>Energy-Exploration &amp; Production</t>
  </si>
  <si>
    <t>US29245JAE29</t>
  </si>
  <si>
    <t>296464AA8</t>
  </si>
  <si>
    <t>ESKOM HOLDINGS 144A</t>
  </si>
  <si>
    <t>US296464AA84</t>
  </si>
  <si>
    <t>SOUTH AFRICA</t>
  </si>
  <si>
    <t>D9FRCDS12</t>
  </si>
  <si>
    <t>FRENCH REPUBLIC 5 YEAR CDS</t>
  </si>
  <si>
    <t>FRANCE</t>
  </si>
  <si>
    <t>35906AAK4</t>
  </si>
  <si>
    <t>FRONTIER COMMUNICATIONS REG</t>
  </si>
  <si>
    <t>TELECOMMUNICATIONS</t>
  </si>
  <si>
    <t>Telecom-Integrated/Services</t>
  </si>
  <si>
    <t>US35906AAK43</t>
  </si>
  <si>
    <t>362420AA9</t>
  </si>
  <si>
    <t>GABONESE REPUBLIC 144A</t>
  </si>
  <si>
    <t>US362420AA95</t>
  </si>
  <si>
    <t>GABON</t>
  </si>
  <si>
    <t>GAZ CAPITAL SA REG S</t>
  </si>
  <si>
    <t>BBB</t>
  </si>
  <si>
    <t>REPUBLIC OF GHANA REGS 8.500</t>
  </si>
  <si>
    <t>GHANA</t>
  </si>
  <si>
    <t>92670LAF6</t>
  </si>
  <si>
    <t>THE GOV OF SOCIALIST REP VIET</t>
  </si>
  <si>
    <t>US92670LAF67</t>
  </si>
  <si>
    <t>VIETNAM</t>
  </si>
  <si>
    <t>40052RAA1</t>
  </si>
  <si>
    <t>GRUPO PETROTEMEX 144A</t>
  </si>
  <si>
    <t>US40052RAA14</t>
  </si>
  <si>
    <t>92935NAA4</t>
  </si>
  <si>
    <t>WPE INTERNATIONAL COOPERATIEF</t>
  </si>
  <si>
    <t>CAPITAL GOODS</t>
  </si>
  <si>
    <t>Diversified Capital Goods</t>
  </si>
  <si>
    <t>US92935NAA46</t>
  </si>
  <si>
    <t>NETHERLANDS</t>
  </si>
  <si>
    <t>USG4756WAD23</t>
  </si>
  <si>
    <t>INDEPENDENCIA INTERNATIONAL L</t>
  </si>
  <si>
    <t>455780BF2</t>
  </si>
  <si>
    <t>REP OF INDONESIA 144A</t>
  </si>
  <si>
    <t>BB+</t>
  </si>
  <si>
    <t>US455780BF20</t>
  </si>
  <si>
    <t>455780AX4</t>
  </si>
  <si>
    <t>REP OF INDONESIA 6.625 2/17/3</t>
  </si>
  <si>
    <t>US455780AX45</t>
  </si>
  <si>
    <t>46131NAA2</t>
  </si>
  <si>
    <t>INVERSIONES CMPC SA 144A</t>
  </si>
  <si>
    <t>Forestry/Paper</t>
  </si>
  <si>
    <t>US46131NAA28</t>
  </si>
  <si>
    <t>AA-</t>
  </si>
  <si>
    <t>ITALY</t>
  </si>
  <si>
    <t>46556LAA2</t>
  </si>
  <si>
    <t>ITAU UNIBANCO HOLDING 144A</t>
  </si>
  <si>
    <t>US46556LAA26</t>
  </si>
  <si>
    <t>XS0496608984</t>
  </si>
  <si>
    <t>IVORY COAST 144A (STEP)</t>
  </si>
  <si>
    <t>IVORY COAST</t>
  </si>
  <si>
    <t>470160AW2</t>
  </si>
  <si>
    <t>GOVERNMENT OF JAMAICA</t>
  </si>
  <si>
    <t>JAMAICA</t>
  </si>
  <si>
    <t>50065RAB3</t>
  </si>
  <si>
    <t>KOREA HOUSING FINANCE CORP 14</t>
  </si>
  <si>
    <t>NON-PFANDBRIEFE COVERED</t>
  </si>
  <si>
    <t>Pfandbriefe</t>
  </si>
  <si>
    <t>US50065RAB33</t>
  </si>
  <si>
    <t>SOUTH KOREA</t>
  </si>
  <si>
    <t>48667DAC8</t>
  </si>
  <si>
    <t>KAZAKHSTAN TEMIR ZHOLY 144A</t>
  </si>
  <si>
    <t>SERVICES</t>
  </si>
  <si>
    <t>Railroads</t>
  </si>
  <si>
    <t>US48667DAC83</t>
  </si>
  <si>
    <t>48667QAC9</t>
  </si>
  <si>
    <t>KAZMUNAIGAZ FINANCE 11.75 01/</t>
  </si>
  <si>
    <t>US48667QAC96</t>
  </si>
  <si>
    <t>REPUBLIC OF LEBANON 6.00 05/2</t>
  </si>
  <si>
    <t>LEBANON</t>
  </si>
  <si>
    <t>536878AE1</t>
  </si>
  <si>
    <t>THE REPUBLIC OF LITHUANIA  14</t>
  </si>
  <si>
    <t>US536878AE14</t>
  </si>
  <si>
    <t>LITHUANIA</t>
  </si>
  <si>
    <t>549876AD2</t>
  </si>
  <si>
    <t>LUKOIL INTL FINANCE BV</t>
  </si>
  <si>
    <t>US549876AD28</t>
  </si>
  <si>
    <t>21240BAA9</t>
  </si>
  <si>
    <t>CONTROLADORA MABE 144A</t>
  </si>
  <si>
    <t>CONSUMER CYCLICAL</t>
  </si>
  <si>
    <t>Household &amp; Leisure Products</t>
  </si>
  <si>
    <t>US21240BAA98</t>
  </si>
  <si>
    <t>CONTROLADORA MABE SA CV REG S</t>
  </si>
  <si>
    <t>MX0MGO0000C0</t>
  </si>
  <si>
    <t>MEX BONOS DE DESARROLLO 7.250</t>
  </si>
  <si>
    <t>A-</t>
  </si>
  <si>
    <t>63243NAC8</t>
  </si>
  <si>
    <t>NATIONAL AGRICULTURAL CORP 14</t>
  </si>
  <si>
    <t>US63243NAC83</t>
  </si>
  <si>
    <t>REPUBLIC OF NIGERIA REG S</t>
  </si>
  <si>
    <t>NIGERIA</t>
  </si>
  <si>
    <t>66989PAB6</t>
  </si>
  <si>
    <t>NOVATEK FINANCE LTD 144A</t>
  </si>
  <si>
    <t>US66989PAB67</t>
  </si>
  <si>
    <t>IRELAND</t>
  </si>
  <si>
    <t>675758AG1</t>
  </si>
  <si>
    <t>ODERBRECHT FINANCE LTD 144A</t>
  </si>
  <si>
    <t>Building &amp; Construction</t>
  </si>
  <si>
    <t>US675758AG13</t>
  </si>
  <si>
    <t>675758AC0</t>
  </si>
  <si>
    <t>ODEBRECHT FINANCE LTD 144A</t>
  </si>
  <si>
    <t>US675758AC09</t>
  </si>
  <si>
    <t>698299AW4</t>
  </si>
  <si>
    <t>REPUBLIC OF PANAMA 6.700 01/2</t>
  </si>
  <si>
    <t>PANAMA</t>
  </si>
  <si>
    <t>698299AK0</t>
  </si>
  <si>
    <t>REPUBLIC OF PANAMA 9.375 04/0</t>
  </si>
  <si>
    <t>71656LAK7</t>
  </si>
  <si>
    <t>PETROLEOS MEXICANOS 144A</t>
  </si>
  <si>
    <t>US71656LAK70</t>
  </si>
  <si>
    <t>715638AS1</t>
  </si>
  <si>
    <t>REPUBLIC OF PERU 7.350 07/21/</t>
  </si>
  <si>
    <t>PERU</t>
  </si>
  <si>
    <t>71657YAD4</t>
  </si>
  <si>
    <t>PETROLEUM CO OF TRINIDAD 144A</t>
  </si>
  <si>
    <t>US71657YAD40</t>
  </si>
  <si>
    <t>TRINIDAD</t>
  </si>
  <si>
    <t>718286BK2</t>
  </si>
  <si>
    <t>REPUBLIC OF PHILIPPINES</t>
  </si>
  <si>
    <t>PHILIPPINES</t>
  </si>
  <si>
    <t>718286BE6</t>
  </si>
  <si>
    <t>REPUBLIC OF PHILIPPINES 8.375</t>
  </si>
  <si>
    <t>REPUBLIC OF PHILIPPINES 9.500</t>
  </si>
  <si>
    <t>718286BJ5</t>
  </si>
  <si>
    <t>US718286BJ59</t>
  </si>
  <si>
    <t>PHP</t>
  </si>
  <si>
    <t>56068TAE7</t>
  </si>
  <si>
    <t>MAJAPAHIT HOLDINGS BV 144A</t>
  </si>
  <si>
    <t>Electric-Distr/Trans</t>
  </si>
  <si>
    <t>US56068TAE73</t>
  </si>
  <si>
    <t>74733WAB4</t>
  </si>
  <si>
    <t>QUATARI DIAR FINANCE 144A</t>
  </si>
  <si>
    <t>GOVERNMENT GUARANTEED</t>
  </si>
  <si>
    <t>Government Guaranteed</t>
  </si>
  <si>
    <t>US74733WAB46</t>
  </si>
  <si>
    <t>QATAR</t>
  </si>
  <si>
    <t>81720TAA3</t>
  </si>
  <si>
    <t>REPUBLIC OF SENEGAL 144A</t>
  </si>
  <si>
    <t>US81720TAA34</t>
  </si>
  <si>
    <t>SENEGAL</t>
  </si>
  <si>
    <t>836205AN4</t>
  </si>
  <si>
    <t>REP OF SOUTH AFRICA</t>
  </si>
  <si>
    <t>85227SAH9</t>
  </si>
  <si>
    <t>REPUBLIC OF SRI LANKA  144A</t>
  </si>
  <si>
    <t>US85227SAH94</t>
  </si>
  <si>
    <t>SRI LANKA</t>
  </si>
  <si>
    <t>00386SAG7</t>
  </si>
  <si>
    <t>ABU DHABI NATIONAL ENERGY 144</t>
  </si>
  <si>
    <t>US00386SAG75</t>
  </si>
  <si>
    <t>UAE (EMIRATES)</t>
  </si>
  <si>
    <t>900123BY5</t>
  </si>
  <si>
    <t>REPUBLIC OF TURKEY</t>
  </si>
  <si>
    <t>US900123BY5</t>
  </si>
  <si>
    <t>900123BJ8</t>
  </si>
  <si>
    <t>TURKEY REP</t>
  </si>
  <si>
    <t>900123AW0</t>
  </si>
  <si>
    <t>REPUBLIC OF TURKEY 7.375 02/0</t>
  </si>
  <si>
    <t>TRT070312T14</t>
  </si>
  <si>
    <t>TURKEY GOVT 16.000 03/07/12</t>
  </si>
  <si>
    <t>AA+</t>
  </si>
  <si>
    <t>Sovereign</t>
  </si>
  <si>
    <t>Miscellaneous</t>
  </si>
  <si>
    <t>903724AA0</t>
  </si>
  <si>
    <t>UKRAINE GOVERNMENT 7.65 06/11</t>
  </si>
  <si>
    <t>B2</t>
  </si>
  <si>
    <t>US903724AA08</t>
  </si>
  <si>
    <t>UKRAINE</t>
  </si>
  <si>
    <t>31771VAA1</t>
  </si>
  <si>
    <t>FINANCING OF INFRASTRUCTURE 1</t>
  </si>
  <si>
    <t>US31771VAA17</t>
  </si>
  <si>
    <t>603674AA0</t>
  </si>
  <si>
    <t>UKRAINE GOVERNMENT 144A</t>
  </si>
  <si>
    <t>US603674AA04</t>
  </si>
  <si>
    <t>917288BC5</t>
  </si>
  <si>
    <t>REPUBLIC OF URUGUAY 8.000 11/</t>
  </si>
  <si>
    <t>URUGUAY</t>
  </si>
  <si>
    <t>REP OF VENEZUELA 6.00 12/09/2</t>
  </si>
  <si>
    <t>VENEZUELA</t>
  </si>
  <si>
    <t>BOLIVARIAN REP OF VENEZUELA R</t>
  </si>
  <si>
    <t>MNSTY FLXO INTL                                                                                                                                                                            As of Date:  10/21/11                                                                                                                                                                          Run Date:  10/25/11</t>
  </si>
  <si>
    <t>-BEF-</t>
  </si>
  <si>
    <t>BELGIAN FRANC</t>
  </si>
  <si>
    <t>BEF</t>
  </si>
  <si>
    <t>BELGIUM</t>
  </si>
  <si>
    <t>-CHF-</t>
  </si>
  <si>
    <t>SWISS FRANC</t>
  </si>
  <si>
    <t>CHF</t>
  </si>
  <si>
    <t>SWITZERLAND</t>
  </si>
  <si>
    <t>-DKK-</t>
  </si>
  <si>
    <t>DANISH KRONER</t>
  </si>
  <si>
    <t>DKK</t>
  </si>
  <si>
    <t>DENMARK</t>
  </si>
  <si>
    <t>-ESP-</t>
  </si>
  <si>
    <t>SPANISH PESETA</t>
  </si>
  <si>
    <t>SPAIN</t>
  </si>
  <si>
    <t>ESP</t>
  </si>
  <si>
    <t>-FIM-</t>
  </si>
  <si>
    <t>FINNISH MARKKA</t>
  </si>
  <si>
    <t>FIM</t>
  </si>
  <si>
    <t>FINLAND</t>
  </si>
  <si>
    <t>-FRF-</t>
  </si>
  <si>
    <t>FRENCH FRANC</t>
  </si>
  <si>
    <t>FRF</t>
  </si>
  <si>
    <t>-GRD-</t>
  </si>
  <si>
    <t>GREEK DRACHMA</t>
  </si>
  <si>
    <t>GRD</t>
  </si>
  <si>
    <t>GREECE</t>
  </si>
  <si>
    <t>-HKD-</t>
  </si>
  <si>
    <t>HONG KONG DOLLAR</t>
  </si>
  <si>
    <t>HKD</t>
  </si>
  <si>
    <t>HONGKONG</t>
  </si>
  <si>
    <t>-IEP-</t>
  </si>
  <si>
    <t>IRISH PUNT</t>
  </si>
  <si>
    <t>IEP</t>
  </si>
  <si>
    <t>-ITL-</t>
  </si>
  <si>
    <t>ITALIAN LIRA</t>
  </si>
  <si>
    <t>ITL</t>
  </si>
  <si>
    <t>-NOK-</t>
  </si>
  <si>
    <t>NORWEGIAN KRONE</t>
  </si>
  <si>
    <t>NOK</t>
  </si>
  <si>
    <t>NORWAY</t>
  </si>
  <si>
    <t>-NZD-</t>
  </si>
  <si>
    <t>NEW ZEALAND DOLLAR</t>
  </si>
  <si>
    <t>NZD</t>
  </si>
  <si>
    <t>NEW ZEALAND</t>
  </si>
  <si>
    <t>-SEK-</t>
  </si>
  <si>
    <t>SWEDISH KRONA</t>
  </si>
  <si>
    <t>SEK</t>
  </si>
  <si>
    <t>SWEDEN</t>
  </si>
  <si>
    <t>-XEU-</t>
  </si>
  <si>
    <t>EUROPEAN CURRENCY UNIT</t>
  </si>
  <si>
    <t>XEU</t>
  </si>
  <si>
    <t>-ZAR-</t>
  </si>
  <si>
    <t>SOUTH AFRICAN RAND</t>
  </si>
  <si>
    <t>ZAR</t>
  </si>
  <si>
    <t>013817AT8</t>
  </si>
  <si>
    <t>ALCOA INC CONV BOND</t>
  </si>
  <si>
    <t>US013817AT86</t>
  </si>
  <si>
    <t>013817AU5</t>
  </si>
  <si>
    <t>ALCOA INC REG</t>
  </si>
  <si>
    <t>US013817AU59</t>
  </si>
  <si>
    <t>039380AC4</t>
  </si>
  <si>
    <t>ARCH COAL INC REG</t>
  </si>
  <si>
    <t>US039380AC46</t>
  </si>
  <si>
    <t>00685R706</t>
  </si>
  <si>
    <t>ADELPHIA CONTINGENT VALUE SER</t>
  </si>
  <si>
    <t>MEDIA</t>
  </si>
  <si>
    <t>Media-Services</t>
  </si>
  <si>
    <t>US00685R7061</t>
  </si>
  <si>
    <t>XS0291642154</t>
  </si>
  <si>
    <t>AMERICAN INTL GROUP</t>
  </si>
  <si>
    <t>INSURANCE</t>
  </si>
  <si>
    <t>Multi-Line Insurance</t>
  </si>
  <si>
    <t>XS0291641420</t>
  </si>
  <si>
    <t>AMERICAN INTL GROUP REG</t>
  </si>
  <si>
    <t>014477AM5</t>
  </si>
  <si>
    <t>ALERIS INTERNATIONAL INC REG</t>
  </si>
  <si>
    <t>US014477AM58</t>
  </si>
  <si>
    <t>020002AU5</t>
  </si>
  <si>
    <t>ALLSTATE CORP</t>
  </si>
  <si>
    <t>P&amp;C</t>
  </si>
  <si>
    <t>US020002AU59</t>
  </si>
  <si>
    <t>02005NAJ9</t>
  </si>
  <si>
    <t>ALLY FINANCIAL INC REG</t>
  </si>
  <si>
    <t>US02005NAJ90</t>
  </si>
  <si>
    <t>02005NAB6</t>
  </si>
  <si>
    <t>US02005NAB64</t>
  </si>
  <si>
    <t>01449JAE5</t>
  </si>
  <si>
    <t>ALERE INC REG</t>
  </si>
  <si>
    <t>HEALTHCARE</t>
  </si>
  <si>
    <t>Medical Products</t>
  </si>
  <si>
    <t>US01449JAE55</t>
  </si>
  <si>
    <t>DD99ALTTL</t>
  </si>
  <si>
    <t>ALLISON TRANSMISSION INC TERM</t>
  </si>
  <si>
    <t>AUTOMOTIVE</t>
  </si>
  <si>
    <t>Auto Parts &amp; Equipment</t>
  </si>
  <si>
    <t>A000GC023TL01</t>
  </si>
  <si>
    <t>549463AH0</t>
  </si>
  <si>
    <t>LUCENT TECHNOLOGIES CONV BOND</t>
  </si>
  <si>
    <t>TECHNOLOGY &amp; ELECTRONICS</t>
  </si>
  <si>
    <t>Telecommunications Equipment</t>
  </si>
  <si>
    <t>US549463AH07</t>
  </si>
  <si>
    <t>00165AAD0</t>
  </si>
  <si>
    <t>AMC ENTERTAINMENT INC REG</t>
  </si>
  <si>
    <t>CCC+</t>
  </si>
  <si>
    <t>Caa1</t>
  </si>
  <si>
    <t>Theaters &amp; Entertainment</t>
  </si>
  <si>
    <t>US00165AAD00</t>
  </si>
  <si>
    <t>XS0229541213</t>
  </si>
  <si>
    <t>SPRINGLEAF FINANCE CORP</t>
  </si>
  <si>
    <t>FINANCIAL SERVICES</t>
  </si>
  <si>
    <t>Cons/Comm/Lease Financing</t>
  </si>
  <si>
    <t>85171RAA2</t>
  </si>
  <si>
    <t>US85171RAA23</t>
  </si>
  <si>
    <t>DD9AMGF17</t>
  </si>
  <si>
    <t>SPRINGLEAF FINANCIAL FUNDING</t>
  </si>
  <si>
    <t>S000J3015TB01</t>
  </si>
  <si>
    <t>031162AQ3</t>
  </si>
  <si>
    <t>AMGEN INC CONV BOND REG</t>
  </si>
  <si>
    <t>A+</t>
  </si>
  <si>
    <t>Pharmaceuticals</t>
  </si>
  <si>
    <t>US031162AQ33</t>
  </si>
  <si>
    <t>001765BC9</t>
  </si>
  <si>
    <t>AMR CORP CONV BND</t>
  </si>
  <si>
    <t>Airlines</t>
  </si>
  <si>
    <t>US001765BC99</t>
  </si>
  <si>
    <t>02378JAR9</t>
  </si>
  <si>
    <t>AMERICAN AIRLINE</t>
  </si>
  <si>
    <t>US02378JAR95</t>
  </si>
  <si>
    <t>02076XAB8</t>
  </si>
  <si>
    <t>ALPHA NATURAL RESOURCES REG</t>
  </si>
  <si>
    <t>US02076XAB82</t>
  </si>
  <si>
    <t>APACHE CORP CONV PFD</t>
  </si>
  <si>
    <t>US0374118083</t>
  </si>
  <si>
    <t>03754HAB0</t>
  </si>
  <si>
    <t>APERAM 144A</t>
  </si>
  <si>
    <t>US03754HAB06</t>
  </si>
  <si>
    <t>030981AF1</t>
  </si>
  <si>
    <t>AMERIGAS PARTNERS LP REG</t>
  </si>
  <si>
    <t>Gas Distribution</t>
  </si>
  <si>
    <t>US030981AF11</t>
  </si>
  <si>
    <t>039686AB6</t>
  </si>
  <si>
    <t>ARDAGH PACKAGING 144A</t>
  </si>
  <si>
    <t>Packaging</t>
  </si>
  <si>
    <t>US039686AB63</t>
  </si>
  <si>
    <t>02916PAB9</t>
  </si>
  <si>
    <t>AMERICAN RAILCAR IND REG</t>
  </si>
  <si>
    <t>US02916PAB94</t>
  </si>
  <si>
    <t>045919AF4</t>
  </si>
  <si>
    <t>AT HOME CORP REG CNV BD (DEF)</t>
  </si>
  <si>
    <t>Telecom-Wireless</t>
  </si>
  <si>
    <t>US045919AF40</t>
  </si>
  <si>
    <t>01741RAD4</t>
  </si>
  <si>
    <t>ALLEGHENY TECHNOLOGIES CONV B</t>
  </si>
  <si>
    <t>US01741RAD44</t>
  </si>
  <si>
    <t>016900AC6</t>
  </si>
  <si>
    <t>ALLEGHENY LUDLUM CORP</t>
  </si>
  <si>
    <t>US016900AC60</t>
  </si>
  <si>
    <t>035290AJ4</t>
  </si>
  <si>
    <t>ANIXTER INTL INC CONV BOND</t>
  </si>
  <si>
    <t>US035290AJ46</t>
  </si>
  <si>
    <t>025816AU3</t>
  </si>
  <si>
    <t>AMERICAN EXPRESS CO</t>
  </si>
  <si>
    <t>US025816AU39</t>
  </si>
  <si>
    <t>05607MAA5</t>
  </si>
  <si>
    <t>BAA FUNDING LTD 144A</t>
  </si>
  <si>
    <t>Transportation Excluding Air/Rail</t>
  </si>
  <si>
    <t>US05607MAA53</t>
  </si>
  <si>
    <t>06051GEC9</t>
  </si>
  <si>
    <t>BANK OF AMERICA CORP</t>
  </si>
  <si>
    <t>US06051GEC96</t>
  </si>
  <si>
    <t>05518VAA3</t>
  </si>
  <si>
    <t>BAC CAPITAL TRUST XIV</t>
  </si>
  <si>
    <t>US05518VAA35</t>
  </si>
  <si>
    <t>BANK OF AMERICA 7.250%</t>
  </si>
  <si>
    <t>US0605056821</t>
  </si>
  <si>
    <t>05947U2N7</t>
  </si>
  <si>
    <t>BACM 2005-05 A2</t>
  </si>
  <si>
    <t>COMMERCIAL MORTGAGE BACKED</t>
  </si>
  <si>
    <t>Commercial Mortgage Backed</t>
  </si>
  <si>
    <t>US05947U2N72</t>
  </si>
  <si>
    <t>06739GBP3</t>
  </si>
  <si>
    <t>BARCLAYS BANK PLC</t>
  </si>
  <si>
    <t>US06739GBP37</t>
  </si>
  <si>
    <t>06985PAB6</t>
  </si>
  <si>
    <t>BASIC ENERGY SERVICES REG</t>
  </si>
  <si>
    <t>Oil Field Equipment &amp; Services</t>
  </si>
  <si>
    <t>US06985PAB67</t>
  </si>
  <si>
    <t>06985PAG5</t>
  </si>
  <si>
    <t>BASIC ENERGY SERVICES 144A</t>
  </si>
  <si>
    <t>US06985PAG54</t>
  </si>
  <si>
    <t>07325BAB4</t>
  </si>
  <si>
    <t>BAYC 2006-4 A1</t>
  </si>
  <si>
    <t>ASSET BACKED</t>
  </si>
  <si>
    <t>MISCELLANEOUS ABS</t>
  </si>
  <si>
    <t>US07325BAB45</t>
  </si>
  <si>
    <t>055381AR8</t>
  </si>
  <si>
    <t>BE AEROSPACE INC REG</t>
  </si>
  <si>
    <t>Aerospace/Defense</t>
  </si>
  <si>
    <t>US055381AR85</t>
  </si>
  <si>
    <t>DD99BHMEX</t>
  </si>
  <si>
    <t>BHM TECH EXIT TERM LOAN (DEF)</t>
  </si>
  <si>
    <t>B00087038TL02</t>
  </si>
  <si>
    <t>058498AP1</t>
  </si>
  <si>
    <t>BALL CORP</t>
  </si>
  <si>
    <t>US058498AP16</t>
  </si>
  <si>
    <t>09664PAA0</t>
  </si>
  <si>
    <t>BOART LONGYEAR MANAGEMANT 144</t>
  </si>
  <si>
    <t>US09664PAA03</t>
  </si>
  <si>
    <t>05949CKM7</t>
  </si>
  <si>
    <t>BOAMS 2005-J 1A1</t>
  </si>
  <si>
    <t>Caa3</t>
  </si>
  <si>
    <t>MORTGAGE BACKED</t>
  </si>
  <si>
    <t>NON AGENCY</t>
  </si>
  <si>
    <t>US05949CKM72</t>
  </si>
  <si>
    <t>097395AH0</t>
  </si>
  <si>
    <t>BOISE CASCADE LLC REG</t>
  </si>
  <si>
    <t>US097395AH00</t>
  </si>
  <si>
    <t>085789AE5</t>
  </si>
  <si>
    <t>BERRY PETROLEUM CO REG</t>
  </si>
  <si>
    <t>US085789AE51</t>
  </si>
  <si>
    <t>704549AG9</t>
  </si>
  <si>
    <t>PEABODY ENERGY CORP CONV BND</t>
  </si>
  <si>
    <t>US704549AG98</t>
  </si>
  <si>
    <t>704549AE4</t>
  </si>
  <si>
    <t>PEABODY ENERGY CORP</t>
  </si>
  <si>
    <t>US704549AE41</t>
  </si>
  <si>
    <t>09747FAC9</t>
  </si>
  <si>
    <t>BOISE PAPER HOLDING REG</t>
  </si>
  <si>
    <t>US09747FAC95</t>
  </si>
  <si>
    <t>07556QAQ8</t>
  </si>
  <si>
    <t>BEAZER HOMES USA</t>
  </si>
  <si>
    <t>CCC</t>
  </si>
  <si>
    <t>US07556QAQ82</t>
  </si>
  <si>
    <t>CITIGROUP INC</t>
  </si>
  <si>
    <t>US1729674242</t>
  </si>
  <si>
    <t>XS0131632274</t>
  </si>
  <si>
    <t>EGG BANKING PLC</t>
  </si>
  <si>
    <t>CITIGROUP INC 7.50</t>
  </si>
  <si>
    <t>US1729674168</t>
  </si>
  <si>
    <t>XS0167817898</t>
  </si>
  <si>
    <t>DD9CAES18</t>
  </si>
  <si>
    <t>CAESARS ENTERTAINMENT OPERATI</t>
  </si>
  <si>
    <t>Gaming</t>
  </si>
  <si>
    <t>C000BF039TB01</t>
  </si>
  <si>
    <t>210795PL8</t>
  </si>
  <si>
    <t>CONTINENTAL AIRLINES INC</t>
  </si>
  <si>
    <t>US210795PL85</t>
  </si>
  <si>
    <t>210795PN4</t>
  </si>
  <si>
    <t>US210795PN42</t>
  </si>
  <si>
    <t>210805DT1</t>
  </si>
  <si>
    <t>CONTINENTAL AIRLINES</t>
  </si>
  <si>
    <t>US210805DT14</t>
  </si>
  <si>
    <t>053773AN7</t>
  </si>
  <si>
    <t>AVIS BUDGET CAR RENTAL</t>
  </si>
  <si>
    <t>Support-Services</t>
  </si>
  <si>
    <t>US053773AN72</t>
  </si>
  <si>
    <t>053773AL1</t>
  </si>
  <si>
    <t>AVIS BUDGET CAR RENTAL REG</t>
  </si>
  <si>
    <t>US053773AL17</t>
  </si>
  <si>
    <t>14453MAE4</t>
  </si>
  <si>
    <t>CARR 2006-NC4 A5</t>
  </si>
  <si>
    <t>ABS HOME EQUITY LOAN</t>
  </si>
  <si>
    <t>US14453MAE49</t>
  </si>
  <si>
    <t>CROWN CASTLE 6.250%</t>
  </si>
  <si>
    <t>US2282274016</t>
  </si>
  <si>
    <t>228227BA1</t>
  </si>
  <si>
    <t>CROWN CASTLE INTERNATIONAL CO</t>
  </si>
  <si>
    <t>US228227BA19</t>
  </si>
  <si>
    <t>22818VAA5</t>
  </si>
  <si>
    <t>CROWN AMERICAS CAPITAL CORP I</t>
  </si>
  <si>
    <t>US22818VAA52</t>
  </si>
  <si>
    <t>184502BG6</t>
  </si>
  <si>
    <t>CLEAR CHANNEL COMMUNICATIONS</t>
  </si>
  <si>
    <t>Media-Broadcast</t>
  </si>
  <si>
    <t>US184502BG63</t>
  </si>
  <si>
    <t>DD9CCMO16</t>
  </si>
  <si>
    <t>CLEAR CHANNEL COMM DELAY DRAW</t>
  </si>
  <si>
    <t>00CCUA075DD02</t>
  </si>
  <si>
    <t>FOREIGN</t>
  </si>
  <si>
    <t>15672WAA2</t>
  </si>
  <si>
    <t>CEQUEL OM HLDG I/CAP</t>
  </si>
  <si>
    <t>Media-Cable</t>
  </si>
  <si>
    <t>US15672WAA27</t>
  </si>
  <si>
    <t>153443AH9</t>
  </si>
  <si>
    <t>CENTRAL EURO MEDIA ENTER CONV</t>
  </si>
  <si>
    <t>US153443AH94</t>
  </si>
  <si>
    <t>204384AA9</t>
  </si>
  <si>
    <t>CGG VERITAS 144A</t>
  </si>
  <si>
    <t>US204384AA93</t>
  </si>
  <si>
    <t>204386AM8</t>
  </si>
  <si>
    <t>CIE GEN GEOPHYSIQUE REG</t>
  </si>
  <si>
    <t>US204386AM89</t>
  </si>
  <si>
    <t>DD9CHTR16</t>
  </si>
  <si>
    <t>CHARTER COMMUNICATIONS TERM C</t>
  </si>
  <si>
    <t>C000JM034TC01</t>
  </si>
  <si>
    <t>CHESAPEAKE ENERGY CORP 144A 5</t>
  </si>
  <si>
    <t>US1651677841</t>
  </si>
  <si>
    <t>165167CF2</t>
  </si>
  <si>
    <t>CHESAPEAKE ENERGY CORP REG</t>
  </si>
  <si>
    <t>US165167CF27</t>
  </si>
  <si>
    <t>DD99CHSET</t>
  </si>
  <si>
    <t>COMMUNITY HEALTH SYSTEMS EXT</t>
  </si>
  <si>
    <t>Health Facilities</t>
  </si>
  <si>
    <t>0CHSIO0C1TB01</t>
  </si>
  <si>
    <t>1248EPAS2</t>
  </si>
  <si>
    <t>CHARTER COMM HOLDING</t>
  </si>
  <si>
    <t>US1248EPAS29</t>
  </si>
  <si>
    <t>166754AH4</t>
  </si>
  <si>
    <t>CHEVRON PHILLIPS CHEMICAL 144</t>
  </si>
  <si>
    <t>US166754AH40</t>
  </si>
  <si>
    <t>171779AF8</t>
  </si>
  <si>
    <t>CIENA CORP CONV BOND 144A</t>
  </si>
  <si>
    <t>US171779AF84</t>
  </si>
  <si>
    <t>CIT GROUP</t>
  </si>
  <si>
    <t>US1255818015</t>
  </si>
  <si>
    <t>125581FV5</t>
  </si>
  <si>
    <t>CIT GROUP INC</t>
  </si>
  <si>
    <t>US125581FV59</t>
  </si>
  <si>
    <t>125581FW3</t>
  </si>
  <si>
    <t>US125581FW33</t>
  </si>
  <si>
    <t>125581FX1</t>
  </si>
  <si>
    <t>US125581FX16</t>
  </si>
  <si>
    <t>125581FZ6</t>
  </si>
  <si>
    <t>CIT GROUP INC 144A</t>
  </si>
  <si>
    <t>US125581FZ63</t>
  </si>
  <si>
    <t>125581GA0</t>
  </si>
  <si>
    <t>US125581GA04</t>
  </si>
  <si>
    <t>21868FAB9</t>
  </si>
  <si>
    <t>CORE LABS CONV BND</t>
  </si>
  <si>
    <t>US21868FAB94</t>
  </si>
  <si>
    <t>18911MAC5</t>
  </si>
  <si>
    <t>CLOUD PEAK ENERGY RESOURCES R</t>
  </si>
  <si>
    <t>US18911MAC55</t>
  </si>
  <si>
    <t>DD99CCUTL</t>
  </si>
  <si>
    <t>CLEAR CHANNEL COMMUNICATION T</t>
  </si>
  <si>
    <t>00CCUA074TB01</t>
  </si>
  <si>
    <t>17312TAH6</t>
  </si>
  <si>
    <t>CMLTI 2007-AHL2 A3A</t>
  </si>
  <si>
    <t>US17312TAH68</t>
  </si>
  <si>
    <t>14743RAB9</t>
  </si>
  <si>
    <t>CNH AMERICA LLC</t>
  </si>
  <si>
    <t>Machinery</t>
  </si>
  <si>
    <t>US14743RAB96</t>
  </si>
  <si>
    <t>14042BAA4</t>
  </si>
  <si>
    <t>CAPITAL ONE CAPITAL III</t>
  </si>
  <si>
    <t>US14042BAA44</t>
  </si>
  <si>
    <t>195325BL8</t>
  </si>
  <si>
    <t>REPUBLIC OF COLOMBIA 7.37500</t>
  </si>
  <si>
    <t>DD99CYHTL</t>
  </si>
  <si>
    <t>COMMUNITY HEALTH SYST TRM LOA</t>
  </si>
  <si>
    <t>0CHSIO031TB01</t>
  </si>
  <si>
    <t>224044BT3</t>
  </si>
  <si>
    <t>COX COMMUNICATIONS INC 144A</t>
  </si>
  <si>
    <t>US224044BT34</t>
  </si>
  <si>
    <t>DD99CPN18</t>
  </si>
  <si>
    <t>CALPINE CORPORATION TERM LOAN</t>
  </si>
  <si>
    <t>Electric-Generation</t>
  </si>
  <si>
    <t>00CPNN0C4TB01</t>
  </si>
  <si>
    <t>17309NAC5</t>
  </si>
  <si>
    <t>CRMSI 2006-1 A3</t>
  </si>
  <si>
    <t>A2</t>
  </si>
  <si>
    <t>US17309NAC56</t>
  </si>
  <si>
    <t>203372AH0</t>
  </si>
  <si>
    <t>COMMSCOPE INC 144A</t>
  </si>
  <si>
    <t>US203372AH01</t>
  </si>
  <si>
    <t>22282EAC6</t>
  </si>
  <si>
    <t>COVANTA HOLDINGS CORP REG</t>
  </si>
  <si>
    <t>US22282EAC66</t>
  </si>
  <si>
    <t>202608AK1</t>
  </si>
  <si>
    <t>COMMERCIAL VEHICLE GROUP 144A</t>
  </si>
  <si>
    <t>US202608AK12</t>
  </si>
  <si>
    <t>126650BU3</t>
  </si>
  <si>
    <t>CVS CAREMARK CORP REG</t>
  </si>
  <si>
    <t>Food &amp; Drug Retailers</t>
  </si>
  <si>
    <t>US126650BU33</t>
  </si>
  <si>
    <t>126650AQ3</t>
  </si>
  <si>
    <t>CVS CORP 144A</t>
  </si>
  <si>
    <t>US126650AQ30</t>
  </si>
  <si>
    <t>20605PAC5</t>
  </si>
  <si>
    <t>CONCHO RESOURCES INC</t>
  </si>
  <si>
    <t>US20605PAC59</t>
  </si>
  <si>
    <t>20605PAB7</t>
  </si>
  <si>
    <t>US20605PAB76</t>
  </si>
  <si>
    <t>247361ZE1</t>
  </si>
  <si>
    <t>DELTA AIR LINES INC  144A</t>
  </si>
  <si>
    <t>US247361ZE13</t>
  </si>
  <si>
    <t>24736WAA8</t>
  </si>
  <si>
    <t>DELTA AIR LINES INC</t>
  </si>
  <si>
    <t>US24736WAA80</t>
  </si>
  <si>
    <t>24736VAA0</t>
  </si>
  <si>
    <t>DELTA AIR LINES REG</t>
  </si>
  <si>
    <t>US24736VAA08</t>
  </si>
  <si>
    <t>247817AA7</t>
  </si>
  <si>
    <t>DELTA AIR LINES 2010 B 1-B</t>
  </si>
  <si>
    <t>US247817AA73</t>
  </si>
  <si>
    <t>251510HN6</t>
  </si>
  <si>
    <t>DBALT 2005-5 1A3</t>
  </si>
  <si>
    <t>US251510HN65</t>
  </si>
  <si>
    <t>264147AB5</t>
  </si>
  <si>
    <t>DUCOMMUN INC 144A</t>
  </si>
  <si>
    <t>US264147AB52</t>
  </si>
  <si>
    <t>25466AAB7</t>
  </si>
  <si>
    <t>DISCOVER BANK</t>
  </si>
  <si>
    <t>US25466AAB70</t>
  </si>
  <si>
    <t>235851AF9</t>
  </si>
  <si>
    <t>DANAHER CORP CNV BND REG</t>
  </si>
  <si>
    <t>US235851AF96</t>
  </si>
  <si>
    <t>25470XAE5</t>
  </si>
  <si>
    <t>DISH DBS CORPORATION</t>
  </si>
  <si>
    <t>US25470XAE58</t>
  </si>
  <si>
    <t>27876GBE7</t>
  </si>
  <si>
    <t>ECHOSTAR DBS CORP</t>
  </si>
  <si>
    <t>US27876GBE70</t>
  </si>
  <si>
    <t>DD99DLM18</t>
  </si>
  <si>
    <t>DEL MONTE INITIAL TERM LOAN</t>
  </si>
  <si>
    <t>00DLMN0B5TB01</t>
  </si>
  <si>
    <t>247916AC3</t>
  </si>
  <si>
    <t>DENBURY RESOURCES REG</t>
  </si>
  <si>
    <t>US247916AC30</t>
  </si>
  <si>
    <t>260543BX0</t>
  </si>
  <si>
    <t>THE DOW CHEMICAL COMPANY</t>
  </si>
  <si>
    <t>US260543BX04</t>
  </si>
  <si>
    <t>261608AC7</t>
  </si>
  <si>
    <t>DRESSER-RAND GROUP 144A</t>
  </si>
  <si>
    <t>US261608AC75</t>
  </si>
  <si>
    <t>25459HAW5</t>
  </si>
  <si>
    <t>DIRECTV HOLDINGS FING</t>
  </si>
  <si>
    <t>US25459HAW51</t>
  </si>
  <si>
    <t>DD99EDWTL</t>
  </si>
  <si>
    <t>EDWARDS LIMITED NEW TERM LOAN</t>
  </si>
  <si>
    <t>B0009E028TB01</t>
  </si>
  <si>
    <t>15234QAJ7</t>
  </si>
  <si>
    <t>CENTRAIS ELETRICAS BRASILEIRA</t>
  </si>
  <si>
    <t>US15234QAJ76</t>
  </si>
  <si>
    <t>CALLAWAY GOLF CO CONV PFD REG</t>
  </si>
  <si>
    <t>US1311932032</t>
  </si>
  <si>
    <t>268648AM4</t>
  </si>
  <si>
    <t>EMC CORP CONV BOND REG</t>
  </si>
  <si>
    <t>Electronics</t>
  </si>
  <si>
    <t>US268648AM47</t>
  </si>
  <si>
    <t>26874RAA6</t>
  </si>
  <si>
    <t>ENI SPA 144A</t>
  </si>
  <si>
    <t>US26874RAA68</t>
  </si>
  <si>
    <t>29445UAA3</t>
  </si>
  <si>
    <t>EQLS 2007-1 A2A</t>
  </si>
  <si>
    <t>US29445UAA34</t>
  </si>
  <si>
    <t>292757AB7</t>
  </si>
  <si>
    <t>ENERGY SOLUTIONS INC REG</t>
  </si>
  <si>
    <t>Environmental</t>
  </si>
  <si>
    <t>US292757AB70</t>
  </si>
  <si>
    <t>29273RAN9</t>
  </si>
  <si>
    <t>ENERGY TRANSFER PARTNER</t>
  </si>
  <si>
    <t>US29273RAN98</t>
  </si>
  <si>
    <t>345370CN8</t>
  </si>
  <si>
    <t>FORD MOTOR COMPANY CONV BND R</t>
  </si>
  <si>
    <t>Automakers</t>
  </si>
  <si>
    <t>US345370CN85</t>
  </si>
  <si>
    <t>345370BY5</t>
  </si>
  <si>
    <t>FORD MOTOR REG</t>
  </si>
  <si>
    <t>US345370BY59</t>
  </si>
  <si>
    <t>345277AE7</t>
  </si>
  <si>
    <t>FORD HOLDINGS INC</t>
  </si>
  <si>
    <t>US345277AE74</t>
  </si>
  <si>
    <t>309588AE1</t>
  </si>
  <si>
    <t>FARMERS EXCHANGE CAPITAL 144A</t>
  </si>
  <si>
    <t>US309588AE17</t>
  </si>
  <si>
    <t>35671DAS4</t>
  </si>
  <si>
    <t>FREEPORT MCMORAN SENIOR NOTE</t>
  </si>
  <si>
    <t>US35671DAS45</t>
  </si>
  <si>
    <t>DD9FDMLTB</t>
  </si>
  <si>
    <t>FEDERAL MOGUL CORP TERM LOAN</t>
  </si>
  <si>
    <t>00FMON0F3DD01</t>
  </si>
  <si>
    <t>DD9FDMLTC</t>
  </si>
  <si>
    <t>00FMON0F8TC01</t>
  </si>
  <si>
    <t>315292AJ1</t>
  </si>
  <si>
    <t>FERRELLGAS L.P. REG</t>
  </si>
  <si>
    <t>US315292AJ16</t>
  </si>
  <si>
    <t>31620MAB2</t>
  </si>
  <si>
    <t>FIDELITY NATIONAL INFORMATION</t>
  </si>
  <si>
    <t>Software/Services</t>
  </si>
  <si>
    <t>US31620MAB28</t>
  </si>
  <si>
    <t>12545DAA6</t>
  </si>
  <si>
    <t>CHC HELICOPTER 144A</t>
  </si>
  <si>
    <t>US12545DAA63</t>
  </si>
  <si>
    <t>345397VC4</t>
  </si>
  <si>
    <t>FORD MOTOR CREDIT CO LLC</t>
  </si>
  <si>
    <t>Auto Loans</t>
  </si>
  <si>
    <t>US345397VC43</t>
  </si>
  <si>
    <t>35802XAA1</t>
  </si>
  <si>
    <t>FRESENIUS MEDICAL CARE 144A</t>
  </si>
  <si>
    <t>US35802XAA19</t>
  </si>
  <si>
    <t>32115BAA8</t>
  </si>
  <si>
    <t>FNLC 2007-1 A1 144A</t>
  </si>
  <si>
    <t>Caa2</t>
  </si>
  <si>
    <t>US32115BAA89</t>
  </si>
  <si>
    <t>35687MAT4</t>
  </si>
  <si>
    <t>FREESCALE SEMICONDUCTOR 144A</t>
  </si>
  <si>
    <t>US35687MAT45</t>
  </si>
  <si>
    <t>35906AAH1</t>
  </si>
  <si>
    <t>FRONTIER COMMUNICATIONS</t>
  </si>
  <si>
    <t>US35906AAH14</t>
  </si>
  <si>
    <t>DD9FVZ112</t>
  </si>
  <si>
    <t>FVZI 5YR FUTURE 01/05/12</t>
  </si>
  <si>
    <t>DD9FVZ1OS</t>
  </si>
  <si>
    <t>FVZI 5YR FUTURE 01/05/12 OFFS</t>
  </si>
  <si>
    <t>XS0319640834</t>
  </si>
  <si>
    <t>GENERAL ELEC CORP</t>
  </si>
  <si>
    <t>XS0491212451</t>
  </si>
  <si>
    <t>GE CAPITAL TRUST IV REG S</t>
  </si>
  <si>
    <t>36159RAE3</t>
  </si>
  <si>
    <t>GEO GROUP INC/THE REG</t>
  </si>
  <si>
    <t>US36159RAE36</t>
  </si>
  <si>
    <t>21986VAA3</t>
  </si>
  <si>
    <t>CORPOACION GEO 144A</t>
  </si>
  <si>
    <t>US21986VAA35</t>
  </si>
  <si>
    <t>375558AN3</t>
  </si>
  <si>
    <t>GILEAD SCIENCES INC CONV BOND</t>
  </si>
  <si>
    <t>US375558AN39</t>
  </si>
  <si>
    <t>37045V100</t>
  </si>
  <si>
    <t>GENERAL MOTORS CO</t>
  </si>
  <si>
    <t>US37045V1008</t>
  </si>
  <si>
    <t>37045V209</t>
  </si>
  <si>
    <t>US37045V2097</t>
  </si>
  <si>
    <t>370ESCBT1</t>
  </si>
  <si>
    <t>GENERAL MOTORS ESCROW</t>
  </si>
  <si>
    <t>US370ESCBT10</t>
  </si>
  <si>
    <t>37045V118</t>
  </si>
  <si>
    <t>GENERAL MOTORS WARRANTS</t>
  </si>
  <si>
    <t>US37045V1180</t>
  </si>
  <si>
    <t>37045V126</t>
  </si>
  <si>
    <t>US37045V1263</t>
  </si>
  <si>
    <t>36298YAA8</t>
  </si>
  <si>
    <t>GSAA 2006-14 A1</t>
  </si>
  <si>
    <t>Ca</t>
  </si>
  <si>
    <t>US36298YAA82</t>
  </si>
  <si>
    <t>GOODYEAR TIRE &amp; RUBBER</t>
  </si>
  <si>
    <t>US3825503093</t>
  </si>
  <si>
    <t>391164AE0</t>
  </si>
  <si>
    <t>GREAT PLAINS ENERGY INC</t>
  </si>
  <si>
    <t>US391164AE09</t>
  </si>
  <si>
    <t>40430TAA0</t>
  </si>
  <si>
    <t>HASC 2007-NC1 A1</t>
  </si>
  <si>
    <t>US40430TAA07</t>
  </si>
  <si>
    <t>D9HAWLC14</t>
  </si>
  <si>
    <t>HAWKER BEECHCRAFT LETTER OF C</t>
  </si>
  <si>
    <t>H0006L017LC01</t>
  </si>
  <si>
    <t>D9HAWTL14</t>
  </si>
  <si>
    <t>HAWKER BEECHCRAFT TERM LOAN</t>
  </si>
  <si>
    <t>H0006L011TB01</t>
  </si>
  <si>
    <t>404119AR0</t>
  </si>
  <si>
    <t>HCA INC</t>
  </si>
  <si>
    <t>US404119AR01</t>
  </si>
  <si>
    <t>43710XAB4</t>
  </si>
  <si>
    <t>HELT 2007-FRE1 2AV1</t>
  </si>
  <si>
    <t>US43710XAB47</t>
  </si>
  <si>
    <t>413627BM1</t>
  </si>
  <si>
    <t>HARRAHS OPERATING CO INC REG</t>
  </si>
  <si>
    <t>US413627BM19</t>
  </si>
  <si>
    <t>35914PAK1</t>
  </si>
  <si>
    <t>FRONTIER OIL CORP</t>
  </si>
  <si>
    <t>Oil Refining &amp; Marketing</t>
  </si>
  <si>
    <t>US35914PAK12</t>
  </si>
  <si>
    <t>416515AP9</t>
  </si>
  <si>
    <t>HARTFORD FINL SVCS GRP</t>
  </si>
  <si>
    <t>US416515AP98</t>
  </si>
  <si>
    <t>HARTFORD FINL SVCS GROUP CV P</t>
  </si>
  <si>
    <t>US4165157086</t>
  </si>
  <si>
    <t>431318AJ3</t>
  </si>
  <si>
    <t>HILCORP ENERGY I/HILCORP 144A</t>
  </si>
  <si>
    <t>US431318AJ37</t>
  </si>
  <si>
    <t>431318AL8</t>
  </si>
  <si>
    <t>HILCORP ENERGY LP 144A</t>
  </si>
  <si>
    <t>US431318AL82</t>
  </si>
  <si>
    <t>42330PAA5</t>
  </si>
  <si>
    <t>HELIX ENERGY SOLUTIONS GROUP</t>
  </si>
  <si>
    <t>US42330PAA57</t>
  </si>
  <si>
    <t>67000XAM8</t>
  </si>
  <si>
    <t>NOVELIS INC REG</t>
  </si>
  <si>
    <t>US67000XAM83</t>
  </si>
  <si>
    <t>DD99HND17</t>
  </si>
  <si>
    <t>N0004Z041T101</t>
  </si>
  <si>
    <t>67000XAL0</t>
  </si>
  <si>
    <t>US67000XAL01</t>
  </si>
  <si>
    <t>41283DAB9</t>
  </si>
  <si>
    <t>HARLEY DAVIDSON FND 144A</t>
  </si>
  <si>
    <t>US41283DAB91</t>
  </si>
  <si>
    <t>43474TAA1</t>
  </si>
  <si>
    <t>HOLCIM US FINANCE 144A</t>
  </si>
  <si>
    <t>Building Materials</t>
  </si>
  <si>
    <t>US43474TAA16</t>
  </si>
  <si>
    <t>440543AB2</t>
  </si>
  <si>
    <t>HORNBECK OFFSHORE SERVICES RE</t>
  </si>
  <si>
    <t>US440543AB25</t>
  </si>
  <si>
    <t>440543AH9</t>
  </si>
  <si>
    <t>HORNBECK OFFSHORE SRVCS REG</t>
  </si>
  <si>
    <t>US440543AH94</t>
  </si>
  <si>
    <t>85590AAN4</t>
  </si>
  <si>
    <t>STARWOODS HOTELS &amp; RESORTS RE</t>
  </si>
  <si>
    <t>Hotels</t>
  </si>
  <si>
    <t>US85590AAN46</t>
  </si>
  <si>
    <t>442488BH4</t>
  </si>
  <si>
    <t>K HOVNANIAN ENTERPRISES REG</t>
  </si>
  <si>
    <t>US442488BH47</t>
  </si>
  <si>
    <t>41135QAA2</t>
  </si>
  <si>
    <t>HAPAG-LLOYD 144A</t>
  </si>
  <si>
    <t>US41135QAA22</t>
  </si>
  <si>
    <t>40430LAA7</t>
  </si>
  <si>
    <t>HSBC FIN CAP TRUST</t>
  </si>
  <si>
    <t>US40430LAA70</t>
  </si>
  <si>
    <t>DE000HSH2H15</t>
  </si>
  <si>
    <t>HSN NORDBANK AG</t>
  </si>
  <si>
    <t>44107TAL0</t>
  </si>
  <si>
    <t>HOST HOTELS &amp; RESORTS REIT 14</t>
  </si>
  <si>
    <t>US44107TAL08</t>
  </si>
  <si>
    <t>428040CG2</t>
  </si>
  <si>
    <t>HERTZ CORP REG</t>
  </si>
  <si>
    <t>US428040CG21</t>
  </si>
  <si>
    <t>DD9HTZL18</t>
  </si>
  <si>
    <t>HERTZ CORP CREDIT LINKED DEPO</t>
  </si>
  <si>
    <t>H0001M044LC01</t>
  </si>
  <si>
    <t>DD9HTZB18</t>
  </si>
  <si>
    <t>HERTZ CORP TERM LOAN B</t>
  </si>
  <si>
    <t>H0001M048TB01</t>
  </si>
  <si>
    <t>44701QAV4</t>
  </si>
  <si>
    <t>HUNTSMAN INTERNATIONAL REG</t>
  </si>
  <si>
    <t>US44701QAV41</t>
  </si>
  <si>
    <t>44701QAX0</t>
  </si>
  <si>
    <t>HUNTSMAN INTL REG</t>
  </si>
  <si>
    <t>US44701QAX07</t>
  </si>
  <si>
    <t>428303AJ0</t>
  </si>
  <si>
    <t>HEXION FINANCE ESCROW LLC REG</t>
  </si>
  <si>
    <t>US428303AJ06</t>
  </si>
  <si>
    <t>451102AD9</t>
  </si>
  <si>
    <t>ICAHN ENTERPRISES/FIN REG</t>
  </si>
  <si>
    <t>Investments &amp; Misc Financial Services</t>
  </si>
  <si>
    <t>US451102AD98</t>
  </si>
  <si>
    <t>458665AR7</t>
  </si>
  <si>
    <t>INTERFACE INC REG</t>
  </si>
  <si>
    <t>US458665AR70</t>
  </si>
  <si>
    <t>459902AQ5</t>
  </si>
  <si>
    <t>INTL GAME TECHNOLOGY REG CONV</t>
  </si>
  <si>
    <t>US459902AQ56</t>
  </si>
  <si>
    <t>XS0171797219</t>
  </si>
  <si>
    <t>IKB DEUTSCHE BANK</t>
  </si>
  <si>
    <t>455780BD7</t>
  </si>
  <si>
    <t>US455780BD71</t>
  </si>
  <si>
    <t>DD9INTE17</t>
  </si>
  <si>
    <t>INTELSAT JACKSON HOLDINGS TER</t>
  </si>
  <si>
    <t>I0006G029TB01</t>
  </si>
  <si>
    <t>458204AH7</t>
  </si>
  <si>
    <t>INTELSAT LUXEMBOURG SA</t>
  </si>
  <si>
    <t>US458204AH70</t>
  </si>
  <si>
    <t>45867XAE4</t>
  </si>
  <si>
    <t>INTERGEN N.V. 144A</t>
  </si>
  <si>
    <t>US45867XAE40</t>
  </si>
  <si>
    <t>456837AC7</t>
  </si>
  <si>
    <t>ING GROEP NV</t>
  </si>
  <si>
    <t>US456837AC74</t>
  </si>
  <si>
    <t>D99IONWTS</t>
  </si>
  <si>
    <t>ION MEDIA (PAXSON) 2ND LIEN W</t>
  </si>
  <si>
    <t>DD99IONWT</t>
  </si>
  <si>
    <t>ION MEDIA UNSEC DEBT WARRANTS</t>
  </si>
  <si>
    <t>460146CF8</t>
  </si>
  <si>
    <t>INTL PAPER CO</t>
  </si>
  <si>
    <t>US460146CF85</t>
  </si>
  <si>
    <t>748ESCAA8</t>
  </si>
  <si>
    <t>QUEBECOR WORLD LITIGATION TRS</t>
  </si>
  <si>
    <t>Printing &amp; Publishing</t>
  </si>
  <si>
    <t>748ESCAZ3</t>
  </si>
  <si>
    <t>QUEBECOR WORLD LITIGATION TRU</t>
  </si>
  <si>
    <t>Media-Diversified</t>
  </si>
  <si>
    <t>45687AAD4</t>
  </si>
  <si>
    <t>INGERSOLL-RAND CONV BND</t>
  </si>
  <si>
    <t>US45687AAD46</t>
  </si>
  <si>
    <t>46284PAN4</t>
  </si>
  <si>
    <t>IRON MOUNTAIN INC</t>
  </si>
  <si>
    <t>US46284PAN42</t>
  </si>
  <si>
    <t>46284PAM6</t>
  </si>
  <si>
    <t>US46284PAM68</t>
  </si>
  <si>
    <t>464592AG9</t>
  </si>
  <si>
    <t>ISLE OF CAPRI</t>
  </si>
  <si>
    <t>US464592AG95</t>
  </si>
  <si>
    <t>471109AD0</t>
  </si>
  <si>
    <t>JARDEN CORP REG</t>
  </si>
  <si>
    <t>US471109AD08</t>
  </si>
  <si>
    <t>471109AB4</t>
  </si>
  <si>
    <t>JARDEN CORPORATION</t>
  </si>
  <si>
    <t>US471109AB42</t>
  </si>
  <si>
    <t>46625HHA1</t>
  </si>
  <si>
    <t>JP MORGAN &amp; CHASE</t>
  </si>
  <si>
    <t>US46625HHA14</t>
  </si>
  <si>
    <t>46630KAA4</t>
  </si>
  <si>
    <t>JPMAC 2007-HE1 AF1</t>
  </si>
  <si>
    <t>US46630KAA43</t>
  </si>
  <si>
    <t>50075NAS3</t>
  </si>
  <si>
    <t>KRAFT FOODS INC</t>
  </si>
  <si>
    <t>US50075NAS36</t>
  </si>
  <si>
    <t>493268AW6</t>
  </si>
  <si>
    <t>KSLT 2000-A A2</t>
  </si>
  <si>
    <t>US493268AW63</t>
  </si>
  <si>
    <t>513075AS0</t>
  </si>
  <si>
    <t>LAMAR MEDIA CORP 6.625</t>
  </si>
  <si>
    <t>US513075AS00</t>
  </si>
  <si>
    <t>513075AM3</t>
  </si>
  <si>
    <t>LAMAR MEDIA CORP REG</t>
  </si>
  <si>
    <t>US513075AM30</t>
  </si>
  <si>
    <t>52989LAE9</t>
  </si>
  <si>
    <t>LIBBEY GLASS INC REG</t>
  </si>
  <si>
    <t>US52989LAE92</t>
  </si>
  <si>
    <t>521863AL4</t>
  </si>
  <si>
    <t>LEAP WIRELESS INTL INC CONV B</t>
  </si>
  <si>
    <t>US521863AL48</t>
  </si>
  <si>
    <t>526057BD5</t>
  </si>
  <si>
    <t>LENNAR CORP</t>
  </si>
  <si>
    <t>US526057BD59</t>
  </si>
  <si>
    <t>52736RBB7</t>
  </si>
  <si>
    <t>LEVI STRAUSS &amp; CO REG</t>
  </si>
  <si>
    <t>Apparel/Textiles</t>
  </si>
  <si>
    <t>US52736RBB78</t>
  </si>
  <si>
    <t>53079EAN4</t>
  </si>
  <si>
    <t>LIBERTY MUTUAL GROUP 144A</t>
  </si>
  <si>
    <t>US53079EAN40</t>
  </si>
  <si>
    <t>53079EAR5</t>
  </si>
  <si>
    <t>LIBERTY MUTUAL 144A</t>
  </si>
  <si>
    <t>US53079EAR53</t>
  </si>
  <si>
    <t>53217V109</t>
  </si>
  <si>
    <t>LIFE TECHNOLOGIES CORP</t>
  </si>
  <si>
    <t>US53217V1098</t>
  </si>
  <si>
    <t>46185RAK6</t>
  </si>
  <si>
    <t>INVITROGEN CORP CNV BND</t>
  </si>
  <si>
    <t>US46185RAK68</t>
  </si>
  <si>
    <t>53217VAE9</t>
  </si>
  <si>
    <t>US53217VAE92</t>
  </si>
  <si>
    <t>536022AG1</t>
  </si>
  <si>
    <t>LINN ENERGY LLC 144A</t>
  </si>
  <si>
    <t>US536022AG17</t>
  </si>
  <si>
    <t>536022AF3</t>
  </si>
  <si>
    <t>LINN ENERGY LLC REG</t>
  </si>
  <si>
    <t>US536022AF34</t>
  </si>
  <si>
    <t>534187AS8</t>
  </si>
  <si>
    <t>LINCOLN NATIONAL CORP</t>
  </si>
  <si>
    <t>Life Insurance</t>
  </si>
  <si>
    <t>US534187AS84</t>
  </si>
  <si>
    <t>576449AA0</t>
  </si>
  <si>
    <t>MABS 2006-HE4 A1</t>
  </si>
  <si>
    <t>US576449AA06</t>
  </si>
  <si>
    <t>574599BG0</t>
  </si>
  <si>
    <t>MASCO CORP</t>
  </si>
  <si>
    <t>US574599BG02</t>
  </si>
  <si>
    <t>595017AB0</t>
  </si>
  <si>
    <t>MICROCHIP TECHNOLOGY CONV BON</t>
  </si>
  <si>
    <t>US595017AB07</t>
  </si>
  <si>
    <t>552676AP3</t>
  </si>
  <si>
    <t>MDC HOLDING INC</t>
  </si>
  <si>
    <t>US552676AP38</t>
  </si>
  <si>
    <t>552704AA6</t>
  </si>
  <si>
    <t>MEG ENERGY CORP 144A</t>
  </si>
  <si>
    <t>US552704AA64</t>
  </si>
  <si>
    <t>DD99MEG18</t>
  </si>
  <si>
    <t>MEG ENERGY INITIAL TERM LOAN</t>
  </si>
  <si>
    <t>M00099050TB01</t>
  </si>
  <si>
    <t>59156R116</t>
  </si>
  <si>
    <t>METLIFE CONV PFD</t>
  </si>
  <si>
    <t>US59156R1169</t>
  </si>
  <si>
    <t>DD99PCS18</t>
  </si>
  <si>
    <t>METROPCS COMMUNICATIONS INC T</t>
  </si>
  <si>
    <t>M0007X075TB01</t>
  </si>
  <si>
    <t>552953BC4</t>
  </si>
  <si>
    <t>MGM MIRAGE INC</t>
  </si>
  <si>
    <t>US552953BC44</t>
  </si>
  <si>
    <t>606860AA2</t>
  </si>
  <si>
    <t>MIZUHO CAP INV 2 USD LTD</t>
  </si>
  <si>
    <t>US606860AA27</t>
  </si>
  <si>
    <t>59024UAB7</t>
  </si>
  <si>
    <t>MLMI07-MLN1 A2A</t>
  </si>
  <si>
    <t>US59024UAB70</t>
  </si>
  <si>
    <t>60877UAW7</t>
  </si>
  <si>
    <t>MOMENTIVE PERFORMANCE REG</t>
  </si>
  <si>
    <t>US60877UAW71</t>
  </si>
  <si>
    <t>61750SAD4</t>
  </si>
  <si>
    <t>MSAC 2006-HE8 A2B</t>
  </si>
  <si>
    <t>US61750SAD45</t>
  </si>
  <si>
    <t>61750FAD2</t>
  </si>
  <si>
    <t>MSAC 2006-HE6 A2B</t>
  </si>
  <si>
    <t>US61750FAD24</t>
  </si>
  <si>
    <t>61753VAB8</t>
  </si>
  <si>
    <t>MSAC 2007-HE4 A2A</t>
  </si>
  <si>
    <t>US61753VAB80</t>
  </si>
  <si>
    <t>61753NAB6</t>
  </si>
  <si>
    <t>MSAC 2007-NC2 A2FP</t>
  </si>
  <si>
    <t>US61753NAB64</t>
  </si>
  <si>
    <t>594918AE4</t>
  </si>
  <si>
    <t>MICROSOFT CORP CONV BOND 144A</t>
  </si>
  <si>
    <t>US594918AE49</t>
  </si>
  <si>
    <t>59001AAK8</t>
  </si>
  <si>
    <t>MERITAGE HOMES CORP</t>
  </si>
  <si>
    <t>US59001AAK88</t>
  </si>
  <si>
    <t>03938LAK0</t>
  </si>
  <si>
    <t>ARCELORMITTAL CONV BND</t>
  </si>
  <si>
    <t>US03938LAK08</t>
  </si>
  <si>
    <t>043353AH4</t>
  </si>
  <si>
    <t>ARVINMERITOR CONV BND (STEP)</t>
  </si>
  <si>
    <t>US043353AH46</t>
  </si>
  <si>
    <t>624758AD0</t>
  </si>
  <si>
    <t>MUELLER WATER PRODUCTS REG</t>
  </si>
  <si>
    <t>US624758AD06</t>
  </si>
  <si>
    <t>570506AM7</t>
  </si>
  <si>
    <t>MARKWEST ENERGY PARTNERS LP</t>
  </si>
  <si>
    <t>US570506AM70</t>
  </si>
  <si>
    <t>583334AE7</t>
  </si>
  <si>
    <t>MEADWESTVACO CORP</t>
  </si>
  <si>
    <t>US583334AE71</t>
  </si>
  <si>
    <t>63934EAM0</t>
  </si>
  <si>
    <t>NAVISTAR INTL CORP</t>
  </si>
  <si>
    <t>US63934EAM03</t>
  </si>
  <si>
    <t>629568AV8</t>
  </si>
  <si>
    <t>NABORS INDUSTRIES INC REG</t>
  </si>
  <si>
    <t>US629568AV86</t>
  </si>
  <si>
    <t>87612BAF9</t>
  </si>
  <si>
    <t>TARGA RESOURCES PARTNERS REG</t>
  </si>
  <si>
    <t>US87612BAF94</t>
  </si>
  <si>
    <t>629855AQ0</t>
  </si>
  <si>
    <t>NALCO COMPANY 144A</t>
  </si>
  <si>
    <t>US629855AQ02</t>
  </si>
  <si>
    <t>65410B201</t>
  </si>
  <si>
    <t>NIELSEN HOLDINGS B.V</t>
  </si>
  <si>
    <t>US65410B2016</t>
  </si>
  <si>
    <t>629377BG6</t>
  </si>
  <si>
    <t>NRG ENERGY INC</t>
  </si>
  <si>
    <t>US629377BG69</t>
  </si>
  <si>
    <t>45661TAM3</t>
  </si>
  <si>
    <t>INERGY LP/INERGY FIN REG</t>
  </si>
  <si>
    <t>US45661TAM36</t>
  </si>
  <si>
    <t>XS0070077010</t>
  </si>
  <si>
    <t>NORTHERN ROCK ASSET MANA</t>
  </si>
  <si>
    <t>656533AC0</t>
  </si>
  <si>
    <t>NORSKE SKOGINDUSTRIER 144A</t>
  </si>
  <si>
    <t>US656533AC01</t>
  </si>
  <si>
    <t>64110DAB0</t>
  </si>
  <si>
    <t>NETAPP INC REG CONV BND</t>
  </si>
  <si>
    <t>Computer Hardware</t>
  </si>
  <si>
    <t>US64110DAB01</t>
  </si>
  <si>
    <t>NORTEK INC</t>
  </si>
  <si>
    <t>US6565593091</t>
  </si>
  <si>
    <t>670008AC5</t>
  </si>
  <si>
    <t>NOVELLUS SYSTEMS INC CONV BON</t>
  </si>
  <si>
    <t>US670008AC57</t>
  </si>
  <si>
    <t>667294BE1</t>
  </si>
  <si>
    <t>NORTHWEST AIRLINES</t>
  </si>
  <si>
    <t>US667294BE12</t>
  </si>
  <si>
    <t>64971SBG3</t>
  </si>
  <si>
    <t>NY NYC INDL DEV AGY-JFK APRT</t>
  </si>
  <si>
    <t>LOCAL-AUTHORITY</t>
  </si>
  <si>
    <t>Local-Authority</t>
  </si>
  <si>
    <t>US64971SBG30</t>
  </si>
  <si>
    <t>670849AA6</t>
  </si>
  <si>
    <t>OGX PETROLEO E GAS PARTICIPAT</t>
  </si>
  <si>
    <t>US670849AA60</t>
  </si>
  <si>
    <t>690768BF2</t>
  </si>
  <si>
    <t>OWENS ILLINOIS INC</t>
  </si>
  <si>
    <t>US690768BF28</t>
  </si>
  <si>
    <t>677879CE6</t>
  </si>
  <si>
    <t>OIL INSURANCE LTD 144A</t>
  </si>
  <si>
    <t>US677879CE62</t>
  </si>
  <si>
    <t>899661EG3</t>
  </si>
  <si>
    <t>OK TULSA MUN ARPT REV SER A</t>
  </si>
  <si>
    <t>US899661EG37</t>
  </si>
  <si>
    <t>682189AG0</t>
  </si>
  <si>
    <t>ON SEMICONDUCTOR CONV BOND RE</t>
  </si>
  <si>
    <t>US682189AG00</t>
  </si>
  <si>
    <t>690353NL7</t>
  </si>
  <si>
    <t>OVERSEAS PRIVATE INVESTMENT</t>
  </si>
  <si>
    <t>US690353NL76</t>
  </si>
  <si>
    <t>72650RAY8</t>
  </si>
  <si>
    <t>PLAINS ALL AMER PIPELINE</t>
  </si>
  <si>
    <t>US72650RAY80</t>
  </si>
  <si>
    <t>694606AA2</t>
  </si>
  <si>
    <t>PACIFIC LIFE INSURANCE 144A</t>
  </si>
  <si>
    <t>US694606AA22</t>
  </si>
  <si>
    <t>694475AA2</t>
  </si>
  <si>
    <t>PACIFIC LIFE INSURANCES C 144</t>
  </si>
  <si>
    <t>US694475AA20</t>
  </si>
  <si>
    <t>591709AK6</t>
  </si>
  <si>
    <t>METROPCS WIRELESS INC</t>
  </si>
  <si>
    <t>US591709AK65</t>
  </si>
  <si>
    <t>740212AD7</t>
  </si>
  <si>
    <t>PRECISION DRILLING CORP 144A</t>
  </si>
  <si>
    <t>US740212AD75</t>
  </si>
  <si>
    <t>740212AC9</t>
  </si>
  <si>
    <t>PRECISION DRILLING CORP REG</t>
  </si>
  <si>
    <t>US740212AC92</t>
  </si>
  <si>
    <t>743315AM5</t>
  </si>
  <si>
    <t>PROGRESSIVE CORP</t>
  </si>
  <si>
    <t>US743315AM58</t>
  </si>
  <si>
    <t>69336TAD8</t>
  </si>
  <si>
    <t>PHI INC REG</t>
  </si>
  <si>
    <t>US69336TAD81</t>
  </si>
  <si>
    <t>718286BF3</t>
  </si>
  <si>
    <t>693492AC4</t>
  </si>
  <si>
    <t>PINAFORE LLC/INC 144A</t>
  </si>
  <si>
    <t>US693492AC45</t>
  </si>
  <si>
    <t>693476BB8</t>
  </si>
  <si>
    <t>PNC FUNDING CORP</t>
  </si>
  <si>
    <t>US693476BB86</t>
  </si>
  <si>
    <t>723456AG4</t>
  </si>
  <si>
    <t>PINNACLE ENTERTAINMENT REG</t>
  </si>
  <si>
    <t>US723456AG40</t>
  </si>
  <si>
    <t>73179VAF0</t>
  </si>
  <si>
    <t>POLYPORE INTERNATIONAL INC RE</t>
  </si>
  <si>
    <t>US73179VAF04</t>
  </si>
  <si>
    <t>DD99PQC14</t>
  </si>
  <si>
    <t>PQ CORP 1ST LIEN SEC TL</t>
  </si>
  <si>
    <t>P00025037TB01</t>
  </si>
  <si>
    <t>750753AC9</t>
  </si>
  <si>
    <t>RAIL AMERICA INC REG</t>
  </si>
  <si>
    <t>US750753AC96</t>
  </si>
  <si>
    <t>75970QAD2</t>
  </si>
  <si>
    <t>RAMC 2007-2 AF1</t>
  </si>
  <si>
    <t>US75970QAD25</t>
  </si>
  <si>
    <t>78010XAK7</t>
  </si>
  <si>
    <t>ROYAL BANK OF SCOTLAND</t>
  </si>
  <si>
    <t>US78010XAK72</t>
  </si>
  <si>
    <t>780097AW1</t>
  </si>
  <si>
    <t>ROYAL BANK OF SCOTLAND REG</t>
  </si>
  <si>
    <t>US780097AW11</t>
  </si>
  <si>
    <t>XS0282330868</t>
  </si>
  <si>
    <t>ROYAL CARIBBEAN CRUISES REGS</t>
  </si>
  <si>
    <t>Leisure</t>
  </si>
  <si>
    <t>LIBERIA</t>
  </si>
  <si>
    <t>780153AJ1</t>
  </si>
  <si>
    <t>ROYAL CARIBBEAN CRUISES LTD R</t>
  </si>
  <si>
    <t>US780153AJ19</t>
  </si>
  <si>
    <t>DD9REALLC</t>
  </si>
  <si>
    <t>REALOGY EXTENDED LETTER OF CR</t>
  </si>
  <si>
    <t>REAL ESTATE</t>
  </si>
  <si>
    <t>RealEstate Dev &amp; Mgt</t>
  </si>
  <si>
    <t>R0006G033LC01</t>
  </si>
  <si>
    <t>DD9REALTB</t>
  </si>
  <si>
    <t>REALOGY EXTENDED TERM B</t>
  </si>
  <si>
    <t>R0006G037TB01</t>
  </si>
  <si>
    <t>XS0307868744</t>
  </si>
  <si>
    <t>REXAM PLC</t>
  </si>
  <si>
    <t>761733AA2</t>
  </si>
  <si>
    <t>REYNOLDS GROUP ESCROW 144A</t>
  </si>
  <si>
    <t>US761733AA25</t>
  </si>
  <si>
    <t>74959HAA6</t>
  </si>
  <si>
    <t>US74959HAA68</t>
  </si>
  <si>
    <t>74959HAB4</t>
  </si>
  <si>
    <t>REYNOLDS GROUP ESCROW</t>
  </si>
  <si>
    <t>US74959HAB42</t>
  </si>
  <si>
    <t>75886AAE8</t>
  </si>
  <si>
    <t>REGENCY ENERGY PARTNERS LP</t>
  </si>
  <si>
    <t>US75886AAE82</t>
  </si>
  <si>
    <t>893830AW9</t>
  </si>
  <si>
    <t>TRANSOCEAN INC TRANCH C CONV</t>
  </si>
  <si>
    <t>US893830AW97</t>
  </si>
  <si>
    <t>767201AH9</t>
  </si>
  <si>
    <t>RIO TINTO FIN USA LTD</t>
  </si>
  <si>
    <t>US767201AH93</t>
  </si>
  <si>
    <t>038521AD2</t>
  </si>
  <si>
    <t>ARAMARK CORP REG</t>
  </si>
  <si>
    <t>US038521AD21</t>
  </si>
  <si>
    <t>03852UAA4</t>
  </si>
  <si>
    <t>ARAMARK HOLDINGS CORP 144A</t>
  </si>
  <si>
    <t>US03852UAA43</t>
  </si>
  <si>
    <t>75281AAK5</t>
  </si>
  <si>
    <t>RANGE RESOURCES CORP</t>
  </si>
  <si>
    <t>US75281AAK51</t>
  </si>
  <si>
    <t>87089AAA6</t>
  </si>
  <si>
    <t>SWISS RE CAPITAL I LP 144A</t>
  </si>
  <si>
    <t>US87089AAA60</t>
  </si>
  <si>
    <t>JERSEY, C.I.</t>
  </si>
  <si>
    <t>65332VBJ1</t>
  </si>
  <si>
    <t>NEXTEL COMMUNICATIONS</t>
  </si>
  <si>
    <t>US65332VBJ17</t>
  </si>
  <si>
    <t>852060AG7</t>
  </si>
  <si>
    <t>SPRINT CAPITAL CORP</t>
  </si>
  <si>
    <t>US852060AG78</t>
  </si>
  <si>
    <t>852060AT9</t>
  </si>
  <si>
    <t>SPRINT CAPITAL CORP REG</t>
  </si>
  <si>
    <t>US852060AT99</t>
  </si>
  <si>
    <t>81378EAA1</t>
  </si>
  <si>
    <t>SABR 2007-BR4 A2A</t>
  </si>
  <si>
    <t>D</t>
  </si>
  <si>
    <t>US81378EAA10</t>
  </si>
  <si>
    <t>268520AC7</t>
  </si>
  <si>
    <t>EH HOLDING CORP 144A</t>
  </si>
  <si>
    <t>US268520AC75</t>
  </si>
  <si>
    <t>78388JAN6</t>
  </si>
  <si>
    <t>SBA COMMUNICATIONS CORP REG C</t>
  </si>
  <si>
    <t>US78388JAN63</t>
  </si>
  <si>
    <t>867363AL7</t>
  </si>
  <si>
    <t>SUNGARD DATA SYSTEMS INC REG</t>
  </si>
  <si>
    <t>US867363AL73</t>
  </si>
  <si>
    <t>867363AR4</t>
  </si>
  <si>
    <t>SUNGARD DATA  SYSTEM REG</t>
  </si>
  <si>
    <t>US867363AR44</t>
  </si>
  <si>
    <t>832248AQ1</t>
  </si>
  <si>
    <t>SMITHFIELD FOODS INC REG</t>
  </si>
  <si>
    <t>US832248AQ16</t>
  </si>
  <si>
    <t>870738AF8</t>
  </si>
  <si>
    <t>SWIFT ENERGY CO</t>
  </si>
  <si>
    <t>US870738AF81</t>
  </si>
  <si>
    <t>870738AG6</t>
  </si>
  <si>
    <t>SWIFT ENERGY COMPANY</t>
  </si>
  <si>
    <t>US870738AG64</t>
  </si>
  <si>
    <t>82088KAA6</t>
  </si>
  <si>
    <t>SHEA HOMES LIMITED PARTNERSHI</t>
  </si>
  <si>
    <t>US82088KAA60</t>
  </si>
  <si>
    <t>04570VAC7</t>
  </si>
  <si>
    <t>ASSOCIATED MATERIALS LLC REG</t>
  </si>
  <si>
    <t>US04570VAC72</t>
  </si>
  <si>
    <t>48124CAD5</t>
  </si>
  <si>
    <t>SCHLUMBERGER LIMITED CONV BND</t>
  </si>
  <si>
    <t>US48124CAD56</t>
  </si>
  <si>
    <t>78444FAC0</t>
  </si>
  <si>
    <t>SL GREEN OPERATING PARTNERSHI</t>
  </si>
  <si>
    <t>REITs</t>
  </si>
  <si>
    <t>US78444FAC05</t>
  </si>
  <si>
    <t>XS0187186183</t>
  </si>
  <si>
    <t>SLM CORP</t>
  </si>
  <si>
    <t>78442FEK0</t>
  </si>
  <si>
    <t>SLM CORPORATION REG</t>
  </si>
  <si>
    <t>US78442FEK03</t>
  </si>
  <si>
    <t>78442FEJ3</t>
  </si>
  <si>
    <t>SLMA CORP</t>
  </si>
  <si>
    <t>US78442FEJ30</t>
  </si>
  <si>
    <t>792228AD0</t>
  </si>
  <si>
    <t>ST MARY LAND &amp; EXP REG CONV B</t>
  </si>
  <si>
    <t>US792228AD03</t>
  </si>
  <si>
    <t>80004CAD3</t>
  </si>
  <si>
    <t>SANDISK CORPORATION CONV BOND</t>
  </si>
  <si>
    <t>US80004CAD39</t>
  </si>
  <si>
    <t>87162WAB6</t>
  </si>
  <si>
    <t>SYNNEX CORP CONV BND REG</t>
  </si>
  <si>
    <t>US87162WAB63</t>
  </si>
  <si>
    <t>SG PREFERRED CAPITAL II 144A</t>
  </si>
  <si>
    <t>US7842103043</t>
  </si>
  <si>
    <t>85375CAX9</t>
  </si>
  <si>
    <t>STANDARD PACIFIC CORP</t>
  </si>
  <si>
    <t>US85375CAX92</t>
  </si>
  <si>
    <t>846822AE4</t>
  </si>
  <si>
    <t>SPARTAN STORE CONV BOND REG</t>
  </si>
  <si>
    <t>US846822AE48</t>
  </si>
  <si>
    <t>784635AP9</t>
  </si>
  <si>
    <t>SPX CORPORATION REG</t>
  </si>
  <si>
    <t>US784635AP94</t>
  </si>
  <si>
    <t>860370AM7</t>
  </si>
  <si>
    <t>STEWART ENTERPRISES REG</t>
  </si>
  <si>
    <t>Health Services</t>
  </si>
  <si>
    <t>US860370AM78</t>
  </si>
  <si>
    <t>858119AP5</t>
  </si>
  <si>
    <t>STEEL DYNAMICS INC CONV BND</t>
  </si>
  <si>
    <t>US858119AP59</t>
  </si>
  <si>
    <t>698455AC6</t>
  </si>
  <si>
    <t>PANHANDLE EAST PIPE LINE</t>
  </si>
  <si>
    <t>US698455AC64</t>
  </si>
  <si>
    <t>83612TAB8</t>
  </si>
  <si>
    <t>SVHE 2007-OPT1 2A1</t>
  </si>
  <si>
    <t>US83612TAB89</t>
  </si>
  <si>
    <t>83611XAB0</t>
  </si>
  <si>
    <t>SVHE 2006-EQ2 A2</t>
  </si>
  <si>
    <t>US83611XAB01</t>
  </si>
  <si>
    <t>STANLEY BLACK &amp; DECKER I CONV</t>
  </si>
  <si>
    <t>US8545023090</t>
  </si>
  <si>
    <t>871503AF5</t>
  </si>
  <si>
    <t>SYMANTEC CORP CONV BOND</t>
  </si>
  <si>
    <t>US871503AF58</t>
  </si>
  <si>
    <t>912828RC6</t>
  </si>
  <si>
    <t>US TREASURY NOTE</t>
  </si>
  <si>
    <t>SOVEREIGN</t>
  </si>
  <si>
    <t>US912828RC60</t>
  </si>
  <si>
    <t>912810QA9</t>
  </si>
  <si>
    <t>US TREASURY BOND</t>
  </si>
  <si>
    <t>US912810QA97</t>
  </si>
  <si>
    <t>912810QS0</t>
  </si>
  <si>
    <t>US912810QS06</t>
  </si>
  <si>
    <t>912810QK7</t>
  </si>
  <si>
    <t>US912810QK79</t>
  </si>
  <si>
    <t>912828HA1</t>
  </si>
  <si>
    <t>US912828HA15</t>
  </si>
  <si>
    <t>912828FQ8</t>
  </si>
  <si>
    <t>US912828FQ84</t>
  </si>
  <si>
    <t>912828LS7</t>
  </si>
  <si>
    <t>US912828LS76</t>
  </si>
  <si>
    <t>878742AQ8</t>
  </si>
  <si>
    <t>TECK RESOURCES LIMITED REG</t>
  </si>
  <si>
    <t>US878742AQ85</t>
  </si>
  <si>
    <t>893647AP2</t>
  </si>
  <si>
    <t>TRANSDIGM INC REG</t>
  </si>
  <si>
    <t>US893647AP24</t>
  </si>
  <si>
    <t>88163VAE9</t>
  </si>
  <si>
    <t>TEVA PHARMACEUTICALS CONV BON</t>
  </si>
  <si>
    <t>US88163VAE92</t>
  </si>
  <si>
    <t>880779AU7</t>
  </si>
  <si>
    <t>TEREX CORP REG</t>
  </si>
  <si>
    <t>US880779AU73</t>
  </si>
  <si>
    <t>D9TEX1017</t>
  </si>
  <si>
    <t>TEXAS COMPETITIVE EXTENDED TE</t>
  </si>
  <si>
    <t>T000AS034TB01</t>
  </si>
  <si>
    <t>879369AA4</t>
  </si>
  <si>
    <t>TELEFLEX INC CONV BOND REG</t>
  </si>
  <si>
    <t>US879369AA42</t>
  </si>
  <si>
    <t>TRIUMPH GROUP INC</t>
  </si>
  <si>
    <t>US8968181011</t>
  </si>
  <si>
    <t>896818AF8</t>
  </si>
  <si>
    <t>TRIUMPH INC REG</t>
  </si>
  <si>
    <t>US896818AF89</t>
  </si>
  <si>
    <t>912828NM8</t>
  </si>
  <si>
    <t>TREASURY INFL INDEX N/B</t>
  </si>
  <si>
    <t>US912828NM88</t>
  </si>
  <si>
    <t>87261GAF2</t>
  </si>
  <si>
    <t>TNK-BP FINANCE SA 144A</t>
  </si>
  <si>
    <t>US87261GAF28</t>
  </si>
  <si>
    <t>608328AT7</t>
  </si>
  <si>
    <t>MOHEGAN TRIBAL GAMING</t>
  </si>
  <si>
    <t>CC</t>
  </si>
  <si>
    <t>US608328AT77</t>
  </si>
  <si>
    <t>881609AT8</t>
  </si>
  <si>
    <t>TESORO CORP REG</t>
  </si>
  <si>
    <t>US881609AT88</t>
  </si>
  <si>
    <t>87305RAC3</t>
  </si>
  <si>
    <t>TTM TECHNOLOGIES CONV BND</t>
  </si>
  <si>
    <t>US87305RAC34</t>
  </si>
  <si>
    <t>882491AQ6</t>
  </si>
  <si>
    <t>TEXAS INDUSTRIES INC</t>
  </si>
  <si>
    <t>US882491AQ64</t>
  </si>
  <si>
    <t>29269QAA5</t>
  </si>
  <si>
    <t>ENERGY FUTURE/EFIH FINAN</t>
  </si>
  <si>
    <t>US29269QAA58</t>
  </si>
  <si>
    <t>909411BA7</t>
  </si>
  <si>
    <t>UNITED ARTISTS THEATRE</t>
  </si>
  <si>
    <t>US909411BA77</t>
  </si>
  <si>
    <t>909317BE8</t>
  </si>
  <si>
    <t>UNITED AIR LINES REG</t>
  </si>
  <si>
    <t>US909317BE86</t>
  </si>
  <si>
    <t>909279BF7</t>
  </si>
  <si>
    <t>UNITED AIRLINES INC 144A</t>
  </si>
  <si>
    <t>US909279BF73</t>
  </si>
  <si>
    <t>257559AG9</t>
  </si>
  <si>
    <t>DOMTAR CORP</t>
  </si>
  <si>
    <t>US257559AG94</t>
  </si>
  <si>
    <t>911365AU8</t>
  </si>
  <si>
    <t>UNITED RENTAL NORTH AMERICA</t>
  </si>
  <si>
    <t>US911365AU84</t>
  </si>
  <si>
    <t>DD99USA14</t>
  </si>
  <si>
    <t>US AIRWAYS TERM LOAN (PP)</t>
  </si>
  <si>
    <t>U0001X029TL02</t>
  </si>
  <si>
    <t>90333L201</t>
  </si>
  <si>
    <t>U.S. CONCRETE INC</t>
  </si>
  <si>
    <t>US90333L2016</t>
  </si>
  <si>
    <t>903293AR9</t>
  </si>
  <si>
    <t>USG CORP REG</t>
  </si>
  <si>
    <t>US903293AR91</t>
  </si>
  <si>
    <t>903293AS7</t>
  </si>
  <si>
    <t>USG CORP (STEP)</t>
  </si>
  <si>
    <t>US903293AS74</t>
  </si>
  <si>
    <t>DD9USZ111</t>
  </si>
  <si>
    <t>USZ1 30YR FUTURE (CBT) 12/30/</t>
  </si>
  <si>
    <t>DD9USZ1OS</t>
  </si>
  <si>
    <t>92241TAG7</t>
  </si>
  <si>
    <t>VEDANTA RESOURCES PLC 144A</t>
  </si>
  <si>
    <t>US92241TAG76</t>
  </si>
  <si>
    <t>91913YAR1</t>
  </si>
  <si>
    <t>VALERO ENERGY CORP</t>
  </si>
  <si>
    <t>US91913YAR18</t>
  </si>
  <si>
    <t>929160AR0</t>
  </si>
  <si>
    <t>VULCAN MATERIALS COMPANY</t>
  </si>
  <si>
    <t>US929160AR05</t>
  </si>
  <si>
    <t>92552VAC4</t>
  </si>
  <si>
    <t>VIASAT INC REG</t>
  </si>
  <si>
    <t>US92552VAC46</t>
  </si>
  <si>
    <t>92532JAA0</t>
  </si>
  <si>
    <t>VERTELLUS SPECIALTIES 144A</t>
  </si>
  <si>
    <t>US92532JAA07</t>
  </si>
  <si>
    <t>93363PAA8</t>
  </si>
  <si>
    <t>WAMU 2006-AR14 1A1</t>
  </si>
  <si>
    <t>US93363PAA84</t>
  </si>
  <si>
    <t>95082PAH8</t>
  </si>
  <si>
    <t>WESCO INTERNATIONAL INC CONV</t>
  </si>
  <si>
    <t>Specialty Retail</t>
  </si>
  <si>
    <t>US95082PAH82</t>
  </si>
  <si>
    <t>DD9WCRXB1</t>
  </si>
  <si>
    <t>WARNER CHILCOTT CORP TERM LOA</t>
  </si>
  <si>
    <t>W000470C3TB01</t>
  </si>
  <si>
    <t>DD9WCRXB2</t>
  </si>
  <si>
    <t>WARNER CHILCOTT COMPANY TERM</t>
  </si>
  <si>
    <t>W000470C1TB02</t>
  </si>
  <si>
    <t>PUERTO RICO</t>
  </si>
  <si>
    <t>DD9WCRXB3</t>
  </si>
  <si>
    <t>WC LUXCO S.A.R.L. TERM LOAN B</t>
  </si>
  <si>
    <t>W000470C9TB03</t>
  </si>
  <si>
    <t>976657AH9</t>
  </si>
  <si>
    <t>WISCONSIN ENERGY CORP</t>
  </si>
  <si>
    <t>US976657AH99</t>
  </si>
  <si>
    <t>WELLS FARGO &amp; COMPANY 7.500%</t>
  </si>
  <si>
    <t>US9497468044</t>
  </si>
  <si>
    <t>94983YAL3</t>
  </si>
  <si>
    <t>WFMBS06AR10 5A2</t>
  </si>
  <si>
    <t>US94983YAL39</t>
  </si>
  <si>
    <t>DD99WLT16</t>
  </si>
  <si>
    <t>WALTER ENERGY TERM B LOAN</t>
  </si>
  <si>
    <t>W0006S011TA01</t>
  </si>
  <si>
    <t>966629AA5</t>
  </si>
  <si>
    <t>WHITNEY NATIONAL BANK</t>
  </si>
  <si>
    <t>US966629AA50</t>
  </si>
  <si>
    <t>88880LAA1</t>
  </si>
  <si>
    <t>WV TOBACCO SETTLEMENTS FIN CO</t>
  </si>
  <si>
    <t>US88880LAA17</t>
  </si>
  <si>
    <t>912909AE8</t>
  </si>
  <si>
    <t>US STEEL CORP CONV BOND</t>
  </si>
  <si>
    <t>US912909AE85</t>
  </si>
  <si>
    <t>98417EAB6</t>
  </si>
  <si>
    <t>XSTRATA FINANCE CANADA 144A</t>
  </si>
  <si>
    <t>US98417EAB65</t>
  </si>
  <si>
    <t>MNSTY FLX OP EM                                                                                                                                                                            As of Date:  10/21/11                                                                                                                                                                          Run Date:  10/25/11</t>
  </si>
  <si>
    <t>Total</t>
  </si>
  <si>
    <t>0 - 2</t>
  </si>
  <si>
    <t>2 - 4</t>
  </si>
  <si>
    <t>4 - 6</t>
  </si>
  <si>
    <t>6 - 8</t>
  </si>
  <si>
    <t>8 - 10</t>
  </si>
  <si>
    <t>0 - 200</t>
  </si>
  <si>
    <t>200 - 400</t>
  </si>
  <si>
    <t>400 - 600</t>
  </si>
  <si>
    <t>600 - 800</t>
  </si>
  <si>
    <t>800 - 1000</t>
  </si>
  <si>
    <t>1000+</t>
  </si>
  <si>
    <t>0 - 50</t>
  </si>
  <si>
    <t>50 - 80</t>
  </si>
  <si>
    <t>80 - 100</t>
  </si>
  <si>
    <t>100 - 120</t>
  </si>
  <si>
    <t>120 - 140</t>
  </si>
  <si>
    <t>140+</t>
  </si>
  <si>
    <t>By Market Price Offer Bucket</t>
  </si>
  <si>
    <t>By YTW Bucket</t>
  </si>
  <si>
    <t>By OAS Bucket</t>
  </si>
  <si>
    <t>Market Value</t>
  </si>
  <si>
    <t>Weighted YTW</t>
  </si>
  <si>
    <t>Weighted Market Price</t>
  </si>
  <si>
    <t>Weighted Effective Duration</t>
  </si>
  <si>
    <t>Weighted OAS</t>
  </si>
  <si>
    <t>By Effective Duration Bucket</t>
  </si>
  <si>
    <t>3032 % PF</t>
  </si>
  <si>
    <t>CEMBI Div Market Cap %</t>
  </si>
  <si>
    <t>3032 Weighted YTW</t>
  </si>
  <si>
    <t>3032 Weighted OAS</t>
  </si>
  <si>
    <t>3032 Weighted Effective Duration</t>
  </si>
  <si>
    <t>3032 Weighted Market Price</t>
  </si>
  <si>
    <t>EMBIG Div Weighted Stripped YTM</t>
  </si>
  <si>
    <t>EMBIG Div Weighted Stripped Spread</t>
  </si>
  <si>
    <t>EMBIG Div Weighted EIR Duration</t>
  </si>
  <si>
    <t>EMBIG Div Weighted Current Price Offer</t>
  </si>
  <si>
    <t>CEMBI Div Weighted Stripped YTM</t>
  </si>
  <si>
    <t>CEMBI Div Weighted Stripped Spread</t>
  </si>
  <si>
    <t>CEMBI Div Weighted EIR Duration</t>
  </si>
  <si>
    <t>CEMBI Div Weighted Current Price Offer</t>
  </si>
  <si>
    <t>Bloomberg Sample Formula</t>
  </si>
  <si>
    <t>68 % PF</t>
  </si>
  <si>
    <t>68 Weighted YTW</t>
  </si>
  <si>
    <t>68 Weighted OAS</t>
  </si>
  <si>
    <t>68 Weighted Effective Duration</t>
  </si>
  <si>
    <t>68 Weighted Market Price</t>
  </si>
  <si>
    <t>&lt; 2</t>
  </si>
  <si>
    <t>PX_BID</t>
  </si>
  <si>
    <t>ARSUSD CMPN Curncy</t>
  </si>
  <si>
    <t>AUDUSD CMPN Curncy</t>
  </si>
  <si>
    <t>BRLUSD CMPN Curncy</t>
  </si>
  <si>
    <t>CADUSD CMPN Curncy</t>
  </si>
  <si>
    <t>CLPUSD CMPN Curncy</t>
  </si>
  <si>
    <t>CNYUSD CMPN Curncy</t>
  </si>
  <si>
    <t>COPUSD CMPN Curncy</t>
  </si>
  <si>
    <t>EGPUSD CMPN Curncy</t>
  </si>
  <si>
    <t>EURUSD CMPN Curncy</t>
  </si>
  <si>
    <t>GBPUSD CMPN Curncy</t>
  </si>
  <si>
    <t>IDRUSD CMPN Curncy</t>
  </si>
  <si>
    <t>JPYUSD CMPN Curncy</t>
  </si>
  <si>
    <t>MXNUSD CMPN Curncy</t>
  </si>
  <si>
    <t>MYRUSD CMPN Curncy</t>
  </si>
  <si>
    <t>PLNUSD CMPN Curncy</t>
  </si>
  <si>
    <t>TRYUSD CMPN Curncy</t>
  </si>
  <si>
    <t>PHPUSD CMPN Curncy</t>
  </si>
  <si>
    <t>AR</t>
  </si>
  <si>
    <t>BY</t>
  </si>
  <si>
    <t>BZ</t>
  </si>
  <si>
    <t>BR</t>
  </si>
  <si>
    <t>BG</t>
  </si>
  <si>
    <t>CL</t>
  </si>
  <si>
    <t>CN</t>
  </si>
  <si>
    <t>CO</t>
  </si>
  <si>
    <t>HR</t>
  </si>
  <si>
    <t>DO</t>
  </si>
  <si>
    <t>EC</t>
  </si>
  <si>
    <t>EG</t>
  </si>
  <si>
    <t>SV</t>
  </si>
  <si>
    <t>GA</t>
  </si>
  <si>
    <t>GE</t>
  </si>
  <si>
    <t>GH</t>
  </si>
  <si>
    <t>HU</t>
  </si>
  <si>
    <t>ID</t>
  </si>
  <si>
    <t>IQ</t>
  </si>
  <si>
    <t>CI</t>
  </si>
  <si>
    <t>JM</t>
  </si>
  <si>
    <t>JO</t>
  </si>
  <si>
    <t>KZ</t>
  </si>
  <si>
    <t>LB</t>
  </si>
  <si>
    <t>LT</t>
  </si>
  <si>
    <t>MY</t>
  </si>
  <si>
    <t>MX</t>
  </si>
  <si>
    <t>NG</t>
  </si>
  <si>
    <t>PK</t>
  </si>
  <si>
    <t>PA</t>
  </si>
  <si>
    <t>PE</t>
  </si>
  <si>
    <t>PH</t>
  </si>
  <si>
    <t>PL</t>
  </si>
  <si>
    <t>RU</t>
  </si>
  <si>
    <t>SN</t>
  </si>
  <si>
    <t>CS</t>
  </si>
  <si>
    <t>ZA</t>
  </si>
  <si>
    <t>LK</t>
  </si>
  <si>
    <t>TR</t>
  </si>
  <si>
    <t>UA</t>
  </si>
  <si>
    <t>UY</t>
  </si>
  <si>
    <t>VE</t>
  </si>
  <si>
    <t>VN</t>
  </si>
  <si>
    <t>CS Republic 7 1/4% due 21</t>
  </si>
  <si>
    <t>XS0680231908</t>
  </si>
  <si>
    <t>US71654QAZ54</t>
  </si>
  <si>
    <t>IN</t>
  </si>
  <si>
    <t>HK</t>
  </si>
  <si>
    <t>KR</t>
  </si>
  <si>
    <t>MO</t>
  </si>
  <si>
    <t>BH</t>
  </si>
  <si>
    <t>OM</t>
  </si>
  <si>
    <t>AE</t>
  </si>
  <si>
    <t>TH</t>
  </si>
  <si>
    <t>SG</t>
  </si>
  <si>
    <t>SA</t>
  </si>
  <si>
    <t>TW</t>
  </si>
  <si>
    <t>QA</t>
  </si>
  <si>
    <t>KW</t>
  </si>
  <si>
    <t>IL</t>
  </si>
  <si>
    <t>ID Bumi Resources Capital 12% due 16</t>
  </si>
  <si>
    <t>ID Indika 7% due 18</t>
  </si>
  <si>
    <t>PE BCP 6 7/8% due 26</t>
  </si>
  <si>
    <t>USP09646AD58</t>
  </si>
  <si>
    <t>`</t>
  </si>
  <si>
    <t>302154BA6</t>
  </si>
  <si>
    <t>XS0292464244</t>
  </si>
  <si>
    <t>SOCIETE GENERALE</t>
  </si>
  <si>
    <t>NOVELIS TERM LOAN</t>
  </si>
  <si>
    <t>17004RAA8</t>
  </si>
  <si>
    <t>KINETIC CONCEPTS INC 144A</t>
  </si>
  <si>
    <t>US17004RAA86</t>
  </si>
  <si>
    <t xml:space="preserve">Weighted Average Current Face Price Bid </t>
  </si>
  <si>
    <t xml:space="preserve">Weighted Average Current Face Price Offer </t>
  </si>
  <si>
    <t>Mkt Cap % Per Country</t>
  </si>
  <si>
    <t>EMBIG Div Market Cap %</t>
  </si>
  <si>
    <t/>
  </si>
  <si>
    <t xml:space="preserve">Weighted Average Market Price Bid </t>
  </si>
  <si>
    <t xml:space="preserve">Weighted Average Market Price Offer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</si>
</sst>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#,##0.0"/>
    <numFmt numFmtId="167" formatCode="0.0"/>
    <numFmt numFmtId="168" formatCode="0.000000"/>
    <numFmt numFmtId="169" formatCode="_(* #,##0.000000_);_(* \(#,##0.00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7">
    <xf numFmtId="0" fontId="0" fillId="0" borderId="0" xfId="0"/>
    <xf numFmtId="15" fontId="0" fillId="0" borderId="0" xfId="0" applyNumberFormat="1"/>
    <xf numFmtId="3" fontId="0" fillId="0" borderId="0" xfId="0" applyNumberFormat="1"/>
    <xf numFmtId="0" fontId="16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7" fillId="0" borderId="0" xfId="0" applyNumberFormat="1" applyFont="1"/>
    <xf numFmtId="0" fontId="0" fillId="0" borderId="0" xfId="0"/>
    <xf numFmtId="15" fontId="0" fillId="0" borderId="0" xfId="0" applyNumberFormat="1"/>
    <xf numFmtId="2" fontId="0" fillId="0" borderId="0" xfId="0" applyNumberFormat="1" applyAlignment="1">
      <alignment horizontal="center" vertical="center"/>
    </xf>
    <xf numFmtId="165" fontId="0" fillId="0" borderId="0" xfId="1" applyNumberFormat="1" applyFont="1" applyAlignment="1">
      <alignment horizontal="center"/>
    </xf>
    <xf numFmtId="0" fontId="0" fillId="0" borderId="0" xfId="0" applyBorder="1"/>
    <xf numFmtId="43" fontId="0" fillId="0" borderId="0" xfId="1" applyFont="1" applyBorder="1"/>
    <xf numFmtId="2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2" fontId="17" fillId="0" borderId="0" xfId="0" applyNumberFormat="1" applyFont="1" applyBorder="1" applyAlignment="1">
      <alignment horizontal="center"/>
    </xf>
    <xf numFmtId="3" fontId="17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4" fontId="0" fillId="0" borderId="0" xfId="0" applyNumberFormat="1" applyBorder="1" applyAlignment="1">
      <alignment horizontal="center"/>
    </xf>
    <xf numFmtId="0" fontId="17" fillId="0" borderId="0" xfId="0" applyFont="1" applyBorder="1" applyAlignment="1">
      <alignment horizontal="center"/>
    </xf>
    <xf numFmtId="165" fontId="17" fillId="0" borderId="0" xfId="0" applyNumberFormat="1" applyFont="1"/>
    <xf numFmtId="3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43" fontId="0" fillId="0" borderId="0" xfId="0" applyNumberFormat="1" applyAlignment="1">
      <alignment horizontal="center"/>
    </xf>
    <xf numFmtId="43" fontId="0" fillId="0" borderId="0" xfId="0" applyNumberFormat="1"/>
    <xf numFmtId="0" fontId="0" fillId="0" borderId="0" xfId="0"/>
    <xf numFmtId="0" fontId="0" fillId="0" borderId="0" xfId="0"/>
    <xf numFmtId="15" fontId="0" fillId="0" borderId="0" xfId="0" applyNumberFormat="1"/>
    <xf numFmtId="0" fontId="0" fillId="0" borderId="0" xfId="0"/>
    <xf numFmtId="0" fontId="16" fillId="0" borderId="0" xfId="0" applyFont="1"/>
    <xf numFmtId="2" fontId="0" fillId="0" borderId="0" xfId="0" applyNumberFormat="1"/>
    <xf numFmtId="15" fontId="0" fillId="0" borderId="0" xfId="0" applyNumberFormat="1"/>
    <xf numFmtId="0" fontId="16" fillId="0" borderId="0" xfId="0" applyFont="1" applyBorder="1"/>
    <xf numFmtId="2" fontId="0" fillId="0" borderId="0" xfId="0" applyNumberFormat="1" applyBorder="1"/>
    <xf numFmtId="0" fontId="16" fillId="0" borderId="0" xfId="0" applyFont="1" applyBorder="1" applyAlignment="1">
      <alignment horizontal="center"/>
    </xf>
    <xf numFmtId="43" fontId="16" fillId="0" borderId="0" xfId="0" applyNumberFormat="1" applyFont="1" applyBorder="1" applyAlignment="1">
      <alignment horizontal="center"/>
    </xf>
    <xf numFmtId="15" fontId="0" fillId="0" borderId="0" xfId="0" applyNumberFormat="1" applyBorder="1"/>
    <xf numFmtId="0" fontId="16" fillId="0" borderId="0" xfId="0" applyFont="1" applyBorder="1" applyAlignment="1">
      <alignment horizontal="center" vertical="center"/>
    </xf>
    <xf numFmtId="43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0" xfId="0" applyNumberFormat="1" applyBorder="1"/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 applyFill="1" applyBorder="1"/>
    <xf numFmtId="49" fontId="0" fillId="0" borderId="0" xfId="0" applyNumberFormat="1" applyBorder="1"/>
    <xf numFmtId="49" fontId="0" fillId="0" borderId="0" xfId="0" applyNumberFormat="1" applyFill="1" applyBorder="1"/>
    <xf numFmtId="1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2" fontId="16" fillId="0" borderId="0" xfId="0" applyNumberFormat="1" applyFont="1" applyAlignment="1">
      <alignment horizontal="center"/>
    </xf>
    <xf numFmtId="0" fontId="17" fillId="0" borderId="0" xfId="0" applyFont="1"/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wrapText="1"/>
    </xf>
    <xf numFmtId="167" fontId="0" fillId="0" borderId="0" xfId="0" applyNumberFormat="1" applyBorder="1" applyAlignment="1">
      <alignment horizontal="center"/>
    </xf>
    <xf numFmtId="14" fontId="17" fillId="0" borderId="0" xfId="0" applyNumberFormat="1" applyFont="1"/>
    <xf numFmtId="2" fontId="17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43" fontId="17" fillId="0" borderId="0" xfId="0" applyNumberFormat="1" applyFont="1" applyAlignment="1">
      <alignment horizontal="center"/>
    </xf>
    <xf numFmtId="169" fontId="17" fillId="0" borderId="0" xfId="0" applyNumberFormat="1" applyFont="1"/>
    <xf numFmtId="43" fontId="0" fillId="0" borderId="0" xfId="1" applyNumberFormat="1" applyFont="1" applyAlignment="1">
      <alignment horizontal="center"/>
    </xf>
    <xf numFmtId="167" fontId="0" fillId="0" borderId="0" xfId="0" applyNumberFormat="1"/>
    <xf numFmtId="2" fontId="17" fillId="0" borderId="0" xfId="0" applyNumberFormat="1" applyFont="1" applyFill="1"/>
    <xf numFmtId="2" fontId="17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EMBIG</a:t>
            </a:r>
            <a:r>
              <a:rPr lang="en-US" sz="1400" baseline="0"/>
              <a:t> Div Country level Stripped YTM Weights</a:t>
            </a:r>
            <a:endParaRPr lang="en-US" sz="14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EMBIG_Div_Country!$H$68</c:f>
              <c:strCache>
                <c:ptCount val="1"/>
                <c:pt idx="0">
                  <c:v>Market Cap %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EMBIG_Div_Country!$D$69:$D$74</c:f>
              <c:strCache>
                <c:ptCount val="6"/>
                <c:pt idx="0">
                  <c:v>0 - 2</c:v>
                </c:pt>
                <c:pt idx="1">
                  <c:v>2 - 4</c:v>
                </c:pt>
                <c:pt idx="2">
                  <c:v>4 - 6</c:v>
                </c:pt>
                <c:pt idx="3">
                  <c:v>6 - 8</c:v>
                </c:pt>
                <c:pt idx="4">
                  <c:v>8 - 10</c:v>
                </c:pt>
                <c:pt idx="5">
                  <c:v>10+</c:v>
                </c:pt>
              </c:strCache>
            </c:strRef>
          </c:cat>
          <c:val>
            <c:numRef>
              <c:f>EMBIG_Div_Country!$H$69:$H$74</c:f>
              <c:numCache>
                <c:formatCode>#,##0.00</c:formatCode>
                <c:ptCount val="6"/>
                <c:pt idx="0">
                  <c:v>0</c:v>
                </c:pt>
                <c:pt idx="1">
                  <c:v>5.8773800000000005</c:v>
                </c:pt>
                <c:pt idx="2">
                  <c:v>73.511863999999989</c:v>
                </c:pt>
                <c:pt idx="3">
                  <c:v>9.3243729999999996</c:v>
                </c:pt>
                <c:pt idx="4">
                  <c:v>3.6069230000000001</c:v>
                </c:pt>
                <c:pt idx="5">
                  <c:v>7.6794589999999996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48320"/>
        <c:axId val="127070976"/>
      </c:barChart>
      <c:catAx>
        <c:axId val="12704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Stripped</a:t>
                </a:r>
                <a:r>
                  <a:rPr lang="en-US" baseline="0"/>
                  <a:t> YTM Buckets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6768011387700322"/>
              <c:y val="0.92588507239229279"/>
            </c:manualLayout>
          </c:layout>
          <c:overlay val="0"/>
        </c:title>
        <c:majorTickMark val="out"/>
        <c:minorTickMark val="none"/>
        <c:tickLblPos val="nextTo"/>
        <c:crossAx val="127070976"/>
        <c:crosses val="autoZero"/>
        <c:auto val="1"/>
        <c:lblAlgn val="ctr"/>
        <c:lblOffset val="100"/>
        <c:noMultiLvlLbl val="0"/>
      </c:catAx>
      <c:valAx>
        <c:axId val="12707097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6.5412913436224468E-3"/>
              <c:y val="0.44629406213322159"/>
            </c:manualLayout>
          </c:layout>
          <c:overlay val="0"/>
        </c:title>
        <c:numFmt formatCode="#,##0.00" sourceLinked="1"/>
        <c:majorTickMark val="out"/>
        <c:minorTickMark val="none"/>
        <c:tickLblPos val="nextTo"/>
        <c:crossAx val="12704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EMBIG Div Security level Weighted Stripped Spread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EMBIG_Div_Security!$K$294</c:f>
              <c:strCache>
                <c:ptCount val="1"/>
                <c:pt idx="0">
                  <c:v>EMBIG Div Weighted Stripped Spread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EMBIG_Div_Security!$C$295:$C$300</c:f>
              <c:strCache>
                <c:ptCount val="6"/>
                <c:pt idx="0">
                  <c:v>0 - 200</c:v>
                </c:pt>
                <c:pt idx="1">
                  <c:v>200 - 400</c:v>
                </c:pt>
                <c:pt idx="2">
                  <c:v>400 - 600</c:v>
                </c:pt>
                <c:pt idx="3">
                  <c:v>600 - 800</c:v>
                </c:pt>
                <c:pt idx="4">
                  <c:v>800 - 1000</c:v>
                </c:pt>
                <c:pt idx="5">
                  <c:v>1000+</c:v>
                </c:pt>
              </c:strCache>
            </c:strRef>
          </c:cat>
          <c:val>
            <c:numRef>
              <c:f>EMBIG_Div_Security!$K$295:$K$300</c:f>
              <c:numCache>
                <c:formatCode>0.0</c:formatCode>
                <c:ptCount val="6"/>
                <c:pt idx="0">
                  <c:v>162.77797626870807</c:v>
                </c:pt>
                <c:pt idx="1">
                  <c:v>276.78242484922129</c:v>
                </c:pt>
                <c:pt idx="2">
                  <c:v>487.78076991253613</c:v>
                </c:pt>
                <c:pt idx="3">
                  <c:v>702.09536746805929</c:v>
                </c:pt>
                <c:pt idx="4">
                  <c:v>891.74096855287871</c:v>
                </c:pt>
                <c:pt idx="5">
                  <c:v>1244.9361059681485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248960"/>
        <c:axId val="138250880"/>
      </c:barChart>
      <c:catAx>
        <c:axId val="13824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Stripped</a:t>
                </a:r>
                <a:r>
                  <a:rPr lang="en-US" baseline="0"/>
                  <a:t> Spread Buckets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6299583161026261"/>
              <c:y val="0.92748306575114758"/>
            </c:manualLayout>
          </c:layout>
          <c:overlay val="0"/>
        </c:title>
        <c:majorTickMark val="out"/>
        <c:minorTickMark val="none"/>
        <c:tickLblPos val="nextTo"/>
        <c:crossAx val="138250880"/>
        <c:crosses val="autoZero"/>
        <c:auto val="1"/>
        <c:lblAlgn val="ctr"/>
        <c:lblOffset val="100"/>
        <c:noMultiLvlLbl val="0"/>
      </c:catAx>
      <c:valAx>
        <c:axId val="1382508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Basis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6628392772818636E-3"/>
              <c:y val="0.32551564453952836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13824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EMBIG Div Security level EIR Duration Weights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EMBIG_Div_Security!$G$302</c:f>
              <c:strCache>
                <c:ptCount val="1"/>
                <c:pt idx="0">
                  <c:v>EMBIG Div Market Cap %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EMBIG_Div_Security!$C$303:$C$308</c:f>
              <c:strCache>
                <c:ptCount val="6"/>
                <c:pt idx="0">
                  <c:v>0 - 2</c:v>
                </c:pt>
                <c:pt idx="1">
                  <c:v>2 - 4</c:v>
                </c:pt>
                <c:pt idx="2">
                  <c:v>4 - 6</c:v>
                </c:pt>
                <c:pt idx="3">
                  <c:v>6 - 8</c:v>
                </c:pt>
                <c:pt idx="4">
                  <c:v>8 - 10</c:v>
                </c:pt>
                <c:pt idx="5">
                  <c:v>10+</c:v>
                </c:pt>
              </c:strCache>
            </c:strRef>
          </c:cat>
          <c:val>
            <c:numRef>
              <c:f>EMBIG_Div_Security!$G$303:$G$308</c:f>
              <c:numCache>
                <c:formatCode>0.00</c:formatCode>
                <c:ptCount val="6"/>
                <c:pt idx="0">
                  <c:v>3.9166389220000002</c:v>
                </c:pt>
                <c:pt idx="1">
                  <c:v>16.869775873999998</c:v>
                </c:pt>
                <c:pt idx="2">
                  <c:v>18.295582173999996</c:v>
                </c:pt>
                <c:pt idx="3">
                  <c:v>30.285452981000006</c:v>
                </c:pt>
                <c:pt idx="4">
                  <c:v>10.588552786000001</c:v>
                </c:pt>
                <c:pt idx="5">
                  <c:v>20.043997268000002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280320"/>
        <c:axId val="143136256"/>
      </c:barChart>
      <c:catAx>
        <c:axId val="13828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EIR</a:t>
                </a:r>
                <a:r>
                  <a:rPr lang="en-US" baseline="0"/>
                  <a:t> Duration Buckets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833207544335928"/>
              <c:y val="0.92912881136788528"/>
            </c:manualLayout>
          </c:layout>
          <c:overlay val="0"/>
        </c:title>
        <c:majorTickMark val="out"/>
        <c:minorTickMark val="none"/>
        <c:tickLblPos val="nextTo"/>
        <c:crossAx val="143136256"/>
        <c:crosses val="autoZero"/>
        <c:auto val="1"/>
        <c:lblAlgn val="ctr"/>
        <c:lblOffset val="100"/>
        <c:noMultiLvlLbl val="0"/>
      </c:catAx>
      <c:valAx>
        <c:axId val="1431362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0070493454179255E-2"/>
              <c:y val="0.41532332603727684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3828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EMBIG Div Security level Weighted EIR Duration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EMBIG_Div_Security!$K$302</c:f>
              <c:strCache>
                <c:ptCount val="1"/>
                <c:pt idx="0">
                  <c:v>EMBIG Div Weighted EIR Duration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EMBIG_Div_Security!$C$303:$C$308</c:f>
              <c:strCache>
                <c:ptCount val="6"/>
                <c:pt idx="0">
                  <c:v>0 - 2</c:v>
                </c:pt>
                <c:pt idx="1">
                  <c:v>2 - 4</c:v>
                </c:pt>
                <c:pt idx="2">
                  <c:v>4 - 6</c:v>
                </c:pt>
                <c:pt idx="3">
                  <c:v>6 - 8</c:v>
                </c:pt>
                <c:pt idx="4">
                  <c:v>8 - 10</c:v>
                </c:pt>
                <c:pt idx="5">
                  <c:v>10+</c:v>
                </c:pt>
              </c:strCache>
            </c:strRef>
          </c:cat>
          <c:val>
            <c:numRef>
              <c:f>EMBIG_Div_Security!$K$303:$K$308</c:f>
              <c:numCache>
                <c:formatCode>0.0</c:formatCode>
                <c:ptCount val="6"/>
                <c:pt idx="0">
                  <c:v>1.4569456415975113</c:v>
                </c:pt>
                <c:pt idx="1">
                  <c:v>3.0338992818505819</c:v>
                </c:pt>
                <c:pt idx="2">
                  <c:v>5.0675618427053539</c:v>
                </c:pt>
                <c:pt idx="3">
                  <c:v>6.8111207387914519</c:v>
                </c:pt>
                <c:pt idx="4">
                  <c:v>8.8256447386470906</c:v>
                </c:pt>
                <c:pt idx="5">
                  <c:v>12.638971626787001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86176"/>
        <c:axId val="143188352"/>
      </c:barChart>
      <c:catAx>
        <c:axId val="14318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EIR</a:t>
                </a:r>
                <a:r>
                  <a:rPr lang="en-US" baseline="0"/>
                  <a:t> Duration Buckets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883085036905596"/>
              <c:y val="0.9246432430035455"/>
            </c:manualLayout>
          </c:layout>
          <c:overlay val="0"/>
        </c:title>
        <c:majorTickMark val="out"/>
        <c:minorTickMark val="none"/>
        <c:tickLblPos val="nextTo"/>
        <c:crossAx val="143188352"/>
        <c:crosses val="autoZero"/>
        <c:auto val="1"/>
        <c:lblAlgn val="ctr"/>
        <c:lblOffset val="100"/>
        <c:noMultiLvlLbl val="0"/>
      </c:catAx>
      <c:valAx>
        <c:axId val="14318835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9.8039215686274508E-3"/>
              <c:y val="0.41569178896950504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143186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EMBIG Div Security Level Current Offer Price Weights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EMBIG_Div_Security!$G$310</c:f>
              <c:strCache>
                <c:ptCount val="1"/>
                <c:pt idx="0">
                  <c:v>EMBIG Div Market Cap %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EMBIG_Div_Security!$C$311:$C$316</c:f>
              <c:strCache>
                <c:ptCount val="6"/>
                <c:pt idx="0">
                  <c:v>0 - 50</c:v>
                </c:pt>
                <c:pt idx="1">
                  <c:v>50 - 80</c:v>
                </c:pt>
                <c:pt idx="2">
                  <c:v>80 - 100</c:v>
                </c:pt>
                <c:pt idx="3">
                  <c:v>100 - 120</c:v>
                </c:pt>
                <c:pt idx="4">
                  <c:v>120 - 140</c:v>
                </c:pt>
                <c:pt idx="5">
                  <c:v>140+</c:v>
                </c:pt>
              </c:strCache>
            </c:strRef>
          </c:cat>
          <c:val>
            <c:numRef>
              <c:f>EMBIG_Div_Security!$G$311:$G$316</c:f>
              <c:numCache>
                <c:formatCode>0.00</c:formatCode>
                <c:ptCount val="6"/>
                <c:pt idx="0">
                  <c:v>0.67459609800000009</c:v>
                </c:pt>
                <c:pt idx="1">
                  <c:v>4.9802508290000009</c:v>
                </c:pt>
                <c:pt idx="2">
                  <c:v>11.018979681999999</c:v>
                </c:pt>
                <c:pt idx="3">
                  <c:v>55.096403022000011</c:v>
                </c:pt>
                <c:pt idx="4">
                  <c:v>18.191940349999996</c:v>
                </c:pt>
                <c:pt idx="5">
                  <c:v>10.037830024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217792"/>
        <c:axId val="143219712"/>
      </c:barChart>
      <c:catAx>
        <c:axId val="14321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</a:t>
                </a:r>
                <a:r>
                  <a:rPr lang="en-US" baseline="0"/>
                  <a:t> Offer Price Buckets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082753652089448"/>
              <c:y val="0.92588709539995939"/>
            </c:manualLayout>
          </c:layout>
          <c:overlay val="0"/>
        </c:title>
        <c:majorTickMark val="out"/>
        <c:minorTickMark val="none"/>
        <c:tickLblPos val="nextTo"/>
        <c:crossAx val="143219712"/>
        <c:crosses val="autoZero"/>
        <c:auto val="1"/>
        <c:lblAlgn val="ctr"/>
        <c:lblOffset val="100"/>
        <c:noMultiLvlLbl val="0"/>
      </c:catAx>
      <c:valAx>
        <c:axId val="1432197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8.2687338501291983E-3"/>
              <c:y val="0.4207495166126363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4321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EMBIG Div Security level Weighted Current Offer</a:t>
            </a:r>
            <a:r>
              <a:rPr lang="en-US" sz="1400" baseline="0"/>
              <a:t> Price</a:t>
            </a:r>
            <a:endParaRPr lang="en-US" sz="14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EMBIG_Div_Security!$K$310</c:f>
              <c:strCache>
                <c:ptCount val="1"/>
                <c:pt idx="0">
                  <c:v>EMBIG Div Weighted Current Price Offer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EMBIG_Div_Security!$C$311:$C$316</c:f>
              <c:strCache>
                <c:ptCount val="6"/>
                <c:pt idx="0">
                  <c:v>0 - 50</c:v>
                </c:pt>
                <c:pt idx="1">
                  <c:v>50 - 80</c:v>
                </c:pt>
                <c:pt idx="2">
                  <c:v>80 - 100</c:v>
                </c:pt>
                <c:pt idx="3">
                  <c:v>100 - 120</c:v>
                </c:pt>
                <c:pt idx="4">
                  <c:v>120 - 140</c:v>
                </c:pt>
                <c:pt idx="5">
                  <c:v>140+</c:v>
                </c:pt>
              </c:strCache>
            </c:strRef>
          </c:cat>
          <c:val>
            <c:numRef>
              <c:f>EMBIG_Div_Security!$K$311:$K$316</c:f>
              <c:numCache>
                <c:formatCode>0.00</c:formatCode>
                <c:ptCount val="6"/>
                <c:pt idx="0">
                  <c:v>39.296034212801331</c:v>
                </c:pt>
                <c:pt idx="1">
                  <c:v>70.684383461967769</c:v>
                </c:pt>
                <c:pt idx="2">
                  <c:v>94.599835477515882</c:v>
                </c:pt>
                <c:pt idx="3">
                  <c:v>110.61819534198202</c:v>
                </c:pt>
                <c:pt idx="4">
                  <c:v>129.29034790194058</c:v>
                </c:pt>
                <c:pt idx="5">
                  <c:v>153.6156521002371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113664"/>
        <c:axId val="144115584"/>
      </c:barChart>
      <c:catAx>
        <c:axId val="14411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</a:t>
                </a:r>
                <a:r>
                  <a:rPr lang="en-US" baseline="0"/>
                  <a:t> Offer Price Buckets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6126642706247086"/>
              <c:y val="0.92825554941384913"/>
            </c:manualLayout>
          </c:layout>
          <c:overlay val="0"/>
        </c:title>
        <c:majorTickMark val="out"/>
        <c:minorTickMark val="none"/>
        <c:tickLblPos val="nextTo"/>
        <c:crossAx val="144115584"/>
        <c:crosses val="autoZero"/>
        <c:auto val="1"/>
        <c:lblAlgn val="ctr"/>
        <c:lblOffset val="100"/>
        <c:noMultiLvlLbl val="0"/>
      </c:catAx>
      <c:valAx>
        <c:axId val="1441155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USD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411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CEMBI Div Country level Stripped YTM Weights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CEMBI_Div_Country!$H$62</c:f>
              <c:strCache>
                <c:ptCount val="1"/>
                <c:pt idx="0">
                  <c:v>Market Cap %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CEMBI_Div_Country!$D$63:$D$68</c:f>
              <c:strCache>
                <c:ptCount val="6"/>
                <c:pt idx="0">
                  <c:v>0 - 2</c:v>
                </c:pt>
                <c:pt idx="1">
                  <c:v>2 - 4</c:v>
                </c:pt>
                <c:pt idx="2">
                  <c:v>4 - 6</c:v>
                </c:pt>
                <c:pt idx="3">
                  <c:v>6 - 8</c:v>
                </c:pt>
                <c:pt idx="4">
                  <c:v>8 - 10</c:v>
                </c:pt>
                <c:pt idx="5">
                  <c:v>10+</c:v>
                </c:pt>
              </c:strCache>
            </c:strRef>
          </c:cat>
          <c:val>
            <c:numRef>
              <c:f>CEMBI_Div_Country!$H$63:$H$68</c:f>
              <c:numCache>
                <c:formatCode>#,##0.00</c:formatCode>
                <c:ptCount val="6"/>
                <c:pt idx="0">
                  <c:v>0</c:v>
                </c:pt>
                <c:pt idx="1">
                  <c:v>8.3800000000000008</c:v>
                </c:pt>
                <c:pt idx="2">
                  <c:v>42.709999999999994</c:v>
                </c:pt>
                <c:pt idx="3">
                  <c:v>32.04</c:v>
                </c:pt>
                <c:pt idx="4">
                  <c:v>13.97</c:v>
                </c:pt>
                <c:pt idx="5">
                  <c:v>2.87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218752"/>
        <c:axId val="144220928"/>
      </c:barChart>
      <c:catAx>
        <c:axId val="14421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Stripped</a:t>
                </a:r>
                <a:r>
                  <a:rPr lang="en-US" baseline="0"/>
                  <a:t> YTM Buckets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7148772581909217"/>
              <c:y val="0.92728733861639545"/>
            </c:manualLayout>
          </c:layout>
          <c:overlay val="0"/>
        </c:title>
        <c:majorTickMark val="out"/>
        <c:minorTickMark val="none"/>
        <c:tickLblPos val="nextTo"/>
        <c:crossAx val="144220928"/>
        <c:crosses val="autoZero"/>
        <c:auto val="1"/>
        <c:lblAlgn val="ctr"/>
        <c:lblOffset val="100"/>
        <c:noMultiLvlLbl val="0"/>
      </c:catAx>
      <c:valAx>
        <c:axId val="1442209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7.0237043569826314E-3"/>
              <c:y val="0.40084146233143325"/>
            </c:manualLayout>
          </c:layout>
          <c:overlay val="0"/>
        </c:title>
        <c:numFmt formatCode="#,##0.00" sourceLinked="1"/>
        <c:majorTickMark val="out"/>
        <c:minorTickMark val="none"/>
        <c:tickLblPos val="nextTo"/>
        <c:crossAx val="144218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CEMBI Div Weighted Stripped YTM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CEMBI_Div_Country!$L$62</c:f>
              <c:strCache>
                <c:ptCount val="1"/>
                <c:pt idx="0">
                  <c:v>Weighted Stripped YTM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CEMBI_Div_Country!$D$63:$D$68</c:f>
              <c:strCache>
                <c:ptCount val="6"/>
                <c:pt idx="0">
                  <c:v>0 - 2</c:v>
                </c:pt>
                <c:pt idx="1">
                  <c:v>2 - 4</c:v>
                </c:pt>
                <c:pt idx="2">
                  <c:v>4 - 6</c:v>
                </c:pt>
                <c:pt idx="3">
                  <c:v>6 - 8</c:v>
                </c:pt>
                <c:pt idx="4">
                  <c:v>8 - 10</c:v>
                </c:pt>
                <c:pt idx="5">
                  <c:v>10+</c:v>
                </c:pt>
              </c:strCache>
            </c:strRef>
          </c:cat>
          <c:val>
            <c:numRef>
              <c:f>CEMBI_Div_Country!$L$63:$L$68</c:f>
              <c:numCache>
                <c:formatCode>#,##0.00</c:formatCode>
                <c:ptCount val="6"/>
                <c:pt idx="0">
                  <c:v>0</c:v>
                </c:pt>
                <c:pt idx="1">
                  <c:v>3.7260805926909084</c:v>
                </c:pt>
                <c:pt idx="2">
                  <c:v>5.0171356734659609</c:v>
                </c:pt>
                <c:pt idx="3">
                  <c:v>6.2061974212320381</c:v>
                </c:pt>
                <c:pt idx="4">
                  <c:v>8.8388142045732163</c:v>
                </c:pt>
                <c:pt idx="5">
                  <c:v>16.234113817109492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254464"/>
        <c:axId val="144256384"/>
      </c:barChart>
      <c:catAx>
        <c:axId val="14425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Stripped</a:t>
                </a:r>
                <a:r>
                  <a:rPr lang="en-US" baseline="0"/>
                  <a:t> YTM Buckets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7718123572370366"/>
              <c:y val="0.92501693931482776"/>
            </c:manualLayout>
          </c:layout>
          <c:overlay val="0"/>
        </c:title>
        <c:majorTickMark val="out"/>
        <c:minorTickMark val="none"/>
        <c:tickLblPos val="nextTo"/>
        <c:crossAx val="144256384"/>
        <c:crosses val="autoZero"/>
        <c:auto val="1"/>
        <c:lblAlgn val="ctr"/>
        <c:lblOffset val="100"/>
        <c:noMultiLvlLbl val="0"/>
      </c:catAx>
      <c:valAx>
        <c:axId val="1442563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8.0503125518001165E-3"/>
              <c:y val="0.43239538775566738"/>
            </c:manualLayout>
          </c:layout>
          <c:overlay val="0"/>
        </c:title>
        <c:numFmt formatCode="#,##0.00" sourceLinked="1"/>
        <c:majorTickMark val="out"/>
        <c:minorTickMark val="none"/>
        <c:tickLblPos val="nextTo"/>
        <c:crossAx val="144254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CEMBI Div Country level Stripped Spread Weights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CEMBI_Div_Country!$H$70</c:f>
              <c:strCache>
                <c:ptCount val="1"/>
                <c:pt idx="0">
                  <c:v>Market Cap %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CEMBI_Div_Country!$D$71:$D$76</c:f>
              <c:strCache>
                <c:ptCount val="6"/>
                <c:pt idx="0">
                  <c:v>0 - 200</c:v>
                </c:pt>
                <c:pt idx="1">
                  <c:v>200 - 400</c:v>
                </c:pt>
                <c:pt idx="2">
                  <c:v>400 - 600</c:v>
                </c:pt>
                <c:pt idx="3">
                  <c:v>600 - 800</c:v>
                </c:pt>
                <c:pt idx="4">
                  <c:v>800 - 1000</c:v>
                </c:pt>
                <c:pt idx="5">
                  <c:v>1000+</c:v>
                </c:pt>
              </c:strCache>
            </c:strRef>
          </c:cat>
          <c:val>
            <c:numRef>
              <c:f>CEMBI_Div_Country!$H$71:$H$76</c:f>
              <c:numCache>
                <c:formatCode>#,##0.00</c:formatCode>
                <c:ptCount val="6"/>
                <c:pt idx="0">
                  <c:v>0</c:v>
                </c:pt>
                <c:pt idx="1">
                  <c:v>46.08</c:v>
                </c:pt>
                <c:pt idx="2">
                  <c:v>36.330000000000005</c:v>
                </c:pt>
                <c:pt idx="3">
                  <c:v>12.520000000000001</c:v>
                </c:pt>
                <c:pt idx="4">
                  <c:v>2.17</c:v>
                </c:pt>
                <c:pt idx="5">
                  <c:v>2.87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290176"/>
        <c:axId val="144292096"/>
      </c:barChart>
      <c:catAx>
        <c:axId val="14429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Stripped</a:t>
                </a:r>
                <a:r>
                  <a:rPr lang="en-US" baseline="0"/>
                  <a:t> Spread Buckets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6135304827199111"/>
              <c:y val="0.91461157524213532"/>
            </c:manualLayout>
          </c:layout>
          <c:overlay val="0"/>
        </c:title>
        <c:majorTickMark val="out"/>
        <c:minorTickMark val="none"/>
        <c:tickLblPos val="nextTo"/>
        <c:crossAx val="144292096"/>
        <c:crosses val="autoZero"/>
        <c:auto val="1"/>
        <c:lblAlgn val="ctr"/>
        <c:lblOffset val="100"/>
        <c:noMultiLvlLbl val="0"/>
      </c:catAx>
      <c:valAx>
        <c:axId val="1442920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6.488239512424979E-3"/>
              <c:y val="0.40274855930077086"/>
            </c:manualLayout>
          </c:layout>
          <c:overlay val="0"/>
        </c:title>
        <c:numFmt formatCode="#,##0.00" sourceLinked="1"/>
        <c:majorTickMark val="out"/>
        <c:minorTickMark val="none"/>
        <c:tickLblPos val="nextTo"/>
        <c:crossAx val="14429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CEMBI Div Country level Weighted Stripped Spread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CEMBI_Div_Country!$L$70</c:f>
              <c:strCache>
                <c:ptCount val="1"/>
                <c:pt idx="0">
                  <c:v>Weighted Stripped Spread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CEMBI_Div_Country!$D$71:$D$76</c:f>
              <c:strCache>
                <c:ptCount val="6"/>
                <c:pt idx="0">
                  <c:v>0 - 200</c:v>
                </c:pt>
                <c:pt idx="1">
                  <c:v>200 - 400</c:v>
                </c:pt>
                <c:pt idx="2">
                  <c:v>400 - 600</c:v>
                </c:pt>
                <c:pt idx="3">
                  <c:v>600 - 800</c:v>
                </c:pt>
                <c:pt idx="4">
                  <c:v>800 - 1000</c:v>
                </c:pt>
                <c:pt idx="5">
                  <c:v>1000+</c:v>
                </c:pt>
              </c:strCache>
            </c:strRef>
          </c:cat>
          <c:val>
            <c:numRef>
              <c:f>CEMBI_Div_Country!$L$71:$L$76</c:f>
              <c:numCache>
                <c:formatCode>#,##0.00</c:formatCode>
                <c:ptCount val="6"/>
                <c:pt idx="0">
                  <c:v>0</c:v>
                </c:pt>
                <c:pt idx="1">
                  <c:v>296.75344281578458</c:v>
                </c:pt>
                <c:pt idx="2">
                  <c:v>449.80573268328493</c:v>
                </c:pt>
                <c:pt idx="3">
                  <c:v>734.67310545719806</c:v>
                </c:pt>
                <c:pt idx="4">
                  <c:v>883.10379906052538</c:v>
                </c:pt>
                <c:pt idx="5">
                  <c:v>1527.3350162170912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980992"/>
        <c:axId val="144987264"/>
      </c:barChart>
      <c:catAx>
        <c:axId val="14498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Stripped</a:t>
                </a:r>
                <a:r>
                  <a:rPr lang="en-US" baseline="0"/>
                  <a:t> Spread Buckets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7866877381325414"/>
              <c:y val="0.92815983990476725"/>
            </c:manualLayout>
          </c:layout>
          <c:overlay val="0"/>
        </c:title>
        <c:majorTickMark val="out"/>
        <c:minorTickMark val="none"/>
        <c:tickLblPos val="nextTo"/>
        <c:crossAx val="144987264"/>
        <c:crosses val="autoZero"/>
        <c:auto val="1"/>
        <c:lblAlgn val="ctr"/>
        <c:lblOffset val="100"/>
        <c:noMultiLvlLbl val="0"/>
      </c:catAx>
      <c:valAx>
        <c:axId val="1449872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Basis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5.5516998037087976E-3"/>
              <c:y val="0.39381040661775868"/>
            </c:manualLayout>
          </c:layout>
          <c:overlay val="0"/>
        </c:title>
        <c:numFmt formatCode="#,##0.00" sourceLinked="1"/>
        <c:majorTickMark val="out"/>
        <c:minorTickMark val="none"/>
        <c:tickLblPos val="nextTo"/>
        <c:crossAx val="14498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CEMBI Div Country level EIR Duration Weights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CEMBI_Div_Country!$H$78</c:f>
              <c:strCache>
                <c:ptCount val="1"/>
                <c:pt idx="0">
                  <c:v>Market Cap %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CEMBI_Div_Country!$D$79:$D$84</c:f>
              <c:strCache>
                <c:ptCount val="6"/>
                <c:pt idx="0">
                  <c:v>0 - 2</c:v>
                </c:pt>
                <c:pt idx="1">
                  <c:v>2 - 4</c:v>
                </c:pt>
                <c:pt idx="2">
                  <c:v>4 - 6</c:v>
                </c:pt>
                <c:pt idx="3">
                  <c:v>6 - 8</c:v>
                </c:pt>
                <c:pt idx="4">
                  <c:v>8 - 10</c:v>
                </c:pt>
                <c:pt idx="5">
                  <c:v>10+</c:v>
                </c:pt>
              </c:strCache>
            </c:strRef>
          </c:cat>
          <c:val>
            <c:numRef>
              <c:f>CEMBI_Div_Country!$H$79:$H$84</c:f>
              <c:numCache>
                <c:formatCode>#,##0.0</c:formatCode>
                <c:ptCount val="6"/>
                <c:pt idx="0">
                  <c:v>0.65</c:v>
                </c:pt>
                <c:pt idx="1">
                  <c:v>17.440000000000001</c:v>
                </c:pt>
                <c:pt idx="2">
                  <c:v>51.279999999999994</c:v>
                </c:pt>
                <c:pt idx="3">
                  <c:v>27.539999999999996</c:v>
                </c:pt>
                <c:pt idx="4">
                  <c:v>2.68</c:v>
                </c:pt>
                <c:pt idx="5">
                  <c:v>0.38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020800"/>
        <c:axId val="144703488"/>
      </c:barChart>
      <c:catAx>
        <c:axId val="14502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EIR</a:t>
                </a:r>
                <a:r>
                  <a:rPr lang="en-US" baseline="0"/>
                  <a:t> Duration Buckets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6762247013168053"/>
              <c:y val="0.9196561331273293"/>
            </c:manualLayout>
          </c:layout>
          <c:overlay val="0"/>
        </c:title>
        <c:majorTickMark val="out"/>
        <c:minorTickMark val="none"/>
        <c:tickLblPos val="nextTo"/>
        <c:crossAx val="144703488"/>
        <c:crosses val="autoZero"/>
        <c:auto val="1"/>
        <c:lblAlgn val="ctr"/>
        <c:lblOffset val="100"/>
        <c:noMultiLvlLbl val="0"/>
      </c:catAx>
      <c:valAx>
        <c:axId val="1447034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3278007141895023E-2"/>
              <c:y val="0.40439393829861481"/>
            </c:manualLayout>
          </c:layout>
          <c:overlay val="0"/>
        </c:title>
        <c:numFmt formatCode="#,##0.0" sourceLinked="1"/>
        <c:majorTickMark val="out"/>
        <c:minorTickMark val="none"/>
        <c:tickLblPos val="nextTo"/>
        <c:crossAx val="14502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EMBIG Div Country level Weighted Stripped YTM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EMBIG_Div_Country!$L$68</c:f>
              <c:strCache>
                <c:ptCount val="1"/>
                <c:pt idx="0">
                  <c:v>Weighted Stripped YTM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EMBIG_Div_Country!$D$69:$D$74</c:f>
              <c:strCache>
                <c:ptCount val="6"/>
                <c:pt idx="0">
                  <c:v>0 - 2</c:v>
                </c:pt>
                <c:pt idx="1">
                  <c:v>2 - 4</c:v>
                </c:pt>
                <c:pt idx="2">
                  <c:v>4 - 6</c:v>
                </c:pt>
                <c:pt idx="3">
                  <c:v>6 - 8</c:v>
                </c:pt>
                <c:pt idx="4">
                  <c:v>8 - 10</c:v>
                </c:pt>
                <c:pt idx="5">
                  <c:v>10+</c:v>
                </c:pt>
              </c:strCache>
            </c:strRef>
          </c:cat>
          <c:val>
            <c:numRef>
              <c:f>EMBIG_Div_Country!$L$69:$L$74</c:f>
              <c:numCache>
                <c:formatCode>#,##0.00</c:formatCode>
                <c:ptCount val="6"/>
                <c:pt idx="0">
                  <c:v>0</c:v>
                </c:pt>
                <c:pt idx="1">
                  <c:v>3.4539979138457526</c:v>
                </c:pt>
                <c:pt idx="2">
                  <c:v>4.6669016530452083</c:v>
                </c:pt>
                <c:pt idx="3">
                  <c:v>6.8691385368591868</c:v>
                </c:pt>
                <c:pt idx="4">
                  <c:v>8.7662579742959466</c:v>
                </c:pt>
                <c:pt idx="5">
                  <c:v>13.056499438838415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58464"/>
        <c:axId val="127360384"/>
      </c:barChart>
      <c:catAx>
        <c:axId val="12735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Stripped</a:t>
                </a:r>
                <a:r>
                  <a:rPr lang="en-US" baseline="0"/>
                  <a:t> YTM Buckets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7120353247346505"/>
              <c:y val="0.92400552743073383"/>
            </c:manualLayout>
          </c:layout>
          <c:overlay val="0"/>
        </c:title>
        <c:majorTickMark val="out"/>
        <c:minorTickMark val="none"/>
        <c:tickLblPos val="nextTo"/>
        <c:crossAx val="127360384"/>
        <c:crosses val="autoZero"/>
        <c:auto val="1"/>
        <c:lblAlgn val="ctr"/>
        <c:lblOffset val="100"/>
        <c:noMultiLvlLbl val="0"/>
      </c:catAx>
      <c:valAx>
        <c:axId val="1273603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8.3923412947135845E-3"/>
              <c:y val="0.44662712215880329"/>
            </c:manualLayout>
          </c:layout>
          <c:overlay val="0"/>
        </c:title>
        <c:numFmt formatCode="#,##0.00" sourceLinked="1"/>
        <c:majorTickMark val="out"/>
        <c:minorTickMark val="none"/>
        <c:tickLblPos val="nextTo"/>
        <c:crossAx val="127358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CEMBI Div Weighted EIR Duration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CEMBI_Div_Country!$L$78</c:f>
              <c:strCache>
                <c:ptCount val="1"/>
                <c:pt idx="0">
                  <c:v>Weighted EIR Duration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CEMBI_Div_Country!$D$79:$D$84</c:f>
              <c:strCache>
                <c:ptCount val="6"/>
                <c:pt idx="0">
                  <c:v>0 - 2</c:v>
                </c:pt>
                <c:pt idx="1">
                  <c:v>2 - 4</c:v>
                </c:pt>
                <c:pt idx="2">
                  <c:v>4 - 6</c:v>
                </c:pt>
                <c:pt idx="3">
                  <c:v>6 - 8</c:v>
                </c:pt>
                <c:pt idx="4">
                  <c:v>8 - 10</c:v>
                </c:pt>
                <c:pt idx="5">
                  <c:v>10+</c:v>
                </c:pt>
              </c:strCache>
            </c:strRef>
          </c:cat>
          <c:val>
            <c:numRef>
              <c:f>CEMBI_Div_Country!$L$79:$L$84</c:f>
              <c:numCache>
                <c:formatCode>#,##0.00</c:formatCode>
                <c:ptCount val="6"/>
                <c:pt idx="0">
                  <c:v>1.2965542643699033</c:v>
                </c:pt>
                <c:pt idx="1">
                  <c:v>3.6201883359307097</c:v>
                </c:pt>
                <c:pt idx="2">
                  <c:v>4.9523572596402463</c:v>
                </c:pt>
                <c:pt idx="3">
                  <c:v>6.4578716707880766</c:v>
                </c:pt>
                <c:pt idx="4">
                  <c:v>9.02</c:v>
                </c:pt>
                <c:pt idx="5">
                  <c:v>10.39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732928"/>
        <c:axId val="144734848"/>
      </c:barChart>
      <c:catAx>
        <c:axId val="14473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EIR</a:t>
                </a:r>
                <a:r>
                  <a:rPr lang="en-US" baseline="0"/>
                  <a:t> Duration Buckets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144734848"/>
        <c:crosses val="autoZero"/>
        <c:auto val="1"/>
        <c:lblAlgn val="ctr"/>
        <c:lblOffset val="100"/>
        <c:noMultiLvlLbl val="0"/>
      </c:catAx>
      <c:valAx>
        <c:axId val="1447348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#,##0.00" sourceLinked="1"/>
        <c:majorTickMark val="out"/>
        <c:minorTickMark val="none"/>
        <c:tickLblPos val="nextTo"/>
        <c:crossAx val="14473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CEMBI Div</a:t>
            </a:r>
            <a:r>
              <a:rPr lang="en-US" sz="1400" baseline="0"/>
              <a:t> Security level Stripped YTM Weights</a:t>
            </a:r>
            <a:endParaRPr lang="en-US" sz="14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CEMBI_Div_Security!$I$612</c:f>
              <c:strCache>
                <c:ptCount val="1"/>
                <c:pt idx="0">
                  <c:v>CEMBI Div Market Cap %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CEMBI_Div_Security!$D$613:$D$618</c:f>
              <c:strCache>
                <c:ptCount val="6"/>
                <c:pt idx="0">
                  <c:v>0 - 2</c:v>
                </c:pt>
                <c:pt idx="1">
                  <c:v>2 - 4</c:v>
                </c:pt>
                <c:pt idx="2">
                  <c:v>4 - 6</c:v>
                </c:pt>
                <c:pt idx="3">
                  <c:v>6 - 8</c:v>
                </c:pt>
                <c:pt idx="4">
                  <c:v>8 - 10</c:v>
                </c:pt>
                <c:pt idx="5">
                  <c:v>10+</c:v>
                </c:pt>
              </c:strCache>
            </c:strRef>
          </c:cat>
          <c:val>
            <c:numRef>
              <c:f>CEMBI_Div_Security!$I$613:$I$618</c:f>
              <c:numCache>
                <c:formatCode>0.00</c:formatCode>
                <c:ptCount val="6"/>
                <c:pt idx="0">
                  <c:v>2.1344894650000001</c:v>
                </c:pt>
                <c:pt idx="1">
                  <c:v>29.929686830999991</c:v>
                </c:pt>
                <c:pt idx="2">
                  <c:v>34.41717998999998</c:v>
                </c:pt>
                <c:pt idx="3">
                  <c:v>18.011619352000007</c:v>
                </c:pt>
                <c:pt idx="4">
                  <c:v>7.8691819730000017</c:v>
                </c:pt>
                <c:pt idx="5">
                  <c:v>7.6378423879999966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105472"/>
        <c:axId val="144107392"/>
      </c:barChart>
      <c:catAx>
        <c:axId val="14410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Stripped</a:t>
                </a:r>
                <a:r>
                  <a:rPr lang="en-US" baseline="0"/>
                  <a:t> YTM Buckets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020680794984779"/>
              <c:y val="0.91541586168500444"/>
            </c:manualLayout>
          </c:layout>
          <c:overlay val="0"/>
        </c:title>
        <c:majorTickMark val="out"/>
        <c:minorTickMark val="none"/>
        <c:tickLblPos val="nextTo"/>
        <c:crossAx val="144107392"/>
        <c:crosses val="autoZero"/>
        <c:auto val="1"/>
        <c:lblAlgn val="ctr"/>
        <c:lblOffset val="100"/>
        <c:noMultiLvlLbl val="0"/>
      </c:catAx>
      <c:valAx>
        <c:axId val="1441073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7.4801309022907905E-3"/>
              <c:y val="0.40828021635533751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44105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CEMBI Div Security level Weighted Stripped YTM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CEMBI_Div_Security!$M$612</c:f>
              <c:strCache>
                <c:ptCount val="1"/>
                <c:pt idx="0">
                  <c:v>CEMBI Div Weighted Stripped YTM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CEMBI_Div_Security!$D$613:$D$618</c:f>
              <c:strCache>
                <c:ptCount val="6"/>
                <c:pt idx="0">
                  <c:v>0 - 2</c:v>
                </c:pt>
                <c:pt idx="1">
                  <c:v>2 - 4</c:v>
                </c:pt>
                <c:pt idx="2">
                  <c:v>4 - 6</c:v>
                </c:pt>
                <c:pt idx="3">
                  <c:v>6 - 8</c:v>
                </c:pt>
                <c:pt idx="4">
                  <c:v>8 - 10</c:v>
                </c:pt>
                <c:pt idx="5">
                  <c:v>10+</c:v>
                </c:pt>
              </c:strCache>
            </c:strRef>
          </c:cat>
          <c:val>
            <c:numRef>
              <c:f>CEMBI_Div_Security!$M$613:$M$618</c:f>
              <c:numCache>
                <c:formatCode>0.00</c:formatCode>
                <c:ptCount val="6"/>
                <c:pt idx="0">
                  <c:v>1.6881407505464154</c:v>
                </c:pt>
                <c:pt idx="1">
                  <c:v>3.0657814144303521</c:v>
                </c:pt>
                <c:pt idx="2">
                  <c:v>4.9966214739106443</c:v>
                </c:pt>
                <c:pt idx="3">
                  <c:v>6.8443761706744661</c:v>
                </c:pt>
                <c:pt idx="4">
                  <c:v>8.918120379226421</c:v>
                </c:pt>
                <c:pt idx="5">
                  <c:v>15.298529140401911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874688"/>
        <c:axId val="143885056"/>
      </c:barChart>
      <c:catAx>
        <c:axId val="14387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Stripped</a:t>
                </a:r>
                <a:r>
                  <a:rPr lang="en-US" baseline="0"/>
                  <a:t> YTM Buckets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7147932277012952"/>
              <c:y val="0.92974838004840632"/>
            </c:manualLayout>
          </c:layout>
          <c:overlay val="0"/>
        </c:title>
        <c:majorTickMark val="out"/>
        <c:minorTickMark val="none"/>
        <c:tickLblPos val="nextTo"/>
        <c:crossAx val="143885056"/>
        <c:crosses val="autoZero"/>
        <c:auto val="1"/>
        <c:lblAlgn val="ctr"/>
        <c:lblOffset val="100"/>
        <c:noMultiLvlLbl val="0"/>
      </c:catAx>
      <c:valAx>
        <c:axId val="1438850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9.8183603338242512E-3"/>
              <c:y val="0.4270251676751077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4387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CEMBI Div Security level Stripped Spread Weights</a:t>
            </a:r>
          </a:p>
        </c:rich>
      </c:tx>
      <c:layout>
        <c:manualLayout>
          <c:xMode val="edge"/>
          <c:yMode val="edge"/>
          <c:x val="0.19347280334728034"/>
          <c:y val="2.680066530365470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CEMBI_Div_Security!$I$620</c:f>
              <c:strCache>
                <c:ptCount val="1"/>
                <c:pt idx="0">
                  <c:v>CEMBI Div Market Cap %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CEMBI_Div_Security!$D$621:$D$626</c:f>
              <c:strCache>
                <c:ptCount val="6"/>
                <c:pt idx="0">
                  <c:v>0 - 200</c:v>
                </c:pt>
                <c:pt idx="1">
                  <c:v>200 - 400</c:v>
                </c:pt>
                <c:pt idx="2">
                  <c:v>400 - 600</c:v>
                </c:pt>
                <c:pt idx="3">
                  <c:v>600 - 800</c:v>
                </c:pt>
                <c:pt idx="4">
                  <c:v>800 - 1000</c:v>
                </c:pt>
                <c:pt idx="5">
                  <c:v>1000+</c:v>
                </c:pt>
              </c:strCache>
            </c:strRef>
          </c:cat>
          <c:val>
            <c:numRef>
              <c:f>CEMBI_Div_Security!$I$621:$I$626</c:f>
              <c:numCache>
                <c:formatCode>0.00</c:formatCode>
                <c:ptCount val="6"/>
                <c:pt idx="0">
                  <c:v>13.756444654999999</c:v>
                </c:pt>
                <c:pt idx="1">
                  <c:v>48.633759932999993</c:v>
                </c:pt>
                <c:pt idx="2">
                  <c:v>17.029766410000004</c:v>
                </c:pt>
                <c:pt idx="3">
                  <c:v>8.8750680279999994</c:v>
                </c:pt>
                <c:pt idx="4">
                  <c:v>5.1995703659999988</c:v>
                </c:pt>
                <c:pt idx="5">
                  <c:v>6.5053906069999972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930880"/>
        <c:axId val="143932800"/>
      </c:barChart>
      <c:catAx>
        <c:axId val="14393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Stripped</a:t>
                </a:r>
                <a:r>
                  <a:rPr lang="en-US" baseline="0"/>
                  <a:t> Spread Buckets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644728710265447"/>
              <c:y val="0.92956851921080641"/>
            </c:manualLayout>
          </c:layout>
          <c:overlay val="0"/>
        </c:title>
        <c:majorTickMark val="out"/>
        <c:minorTickMark val="none"/>
        <c:tickLblPos val="nextTo"/>
        <c:crossAx val="143932800"/>
        <c:crosses val="autoZero"/>
        <c:auto val="1"/>
        <c:lblAlgn val="ctr"/>
        <c:lblOffset val="100"/>
        <c:noMultiLvlLbl val="0"/>
      </c:catAx>
      <c:valAx>
        <c:axId val="14393280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7.3563207738154366E-3"/>
              <c:y val="0.42271884405070054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4393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CEMBI Div Security level Weighted Stripped Spread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CEMBI_Div_Security!$M$620</c:f>
              <c:strCache>
                <c:ptCount val="1"/>
                <c:pt idx="0">
                  <c:v>CEMBI Div Weighted Stripped Spread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CEMBI_Div_Security!$D$621:$D$626</c:f>
              <c:strCache>
                <c:ptCount val="6"/>
                <c:pt idx="0">
                  <c:v>0 - 200</c:v>
                </c:pt>
                <c:pt idx="1">
                  <c:v>200 - 400</c:v>
                </c:pt>
                <c:pt idx="2">
                  <c:v>400 - 600</c:v>
                </c:pt>
                <c:pt idx="3">
                  <c:v>600 - 800</c:v>
                </c:pt>
                <c:pt idx="4">
                  <c:v>800 - 1000</c:v>
                </c:pt>
                <c:pt idx="5">
                  <c:v>1000+</c:v>
                </c:pt>
              </c:strCache>
            </c:strRef>
          </c:cat>
          <c:val>
            <c:numRef>
              <c:f>CEMBI_Div_Security!$M$621:$M$626</c:f>
              <c:numCache>
                <c:formatCode>0.00</c:formatCode>
                <c:ptCount val="6"/>
                <c:pt idx="0">
                  <c:v>166.69101930288662</c:v>
                </c:pt>
                <c:pt idx="1">
                  <c:v>295.45841817910696</c:v>
                </c:pt>
                <c:pt idx="2">
                  <c:v>480.14532403666675</c:v>
                </c:pt>
                <c:pt idx="3">
                  <c:v>671.79608266883361</c:v>
                </c:pt>
                <c:pt idx="4">
                  <c:v>880.17986751983301</c:v>
                </c:pt>
                <c:pt idx="5">
                  <c:v>1519.8428038035465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035648"/>
        <c:axId val="145037568"/>
      </c:barChart>
      <c:catAx>
        <c:axId val="14503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Stripped</a:t>
                </a:r>
                <a:r>
                  <a:rPr lang="en-US" baseline="0"/>
                  <a:t> Spread Buckets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481872485984309"/>
              <c:y val="0.93047729330592932"/>
            </c:manualLayout>
          </c:layout>
          <c:overlay val="0"/>
        </c:title>
        <c:majorTickMark val="out"/>
        <c:minorTickMark val="none"/>
        <c:tickLblPos val="nextTo"/>
        <c:crossAx val="145037568"/>
        <c:crosses val="autoZero"/>
        <c:auto val="1"/>
        <c:lblAlgn val="ctr"/>
        <c:lblOffset val="100"/>
        <c:noMultiLvlLbl val="0"/>
      </c:catAx>
      <c:valAx>
        <c:axId val="14503756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Basis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1536859438395498E-3"/>
              <c:y val="0.376440081085079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4503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CEMBI Div Security level EIR Duration Weights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CEMBI_Div_Security!$I$628</c:f>
              <c:strCache>
                <c:ptCount val="1"/>
                <c:pt idx="0">
                  <c:v>CEMBI Div Market Cap %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CEMBI_Div_Security!$D$629:$D$634</c:f>
              <c:strCache>
                <c:ptCount val="6"/>
                <c:pt idx="0">
                  <c:v>0 - 2</c:v>
                </c:pt>
                <c:pt idx="1">
                  <c:v>2 - 4</c:v>
                </c:pt>
                <c:pt idx="2">
                  <c:v>4 - 6</c:v>
                </c:pt>
                <c:pt idx="3">
                  <c:v>6 - 8</c:v>
                </c:pt>
                <c:pt idx="4">
                  <c:v>8 - 10</c:v>
                </c:pt>
                <c:pt idx="5">
                  <c:v>10+</c:v>
                </c:pt>
              </c:strCache>
            </c:strRef>
          </c:cat>
          <c:val>
            <c:numRef>
              <c:f>CEMBI_Div_Security!$I$629:$I$634</c:f>
              <c:numCache>
                <c:formatCode>0.00</c:formatCode>
                <c:ptCount val="6"/>
                <c:pt idx="0">
                  <c:v>7.9094217560000004</c:v>
                </c:pt>
                <c:pt idx="1">
                  <c:v>35.309159244999996</c:v>
                </c:pt>
                <c:pt idx="2">
                  <c:v>22.133212266000001</c:v>
                </c:pt>
                <c:pt idx="3">
                  <c:v>22.904142590000006</c:v>
                </c:pt>
                <c:pt idx="4">
                  <c:v>2.3596322710000002</c:v>
                </c:pt>
                <c:pt idx="5">
                  <c:v>9.3844318710000003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079296"/>
        <c:axId val="145089664"/>
      </c:barChart>
      <c:catAx>
        <c:axId val="14507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EIR</a:t>
                </a:r>
                <a:r>
                  <a:rPr lang="en-US" baseline="0"/>
                  <a:t> Duration Buckets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328273888244591"/>
              <c:y val="0.91461157524213532"/>
            </c:manualLayout>
          </c:layout>
          <c:overlay val="0"/>
        </c:title>
        <c:majorTickMark val="out"/>
        <c:minorTickMark val="none"/>
        <c:tickLblPos val="nextTo"/>
        <c:crossAx val="145089664"/>
        <c:crosses val="autoZero"/>
        <c:auto val="1"/>
        <c:lblAlgn val="ctr"/>
        <c:lblOffset val="100"/>
        <c:noMultiLvlLbl val="0"/>
      </c:catAx>
      <c:valAx>
        <c:axId val="1450896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7226528854435831E-3"/>
              <c:y val="0.4200861990364502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4507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CEMBI Div</a:t>
            </a:r>
            <a:r>
              <a:rPr lang="en-US" sz="1400" baseline="0"/>
              <a:t> </a:t>
            </a:r>
            <a:r>
              <a:rPr lang="en-US" sz="1400"/>
              <a:t>Weighted EIR Duration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CEMBI_Div_Security!$M$628</c:f>
              <c:strCache>
                <c:ptCount val="1"/>
                <c:pt idx="0">
                  <c:v>CEMBI Div Weighted EIR Duration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CEMBI_Div_Security!$D$629:$D$634</c:f>
              <c:strCache>
                <c:ptCount val="6"/>
                <c:pt idx="0">
                  <c:v>0 - 2</c:v>
                </c:pt>
                <c:pt idx="1">
                  <c:v>2 - 4</c:v>
                </c:pt>
                <c:pt idx="2">
                  <c:v>4 - 6</c:v>
                </c:pt>
                <c:pt idx="3">
                  <c:v>6 - 8</c:v>
                </c:pt>
                <c:pt idx="4">
                  <c:v>8 - 10</c:v>
                </c:pt>
                <c:pt idx="5">
                  <c:v>10+</c:v>
                </c:pt>
              </c:strCache>
            </c:strRef>
          </c:cat>
          <c:val>
            <c:numRef>
              <c:f>CEMBI_Div_Security!$M$629:$M$634</c:f>
              <c:numCache>
                <c:formatCode>0.00</c:formatCode>
                <c:ptCount val="6"/>
                <c:pt idx="0">
                  <c:v>0.98287716483668019</c:v>
                </c:pt>
                <c:pt idx="1">
                  <c:v>3.1330464270530216</c:v>
                </c:pt>
                <c:pt idx="2">
                  <c:v>4.8033395516262694</c:v>
                </c:pt>
                <c:pt idx="3">
                  <c:v>6.8815119057851497</c:v>
                </c:pt>
                <c:pt idx="4">
                  <c:v>9.271626747667284</c:v>
                </c:pt>
                <c:pt idx="5">
                  <c:v>12.779430515282691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58624"/>
        <c:axId val="147673088"/>
      </c:barChart>
      <c:catAx>
        <c:axId val="14765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EIR</a:t>
                </a:r>
                <a:r>
                  <a:rPr lang="en-US" baseline="0"/>
                  <a:t> Duration Buckets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704768611240668"/>
              <c:y val="0.92954025507083493"/>
            </c:manualLayout>
          </c:layout>
          <c:overlay val="0"/>
        </c:title>
        <c:majorTickMark val="out"/>
        <c:minorTickMark val="none"/>
        <c:tickLblPos val="nextTo"/>
        <c:crossAx val="147673088"/>
        <c:crosses val="autoZero"/>
        <c:auto val="1"/>
        <c:lblAlgn val="ctr"/>
        <c:lblOffset val="100"/>
        <c:noMultiLvlLbl val="0"/>
      </c:catAx>
      <c:valAx>
        <c:axId val="1476730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.00" sourceLinked="1"/>
        <c:majorTickMark val="out"/>
        <c:minorTickMark val="none"/>
        <c:tickLblPos val="nextTo"/>
        <c:crossAx val="14765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CEMBI Div Current Offer</a:t>
            </a:r>
            <a:r>
              <a:rPr lang="en-US" sz="1400" baseline="0"/>
              <a:t> Price</a:t>
            </a:r>
            <a:r>
              <a:rPr lang="en-US" sz="1400"/>
              <a:t> Weights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CEMBI_Div_Security!$I$636</c:f>
              <c:strCache>
                <c:ptCount val="1"/>
                <c:pt idx="0">
                  <c:v>CEMBI Div Market Cap %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CEMBI_Div_Security!$D$637:$D$642</c:f>
              <c:strCache>
                <c:ptCount val="6"/>
                <c:pt idx="0">
                  <c:v>0 - 50</c:v>
                </c:pt>
                <c:pt idx="1">
                  <c:v>50 - 80</c:v>
                </c:pt>
                <c:pt idx="2">
                  <c:v>80 - 100</c:v>
                </c:pt>
                <c:pt idx="3">
                  <c:v>100 - 120</c:v>
                </c:pt>
                <c:pt idx="4">
                  <c:v>120 - 140</c:v>
                </c:pt>
                <c:pt idx="5">
                  <c:v>140+</c:v>
                </c:pt>
              </c:strCache>
            </c:strRef>
          </c:cat>
          <c:val>
            <c:numRef>
              <c:f>CEMBI_Div_Security!$I$637:$I$642</c:f>
              <c:numCache>
                <c:formatCode>0.00</c:formatCode>
                <c:ptCount val="6"/>
                <c:pt idx="0">
                  <c:v>0.207432914</c:v>
                </c:pt>
                <c:pt idx="1">
                  <c:v>1.4029543690000001</c:v>
                </c:pt>
                <c:pt idx="2">
                  <c:v>22.994244250000008</c:v>
                </c:pt>
                <c:pt idx="3">
                  <c:v>70.983652682999988</c:v>
                </c:pt>
                <c:pt idx="4">
                  <c:v>4.1401394739999997</c:v>
                </c:pt>
                <c:pt idx="5">
                  <c:v>0.27157630900000002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93952"/>
        <c:axId val="147695872"/>
      </c:barChart>
      <c:catAx>
        <c:axId val="14769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</a:t>
                </a:r>
                <a:r>
                  <a:rPr lang="en-US" baseline="0"/>
                  <a:t> Offer Price Buckets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7265911438489546"/>
              <c:y val="0.91799072088739941"/>
            </c:manualLayout>
          </c:layout>
          <c:overlay val="0"/>
        </c:title>
        <c:majorTickMark val="out"/>
        <c:minorTickMark val="none"/>
        <c:tickLblPos val="nextTo"/>
        <c:crossAx val="147695872"/>
        <c:crosses val="autoZero"/>
        <c:auto val="1"/>
        <c:lblAlgn val="ctr"/>
        <c:lblOffset val="100"/>
        <c:noMultiLvlLbl val="0"/>
      </c:catAx>
      <c:valAx>
        <c:axId val="14769587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8.6021505376344086E-3"/>
              <c:y val="0.42324885273491569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4769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CEMBI Div Weighted Current Offer</a:t>
            </a:r>
            <a:r>
              <a:rPr lang="en-US" sz="1400" baseline="0"/>
              <a:t> Price</a:t>
            </a:r>
            <a:endParaRPr lang="en-US" sz="14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CEMBI_Div_Security!$M$636</c:f>
              <c:strCache>
                <c:ptCount val="1"/>
                <c:pt idx="0">
                  <c:v>CEMBI Div Weighted Current Price Offer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CEMBI_Div_Security!$D$637:$D$642</c:f>
              <c:strCache>
                <c:ptCount val="6"/>
                <c:pt idx="0">
                  <c:v>0 - 50</c:v>
                </c:pt>
                <c:pt idx="1">
                  <c:v>50 - 80</c:v>
                </c:pt>
                <c:pt idx="2">
                  <c:v>80 - 100</c:v>
                </c:pt>
                <c:pt idx="3">
                  <c:v>100 - 120</c:v>
                </c:pt>
                <c:pt idx="4">
                  <c:v>120 - 140</c:v>
                </c:pt>
                <c:pt idx="5">
                  <c:v>140+</c:v>
                </c:pt>
              </c:strCache>
            </c:strRef>
          </c:cat>
          <c:val>
            <c:numRef>
              <c:f>CEMBI_Div_Security!$M$637:$M$642</c:f>
              <c:numCache>
                <c:formatCode>0.00</c:formatCode>
                <c:ptCount val="6"/>
                <c:pt idx="0">
                  <c:v>38.93018327739437</c:v>
                </c:pt>
                <c:pt idx="1">
                  <c:v>63.904735700478398</c:v>
                </c:pt>
                <c:pt idx="2">
                  <c:v>94.753115491756773</c:v>
                </c:pt>
                <c:pt idx="3">
                  <c:v>106.38475922810484</c:v>
                </c:pt>
                <c:pt idx="4">
                  <c:v>125.40010531182325</c:v>
                </c:pt>
                <c:pt idx="5">
                  <c:v>141.55000000000001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790848"/>
        <c:axId val="147813504"/>
      </c:barChart>
      <c:catAx>
        <c:axId val="14779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</a:t>
                </a:r>
                <a:r>
                  <a:rPr lang="en-US" baseline="0"/>
                  <a:t> Offer Price Buckets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9113736840936"/>
              <c:y val="0.9276777216188099"/>
            </c:manualLayout>
          </c:layout>
          <c:overlay val="0"/>
        </c:title>
        <c:majorTickMark val="out"/>
        <c:minorTickMark val="none"/>
        <c:tickLblPos val="nextTo"/>
        <c:crossAx val="147813504"/>
        <c:crosses val="autoZero"/>
        <c:auto val="1"/>
        <c:lblAlgn val="ctr"/>
        <c:lblOffset val="100"/>
        <c:noMultiLvlLbl val="0"/>
      </c:catAx>
      <c:valAx>
        <c:axId val="1478135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USD</a:t>
                </a:r>
              </a:p>
            </c:rich>
          </c:tx>
          <c:layout>
            <c:manualLayout>
              <c:xMode val="edge"/>
              <c:yMode val="edge"/>
              <c:x val="9.673518742442563E-3"/>
              <c:y val="0.4222923888330055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47790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3032</a:t>
            </a:r>
            <a:r>
              <a:rPr lang="en-US" sz="1400" baseline="0"/>
              <a:t> YTW Weights</a:t>
            </a:r>
            <a:endParaRPr lang="en-US" sz="14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'3032'!$N$110</c:f>
              <c:strCache>
                <c:ptCount val="1"/>
                <c:pt idx="0">
                  <c:v>3032 % PF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'3032'!$B$111:$B$116</c:f>
              <c:strCache>
                <c:ptCount val="6"/>
                <c:pt idx="0">
                  <c:v>&lt; 2</c:v>
                </c:pt>
                <c:pt idx="1">
                  <c:v>2 - 4</c:v>
                </c:pt>
                <c:pt idx="2">
                  <c:v>4 - 6</c:v>
                </c:pt>
                <c:pt idx="3">
                  <c:v>6 - 8</c:v>
                </c:pt>
                <c:pt idx="4">
                  <c:v>8 - 10</c:v>
                </c:pt>
                <c:pt idx="5">
                  <c:v>10+</c:v>
                </c:pt>
              </c:strCache>
            </c:strRef>
          </c:cat>
          <c:val>
            <c:numRef>
              <c:f>'3032'!$N$111:$N$116</c:f>
              <c:numCache>
                <c:formatCode>0.00</c:formatCode>
                <c:ptCount val="6"/>
                <c:pt idx="0">
                  <c:v>6.3800839999999992</c:v>
                </c:pt>
                <c:pt idx="1">
                  <c:v>15.312462999999997</c:v>
                </c:pt>
                <c:pt idx="2">
                  <c:v>50.815728</c:v>
                </c:pt>
                <c:pt idx="3">
                  <c:v>14.366814</c:v>
                </c:pt>
                <c:pt idx="4">
                  <c:v>5.274570999999999</c:v>
                </c:pt>
                <c:pt idx="5">
                  <c:v>7.8503340000000001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242560"/>
        <c:axId val="148907136"/>
      </c:barChart>
      <c:catAx>
        <c:axId val="14624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YTW</a:t>
                </a:r>
                <a:r>
                  <a:rPr lang="en-US" baseline="0"/>
                  <a:t> Buckets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784354954443233"/>
              <c:y val="0.91786569361756609"/>
            </c:manualLayout>
          </c:layout>
          <c:overlay val="0"/>
        </c:title>
        <c:majorTickMark val="out"/>
        <c:minorTickMark val="none"/>
        <c:tickLblPos val="nextTo"/>
        <c:crossAx val="148907136"/>
        <c:crosses val="autoZero"/>
        <c:auto val="1"/>
        <c:lblAlgn val="ctr"/>
        <c:lblOffset val="100"/>
        <c:noMultiLvlLbl val="0"/>
      </c:catAx>
      <c:valAx>
        <c:axId val="1489071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4.6660829776516673E-3"/>
              <c:y val="0.40442225209653671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4624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EMBIG Div</a:t>
            </a:r>
            <a:r>
              <a:rPr lang="en-US" sz="1400" baseline="0"/>
              <a:t> Country level Stripped Spread Weights</a:t>
            </a:r>
            <a:endParaRPr lang="en-US" sz="14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EMBIG_Div_Country!$H$76</c:f>
              <c:strCache>
                <c:ptCount val="1"/>
                <c:pt idx="0">
                  <c:v>Market Cap %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EMBIG_Div_Country!$D$77:$D$82</c:f>
              <c:strCache>
                <c:ptCount val="6"/>
                <c:pt idx="0">
                  <c:v>0 - 200</c:v>
                </c:pt>
                <c:pt idx="1">
                  <c:v>200 - 400</c:v>
                </c:pt>
                <c:pt idx="2">
                  <c:v>400 - 600</c:v>
                </c:pt>
                <c:pt idx="3">
                  <c:v>600 - 800</c:v>
                </c:pt>
                <c:pt idx="4">
                  <c:v>800 - 1000</c:v>
                </c:pt>
                <c:pt idx="5">
                  <c:v>1000+</c:v>
                </c:pt>
              </c:strCache>
            </c:strRef>
          </c:cat>
          <c:val>
            <c:numRef>
              <c:f>EMBIG_Div_Country!$H$77:$H$82</c:f>
              <c:numCache>
                <c:formatCode>#,##0.00</c:formatCode>
                <c:ptCount val="6"/>
                <c:pt idx="0">
                  <c:v>9.8376070000000002</c:v>
                </c:pt>
                <c:pt idx="1">
                  <c:v>69.070447999999985</c:v>
                </c:pt>
                <c:pt idx="2">
                  <c:v>9.8055620000000019</c:v>
                </c:pt>
                <c:pt idx="3">
                  <c:v>3.365872</c:v>
                </c:pt>
                <c:pt idx="4">
                  <c:v>2.4410080000000001</c:v>
                </c:pt>
                <c:pt idx="5">
                  <c:v>5.4795020000000001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94176"/>
        <c:axId val="127396096"/>
      </c:barChart>
      <c:catAx>
        <c:axId val="12739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Stripped</a:t>
                </a:r>
                <a:r>
                  <a:rPr lang="en-US" baseline="0"/>
                  <a:t> Spread Buckets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6713410416542719"/>
              <c:y val="0.91695173609638647"/>
            </c:manualLayout>
          </c:layout>
          <c:overlay val="0"/>
        </c:title>
        <c:majorTickMark val="out"/>
        <c:minorTickMark val="none"/>
        <c:tickLblPos val="nextTo"/>
        <c:crossAx val="127396096"/>
        <c:crosses val="autoZero"/>
        <c:auto val="1"/>
        <c:lblAlgn val="ctr"/>
        <c:lblOffset val="100"/>
        <c:noMultiLvlLbl val="0"/>
      </c:catAx>
      <c:valAx>
        <c:axId val="1273960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8.3009072336033794E-3"/>
              <c:y val="0.42849239755932944"/>
            </c:manualLayout>
          </c:layout>
          <c:overlay val="0"/>
        </c:title>
        <c:numFmt formatCode="#,##0.00" sourceLinked="1"/>
        <c:majorTickMark val="out"/>
        <c:minorTickMark val="none"/>
        <c:tickLblPos val="nextTo"/>
        <c:crossAx val="12739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3032 Weighted YTW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'3032'!$P$110</c:f>
              <c:strCache>
                <c:ptCount val="1"/>
                <c:pt idx="0">
                  <c:v>3032 Weighted YTW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0946152411591489E-17"/>
                  <c:y val="0.117647058823529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'3032'!$B$111:$B$116</c:f>
              <c:strCache>
                <c:ptCount val="6"/>
                <c:pt idx="0">
                  <c:v>&lt; 2</c:v>
                </c:pt>
                <c:pt idx="1">
                  <c:v>2 - 4</c:v>
                </c:pt>
                <c:pt idx="2">
                  <c:v>4 - 6</c:v>
                </c:pt>
                <c:pt idx="3">
                  <c:v>6 - 8</c:v>
                </c:pt>
                <c:pt idx="4">
                  <c:v>8 - 10</c:v>
                </c:pt>
                <c:pt idx="5">
                  <c:v>10+</c:v>
                </c:pt>
              </c:strCache>
            </c:strRef>
          </c:cat>
          <c:val>
            <c:numRef>
              <c:f>'3032'!$P$111:$P$116</c:f>
              <c:numCache>
                <c:formatCode>0.00</c:formatCode>
                <c:ptCount val="6"/>
                <c:pt idx="0">
                  <c:v>-0.55931501053323784</c:v>
                </c:pt>
                <c:pt idx="1">
                  <c:v>3.7711348014618209</c:v>
                </c:pt>
                <c:pt idx="2">
                  <c:v>5.0173529424442211</c:v>
                </c:pt>
                <c:pt idx="3">
                  <c:v>6.7382181385227176</c:v>
                </c:pt>
                <c:pt idx="4">
                  <c:v>8.944297390043511</c:v>
                </c:pt>
                <c:pt idx="5">
                  <c:v>16.904186404797244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948864"/>
        <c:axId val="148955136"/>
      </c:barChart>
      <c:catAx>
        <c:axId val="14894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YTW Buckets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226909816371041"/>
              <c:y val="0.92076455148988734"/>
            </c:manualLayout>
          </c:layout>
          <c:overlay val="0"/>
        </c:title>
        <c:majorTickMark val="out"/>
        <c:minorTickMark val="none"/>
        <c:tickLblPos val="nextTo"/>
        <c:crossAx val="148955136"/>
        <c:crosses val="autoZero"/>
        <c:auto val="1"/>
        <c:lblAlgn val="ctr"/>
        <c:lblOffset val="100"/>
        <c:noMultiLvlLbl val="0"/>
      </c:catAx>
      <c:valAx>
        <c:axId val="1489551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94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3032</a:t>
            </a:r>
            <a:r>
              <a:rPr lang="en-US" sz="1400" baseline="0"/>
              <a:t> OAS Weights</a:t>
            </a:r>
            <a:endParaRPr lang="en-US" sz="14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'3032'!$N$118</c:f>
              <c:strCache>
                <c:ptCount val="1"/>
                <c:pt idx="0">
                  <c:v>3032 % PF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'3032'!$B$119:$B$124</c:f>
              <c:strCache>
                <c:ptCount val="6"/>
                <c:pt idx="0">
                  <c:v>0 - 200</c:v>
                </c:pt>
                <c:pt idx="1">
                  <c:v>200 - 400</c:v>
                </c:pt>
                <c:pt idx="2">
                  <c:v>400 - 600</c:v>
                </c:pt>
                <c:pt idx="3">
                  <c:v>600 - 800</c:v>
                </c:pt>
                <c:pt idx="4">
                  <c:v>800 - 1000</c:v>
                </c:pt>
                <c:pt idx="5">
                  <c:v>1000+</c:v>
                </c:pt>
              </c:strCache>
            </c:strRef>
          </c:cat>
          <c:val>
            <c:numRef>
              <c:f>'3032'!$N$119:$N$124</c:f>
              <c:numCache>
                <c:formatCode>0.00</c:formatCode>
                <c:ptCount val="6"/>
                <c:pt idx="0">
                  <c:v>23.221988</c:v>
                </c:pt>
                <c:pt idx="1">
                  <c:v>44.580593</c:v>
                </c:pt>
                <c:pt idx="2">
                  <c:v>19.291818000000003</c:v>
                </c:pt>
                <c:pt idx="3">
                  <c:v>5.6422360000000005</c:v>
                </c:pt>
                <c:pt idx="4">
                  <c:v>2.142474</c:v>
                </c:pt>
                <c:pt idx="5">
                  <c:v>5.1208849999999995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246720"/>
        <c:axId val="149248640"/>
      </c:barChart>
      <c:catAx>
        <c:axId val="14924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OAS</a:t>
                </a:r>
                <a:r>
                  <a:rPr lang="en-US" baseline="0"/>
                  <a:t> Buckets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417901453662912"/>
              <c:y val="0.92853566201421089"/>
            </c:manualLayout>
          </c:layout>
          <c:overlay val="0"/>
        </c:title>
        <c:majorTickMark val="out"/>
        <c:minorTickMark val="none"/>
        <c:tickLblPos val="nextTo"/>
        <c:crossAx val="149248640"/>
        <c:crosses val="autoZero"/>
        <c:auto val="1"/>
        <c:lblAlgn val="ctr"/>
        <c:lblOffset val="100"/>
        <c:noMultiLvlLbl val="0"/>
      </c:catAx>
      <c:valAx>
        <c:axId val="14924864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Basis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6.9384208773259869E-3"/>
              <c:y val="0.39818447927653905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4924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3032 Weighted OAS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'3032'!$P$118</c:f>
              <c:strCache>
                <c:ptCount val="1"/>
                <c:pt idx="0">
                  <c:v>3032 Weighted OAS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'3032'!$B$119:$B$124</c:f>
              <c:strCache>
                <c:ptCount val="6"/>
                <c:pt idx="0">
                  <c:v>0 - 200</c:v>
                </c:pt>
                <c:pt idx="1">
                  <c:v>200 - 400</c:v>
                </c:pt>
                <c:pt idx="2">
                  <c:v>400 - 600</c:v>
                </c:pt>
                <c:pt idx="3">
                  <c:v>600 - 800</c:v>
                </c:pt>
                <c:pt idx="4">
                  <c:v>800 - 1000</c:v>
                </c:pt>
                <c:pt idx="5">
                  <c:v>1000+</c:v>
                </c:pt>
              </c:strCache>
            </c:strRef>
          </c:cat>
          <c:val>
            <c:numRef>
              <c:f>'3032'!$P$119:$P$124</c:f>
              <c:numCache>
                <c:formatCode>0.0</c:formatCode>
                <c:ptCount val="6"/>
                <c:pt idx="0">
                  <c:v>66.414534095568712</c:v>
                </c:pt>
                <c:pt idx="1">
                  <c:v>290.64661939628735</c:v>
                </c:pt>
                <c:pt idx="2">
                  <c:v>459.32668312740901</c:v>
                </c:pt>
                <c:pt idx="3">
                  <c:v>691.6800083417603</c:v>
                </c:pt>
                <c:pt idx="4">
                  <c:v>863.28508871083795</c:v>
                </c:pt>
                <c:pt idx="5">
                  <c:v>1926.3269547781783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273984"/>
        <c:axId val="149300736"/>
      </c:barChart>
      <c:catAx>
        <c:axId val="14927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OAS</a:t>
                </a:r>
                <a:r>
                  <a:rPr lang="en-US" baseline="0"/>
                  <a:t> Buckets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489447161212489"/>
              <c:y val="0.9273251921354142"/>
            </c:manualLayout>
          </c:layout>
          <c:overlay val="0"/>
        </c:title>
        <c:majorTickMark val="out"/>
        <c:minorTickMark val="none"/>
        <c:tickLblPos val="nextTo"/>
        <c:crossAx val="149300736"/>
        <c:crosses val="autoZero"/>
        <c:auto val="1"/>
        <c:lblAlgn val="ctr"/>
        <c:lblOffset val="100"/>
        <c:noMultiLvlLbl val="0"/>
      </c:catAx>
      <c:valAx>
        <c:axId val="1493007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Basis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1090228098538104E-3"/>
              <c:y val="0.35175821585176104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14927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3032</a:t>
            </a:r>
            <a:r>
              <a:rPr lang="en-US" sz="1400" baseline="0"/>
              <a:t> Effective Duration Weights</a:t>
            </a:r>
            <a:endParaRPr lang="en-US" sz="14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'3032'!$N$126</c:f>
              <c:strCache>
                <c:ptCount val="1"/>
                <c:pt idx="0">
                  <c:v>3032 % PF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'3032'!$B$127:$B$132</c:f>
              <c:strCache>
                <c:ptCount val="6"/>
                <c:pt idx="0">
                  <c:v>0 - 2</c:v>
                </c:pt>
                <c:pt idx="1">
                  <c:v>2 - 4</c:v>
                </c:pt>
                <c:pt idx="2">
                  <c:v>4 - 6</c:v>
                </c:pt>
                <c:pt idx="3">
                  <c:v>6 - 8</c:v>
                </c:pt>
                <c:pt idx="4">
                  <c:v>8 - 10</c:v>
                </c:pt>
                <c:pt idx="5">
                  <c:v>10+</c:v>
                </c:pt>
              </c:strCache>
            </c:strRef>
          </c:cat>
          <c:val>
            <c:numRef>
              <c:f>'3032'!$N$127:$N$132</c:f>
              <c:numCache>
                <c:formatCode>0.00</c:formatCode>
                <c:ptCount val="6"/>
                <c:pt idx="0">
                  <c:v>7.1797030000000008</c:v>
                </c:pt>
                <c:pt idx="1">
                  <c:v>7.8426080000000011</c:v>
                </c:pt>
                <c:pt idx="2">
                  <c:v>29.874229000000003</c:v>
                </c:pt>
                <c:pt idx="3">
                  <c:v>36.912827</c:v>
                </c:pt>
                <c:pt idx="4">
                  <c:v>9.1209869999999995</c:v>
                </c:pt>
                <c:pt idx="5">
                  <c:v>9.0696399999999997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326080"/>
        <c:axId val="149332352"/>
      </c:barChart>
      <c:catAx>
        <c:axId val="14932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Effective Duration Buckets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332352"/>
        <c:crosses val="autoZero"/>
        <c:auto val="1"/>
        <c:lblAlgn val="ctr"/>
        <c:lblOffset val="100"/>
        <c:noMultiLvlLbl val="0"/>
      </c:catAx>
      <c:valAx>
        <c:axId val="14933235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.00" sourceLinked="1"/>
        <c:majorTickMark val="out"/>
        <c:minorTickMark val="none"/>
        <c:tickLblPos val="nextTo"/>
        <c:crossAx val="14932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3032 Weighted Effective Duration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'3032'!$P$126</c:f>
              <c:strCache>
                <c:ptCount val="1"/>
                <c:pt idx="0">
                  <c:v>3032 Weighted Effective Duration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'3032'!$B$127:$B$132</c:f>
              <c:strCache>
                <c:ptCount val="6"/>
                <c:pt idx="0">
                  <c:v>0 - 2</c:v>
                </c:pt>
                <c:pt idx="1">
                  <c:v>2 - 4</c:v>
                </c:pt>
                <c:pt idx="2">
                  <c:v>4 - 6</c:v>
                </c:pt>
                <c:pt idx="3">
                  <c:v>6 - 8</c:v>
                </c:pt>
                <c:pt idx="4">
                  <c:v>8 - 10</c:v>
                </c:pt>
                <c:pt idx="5">
                  <c:v>10+</c:v>
                </c:pt>
              </c:strCache>
            </c:strRef>
          </c:cat>
          <c:val>
            <c:numRef>
              <c:f>'3032'!$P$127:$P$132</c:f>
              <c:numCache>
                <c:formatCode>0.00</c:formatCode>
                <c:ptCount val="6"/>
                <c:pt idx="0">
                  <c:v>0.27498770671794565</c:v>
                </c:pt>
                <c:pt idx="1">
                  <c:v>2.6343502560420937</c:v>
                </c:pt>
                <c:pt idx="2">
                  <c:v>5.2972345257263189</c:v>
                </c:pt>
                <c:pt idx="3">
                  <c:v>6.9552803319508083</c:v>
                </c:pt>
                <c:pt idx="4">
                  <c:v>8.8927423274446937</c:v>
                </c:pt>
                <c:pt idx="5">
                  <c:v>12.163409867721494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353216"/>
        <c:axId val="149355136"/>
      </c:barChart>
      <c:catAx>
        <c:axId val="14935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Effective</a:t>
                </a:r>
                <a:r>
                  <a:rPr lang="en-US" baseline="0"/>
                  <a:t> Duration Buckets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8537383179069231"/>
              <c:y val="0.92302844453589961"/>
            </c:manualLayout>
          </c:layout>
          <c:overlay val="0"/>
        </c:title>
        <c:majorTickMark val="out"/>
        <c:minorTickMark val="none"/>
        <c:tickLblPos val="nextTo"/>
        <c:crossAx val="149355136"/>
        <c:crosses val="autoZero"/>
        <c:auto val="1"/>
        <c:lblAlgn val="ctr"/>
        <c:lblOffset val="100"/>
        <c:noMultiLvlLbl val="0"/>
      </c:catAx>
      <c:valAx>
        <c:axId val="1493551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.00" sourceLinked="1"/>
        <c:majorTickMark val="out"/>
        <c:minorTickMark val="none"/>
        <c:tickLblPos val="nextTo"/>
        <c:crossAx val="14935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3032</a:t>
            </a:r>
            <a:r>
              <a:rPr lang="en-US" sz="1400" baseline="0"/>
              <a:t> Market Price Weights</a:t>
            </a:r>
            <a:endParaRPr lang="en-US" sz="14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'3032'!$N$134</c:f>
              <c:strCache>
                <c:ptCount val="1"/>
                <c:pt idx="0">
                  <c:v>3032 % PF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'3032'!$B$135:$B$140</c:f>
              <c:strCache>
                <c:ptCount val="6"/>
                <c:pt idx="0">
                  <c:v>0 - 50</c:v>
                </c:pt>
                <c:pt idx="1">
                  <c:v>50 - 80</c:v>
                </c:pt>
                <c:pt idx="2">
                  <c:v>80 - 100</c:v>
                </c:pt>
                <c:pt idx="3">
                  <c:v>100 - 120</c:v>
                </c:pt>
                <c:pt idx="4">
                  <c:v>120 - 140</c:v>
                </c:pt>
                <c:pt idx="5">
                  <c:v>140+</c:v>
                </c:pt>
              </c:strCache>
            </c:strRef>
          </c:cat>
          <c:val>
            <c:numRef>
              <c:f>'3032'!$N$135:$N$140</c:f>
              <c:numCache>
                <c:formatCode>0.00</c:formatCode>
                <c:ptCount val="6"/>
                <c:pt idx="0">
                  <c:v>9.2414949999999987</c:v>
                </c:pt>
                <c:pt idx="1">
                  <c:v>6.0519429999999996</c:v>
                </c:pt>
                <c:pt idx="2">
                  <c:v>5.5497569999999996</c:v>
                </c:pt>
                <c:pt idx="3">
                  <c:v>53.856318999999999</c:v>
                </c:pt>
                <c:pt idx="4">
                  <c:v>14.442620000000002</c:v>
                </c:pt>
                <c:pt idx="5">
                  <c:v>3.999816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449728"/>
        <c:axId val="149484672"/>
      </c:barChart>
      <c:catAx>
        <c:axId val="14944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Market Price Buckets</a:t>
                </a:r>
              </a:p>
            </c:rich>
          </c:tx>
          <c:layout>
            <c:manualLayout>
              <c:xMode val="edge"/>
              <c:yMode val="edge"/>
              <c:x val="0.4191701685407675"/>
              <c:y val="0.91836347729261114"/>
            </c:manualLayout>
          </c:layout>
          <c:overlay val="0"/>
        </c:title>
        <c:majorTickMark val="out"/>
        <c:minorTickMark val="none"/>
        <c:tickLblPos val="nextTo"/>
        <c:crossAx val="149484672"/>
        <c:crosses val="autoZero"/>
        <c:auto val="1"/>
        <c:lblAlgn val="ctr"/>
        <c:lblOffset val="100"/>
        <c:noMultiLvlLbl val="0"/>
      </c:catAx>
      <c:valAx>
        <c:axId val="14948467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USD</a:t>
                </a:r>
              </a:p>
            </c:rich>
          </c:tx>
          <c:layout>
            <c:manualLayout>
              <c:xMode val="edge"/>
              <c:yMode val="edge"/>
              <c:x val="4.4040733864272701E-3"/>
              <c:y val="0.43005201622524458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4944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3032 Weighted Market Price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'3032'!$P$134</c:f>
              <c:strCache>
                <c:ptCount val="1"/>
                <c:pt idx="0">
                  <c:v>3032 Weighted Market Price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'3032'!$B$135:$B$140</c:f>
              <c:strCache>
                <c:ptCount val="6"/>
                <c:pt idx="0">
                  <c:v>0 - 50</c:v>
                </c:pt>
                <c:pt idx="1">
                  <c:v>50 - 80</c:v>
                </c:pt>
                <c:pt idx="2">
                  <c:v>80 - 100</c:v>
                </c:pt>
                <c:pt idx="3">
                  <c:v>100 - 120</c:v>
                </c:pt>
                <c:pt idx="4">
                  <c:v>120 - 140</c:v>
                </c:pt>
                <c:pt idx="5">
                  <c:v>140+</c:v>
                </c:pt>
              </c:strCache>
            </c:strRef>
          </c:cat>
          <c:val>
            <c:numRef>
              <c:f>'3032'!$P$135:$P$140</c:f>
              <c:numCache>
                <c:formatCode>0.00</c:formatCode>
                <c:ptCount val="6"/>
                <c:pt idx="0">
                  <c:v>8.7723401413496482</c:v>
                </c:pt>
                <c:pt idx="1">
                  <c:v>63.451561902685569</c:v>
                </c:pt>
                <c:pt idx="2">
                  <c:v>99.083499590380242</c:v>
                </c:pt>
                <c:pt idx="3">
                  <c:v>107.43367897756153</c:v>
                </c:pt>
                <c:pt idx="4">
                  <c:v>126.86999797541196</c:v>
                </c:pt>
                <c:pt idx="5">
                  <c:v>153.39950761584794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501824"/>
        <c:axId val="149504000"/>
      </c:barChart>
      <c:catAx>
        <c:axId val="14950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Market</a:t>
                </a:r>
                <a:r>
                  <a:rPr lang="en-US" baseline="0"/>
                  <a:t> Price Buckets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5295447508646866"/>
              <c:y val="0.92704638415924501"/>
            </c:manualLayout>
          </c:layout>
          <c:overlay val="0"/>
        </c:title>
        <c:majorTickMark val="out"/>
        <c:minorTickMark val="none"/>
        <c:tickLblPos val="nextTo"/>
        <c:crossAx val="149504000"/>
        <c:crosses val="autoZero"/>
        <c:auto val="1"/>
        <c:lblAlgn val="ctr"/>
        <c:lblOffset val="100"/>
        <c:noMultiLvlLbl val="0"/>
      </c:catAx>
      <c:valAx>
        <c:axId val="14950400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USD</a:t>
                </a:r>
              </a:p>
            </c:rich>
          </c:tx>
          <c:layout>
            <c:manualLayout>
              <c:xMode val="edge"/>
              <c:yMode val="edge"/>
              <c:x val="4.0496067257909246E-3"/>
              <c:y val="0.42284107648937047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49501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3032 YTW Weights</a:t>
            </a:r>
            <a:r>
              <a:rPr lang="en-US" sz="1200" baseline="0"/>
              <a:t> vs EMBIG Div Security level Stripped YTM Weights</a:t>
            </a:r>
            <a:endParaRPr lang="en-US" sz="1200"/>
          </a:p>
        </c:rich>
      </c:tx>
      <c:layout>
        <c:manualLayout>
          <c:xMode val="edge"/>
          <c:yMode val="edge"/>
          <c:x val="0.19535266872826207"/>
          <c:y val="3.4013596332530846E-3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'3032'!$N$110</c:f>
              <c:strCache>
                <c:ptCount val="1"/>
                <c:pt idx="0">
                  <c:v>3032 % PF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1.2033694344163636E-2"/>
                  <c:y val="7.75193798449612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9253910950661854E-2"/>
                  <c:y val="1.16279069767441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7.220278989152229E-3"/>
                  <c:y val="1.64532067991839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'3032'!$B$111:$B$116</c:f>
              <c:strCache>
                <c:ptCount val="6"/>
                <c:pt idx="0">
                  <c:v>&lt; 2</c:v>
                </c:pt>
                <c:pt idx="1">
                  <c:v>2 - 4</c:v>
                </c:pt>
                <c:pt idx="2">
                  <c:v>4 - 6</c:v>
                </c:pt>
                <c:pt idx="3">
                  <c:v>6 - 8</c:v>
                </c:pt>
                <c:pt idx="4">
                  <c:v>8 - 10</c:v>
                </c:pt>
                <c:pt idx="5">
                  <c:v>10+</c:v>
                </c:pt>
              </c:strCache>
            </c:strRef>
          </c:cat>
          <c:val>
            <c:numRef>
              <c:f>'3032'!$N$111:$N$116</c:f>
              <c:numCache>
                <c:formatCode>0.00</c:formatCode>
                <c:ptCount val="6"/>
                <c:pt idx="0">
                  <c:v>6.3800839999999992</c:v>
                </c:pt>
                <c:pt idx="1">
                  <c:v>15.312462999999997</c:v>
                </c:pt>
                <c:pt idx="2">
                  <c:v>50.815728</c:v>
                </c:pt>
                <c:pt idx="3">
                  <c:v>14.366814</c:v>
                </c:pt>
                <c:pt idx="4">
                  <c:v>5.274570999999999</c:v>
                </c:pt>
                <c:pt idx="5">
                  <c:v>7.8503340000000001</c:v>
                </c:pt>
              </c:numCache>
            </c:numRef>
          </c:val>
        </c:ser>
        <c:ser>
          <c:idx val="1"/>
          <c:order val="1"/>
          <c:tx>
            <c:strRef>
              <c:f>EMBIG_Div_Security!$G$286</c:f>
              <c:strCache>
                <c:ptCount val="1"/>
                <c:pt idx="0">
                  <c:v>EMBIG Div Market Cap %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44404332129963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2.1660649819494629E-2"/>
                  <c:y val="1.93798449612402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444043321299639E-2"/>
                  <c:y val="1.16279069767441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9.6269554753309269E-3"/>
                  <c:y val="1.5503875968992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'3032'!$B$111:$B$116</c:f>
              <c:strCache>
                <c:ptCount val="6"/>
                <c:pt idx="0">
                  <c:v>&lt; 2</c:v>
                </c:pt>
                <c:pt idx="1">
                  <c:v>2 - 4</c:v>
                </c:pt>
                <c:pt idx="2">
                  <c:v>4 - 6</c:v>
                </c:pt>
                <c:pt idx="3">
                  <c:v>6 - 8</c:v>
                </c:pt>
                <c:pt idx="4">
                  <c:v>8 - 10</c:v>
                </c:pt>
                <c:pt idx="5">
                  <c:v>10+</c:v>
                </c:pt>
              </c:strCache>
            </c:strRef>
          </c:cat>
          <c:val>
            <c:numRef>
              <c:f>EMBIG_Div_Security!$G$287:$G$292</c:f>
              <c:numCache>
                <c:formatCode>0.00</c:formatCode>
                <c:ptCount val="6"/>
                <c:pt idx="0">
                  <c:v>3.2362200170000004</c:v>
                </c:pt>
                <c:pt idx="1">
                  <c:v>28.320571369000003</c:v>
                </c:pt>
                <c:pt idx="2">
                  <c:v>47.322965111000009</c:v>
                </c:pt>
                <c:pt idx="3">
                  <c:v>9.9425937760000025</c:v>
                </c:pt>
                <c:pt idx="4">
                  <c:v>3.0865053089999996</c:v>
                </c:pt>
                <c:pt idx="5">
                  <c:v>8.0911444230000011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559936"/>
        <c:axId val="149566208"/>
      </c:barChart>
      <c:catAx>
        <c:axId val="14955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YTW/Stripped YTW</a:t>
                </a:r>
                <a:r>
                  <a:rPr lang="en-US" baseline="0"/>
                  <a:t> Buckets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5502171024918183"/>
              <c:y val="0.90779032620922384"/>
            </c:manualLayout>
          </c:layout>
          <c:overlay val="0"/>
        </c:title>
        <c:majorTickMark val="out"/>
        <c:minorTickMark val="none"/>
        <c:tickLblPos val="nextTo"/>
        <c:crossAx val="149566208"/>
        <c:crosses val="autoZero"/>
        <c:auto val="1"/>
        <c:lblAlgn val="ctr"/>
        <c:lblOffset val="100"/>
        <c:noMultiLvlLbl val="0"/>
      </c:catAx>
      <c:valAx>
        <c:axId val="1495662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49559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3032</a:t>
            </a:r>
            <a:r>
              <a:rPr lang="en-US" sz="1200" baseline="0"/>
              <a:t> Weighted YTW vs EMBIG Div Security level Weighted Stripped YTM</a:t>
            </a:r>
            <a:endParaRPr lang="en-US" sz="1200"/>
          </a:p>
        </c:rich>
      </c:tx>
      <c:layout>
        <c:manualLayout>
          <c:xMode val="edge"/>
          <c:yMode val="edge"/>
          <c:x val="0.2097615126044467"/>
          <c:y val="0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'3032'!$P$110</c:f>
              <c:strCache>
                <c:ptCount val="1"/>
                <c:pt idx="0">
                  <c:v>3032 Weighted YTW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-1.0796221322537112E-2"/>
                  <c:y val="6.944444444444444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0796221322537112E-2"/>
                  <c:y val="6.944444444444444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3.5987404408457041E-3"/>
                  <c:y val="2.43055555555555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'3032'!$B$111:$B$116</c:f>
              <c:strCache>
                <c:ptCount val="6"/>
                <c:pt idx="0">
                  <c:v>&lt; 2</c:v>
                </c:pt>
                <c:pt idx="1">
                  <c:v>2 - 4</c:v>
                </c:pt>
                <c:pt idx="2">
                  <c:v>4 - 6</c:v>
                </c:pt>
                <c:pt idx="3">
                  <c:v>6 - 8</c:v>
                </c:pt>
                <c:pt idx="4">
                  <c:v>8 - 10</c:v>
                </c:pt>
                <c:pt idx="5">
                  <c:v>10+</c:v>
                </c:pt>
              </c:strCache>
            </c:strRef>
          </c:cat>
          <c:val>
            <c:numRef>
              <c:f>'3032'!$P$111:$P$116</c:f>
              <c:numCache>
                <c:formatCode>0.00</c:formatCode>
                <c:ptCount val="6"/>
                <c:pt idx="0">
                  <c:v>-0.55931501053323784</c:v>
                </c:pt>
                <c:pt idx="1">
                  <c:v>3.7711348014618209</c:v>
                </c:pt>
                <c:pt idx="2">
                  <c:v>5.0173529424442211</c:v>
                </c:pt>
                <c:pt idx="3">
                  <c:v>6.7382181385227176</c:v>
                </c:pt>
                <c:pt idx="4">
                  <c:v>8.944297390043511</c:v>
                </c:pt>
                <c:pt idx="5">
                  <c:v>16.904186404797244</c:v>
                </c:pt>
              </c:numCache>
            </c:numRef>
          </c:val>
        </c:ser>
        <c:ser>
          <c:idx val="1"/>
          <c:order val="1"/>
          <c:tx>
            <c:strRef>
              <c:f>EMBIG_Div_Security!$K$286</c:f>
              <c:strCache>
                <c:ptCount val="1"/>
                <c:pt idx="0">
                  <c:v>EMBIG Div Weighted Stripped YTM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1.0796221322537112E-2"/>
                  <c:y val="1.04166666666666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7.1974808816914083E-3"/>
                  <c:y val="1.04166666666666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7.1974808816914083E-3"/>
                  <c:y val="1.04166666666666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7.1973391989968863E-3"/>
                  <c:y val="1.73611111111111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8.9968511021142599E-3"/>
                  <c:y val="3.47222222222222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'3032'!$B$111:$B$116</c:f>
              <c:strCache>
                <c:ptCount val="6"/>
                <c:pt idx="0">
                  <c:v>&lt; 2</c:v>
                </c:pt>
                <c:pt idx="1">
                  <c:v>2 - 4</c:v>
                </c:pt>
                <c:pt idx="2">
                  <c:v>4 - 6</c:v>
                </c:pt>
                <c:pt idx="3">
                  <c:v>6 - 8</c:v>
                </c:pt>
                <c:pt idx="4">
                  <c:v>8 - 10</c:v>
                </c:pt>
                <c:pt idx="5">
                  <c:v>10+</c:v>
                </c:pt>
              </c:strCache>
            </c:strRef>
          </c:cat>
          <c:val>
            <c:numRef>
              <c:f>EMBIG_Div_Security!$K$287:$K$292</c:f>
              <c:numCache>
                <c:formatCode>0.00</c:formatCode>
                <c:ptCount val="6"/>
                <c:pt idx="0">
                  <c:v>1.4064097176956387</c:v>
                </c:pt>
                <c:pt idx="1">
                  <c:v>3.1810810398655818</c:v>
                </c:pt>
                <c:pt idx="2">
                  <c:v>4.8607372722699846</c:v>
                </c:pt>
                <c:pt idx="3">
                  <c:v>6.8798623973904984</c:v>
                </c:pt>
                <c:pt idx="4">
                  <c:v>8.6451802083274369</c:v>
                </c:pt>
                <c:pt idx="5">
                  <c:v>12.923214162194553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609088"/>
        <c:axId val="151982848"/>
      </c:barChart>
      <c:catAx>
        <c:axId val="14960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YTW/Stripped YTW</a:t>
                </a:r>
                <a:r>
                  <a:rPr lang="en-US" baseline="0"/>
                  <a:t> Buckets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9362633314560377"/>
              <c:y val="0.93331583552055997"/>
            </c:manualLayout>
          </c:layout>
          <c:overlay val="0"/>
        </c:title>
        <c:majorTickMark val="out"/>
        <c:minorTickMark val="none"/>
        <c:tickLblPos val="low"/>
        <c:crossAx val="151982848"/>
        <c:crosses val="autoZero"/>
        <c:auto val="1"/>
        <c:lblAlgn val="ctr"/>
        <c:lblOffset val="100"/>
        <c:noMultiLvlLbl val="0"/>
      </c:catAx>
      <c:valAx>
        <c:axId val="1519828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49609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3032</a:t>
            </a:r>
            <a:r>
              <a:rPr lang="en-US" sz="1200" baseline="0"/>
              <a:t> OAS Weights vs EMBIG Div Security level Stripped Spread Weights</a:t>
            </a:r>
            <a:endParaRPr lang="en-US" sz="1200"/>
          </a:p>
        </c:rich>
      </c:tx>
      <c:layout>
        <c:manualLayout>
          <c:xMode val="edge"/>
          <c:yMode val="edge"/>
          <c:x val="0.20490167575206944"/>
          <c:y val="0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'3032'!$N$118</c:f>
              <c:strCache>
                <c:ptCount val="1"/>
                <c:pt idx="0">
                  <c:v>3032 % PF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5.1282051282051282E-3"/>
                  <c:y val="9.73236009732360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0256410256410288E-2"/>
                  <c:y val="9.73236009732360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3.4188034188034188E-3"/>
                  <c:y val="1.62206001622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6.8376068376068376E-3"/>
                  <c:y val="1.62206001622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'3032'!$B$119:$B$124</c:f>
              <c:strCache>
                <c:ptCount val="6"/>
                <c:pt idx="0">
                  <c:v>0 - 200</c:v>
                </c:pt>
                <c:pt idx="1">
                  <c:v>200 - 400</c:v>
                </c:pt>
                <c:pt idx="2">
                  <c:v>400 - 600</c:v>
                </c:pt>
                <c:pt idx="3">
                  <c:v>600 - 800</c:v>
                </c:pt>
                <c:pt idx="4">
                  <c:v>800 - 1000</c:v>
                </c:pt>
                <c:pt idx="5">
                  <c:v>1000+</c:v>
                </c:pt>
              </c:strCache>
            </c:strRef>
          </c:cat>
          <c:val>
            <c:numRef>
              <c:f>'3032'!$N$119:$N$124</c:f>
              <c:numCache>
                <c:formatCode>0.00</c:formatCode>
                <c:ptCount val="6"/>
                <c:pt idx="0">
                  <c:v>23.221988</c:v>
                </c:pt>
                <c:pt idx="1">
                  <c:v>44.580593</c:v>
                </c:pt>
                <c:pt idx="2">
                  <c:v>19.291818000000003</c:v>
                </c:pt>
                <c:pt idx="3">
                  <c:v>5.6422360000000005</c:v>
                </c:pt>
                <c:pt idx="4">
                  <c:v>2.142474</c:v>
                </c:pt>
                <c:pt idx="5">
                  <c:v>5.1208849999999995</c:v>
                </c:pt>
              </c:numCache>
            </c:numRef>
          </c:val>
        </c:ser>
        <c:ser>
          <c:idx val="1"/>
          <c:order val="1"/>
          <c:tx>
            <c:strRef>
              <c:f>EMBIG_Div_Security!$G$294</c:f>
              <c:strCache>
                <c:ptCount val="1"/>
                <c:pt idx="0">
                  <c:v>EMBIG Div Market Cap %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6.8376068376068376E-3"/>
                  <c:y val="3.244120032441200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1.29764801297648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5.1282051282051282E-3"/>
                  <c:y val="1.29764801297648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5.1282051282051282E-3"/>
                  <c:y val="9.73236009732360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'3032'!$B$119:$B$124</c:f>
              <c:strCache>
                <c:ptCount val="6"/>
                <c:pt idx="0">
                  <c:v>0 - 200</c:v>
                </c:pt>
                <c:pt idx="1">
                  <c:v>200 - 400</c:v>
                </c:pt>
                <c:pt idx="2">
                  <c:v>400 - 600</c:v>
                </c:pt>
                <c:pt idx="3">
                  <c:v>600 - 800</c:v>
                </c:pt>
                <c:pt idx="4">
                  <c:v>800 - 1000</c:v>
                </c:pt>
                <c:pt idx="5">
                  <c:v>1000+</c:v>
                </c:pt>
              </c:strCache>
            </c:strRef>
          </c:cat>
          <c:val>
            <c:numRef>
              <c:f>EMBIG_Div_Security!$G$295:$G$300</c:f>
              <c:numCache>
                <c:formatCode>0.00</c:formatCode>
                <c:ptCount val="6"/>
                <c:pt idx="0">
                  <c:v>23.885580428000004</c:v>
                </c:pt>
                <c:pt idx="1">
                  <c:v>53.713886662000014</c:v>
                </c:pt>
                <c:pt idx="2">
                  <c:v>11.114151278000001</c:v>
                </c:pt>
                <c:pt idx="3">
                  <c:v>2.7323578739999999</c:v>
                </c:pt>
                <c:pt idx="4">
                  <c:v>2.962005982</c:v>
                </c:pt>
                <c:pt idx="5">
                  <c:v>5.5920177809999991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062592"/>
        <c:axId val="152093440"/>
      </c:barChart>
      <c:catAx>
        <c:axId val="15206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OAS/Stripped</a:t>
                </a:r>
                <a:r>
                  <a:rPr lang="en-US" baseline="0"/>
                  <a:t> Spread Buckets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2970603674540683"/>
              <c:y val="0.94094066708814683"/>
            </c:manualLayout>
          </c:layout>
          <c:overlay val="0"/>
        </c:title>
        <c:majorTickMark val="out"/>
        <c:minorTickMark val="none"/>
        <c:tickLblPos val="nextTo"/>
        <c:crossAx val="152093440"/>
        <c:crosses val="autoZero"/>
        <c:auto val="1"/>
        <c:lblAlgn val="ctr"/>
        <c:lblOffset val="100"/>
        <c:noMultiLvlLbl val="0"/>
      </c:catAx>
      <c:valAx>
        <c:axId val="15209344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8.5470085470085479E-3"/>
              <c:y val="0.38140429526601144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52062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EMBIG</a:t>
            </a:r>
            <a:r>
              <a:rPr lang="en-US" sz="1400" baseline="0"/>
              <a:t> Div Country level </a:t>
            </a:r>
            <a:r>
              <a:rPr lang="en-US" sz="1400"/>
              <a:t>Weighted Stripped Spread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44214245543563"/>
          <c:y val="9.211881560360817E-2"/>
          <c:w val="0.69967407942444315"/>
          <c:h val="0.743169000528097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EMBIG_Div_Country!$L$76</c:f>
              <c:strCache>
                <c:ptCount val="1"/>
                <c:pt idx="0">
                  <c:v>Weighted Stripped Spread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EMBIG_Div_Country!$D$77:$D$82</c:f>
              <c:strCache>
                <c:ptCount val="6"/>
                <c:pt idx="0">
                  <c:v>0 - 200</c:v>
                </c:pt>
                <c:pt idx="1">
                  <c:v>200 - 400</c:v>
                </c:pt>
                <c:pt idx="2">
                  <c:v>400 - 600</c:v>
                </c:pt>
                <c:pt idx="3">
                  <c:v>600 - 800</c:v>
                </c:pt>
                <c:pt idx="4">
                  <c:v>800 - 1000</c:v>
                </c:pt>
                <c:pt idx="5">
                  <c:v>1000+</c:v>
                </c:pt>
              </c:strCache>
            </c:strRef>
          </c:cat>
          <c:val>
            <c:numRef>
              <c:f>EMBIG_Div_Country!$L$77:$L$82</c:f>
              <c:numCache>
                <c:formatCode>#,##0.00</c:formatCode>
                <c:ptCount val="6"/>
                <c:pt idx="0">
                  <c:v>169.49296265158597</c:v>
                </c:pt>
                <c:pt idx="1">
                  <c:v>267.02230929624079</c:v>
                </c:pt>
                <c:pt idx="2">
                  <c:v>490.38508517986975</c:v>
                </c:pt>
                <c:pt idx="3">
                  <c:v>750.30378118934357</c:v>
                </c:pt>
                <c:pt idx="4">
                  <c:v>840.00879041751864</c:v>
                </c:pt>
                <c:pt idx="5">
                  <c:v>1238.3287724873903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667904"/>
        <c:axId val="136669824"/>
      </c:barChart>
      <c:catAx>
        <c:axId val="13666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Stripped</a:t>
                </a:r>
                <a:r>
                  <a:rPr lang="en-US" baseline="0"/>
                  <a:t> Spread Buckets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7104918478033572"/>
              <c:y val="0.93495935939035923"/>
            </c:manualLayout>
          </c:layout>
          <c:overlay val="0"/>
        </c:title>
        <c:majorTickMark val="out"/>
        <c:minorTickMark val="none"/>
        <c:tickLblPos val="nextTo"/>
        <c:crossAx val="136669824"/>
        <c:crosses val="autoZero"/>
        <c:auto val="1"/>
        <c:lblAlgn val="ctr"/>
        <c:lblOffset val="100"/>
        <c:noMultiLvlLbl val="0"/>
      </c:catAx>
      <c:valAx>
        <c:axId val="1366698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Basis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2418833525142971E-3"/>
              <c:y val="0.41021695376631701"/>
            </c:manualLayout>
          </c:layout>
          <c:overlay val="0"/>
        </c:title>
        <c:numFmt formatCode="#,##0.00" sourceLinked="1"/>
        <c:majorTickMark val="out"/>
        <c:minorTickMark val="none"/>
        <c:tickLblPos val="nextTo"/>
        <c:crossAx val="136667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3032</a:t>
            </a:r>
            <a:r>
              <a:rPr lang="en-US" sz="1200" baseline="0"/>
              <a:t> Weighted OAS vs EMBIG Div Security level Weighted Stripped Spread</a:t>
            </a:r>
            <a:endParaRPr lang="en-US" sz="1200"/>
          </a:p>
        </c:rich>
      </c:tx>
      <c:layout>
        <c:manualLayout>
          <c:xMode val="edge"/>
          <c:yMode val="edge"/>
          <c:x val="0.17447926852280721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303861527113031"/>
          <c:y val="5.5890587206011005E-2"/>
          <c:w val="0.56240303295421401"/>
          <c:h val="0.812551592815603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'3032'!$P$118</c:f>
              <c:strCache>
                <c:ptCount val="1"/>
                <c:pt idx="0">
                  <c:v>3032 Weighted OAS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1.0457516339869298E-2"/>
                  <c:y val="1.96078431372549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6.9716775599128538E-3"/>
                  <c:y val="6.535947712418300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3943355119825708E-2"/>
                  <c:y val="1.96078431372549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9172113289760349E-2"/>
                  <c:y val="1.30718954248366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5686274509803921E-2"/>
                  <c:y val="1.30718954248366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3.4858387799564269E-3"/>
                  <c:y val="1.30718954248366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'3032'!$B$119:$B$124</c:f>
              <c:strCache>
                <c:ptCount val="6"/>
                <c:pt idx="0">
                  <c:v>0 - 200</c:v>
                </c:pt>
                <c:pt idx="1">
                  <c:v>200 - 400</c:v>
                </c:pt>
                <c:pt idx="2">
                  <c:v>400 - 600</c:v>
                </c:pt>
                <c:pt idx="3">
                  <c:v>600 - 800</c:v>
                </c:pt>
                <c:pt idx="4">
                  <c:v>800 - 1000</c:v>
                </c:pt>
                <c:pt idx="5">
                  <c:v>1000+</c:v>
                </c:pt>
              </c:strCache>
            </c:strRef>
          </c:cat>
          <c:val>
            <c:numRef>
              <c:f>'3032'!$P$119:$P$124</c:f>
              <c:numCache>
                <c:formatCode>0.0</c:formatCode>
                <c:ptCount val="6"/>
                <c:pt idx="0">
                  <c:v>66.414534095568712</c:v>
                </c:pt>
                <c:pt idx="1">
                  <c:v>290.64661939628735</c:v>
                </c:pt>
                <c:pt idx="2">
                  <c:v>459.32668312740901</c:v>
                </c:pt>
                <c:pt idx="3">
                  <c:v>691.6800083417603</c:v>
                </c:pt>
                <c:pt idx="4">
                  <c:v>863.28508871083795</c:v>
                </c:pt>
                <c:pt idx="5">
                  <c:v>1926.3269547781783</c:v>
                </c:pt>
              </c:numCache>
            </c:numRef>
          </c:val>
        </c:ser>
        <c:ser>
          <c:idx val="1"/>
          <c:order val="1"/>
          <c:tx>
            <c:strRef>
              <c:f>EMBIG_Div_Security!$K$294</c:f>
              <c:strCache>
                <c:ptCount val="1"/>
                <c:pt idx="0">
                  <c:v>EMBIG Div Weighted Stripped Spread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5.2287581699346402E-3"/>
                  <c:y val="3.267973856209150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9171976052013106E-2"/>
                  <c:y val="1.63398692810457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5.2287581699346402E-3"/>
                  <c:y val="-5.9912161920094089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1.045751633986928E-2"/>
                  <c:y val="6.535947712418300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'3032'!$B$119:$B$124</c:f>
              <c:strCache>
                <c:ptCount val="6"/>
                <c:pt idx="0">
                  <c:v>0 - 200</c:v>
                </c:pt>
                <c:pt idx="1">
                  <c:v>200 - 400</c:v>
                </c:pt>
                <c:pt idx="2">
                  <c:v>400 - 600</c:v>
                </c:pt>
                <c:pt idx="3">
                  <c:v>600 - 800</c:v>
                </c:pt>
                <c:pt idx="4">
                  <c:v>800 - 1000</c:v>
                </c:pt>
                <c:pt idx="5">
                  <c:v>1000+</c:v>
                </c:pt>
              </c:strCache>
            </c:strRef>
          </c:cat>
          <c:val>
            <c:numRef>
              <c:f>EMBIG_Div_Security!$K$295:$K$300</c:f>
              <c:numCache>
                <c:formatCode>0.0</c:formatCode>
                <c:ptCount val="6"/>
                <c:pt idx="0">
                  <c:v>162.77797626870807</c:v>
                </c:pt>
                <c:pt idx="1">
                  <c:v>276.78242484922129</c:v>
                </c:pt>
                <c:pt idx="2">
                  <c:v>487.78076991253613</c:v>
                </c:pt>
                <c:pt idx="3">
                  <c:v>702.09536746805929</c:v>
                </c:pt>
                <c:pt idx="4">
                  <c:v>891.74096855287871</c:v>
                </c:pt>
                <c:pt idx="5">
                  <c:v>1244.9361059681485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189568"/>
        <c:axId val="152191744"/>
      </c:barChart>
      <c:catAx>
        <c:axId val="15218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OAS/Stripped</a:t>
                </a:r>
                <a:r>
                  <a:rPr lang="en-US" baseline="0"/>
                  <a:t> Spread Buckets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0182176247576897"/>
              <c:y val="0.94377438114353351"/>
            </c:manualLayout>
          </c:layout>
          <c:overlay val="0"/>
        </c:title>
        <c:majorTickMark val="out"/>
        <c:minorTickMark val="none"/>
        <c:tickLblPos val="nextTo"/>
        <c:crossAx val="152191744"/>
        <c:crosses val="autoZero"/>
        <c:auto val="1"/>
        <c:lblAlgn val="ctr"/>
        <c:lblOffset val="100"/>
        <c:noMultiLvlLbl val="0"/>
      </c:catAx>
      <c:valAx>
        <c:axId val="1521917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Basis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7145969498910684E-3"/>
              <c:y val="0.35562220163656011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152189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3032</a:t>
            </a:r>
            <a:r>
              <a:rPr lang="en-US" sz="1200" baseline="0"/>
              <a:t> Effective Duration Weights vs EMBIG Div Security level EIR Duration Weights</a:t>
            </a:r>
            <a:endParaRPr lang="en-US" sz="1200"/>
          </a:p>
        </c:rich>
      </c:tx>
      <c:layout>
        <c:manualLayout>
          <c:xMode val="edge"/>
          <c:yMode val="edge"/>
          <c:x val="0.16405552668307496"/>
          <c:y val="0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'3032'!$N$126</c:f>
              <c:strCache>
                <c:ptCount val="1"/>
                <c:pt idx="0">
                  <c:v>3032 % PF</c:v>
                </c:pt>
              </c:strCache>
            </c:strRef>
          </c:tx>
          <c:invertIfNegative val="0"/>
          <c:dLbls>
            <c:dLbl>
              <c:idx val="3"/>
              <c:layout>
                <c:manualLayout>
                  <c:x val="-8.3022000830220016E-3"/>
                  <c:y val="1.31040131040131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4.9813200498132005E-3"/>
                  <c:y val="9.82800982800982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'3032'!$B$127:$B$132</c:f>
              <c:strCache>
                <c:ptCount val="6"/>
                <c:pt idx="0">
                  <c:v>0 - 2</c:v>
                </c:pt>
                <c:pt idx="1">
                  <c:v>2 - 4</c:v>
                </c:pt>
                <c:pt idx="2">
                  <c:v>4 - 6</c:v>
                </c:pt>
                <c:pt idx="3">
                  <c:v>6 - 8</c:v>
                </c:pt>
                <c:pt idx="4">
                  <c:v>8 - 10</c:v>
                </c:pt>
                <c:pt idx="5">
                  <c:v>10+</c:v>
                </c:pt>
              </c:strCache>
            </c:strRef>
          </c:cat>
          <c:val>
            <c:numRef>
              <c:f>'3032'!$N$127:$N$132</c:f>
              <c:numCache>
                <c:formatCode>0.00</c:formatCode>
                <c:ptCount val="6"/>
                <c:pt idx="0">
                  <c:v>7.1797030000000008</c:v>
                </c:pt>
                <c:pt idx="1">
                  <c:v>7.8426080000000011</c:v>
                </c:pt>
                <c:pt idx="2">
                  <c:v>29.874229000000003</c:v>
                </c:pt>
                <c:pt idx="3">
                  <c:v>36.912827</c:v>
                </c:pt>
                <c:pt idx="4">
                  <c:v>9.1209869999999995</c:v>
                </c:pt>
                <c:pt idx="5">
                  <c:v>9.0696399999999997</c:v>
                </c:pt>
              </c:numCache>
            </c:numRef>
          </c:val>
        </c:ser>
        <c:ser>
          <c:idx val="1"/>
          <c:order val="1"/>
          <c:tx>
            <c:strRef>
              <c:f>EMBIG_Div_Security!$G$302</c:f>
              <c:strCache>
                <c:ptCount val="1"/>
                <c:pt idx="0">
                  <c:v>EMBIG Div Market Cap %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6.6417600664176006E-3"/>
                  <c:y val="3.276003276003276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8.3022000830220016E-3"/>
                  <c:y val="9.82800982800982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'3032'!$B$127:$B$132</c:f>
              <c:strCache>
                <c:ptCount val="6"/>
                <c:pt idx="0">
                  <c:v>0 - 2</c:v>
                </c:pt>
                <c:pt idx="1">
                  <c:v>2 - 4</c:v>
                </c:pt>
                <c:pt idx="2">
                  <c:v>4 - 6</c:v>
                </c:pt>
                <c:pt idx="3">
                  <c:v>6 - 8</c:v>
                </c:pt>
                <c:pt idx="4">
                  <c:v>8 - 10</c:v>
                </c:pt>
                <c:pt idx="5">
                  <c:v>10+</c:v>
                </c:pt>
              </c:strCache>
            </c:strRef>
          </c:cat>
          <c:val>
            <c:numRef>
              <c:f>EMBIG_Div_Security!$G$303:$G$308</c:f>
              <c:numCache>
                <c:formatCode>0.00</c:formatCode>
                <c:ptCount val="6"/>
                <c:pt idx="0">
                  <c:v>3.9166389220000002</c:v>
                </c:pt>
                <c:pt idx="1">
                  <c:v>16.869775873999998</c:v>
                </c:pt>
                <c:pt idx="2">
                  <c:v>18.295582173999996</c:v>
                </c:pt>
                <c:pt idx="3">
                  <c:v>30.285452981000006</c:v>
                </c:pt>
                <c:pt idx="4">
                  <c:v>10.588552786000001</c:v>
                </c:pt>
                <c:pt idx="5">
                  <c:v>20.043997268000002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230528"/>
        <c:axId val="155128576"/>
      </c:barChart>
      <c:catAx>
        <c:axId val="15223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Effective</a:t>
                </a:r>
                <a:r>
                  <a:rPr lang="en-US" baseline="0"/>
                  <a:t> Duration/EIR Duration Buckets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9362894395361228"/>
              <c:y val="0.93380822483184689"/>
            </c:manualLayout>
          </c:layout>
          <c:overlay val="0"/>
        </c:title>
        <c:majorTickMark val="out"/>
        <c:minorTickMark val="none"/>
        <c:tickLblPos val="nextTo"/>
        <c:crossAx val="155128576"/>
        <c:crosses val="autoZero"/>
        <c:auto val="1"/>
        <c:lblAlgn val="ctr"/>
        <c:lblOffset val="100"/>
        <c:noMultiLvlLbl val="0"/>
      </c:catAx>
      <c:valAx>
        <c:axId val="15512857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8.3022000830220016E-3"/>
              <c:y val="0.38023873551432608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52230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3032</a:t>
            </a:r>
            <a:r>
              <a:rPr lang="en-US" sz="1200" baseline="0"/>
              <a:t> Weighted Effective Duration vs EMBIG Div Security level Weighted EIR Duration</a:t>
            </a:r>
            <a:endParaRPr lang="en-US" sz="1200"/>
          </a:p>
        </c:rich>
      </c:tx>
      <c:layout>
        <c:manualLayout>
          <c:xMode val="edge"/>
          <c:yMode val="edge"/>
          <c:x val="0.10188776337254821"/>
          <c:y val="0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'3032'!$P$126</c:f>
              <c:strCache>
                <c:ptCount val="1"/>
                <c:pt idx="0">
                  <c:v>3032 Weighted Effective Duration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1.051248357424441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8.7604029785370123E-3"/>
                  <c:y val="1.6750418760469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7.00832238282961E-3"/>
                  <c:y val="2.01005025125628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'3032'!$B$127:$B$132</c:f>
              <c:strCache>
                <c:ptCount val="6"/>
                <c:pt idx="0">
                  <c:v>0 - 2</c:v>
                </c:pt>
                <c:pt idx="1">
                  <c:v>2 - 4</c:v>
                </c:pt>
                <c:pt idx="2">
                  <c:v>4 - 6</c:v>
                </c:pt>
                <c:pt idx="3">
                  <c:v>6 - 8</c:v>
                </c:pt>
                <c:pt idx="4">
                  <c:v>8 - 10</c:v>
                </c:pt>
                <c:pt idx="5">
                  <c:v>10+</c:v>
                </c:pt>
              </c:strCache>
            </c:strRef>
          </c:cat>
          <c:val>
            <c:numRef>
              <c:f>'3032'!$P$127:$P$132</c:f>
              <c:numCache>
                <c:formatCode>0.00</c:formatCode>
                <c:ptCount val="6"/>
                <c:pt idx="0">
                  <c:v>0.27498770671794565</c:v>
                </c:pt>
                <c:pt idx="1">
                  <c:v>2.6343502560420937</c:v>
                </c:pt>
                <c:pt idx="2">
                  <c:v>5.2972345257263189</c:v>
                </c:pt>
                <c:pt idx="3">
                  <c:v>6.9552803319508083</c:v>
                </c:pt>
                <c:pt idx="4">
                  <c:v>8.8927423274446937</c:v>
                </c:pt>
                <c:pt idx="5">
                  <c:v>12.163409867721494</c:v>
                </c:pt>
              </c:numCache>
            </c:numRef>
          </c:val>
        </c:ser>
        <c:ser>
          <c:idx val="1"/>
          <c:order val="1"/>
          <c:tx>
            <c:strRef>
              <c:f>EMBIG_Div_Security!$K$302</c:f>
              <c:strCache>
                <c:ptCount val="1"/>
                <c:pt idx="0">
                  <c:v>EMBIG Div Weighted EIR Duration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3.504161191414805E-3"/>
                  <c:y val="2.01005025125628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3.504161191414805E-3"/>
                  <c:y val="1.3400335008375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3.504161191414805E-3"/>
                  <c:y val="1.3400335008375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'3032'!$B$127:$B$132</c:f>
              <c:strCache>
                <c:ptCount val="6"/>
                <c:pt idx="0">
                  <c:v>0 - 2</c:v>
                </c:pt>
                <c:pt idx="1">
                  <c:v>2 - 4</c:v>
                </c:pt>
                <c:pt idx="2">
                  <c:v>4 - 6</c:v>
                </c:pt>
                <c:pt idx="3">
                  <c:v>6 - 8</c:v>
                </c:pt>
                <c:pt idx="4">
                  <c:v>8 - 10</c:v>
                </c:pt>
                <c:pt idx="5">
                  <c:v>10+</c:v>
                </c:pt>
              </c:strCache>
            </c:strRef>
          </c:cat>
          <c:val>
            <c:numRef>
              <c:f>EMBIG_Div_Security!$K$303:$K$308</c:f>
              <c:numCache>
                <c:formatCode>0.0</c:formatCode>
                <c:ptCount val="6"/>
                <c:pt idx="0">
                  <c:v>1.4569456415975113</c:v>
                </c:pt>
                <c:pt idx="1">
                  <c:v>3.0338992818505819</c:v>
                </c:pt>
                <c:pt idx="2">
                  <c:v>5.0675618427053539</c:v>
                </c:pt>
                <c:pt idx="3">
                  <c:v>6.8111207387914519</c:v>
                </c:pt>
                <c:pt idx="4">
                  <c:v>8.8256447386470906</c:v>
                </c:pt>
                <c:pt idx="5">
                  <c:v>12.638971626787001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167360"/>
        <c:axId val="155190016"/>
      </c:barChart>
      <c:catAx>
        <c:axId val="15516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Effective</a:t>
                </a:r>
                <a:r>
                  <a:rPr lang="en-US" baseline="0"/>
                  <a:t> Duration/EIR Duration Buckets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3722798776302767"/>
              <c:y val="0.92896134214378978"/>
            </c:manualLayout>
          </c:layout>
          <c:overlay val="0"/>
        </c:title>
        <c:majorTickMark val="out"/>
        <c:minorTickMark val="none"/>
        <c:tickLblPos val="nextTo"/>
        <c:crossAx val="155190016"/>
        <c:crosses val="autoZero"/>
        <c:auto val="1"/>
        <c:lblAlgn val="ctr"/>
        <c:lblOffset val="100"/>
        <c:noMultiLvlLbl val="0"/>
      </c:catAx>
      <c:valAx>
        <c:axId val="1551900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.00" sourceLinked="1"/>
        <c:majorTickMark val="out"/>
        <c:minorTickMark val="none"/>
        <c:tickLblPos val="nextTo"/>
        <c:crossAx val="155167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3032</a:t>
            </a:r>
            <a:r>
              <a:rPr lang="en-US" sz="1200" baseline="0"/>
              <a:t> Market Price Weights vs EMBIG Div Security level Current Offer Price Weights</a:t>
            </a:r>
            <a:endParaRPr lang="en-US" sz="1200"/>
          </a:p>
        </c:rich>
      </c:tx>
      <c:layout>
        <c:manualLayout>
          <c:xMode val="edge"/>
          <c:yMode val="edge"/>
          <c:x val="0.1512044181428388"/>
          <c:y val="0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'3032'!$N$134</c:f>
              <c:strCache>
                <c:ptCount val="1"/>
                <c:pt idx="0">
                  <c:v>3032 % PF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-8.3647009619406115E-3"/>
                  <c:y val="0.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0037641154328732E-2"/>
                  <c:y val="1.33333333333333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8.3647009619406115E-3"/>
                  <c:y val="0.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5.018820577164366E-3"/>
                  <c:y val="0.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'3032'!$B$135:$B$140</c:f>
              <c:strCache>
                <c:ptCount val="6"/>
                <c:pt idx="0">
                  <c:v>0 - 50</c:v>
                </c:pt>
                <c:pt idx="1">
                  <c:v>50 - 80</c:v>
                </c:pt>
                <c:pt idx="2">
                  <c:v>80 - 100</c:v>
                </c:pt>
                <c:pt idx="3">
                  <c:v>100 - 120</c:v>
                </c:pt>
                <c:pt idx="4">
                  <c:v>120 - 140</c:v>
                </c:pt>
                <c:pt idx="5">
                  <c:v>140+</c:v>
                </c:pt>
              </c:strCache>
            </c:strRef>
          </c:cat>
          <c:val>
            <c:numRef>
              <c:f>'3032'!$N$135:$N$140</c:f>
              <c:numCache>
                <c:formatCode>0.00</c:formatCode>
                <c:ptCount val="6"/>
                <c:pt idx="0">
                  <c:v>9.2414949999999987</c:v>
                </c:pt>
                <c:pt idx="1">
                  <c:v>6.0519429999999996</c:v>
                </c:pt>
                <c:pt idx="2">
                  <c:v>5.5497569999999996</c:v>
                </c:pt>
                <c:pt idx="3">
                  <c:v>53.856318999999999</c:v>
                </c:pt>
                <c:pt idx="4">
                  <c:v>14.442620000000002</c:v>
                </c:pt>
                <c:pt idx="5">
                  <c:v>3.999816</c:v>
                </c:pt>
              </c:numCache>
            </c:numRef>
          </c:val>
        </c:ser>
        <c:ser>
          <c:idx val="1"/>
          <c:order val="1"/>
          <c:tx>
            <c:strRef>
              <c:f>EMBIG_Div_Security!$G$310</c:f>
              <c:strCache>
                <c:ptCount val="1"/>
                <c:pt idx="0">
                  <c:v>EMBIG Div Market Cap %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1.0037641154328732E-2"/>
                  <c:y val="0.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'3032'!$B$135:$B$140</c:f>
              <c:strCache>
                <c:ptCount val="6"/>
                <c:pt idx="0">
                  <c:v>0 - 50</c:v>
                </c:pt>
                <c:pt idx="1">
                  <c:v>50 - 80</c:v>
                </c:pt>
                <c:pt idx="2">
                  <c:v>80 - 100</c:v>
                </c:pt>
                <c:pt idx="3">
                  <c:v>100 - 120</c:v>
                </c:pt>
                <c:pt idx="4">
                  <c:v>120 - 140</c:v>
                </c:pt>
                <c:pt idx="5">
                  <c:v>140+</c:v>
                </c:pt>
              </c:strCache>
            </c:strRef>
          </c:cat>
          <c:val>
            <c:numRef>
              <c:f>EMBIG_Div_Security!$G$311:$G$316</c:f>
              <c:numCache>
                <c:formatCode>0.00</c:formatCode>
                <c:ptCount val="6"/>
                <c:pt idx="0">
                  <c:v>0.67459609800000009</c:v>
                </c:pt>
                <c:pt idx="1">
                  <c:v>4.9802508290000009</c:v>
                </c:pt>
                <c:pt idx="2">
                  <c:v>11.018979681999999</c:v>
                </c:pt>
                <c:pt idx="3">
                  <c:v>55.096403022000011</c:v>
                </c:pt>
                <c:pt idx="4">
                  <c:v>18.191940349999996</c:v>
                </c:pt>
                <c:pt idx="5">
                  <c:v>10.037830024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224320"/>
        <c:axId val="155238784"/>
      </c:barChart>
      <c:catAx>
        <c:axId val="15522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Market</a:t>
                </a:r>
                <a:r>
                  <a:rPr lang="en-US" baseline="0"/>
                  <a:t> Price/Current Offer Price Buckets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0689758510424592"/>
              <c:y val="0.94931653543307082"/>
            </c:manualLayout>
          </c:layout>
          <c:overlay val="0"/>
        </c:title>
        <c:majorTickMark val="out"/>
        <c:minorTickMark val="none"/>
        <c:tickLblPos val="nextTo"/>
        <c:crossAx val="155238784"/>
        <c:crosses val="autoZero"/>
        <c:auto val="1"/>
        <c:lblAlgn val="ctr"/>
        <c:lblOffset val="100"/>
        <c:noMultiLvlLbl val="0"/>
      </c:catAx>
      <c:valAx>
        <c:axId val="1552387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6.6917607695524883E-3"/>
              <c:y val="0.36480971128608924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5522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3032</a:t>
            </a:r>
            <a:r>
              <a:rPr lang="en-US" sz="1200" baseline="0"/>
              <a:t> Weighted Market Price vs EMBIG Div Security level Weighted Current Offer Price</a:t>
            </a:r>
            <a:endParaRPr lang="en-US" sz="1200"/>
          </a:p>
        </c:rich>
      </c:tx>
      <c:layout>
        <c:manualLayout>
          <c:xMode val="edge"/>
          <c:yMode val="edge"/>
          <c:x val="0.11772684173640599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842217366808205"/>
          <c:y val="5.9892538246614946E-2"/>
          <c:w val="0.57072212832034741"/>
          <c:h val="0.833385566258311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'3032'!$P$134</c:f>
              <c:strCache>
                <c:ptCount val="1"/>
                <c:pt idx="0">
                  <c:v>3032 Weighted Market Price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5.2356020942408536E-3"/>
                  <c:y val="6.379583724627027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0471204188481676E-2"/>
                  <c:y val="9.569375586940539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2216404886561954E-2"/>
                  <c:y val="1.91387511738810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942408376963352E-2"/>
                  <c:y val="1.91387511738810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3961605584642234E-2"/>
                  <c:y val="1.91387511738810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'3032'!$B$135:$B$140</c:f>
              <c:strCache>
                <c:ptCount val="6"/>
                <c:pt idx="0">
                  <c:v>0 - 50</c:v>
                </c:pt>
                <c:pt idx="1">
                  <c:v>50 - 80</c:v>
                </c:pt>
                <c:pt idx="2">
                  <c:v>80 - 100</c:v>
                </c:pt>
                <c:pt idx="3">
                  <c:v>100 - 120</c:v>
                </c:pt>
                <c:pt idx="4">
                  <c:v>120 - 140</c:v>
                </c:pt>
                <c:pt idx="5">
                  <c:v>140+</c:v>
                </c:pt>
              </c:strCache>
            </c:strRef>
          </c:cat>
          <c:val>
            <c:numRef>
              <c:f>'3032'!$P$135:$P$140</c:f>
              <c:numCache>
                <c:formatCode>0.00</c:formatCode>
                <c:ptCount val="6"/>
                <c:pt idx="0">
                  <c:v>8.7723401413496482</c:v>
                </c:pt>
                <c:pt idx="1">
                  <c:v>63.451561902685569</c:v>
                </c:pt>
                <c:pt idx="2">
                  <c:v>99.083499590380242</c:v>
                </c:pt>
                <c:pt idx="3">
                  <c:v>107.43367897756153</c:v>
                </c:pt>
                <c:pt idx="4">
                  <c:v>126.86999797541196</c:v>
                </c:pt>
                <c:pt idx="5">
                  <c:v>153.39950761584794</c:v>
                </c:pt>
              </c:numCache>
            </c:numRef>
          </c:val>
        </c:ser>
        <c:ser>
          <c:idx val="1"/>
          <c:order val="1"/>
          <c:tx>
            <c:strRef>
              <c:f>EMBIG_Div_Security!$K$310</c:f>
              <c:strCache>
                <c:ptCount val="1"/>
                <c:pt idx="0">
                  <c:v>EMBIG Div Weighted Current Price Offer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6.9808027923211171E-3"/>
                  <c:y val="9.569375586940539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6.980665374943315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1.2216404886561954E-2"/>
                  <c:y val="3.18979186231351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'3032'!$B$135:$B$140</c:f>
              <c:strCache>
                <c:ptCount val="6"/>
                <c:pt idx="0">
                  <c:v>0 - 50</c:v>
                </c:pt>
                <c:pt idx="1">
                  <c:v>50 - 80</c:v>
                </c:pt>
                <c:pt idx="2">
                  <c:v>80 - 100</c:v>
                </c:pt>
                <c:pt idx="3">
                  <c:v>100 - 120</c:v>
                </c:pt>
                <c:pt idx="4">
                  <c:v>120 - 140</c:v>
                </c:pt>
                <c:pt idx="5">
                  <c:v>140+</c:v>
                </c:pt>
              </c:strCache>
            </c:strRef>
          </c:cat>
          <c:val>
            <c:numRef>
              <c:f>EMBIG_Div_Security!$K$311:$K$316</c:f>
              <c:numCache>
                <c:formatCode>0.00</c:formatCode>
                <c:ptCount val="6"/>
                <c:pt idx="0">
                  <c:v>39.296034212801331</c:v>
                </c:pt>
                <c:pt idx="1">
                  <c:v>70.684383461967769</c:v>
                </c:pt>
                <c:pt idx="2">
                  <c:v>94.599835477515882</c:v>
                </c:pt>
                <c:pt idx="3">
                  <c:v>110.61819534198202</c:v>
                </c:pt>
                <c:pt idx="4">
                  <c:v>129.29034790194058</c:v>
                </c:pt>
                <c:pt idx="5">
                  <c:v>153.6156521002371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347200"/>
        <c:axId val="155365760"/>
      </c:barChart>
      <c:catAx>
        <c:axId val="15534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Market</a:t>
                </a:r>
                <a:r>
                  <a:rPr lang="en-US" baseline="0"/>
                  <a:t> Price/Current Offer Price Buckets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4695070838658256"/>
              <c:y val="0.94969383169535571"/>
            </c:manualLayout>
          </c:layout>
          <c:overlay val="0"/>
        </c:title>
        <c:majorTickMark val="out"/>
        <c:minorTickMark val="none"/>
        <c:tickLblPos val="nextTo"/>
        <c:crossAx val="155365760"/>
        <c:crosses val="autoZero"/>
        <c:auto val="1"/>
        <c:lblAlgn val="ctr"/>
        <c:lblOffset val="100"/>
        <c:noMultiLvlLbl val="0"/>
      </c:catAx>
      <c:valAx>
        <c:axId val="15536576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USD</a:t>
                </a:r>
              </a:p>
            </c:rich>
          </c:tx>
          <c:layout>
            <c:manualLayout>
              <c:xMode val="edge"/>
              <c:yMode val="edge"/>
              <c:x val="1.0471204188481676E-2"/>
              <c:y val="0.42768527383208604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55347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390869989418857"/>
          <c:y val="0.39385292719303383"/>
          <c:w val="0.31609130010581138"/>
          <c:h val="0.1153614599300606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68</a:t>
            </a:r>
            <a:r>
              <a:rPr lang="en-US" sz="1000" baseline="0"/>
              <a:t> YTW Weights vs EMBIG Div Security level Stripped YTM </a:t>
            </a:r>
            <a:r>
              <a:rPr lang="en-US" sz="1100" baseline="0"/>
              <a:t>Weights</a:t>
            </a:r>
            <a:endParaRPr lang="en-US" sz="1100"/>
          </a:p>
        </c:rich>
      </c:tx>
      <c:layout>
        <c:manualLayout>
          <c:xMode val="edge"/>
          <c:yMode val="edge"/>
          <c:x val="0.19428356536673683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776150765497002"/>
          <c:y val="3.271460301160331E-2"/>
          <c:w val="0.65607943024847148"/>
          <c:h val="0.833932357833284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'68'!$N$440</c:f>
              <c:strCache>
                <c:ptCount val="1"/>
                <c:pt idx="0">
                  <c:v>68 % PF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2.65195659553004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5.9084194977843431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7.8778926637124939E-3"/>
                  <c:y val="8.839777980043447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'68'!$B$441:$B$446</c:f>
              <c:strCache>
                <c:ptCount val="6"/>
                <c:pt idx="0">
                  <c:v>&lt; 2</c:v>
                </c:pt>
                <c:pt idx="1">
                  <c:v>2 - 4</c:v>
                </c:pt>
                <c:pt idx="2">
                  <c:v>4 - 6</c:v>
                </c:pt>
                <c:pt idx="3">
                  <c:v>6 - 8</c:v>
                </c:pt>
                <c:pt idx="4">
                  <c:v>8 - 10</c:v>
                </c:pt>
                <c:pt idx="5">
                  <c:v>10+</c:v>
                </c:pt>
              </c:strCache>
            </c:strRef>
          </c:cat>
          <c:val>
            <c:numRef>
              <c:f>'68'!$N$441:$N$446</c:f>
              <c:numCache>
                <c:formatCode>0.0</c:formatCode>
                <c:ptCount val="6"/>
                <c:pt idx="0">
                  <c:v>-0.23119099999999992</c:v>
                </c:pt>
                <c:pt idx="1">
                  <c:v>19.526616999999998</c:v>
                </c:pt>
                <c:pt idx="2">
                  <c:v>27.112880999999991</c:v>
                </c:pt>
                <c:pt idx="3">
                  <c:v>29.192495999999991</c:v>
                </c:pt>
                <c:pt idx="4">
                  <c:v>14.247532</c:v>
                </c:pt>
                <c:pt idx="5">
                  <c:v>10.151667999999997</c:v>
                </c:pt>
              </c:numCache>
            </c:numRef>
          </c:val>
        </c:ser>
        <c:ser>
          <c:idx val="1"/>
          <c:order val="1"/>
          <c:tx>
            <c:strRef>
              <c:f>EMBIG_Div_Security!$G$286</c:f>
              <c:strCache>
                <c:ptCount val="1"/>
                <c:pt idx="0">
                  <c:v>EMBIG Div Market Cap %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9.8473658296405718E-3"/>
                  <c:y val="5.89318532002896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1.76795559600868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9.8473658296405718E-3"/>
                  <c:y val="8.839777980043447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1.3786312161496872E-2"/>
                  <c:y val="8.839777980043447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9.8473658296405718E-3"/>
                  <c:y val="5.89318532002896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'68'!$B$441:$B$446</c:f>
              <c:strCache>
                <c:ptCount val="6"/>
                <c:pt idx="0">
                  <c:v>&lt; 2</c:v>
                </c:pt>
                <c:pt idx="1">
                  <c:v>2 - 4</c:v>
                </c:pt>
                <c:pt idx="2">
                  <c:v>4 - 6</c:v>
                </c:pt>
                <c:pt idx="3">
                  <c:v>6 - 8</c:v>
                </c:pt>
                <c:pt idx="4">
                  <c:v>8 - 10</c:v>
                </c:pt>
                <c:pt idx="5">
                  <c:v>10+</c:v>
                </c:pt>
              </c:strCache>
            </c:strRef>
          </c:cat>
          <c:val>
            <c:numRef>
              <c:f>EMBIG_Div_Security!$G$287:$G$292</c:f>
              <c:numCache>
                <c:formatCode>0.00</c:formatCode>
                <c:ptCount val="6"/>
                <c:pt idx="0">
                  <c:v>3.2362200170000004</c:v>
                </c:pt>
                <c:pt idx="1">
                  <c:v>28.320571369000003</c:v>
                </c:pt>
                <c:pt idx="2">
                  <c:v>47.322965111000009</c:v>
                </c:pt>
                <c:pt idx="3">
                  <c:v>9.9425937760000025</c:v>
                </c:pt>
                <c:pt idx="4">
                  <c:v>3.0865053089999996</c:v>
                </c:pt>
                <c:pt idx="5">
                  <c:v>8.0911444230000011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388544"/>
        <c:axId val="155398912"/>
      </c:barChart>
      <c:catAx>
        <c:axId val="15538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3032</a:t>
                </a:r>
                <a:r>
                  <a:rPr lang="en-US" baseline="0"/>
                  <a:t> YTW/EMBIG Div Stripped YTM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9125173976591184"/>
              <c:y val="0.94046397929682235"/>
            </c:manualLayout>
          </c:layout>
          <c:overlay val="0"/>
        </c:title>
        <c:majorTickMark val="out"/>
        <c:minorTickMark val="none"/>
        <c:tickLblPos val="nextTo"/>
        <c:crossAx val="155398912"/>
        <c:crosses val="autoZero"/>
        <c:auto val="1"/>
        <c:lblAlgn val="ctr"/>
        <c:lblOffset val="100"/>
        <c:noMultiLvlLbl val="0"/>
      </c:catAx>
      <c:valAx>
        <c:axId val="1553989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9.8473658296405718E-3"/>
              <c:y val="0.39375433723358566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15538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68</a:t>
            </a:r>
            <a:r>
              <a:rPr lang="en-US" sz="1200" baseline="0"/>
              <a:t> Weighted YTW vs EMBIG Div Weighted Stripped YTM</a:t>
            </a:r>
            <a:endParaRPr lang="en-US" sz="1200"/>
          </a:p>
        </c:rich>
      </c:tx>
      <c:layout>
        <c:manualLayout>
          <c:xMode val="edge"/>
          <c:yMode val="edge"/>
          <c:x val="0.23827956989247312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223474857206124"/>
          <c:y val="1.786320960633268E-2"/>
          <c:w val="0.60462176719225236"/>
          <c:h val="0.890793838988180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'68'!$P$440</c:f>
              <c:strCache>
                <c:ptCount val="1"/>
                <c:pt idx="0">
                  <c:v>68 Weighted YTW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4.9627791563275434E-3"/>
                  <c:y val="1.75631154293121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6170388751033912E-3"/>
                  <c:y val="1.17087436195414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4.9627791563275434E-3"/>
                  <c:y val="1.75631154293121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1579818031430935E-2"/>
                  <c:y val="1.46359295244267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'68'!$B$449:$B$454</c:f>
              <c:strCache>
                <c:ptCount val="6"/>
                <c:pt idx="0">
                  <c:v>0 - 200</c:v>
                </c:pt>
                <c:pt idx="1">
                  <c:v>200 - 400</c:v>
                </c:pt>
                <c:pt idx="2">
                  <c:v>400 - 600</c:v>
                </c:pt>
                <c:pt idx="3">
                  <c:v>600 - 800</c:v>
                </c:pt>
                <c:pt idx="4">
                  <c:v>800 - 1000</c:v>
                </c:pt>
                <c:pt idx="5">
                  <c:v>1000+</c:v>
                </c:pt>
              </c:strCache>
            </c:strRef>
          </c:cat>
          <c:val>
            <c:numRef>
              <c:f>'68'!$P$441:$P$446</c:f>
              <c:numCache>
                <c:formatCode>0.0</c:formatCode>
                <c:ptCount val="6"/>
                <c:pt idx="0">
                  <c:v>57.183726402225531</c:v>
                </c:pt>
                <c:pt idx="1">
                  <c:v>3.0169151915510821</c:v>
                </c:pt>
                <c:pt idx="2">
                  <c:v>5.099728411975101</c:v>
                </c:pt>
                <c:pt idx="3">
                  <c:v>6.6676662445177595</c:v>
                </c:pt>
                <c:pt idx="4">
                  <c:v>8.768049198146656</c:v>
                </c:pt>
                <c:pt idx="5">
                  <c:v>14.671169076249532</c:v>
                </c:pt>
              </c:numCache>
            </c:numRef>
          </c:val>
        </c:ser>
        <c:ser>
          <c:idx val="1"/>
          <c:order val="1"/>
          <c:tx>
            <c:strRef>
              <c:f>EMBIG_Div_Security!$K$286</c:f>
              <c:strCache>
                <c:ptCount val="1"/>
                <c:pt idx="0">
                  <c:v>EMBIG Div Weighted Stripped YTM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9.9255583126550868E-3"/>
                  <c:y val="8.781557714656074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6.6170388751033912E-3"/>
                  <c:y val="8.781557714656074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4.9627791563275434E-3"/>
                  <c:y val="8.781557714656074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1.6542597187758478E-3"/>
                  <c:y val="8.781557714656074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8.271298593879239E-3"/>
                  <c:y val="2.92718590488536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'68'!$B$449:$B$454</c:f>
              <c:strCache>
                <c:ptCount val="6"/>
                <c:pt idx="0">
                  <c:v>0 - 200</c:v>
                </c:pt>
                <c:pt idx="1">
                  <c:v>200 - 400</c:v>
                </c:pt>
                <c:pt idx="2">
                  <c:v>400 - 600</c:v>
                </c:pt>
                <c:pt idx="3">
                  <c:v>600 - 800</c:v>
                </c:pt>
                <c:pt idx="4">
                  <c:v>800 - 1000</c:v>
                </c:pt>
                <c:pt idx="5">
                  <c:v>1000+</c:v>
                </c:pt>
              </c:strCache>
            </c:strRef>
          </c:cat>
          <c:val>
            <c:numRef>
              <c:f>EMBIG_Div_Security!$K$287:$K$292</c:f>
              <c:numCache>
                <c:formatCode>0.00</c:formatCode>
                <c:ptCount val="6"/>
                <c:pt idx="0">
                  <c:v>1.4064097176956387</c:v>
                </c:pt>
                <c:pt idx="1">
                  <c:v>3.1810810398655818</c:v>
                </c:pt>
                <c:pt idx="2">
                  <c:v>4.8607372722699846</c:v>
                </c:pt>
                <c:pt idx="3">
                  <c:v>6.8798623973904984</c:v>
                </c:pt>
                <c:pt idx="4">
                  <c:v>8.6451802083274369</c:v>
                </c:pt>
                <c:pt idx="5">
                  <c:v>12.923214162194553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433984"/>
        <c:axId val="155448448"/>
      </c:barChart>
      <c:catAx>
        <c:axId val="15543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YTW/Stripped</a:t>
                </a:r>
                <a:r>
                  <a:rPr lang="en-US" baseline="0"/>
                  <a:t> YTM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3515770826413449"/>
              <c:y val="0.95549202307267855"/>
            </c:manualLayout>
          </c:layout>
          <c:overlay val="0"/>
        </c:title>
        <c:majorTickMark val="out"/>
        <c:minorTickMark val="none"/>
        <c:tickLblPos val="nextTo"/>
        <c:crossAx val="155448448"/>
        <c:crosses val="autoZero"/>
        <c:auto val="1"/>
        <c:lblAlgn val="ctr"/>
        <c:lblOffset val="100"/>
        <c:noMultiLvlLbl val="0"/>
      </c:catAx>
      <c:valAx>
        <c:axId val="1554484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6.6170388751033912E-3"/>
              <c:y val="0.45453711510386441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15543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68</a:t>
            </a:r>
            <a:r>
              <a:rPr lang="en-US" sz="1200" baseline="0"/>
              <a:t> OAS Weights vs EMBIG Div Security level Stripped Spread Weights</a:t>
            </a:r>
            <a:endParaRPr lang="en-US" sz="1200"/>
          </a:p>
        </c:rich>
      </c:tx>
      <c:layout>
        <c:manualLayout>
          <c:xMode val="edge"/>
          <c:yMode val="edge"/>
          <c:x val="0.15905527227598754"/>
          <c:y val="0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'68'!$N$448</c:f>
              <c:strCache>
                <c:ptCount val="1"/>
                <c:pt idx="0">
                  <c:v>68 % PF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3.9158100832109646E-3"/>
                  <c:y val="5.16295526746445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'68'!$B$449:$B$454</c:f>
              <c:strCache>
                <c:ptCount val="6"/>
                <c:pt idx="0">
                  <c:v>0 - 200</c:v>
                </c:pt>
                <c:pt idx="1">
                  <c:v>200 - 400</c:v>
                </c:pt>
                <c:pt idx="2">
                  <c:v>400 - 600</c:v>
                </c:pt>
                <c:pt idx="3">
                  <c:v>600 - 800</c:v>
                </c:pt>
                <c:pt idx="4">
                  <c:v>800 - 1000</c:v>
                </c:pt>
                <c:pt idx="5">
                  <c:v>1000+</c:v>
                </c:pt>
              </c:strCache>
            </c:strRef>
          </c:cat>
          <c:val>
            <c:numRef>
              <c:f>'68'!$N$449:$N$454</c:f>
              <c:numCache>
                <c:formatCode>0.0</c:formatCode>
                <c:ptCount val="6"/>
                <c:pt idx="0">
                  <c:v>25.692487999999983</c:v>
                </c:pt>
                <c:pt idx="1">
                  <c:v>20.876768999999989</c:v>
                </c:pt>
                <c:pt idx="2">
                  <c:v>28.369393000000006</c:v>
                </c:pt>
                <c:pt idx="3">
                  <c:v>13.774540000000002</c:v>
                </c:pt>
                <c:pt idx="4">
                  <c:v>6.3315429999999999</c:v>
                </c:pt>
                <c:pt idx="5">
                  <c:v>4.9552699999999996</c:v>
                </c:pt>
              </c:numCache>
            </c:numRef>
          </c:val>
        </c:ser>
        <c:ser>
          <c:idx val="1"/>
          <c:order val="1"/>
          <c:tx>
            <c:strRef>
              <c:f>EMBIG_Div_Security!$G$294</c:f>
              <c:strCache>
                <c:ptCount val="1"/>
                <c:pt idx="0">
                  <c:v>EMBIG Div Market Cap %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9.7895252080274098E-3"/>
                  <c:y val="7.744432901196687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9.7895252080274098E-3"/>
                  <c:y val="7.744432901196687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7.8316201664219293E-3"/>
                  <c:y val="7.744432901196592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7.8316201664219293E-3"/>
                  <c:y val="7.744432901196687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5.8737151248164461E-3"/>
                  <c:y val="-9.4653086462983194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'68'!$B$449:$B$454</c:f>
              <c:strCache>
                <c:ptCount val="6"/>
                <c:pt idx="0">
                  <c:v>0 - 200</c:v>
                </c:pt>
                <c:pt idx="1">
                  <c:v>200 - 400</c:v>
                </c:pt>
                <c:pt idx="2">
                  <c:v>400 - 600</c:v>
                </c:pt>
                <c:pt idx="3">
                  <c:v>600 - 800</c:v>
                </c:pt>
                <c:pt idx="4">
                  <c:v>800 - 1000</c:v>
                </c:pt>
                <c:pt idx="5">
                  <c:v>1000+</c:v>
                </c:pt>
              </c:strCache>
            </c:strRef>
          </c:cat>
          <c:val>
            <c:numRef>
              <c:f>EMBIG_Div_Security!$G$295:$G$300</c:f>
              <c:numCache>
                <c:formatCode>0.00</c:formatCode>
                <c:ptCount val="6"/>
                <c:pt idx="0">
                  <c:v>23.885580428000004</c:v>
                </c:pt>
                <c:pt idx="1">
                  <c:v>53.713886662000014</c:v>
                </c:pt>
                <c:pt idx="2">
                  <c:v>11.114151278000001</c:v>
                </c:pt>
                <c:pt idx="3">
                  <c:v>2.7323578739999999</c:v>
                </c:pt>
                <c:pt idx="4">
                  <c:v>2.962005982</c:v>
                </c:pt>
                <c:pt idx="5">
                  <c:v>5.5920177809999991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020288"/>
        <c:axId val="155051136"/>
      </c:barChart>
      <c:catAx>
        <c:axId val="15502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OAS/Stripped</a:t>
                </a:r>
                <a:r>
                  <a:rPr lang="en-US" baseline="0"/>
                  <a:t> Spread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533633185719624"/>
              <c:y val="0.95042262041119485"/>
            </c:manualLayout>
          </c:layout>
          <c:overlay val="0"/>
        </c:title>
        <c:majorTickMark val="out"/>
        <c:minorTickMark val="none"/>
        <c:tickLblPos val="nextTo"/>
        <c:crossAx val="155051136"/>
        <c:crosses val="autoZero"/>
        <c:auto val="1"/>
        <c:lblAlgn val="ctr"/>
        <c:lblOffset val="100"/>
        <c:noMultiLvlLbl val="0"/>
      </c:catAx>
      <c:valAx>
        <c:axId val="1550511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5.8737151248164461E-3"/>
              <c:y val="0.39272120874946109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15502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68</a:t>
            </a:r>
            <a:r>
              <a:rPr lang="en-US" sz="1200" baseline="0"/>
              <a:t> Weighted OAS vs EMBIG Div Security level Weighted Stripped Spread</a:t>
            </a:r>
            <a:endParaRPr lang="en-US" sz="1200"/>
          </a:p>
        </c:rich>
      </c:tx>
      <c:layout>
        <c:manualLayout>
          <c:xMode val="edge"/>
          <c:yMode val="edge"/>
          <c:x val="0.20258442053717643"/>
          <c:y val="7.8354546301470044E-3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'68'!$P$448</c:f>
              <c:strCache>
                <c:ptCount val="1"/>
                <c:pt idx="0">
                  <c:v>68 Weighted OAS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6.5120065120065117E-3"/>
                  <c:y val="2.611818210049001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4.8840048840048545E-3"/>
                  <c:y val="2.611818210049001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302401302401302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3024013024013023E-2"/>
                  <c:y val="7.83545463014700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6.5120065120065117E-3"/>
                  <c:y val="1.04472728401960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'68'!$B$449:$B$454</c:f>
              <c:strCache>
                <c:ptCount val="6"/>
                <c:pt idx="0">
                  <c:v>0 - 200</c:v>
                </c:pt>
                <c:pt idx="1">
                  <c:v>200 - 400</c:v>
                </c:pt>
                <c:pt idx="2">
                  <c:v>400 - 600</c:v>
                </c:pt>
                <c:pt idx="3">
                  <c:v>600 - 800</c:v>
                </c:pt>
                <c:pt idx="4">
                  <c:v>800 - 1000</c:v>
                </c:pt>
                <c:pt idx="5">
                  <c:v>1000+</c:v>
                </c:pt>
              </c:strCache>
            </c:strRef>
          </c:cat>
          <c:val>
            <c:numRef>
              <c:f>'68'!$P$449:$P$454</c:f>
              <c:numCache>
                <c:formatCode>0.0</c:formatCode>
                <c:ptCount val="6"/>
                <c:pt idx="0">
                  <c:v>22.83008581126521</c:v>
                </c:pt>
                <c:pt idx="1">
                  <c:v>314.59119332811213</c:v>
                </c:pt>
                <c:pt idx="2">
                  <c:v>501.74040280927642</c:v>
                </c:pt>
                <c:pt idx="3">
                  <c:v>713.07970730960585</c:v>
                </c:pt>
                <c:pt idx="4">
                  <c:v>882.8380397649405</c:v>
                </c:pt>
                <c:pt idx="5">
                  <c:v>3190.2472793676284</c:v>
                </c:pt>
              </c:numCache>
            </c:numRef>
          </c:val>
        </c:ser>
        <c:ser>
          <c:idx val="1"/>
          <c:order val="1"/>
          <c:tx>
            <c:strRef>
              <c:f>EMBIG_Div_Security!$K$294</c:f>
              <c:strCache>
                <c:ptCount val="1"/>
                <c:pt idx="0">
                  <c:v>EMBIG Div Weighted Stripped Spread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6.5120065120065117E-3"/>
                  <c:y val="7.83545463014700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1396011396011365E-2"/>
                  <c:y val="7.83545463014700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8.1400081400081394E-3"/>
                  <c:y val="7.83545463014700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4.884004884004884E-3"/>
                  <c:y val="7.83545463014700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6.5120065120065117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1.139601139601139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'68'!$B$449:$B$454</c:f>
              <c:strCache>
                <c:ptCount val="6"/>
                <c:pt idx="0">
                  <c:v>0 - 200</c:v>
                </c:pt>
                <c:pt idx="1">
                  <c:v>200 - 400</c:v>
                </c:pt>
                <c:pt idx="2">
                  <c:v>400 - 600</c:v>
                </c:pt>
                <c:pt idx="3">
                  <c:v>600 - 800</c:v>
                </c:pt>
                <c:pt idx="4">
                  <c:v>800 - 1000</c:v>
                </c:pt>
                <c:pt idx="5">
                  <c:v>1000+</c:v>
                </c:pt>
              </c:strCache>
            </c:strRef>
          </c:cat>
          <c:val>
            <c:numRef>
              <c:f>EMBIG_Div_Security!$K$295:$K$300</c:f>
              <c:numCache>
                <c:formatCode>0.0</c:formatCode>
                <c:ptCount val="6"/>
                <c:pt idx="0">
                  <c:v>162.77797626870807</c:v>
                </c:pt>
                <c:pt idx="1">
                  <c:v>276.78242484922129</c:v>
                </c:pt>
                <c:pt idx="2">
                  <c:v>487.78076991253613</c:v>
                </c:pt>
                <c:pt idx="3">
                  <c:v>702.09536746805929</c:v>
                </c:pt>
                <c:pt idx="4">
                  <c:v>891.74096855287871</c:v>
                </c:pt>
                <c:pt idx="5">
                  <c:v>1244.9361059681485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077632"/>
        <c:axId val="155083904"/>
      </c:barChart>
      <c:catAx>
        <c:axId val="15507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OAS/Stripped</a:t>
                </a:r>
                <a:r>
                  <a:rPr lang="en-US" baseline="0"/>
                  <a:t> Spread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389534641503144"/>
              <c:y val="0.94461629202842234"/>
            </c:manualLayout>
          </c:layout>
          <c:overlay val="0"/>
        </c:title>
        <c:majorTickMark val="out"/>
        <c:minorTickMark val="none"/>
        <c:tickLblPos val="nextTo"/>
        <c:crossAx val="155083904"/>
        <c:crosses val="autoZero"/>
        <c:auto val="1"/>
        <c:lblAlgn val="ctr"/>
        <c:lblOffset val="100"/>
        <c:noMultiLvlLbl val="0"/>
      </c:catAx>
      <c:valAx>
        <c:axId val="1550839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Basis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5507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68</a:t>
            </a:r>
            <a:r>
              <a:rPr lang="en-US" sz="1200" baseline="0"/>
              <a:t> Effective Duration Weights vs EMBIG Div EIR Duration Weights</a:t>
            </a:r>
            <a:endParaRPr lang="en-US" sz="1200"/>
          </a:p>
        </c:rich>
      </c:tx>
      <c:layout>
        <c:manualLayout>
          <c:xMode val="edge"/>
          <c:yMode val="edge"/>
          <c:x val="0.19601990049751244"/>
          <c:y val="5.5613480182114443E-3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'68'!$N$456</c:f>
              <c:strCache>
                <c:ptCount val="1"/>
                <c:pt idx="0">
                  <c:v>68 % PF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'68'!$B$457:$B$462</c:f>
              <c:strCache>
                <c:ptCount val="6"/>
                <c:pt idx="0">
                  <c:v>0 - 2</c:v>
                </c:pt>
                <c:pt idx="1">
                  <c:v>2 - 4</c:v>
                </c:pt>
                <c:pt idx="2">
                  <c:v>4 - 6</c:v>
                </c:pt>
                <c:pt idx="3">
                  <c:v>6 - 8</c:v>
                </c:pt>
                <c:pt idx="4">
                  <c:v>8 - 10</c:v>
                </c:pt>
                <c:pt idx="5">
                  <c:v>10+</c:v>
                </c:pt>
              </c:strCache>
            </c:strRef>
          </c:cat>
          <c:val>
            <c:numRef>
              <c:f>'68'!$N$457:$N$462</c:f>
              <c:numCache>
                <c:formatCode>0.0</c:formatCode>
                <c:ptCount val="6"/>
                <c:pt idx="0">
                  <c:v>34.033329000000002</c:v>
                </c:pt>
                <c:pt idx="1">
                  <c:v>23.876354999999993</c:v>
                </c:pt>
                <c:pt idx="2">
                  <c:v>13.290952999999995</c:v>
                </c:pt>
                <c:pt idx="3">
                  <c:v>15.618577</c:v>
                </c:pt>
                <c:pt idx="4">
                  <c:v>3.423654</c:v>
                </c:pt>
                <c:pt idx="5">
                  <c:v>9.7571350000000017</c:v>
                </c:pt>
              </c:numCache>
            </c:numRef>
          </c:val>
        </c:ser>
        <c:ser>
          <c:idx val="1"/>
          <c:order val="1"/>
          <c:tx>
            <c:strRef>
              <c:f>EMBIG_Div_Security!$G$302</c:f>
              <c:strCache>
                <c:ptCount val="1"/>
                <c:pt idx="0">
                  <c:v>EMBIG Div Market Cap %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7.2365445499773858E-3"/>
                  <c:y val="8.342022027317166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0854816824966113E-2"/>
                  <c:y val="8.342022027317166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'68'!$B$457:$B$462</c:f>
              <c:strCache>
                <c:ptCount val="6"/>
                <c:pt idx="0">
                  <c:v>0 - 2</c:v>
                </c:pt>
                <c:pt idx="1">
                  <c:v>2 - 4</c:v>
                </c:pt>
                <c:pt idx="2">
                  <c:v>4 - 6</c:v>
                </c:pt>
                <c:pt idx="3">
                  <c:v>6 - 8</c:v>
                </c:pt>
                <c:pt idx="4">
                  <c:v>8 - 10</c:v>
                </c:pt>
                <c:pt idx="5">
                  <c:v>10+</c:v>
                </c:pt>
              </c:strCache>
            </c:strRef>
          </c:cat>
          <c:val>
            <c:numRef>
              <c:f>EMBIG_Div_Security!$G$303:$G$308</c:f>
              <c:numCache>
                <c:formatCode>0.00</c:formatCode>
                <c:ptCount val="6"/>
                <c:pt idx="0">
                  <c:v>3.9166389220000002</c:v>
                </c:pt>
                <c:pt idx="1">
                  <c:v>16.869775873999998</c:v>
                </c:pt>
                <c:pt idx="2">
                  <c:v>18.295582173999996</c:v>
                </c:pt>
                <c:pt idx="3">
                  <c:v>30.285452981000006</c:v>
                </c:pt>
                <c:pt idx="4">
                  <c:v>10.588552786000001</c:v>
                </c:pt>
                <c:pt idx="5">
                  <c:v>20.043997268000002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536768"/>
        <c:axId val="155543040"/>
      </c:barChart>
      <c:catAx>
        <c:axId val="15553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Effective</a:t>
                </a:r>
                <a:r>
                  <a:rPr lang="en-US" baseline="0"/>
                  <a:t> Duration/EIR Duration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605252192865309"/>
              <c:y val="0.94103569816155852"/>
            </c:manualLayout>
          </c:layout>
          <c:overlay val="0"/>
        </c:title>
        <c:majorTickMark val="out"/>
        <c:minorTickMark val="none"/>
        <c:tickLblPos val="nextTo"/>
        <c:crossAx val="155543040"/>
        <c:crosses val="autoZero"/>
        <c:auto val="1"/>
        <c:lblAlgn val="ctr"/>
        <c:lblOffset val="100"/>
        <c:noMultiLvlLbl val="0"/>
      </c:catAx>
      <c:valAx>
        <c:axId val="15554304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5.4274084124830389E-3"/>
              <c:y val="0.39278531138513029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15553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EMBIG Div Country level EIR Duration Weights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EMBIG_Div_Country!$H$84</c:f>
              <c:strCache>
                <c:ptCount val="1"/>
                <c:pt idx="0">
                  <c:v>Market Cap %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EMBIG_Div_Country!$D$85:$D$90</c:f>
              <c:strCache>
                <c:ptCount val="6"/>
                <c:pt idx="0">
                  <c:v>0 - 2</c:v>
                </c:pt>
                <c:pt idx="1">
                  <c:v>2 - 4</c:v>
                </c:pt>
                <c:pt idx="2">
                  <c:v>4 - 6</c:v>
                </c:pt>
                <c:pt idx="3">
                  <c:v>6 - 8</c:v>
                </c:pt>
                <c:pt idx="4">
                  <c:v>8 - 10</c:v>
                </c:pt>
                <c:pt idx="5">
                  <c:v>10+</c:v>
                </c:pt>
              </c:strCache>
            </c:strRef>
          </c:cat>
          <c:val>
            <c:numRef>
              <c:f>EMBIG_Div_Country!$H$85:$H$90</c:f>
              <c:numCache>
                <c:formatCode>#,##0.00</c:formatCode>
                <c:ptCount val="6"/>
                <c:pt idx="0">
                  <c:v>0</c:v>
                </c:pt>
                <c:pt idx="1">
                  <c:v>1.9782169999999997</c:v>
                </c:pt>
                <c:pt idx="2">
                  <c:v>30.964952999999998</c:v>
                </c:pt>
                <c:pt idx="3">
                  <c:v>33.731666000000004</c:v>
                </c:pt>
                <c:pt idx="4">
                  <c:v>27.279290000000003</c:v>
                </c:pt>
                <c:pt idx="5">
                  <c:v>6.0458730000000003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691072"/>
        <c:axId val="137823744"/>
      </c:barChart>
      <c:catAx>
        <c:axId val="13669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EIR</a:t>
                </a:r>
                <a:r>
                  <a:rPr lang="en-US" baseline="0"/>
                  <a:t> Duration Buckets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661751235487024"/>
              <c:y val="0.93808353780504616"/>
            </c:manualLayout>
          </c:layout>
          <c:overlay val="0"/>
        </c:title>
        <c:majorTickMark val="out"/>
        <c:minorTickMark val="none"/>
        <c:tickLblPos val="nextTo"/>
        <c:crossAx val="137823744"/>
        <c:crosses val="autoZero"/>
        <c:auto val="1"/>
        <c:lblAlgn val="ctr"/>
        <c:lblOffset val="100"/>
        <c:noMultiLvlLbl val="0"/>
      </c:catAx>
      <c:valAx>
        <c:axId val="1378237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3.660488799192502E-3"/>
              <c:y val="0.44274560620774139"/>
            </c:manualLayout>
          </c:layout>
          <c:overlay val="0"/>
        </c:title>
        <c:numFmt formatCode="#,##0.00" sourceLinked="1"/>
        <c:majorTickMark val="out"/>
        <c:minorTickMark val="none"/>
        <c:tickLblPos val="nextTo"/>
        <c:crossAx val="13669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68</a:t>
            </a:r>
            <a:r>
              <a:rPr lang="en-US" sz="1200" baseline="0"/>
              <a:t> Weighted Effective Duration vs EMBIG Div Security level Weighted EIR Duration</a:t>
            </a:r>
            <a:endParaRPr lang="en-US" sz="1200"/>
          </a:p>
        </c:rich>
      </c:tx>
      <c:layout>
        <c:manualLayout>
          <c:xMode val="edge"/>
          <c:yMode val="edge"/>
          <c:x val="0.1285097009932582"/>
          <c:y val="8.4477287361133524E-3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'68'!$P$456</c:f>
              <c:strCache>
                <c:ptCount val="1"/>
                <c:pt idx="0">
                  <c:v>68 Weighted Effective Duration</c:v>
                </c:pt>
              </c:strCache>
            </c:strRef>
          </c:tx>
          <c:invertIfNegative val="0"/>
          <c:dLbls>
            <c:dLbl>
              <c:idx val="3"/>
              <c:layout>
                <c:manualLayout>
                  <c:x val="-1.7429193899782135E-3"/>
                  <c:y val="1.1263638314817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5.2287581699346402E-3"/>
                  <c:y val="1.1263638314817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2200435729847494E-2"/>
                  <c:y val="8.447728736113352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'68'!$B$457:$B$462</c:f>
              <c:strCache>
                <c:ptCount val="6"/>
                <c:pt idx="0">
                  <c:v>0 - 2</c:v>
                </c:pt>
                <c:pt idx="1">
                  <c:v>2 - 4</c:v>
                </c:pt>
                <c:pt idx="2">
                  <c:v>4 - 6</c:v>
                </c:pt>
                <c:pt idx="3">
                  <c:v>6 - 8</c:v>
                </c:pt>
                <c:pt idx="4">
                  <c:v>8 - 10</c:v>
                </c:pt>
                <c:pt idx="5">
                  <c:v>10+</c:v>
                </c:pt>
              </c:strCache>
            </c:strRef>
          </c:cat>
          <c:val>
            <c:numRef>
              <c:f>'68'!$P$457:$P$462</c:f>
              <c:numCache>
                <c:formatCode>0.0</c:formatCode>
                <c:ptCount val="6"/>
                <c:pt idx="0">
                  <c:v>0.32862916394105313</c:v>
                </c:pt>
                <c:pt idx="1">
                  <c:v>3.04862049923651</c:v>
                </c:pt>
                <c:pt idx="2">
                  <c:v>18.323941418952554</c:v>
                </c:pt>
                <c:pt idx="3">
                  <c:v>7.4657893801087569</c:v>
                </c:pt>
                <c:pt idx="4">
                  <c:v>8.4576256642980496</c:v>
                </c:pt>
                <c:pt idx="5">
                  <c:v>12.549831584398191</c:v>
                </c:pt>
              </c:numCache>
            </c:numRef>
          </c:val>
        </c:ser>
        <c:ser>
          <c:idx val="1"/>
          <c:order val="1"/>
          <c:tx>
            <c:strRef>
              <c:f>EMBIG_Div_Security!$K$302</c:f>
              <c:strCache>
                <c:ptCount val="1"/>
                <c:pt idx="0">
                  <c:v>EMBIG Div Weighted EIR Duration</c:v>
                </c:pt>
              </c:strCache>
            </c:strRef>
          </c:tx>
          <c:invertIfNegative val="0"/>
          <c:dLbls>
            <c:dLbl>
              <c:idx val="5"/>
              <c:layout>
                <c:manualLayout>
                  <c:x val="1.045751633986928E-2"/>
                  <c:y val="5.631819157408901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'68'!$B$457:$B$462</c:f>
              <c:strCache>
                <c:ptCount val="6"/>
                <c:pt idx="0">
                  <c:v>0 - 2</c:v>
                </c:pt>
                <c:pt idx="1">
                  <c:v>2 - 4</c:v>
                </c:pt>
                <c:pt idx="2">
                  <c:v>4 - 6</c:v>
                </c:pt>
                <c:pt idx="3">
                  <c:v>6 - 8</c:v>
                </c:pt>
                <c:pt idx="4">
                  <c:v>8 - 10</c:v>
                </c:pt>
                <c:pt idx="5">
                  <c:v>10+</c:v>
                </c:pt>
              </c:strCache>
            </c:strRef>
          </c:cat>
          <c:val>
            <c:numRef>
              <c:f>EMBIG_Div_Security!$K$303:$K$308</c:f>
              <c:numCache>
                <c:formatCode>0.0</c:formatCode>
                <c:ptCount val="6"/>
                <c:pt idx="0">
                  <c:v>1.4569456415975113</c:v>
                </c:pt>
                <c:pt idx="1">
                  <c:v>3.0338992818505819</c:v>
                </c:pt>
                <c:pt idx="2">
                  <c:v>5.0675618427053539</c:v>
                </c:pt>
                <c:pt idx="3">
                  <c:v>6.8111207387914519</c:v>
                </c:pt>
                <c:pt idx="4">
                  <c:v>8.8256447386470906</c:v>
                </c:pt>
                <c:pt idx="5">
                  <c:v>12.638971626787001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634496"/>
        <c:axId val="156644864"/>
      </c:barChart>
      <c:catAx>
        <c:axId val="15663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Effective</a:t>
                </a:r>
                <a:r>
                  <a:rPr lang="en-US" baseline="0"/>
                  <a:t> Duration/EIR Duration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7314222977029834"/>
              <c:y val="0.94310443609969474"/>
            </c:manualLayout>
          </c:layout>
          <c:overlay val="0"/>
        </c:title>
        <c:majorTickMark val="out"/>
        <c:minorTickMark val="none"/>
        <c:tickLblPos val="nextTo"/>
        <c:crossAx val="156644864"/>
        <c:crosses val="autoZero"/>
        <c:auto val="1"/>
        <c:lblAlgn val="ctr"/>
        <c:lblOffset val="100"/>
        <c:noMultiLvlLbl val="0"/>
      </c:catAx>
      <c:valAx>
        <c:axId val="1566448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.0" sourceLinked="1"/>
        <c:majorTickMark val="out"/>
        <c:minorTickMark val="none"/>
        <c:tickLblPos val="nextTo"/>
        <c:crossAx val="15663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68</a:t>
            </a:r>
            <a:r>
              <a:rPr lang="en-US" sz="1200" baseline="0"/>
              <a:t> Market Price Weights vs EMBIG Div Security level Current Offer Price Weights</a:t>
            </a:r>
            <a:endParaRPr lang="en-US" sz="1200"/>
          </a:p>
        </c:rich>
      </c:tx>
      <c:layout>
        <c:manualLayout>
          <c:xMode val="edge"/>
          <c:yMode val="edge"/>
          <c:x val="0.12877109756053534"/>
          <c:y val="5.8672527143551114E-3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'68'!$N$464</c:f>
              <c:strCache>
                <c:ptCount val="1"/>
                <c:pt idx="0">
                  <c:v>68 % PF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5.5020632737276479E-3"/>
                  <c:y val="8.800879071532560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'68'!$B$465:$B$470</c:f>
              <c:strCache>
                <c:ptCount val="6"/>
                <c:pt idx="0">
                  <c:v>0 - 50</c:v>
                </c:pt>
                <c:pt idx="1">
                  <c:v>50 - 80</c:v>
                </c:pt>
                <c:pt idx="2">
                  <c:v>80 - 100</c:v>
                </c:pt>
                <c:pt idx="3">
                  <c:v>100 - 120</c:v>
                </c:pt>
                <c:pt idx="4">
                  <c:v>120 - 140</c:v>
                </c:pt>
                <c:pt idx="5">
                  <c:v>140+</c:v>
                </c:pt>
              </c:strCache>
            </c:strRef>
          </c:cat>
          <c:val>
            <c:numRef>
              <c:f>'68'!$N$465:$N$470</c:f>
              <c:numCache>
                <c:formatCode>0.0</c:formatCode>
                <c:ptCount val="6"/>
                <c:pt idx="0">
                  <c:v>8.8190900000000045</c:v>
                </c:pt>
                <c:pt idx="1">
                  <c:v>4.4715590000000018</c:v>
                </c:pt>
                <c:pt idx="2">
                  <c:v>24.225473999999991</c:v>
                </c:pt>
                <c:pt idx="3">
                  <c:v>52.861038000000001</c:v>
                </c:pt>
                <c:pt idx="4">
                  <c:v>4.5191829999999991</c:v>
                </c:pt>
                <c:pt idx="5">
                  <c:v>1.0484110000000002</c:v>
                </c:pt>
              </c:numCache>
            </c:numRef>
          </c:val>
        </c:ser>
        <c:ser>
          <c:idx val="1"/>
          <c:order val="1"/>
          <c:tx>
            <c:strRef>
              <c:f>EMBIG_Div_Security!$G$310</c:f>
              <c:strCache>
                <c:ptCount val="1"/>
                <c:pt idx="0">
                  <c:v>EMBIG Div Market Cap %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6680421824850985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5.5020632737276479E-3"/>
                  <c:y val="5.867252714355111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'68'!$B$465:$B$470</c:f>
              <c:strCache>
                <c:ptCount val="6"/>
                <c:pt idx="0">
                  <c:v>0 - 50</c:v>
                </c:pt>
                <c:pt idx="1">
                  <c:v>50 - 80</c:v>
                </c:pt>
                <c:pt idx="2">
                  <c:v>80 - 100</c:v>
                </c:pt>
                <c:pt idx="3">
                  <c:v>100 - 120</c:v>
                </c:pt>
                <c:pt idx="4">
                  <c:v>120 - 140</c:v>
                </c:pt>
                <c:pt idx="5">
                  <c:v>140+</c:v>
                </c:pt>
              </c:strCache>
            </c:strRef>
          </c:cat>
          <c:val>
            <c:numRef>
              <c:f>EMBIG_Div_Security!$G$311:$G$316</c:f>
              <c:numCache>
                <c:formatCode>0.00</c:formatCode>
                <c:ptCount val="6"/>
                <c:pt idx="0">
                  <c:v>0.67459609800000009</c:v>
                </c:pt>
                <c:pt idx="1">
                  <c:v>4.9802508290000009</c:v>
                </c:pt>
                <c:pt idx="2">
                  <c:v>11.018979681999999</c:v>
                </c:pt>
                <c:pt idx="3">
                  <c:v>55.096403022000011</c:v>
                </c:pt>
                <c:pt idx="4">
                  <c:v>18.191940349999996</c:v>
                </c:pt>
                <c:pt idx="5">
                  <c:v>10.037830024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670976"/>
        <c:axId val="156689536"/>
      </c:barChart>
      <c:catAx>
        <c:axId val="15667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Market</a:t>
                </a:r>
                <a:r>
                  <a:rPr lang="en-US" baseline="0"/>
                  <a:t> Price/Current Offer Price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545260246870794"/>
              <c:y val="0.94659321667048191"/>
            </c:manualLayout>
          </c:layout>
          <c:overlay val="0"/>
        </c:title>
        <c:majorTickMark val="out"/>
        <c:minorTickMark val="none"/>
        <c:tickLblPos val="nextTo"/>
        <c:crossAx val="156689536"/>
        <c:crosses val="autoZero"/>
        <c:auto val="1"/>
        <c:lblAlgn val="ctr"/>
        <c:lblOffset val="100"/>
        <c:noMultiLvlLbl val="0"/>
      </c:catAx>
      <c:valAx>
        <c:axId val="1566895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9.170105456212746E-3"/>
              <c:y val="0.3927550516699379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15667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68</a:t>
            </a:r>
            <a:r>
              <a:rPr lang="en-US" sz="1200" baseline="0"/>
              <a:t> Weighted Market Price vs EMBIG Div Security level Weighted Current Offer Price</a:t>
            </a:r>
            <a:endParaRPr lang="en-US" sz="1200"/>
          </a:p>
        </c:rich>
      </c:tx>
      <c:layout>
        <c:manualLayout>
          <c:xMode val="edge"/>
          <c:yMode val="edge"/>
          <c:x val="0.15223592703086028"/>
          <c:y val="5.9457443802767018E-3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'68'!$P$464</c:f>
              <c:strCache>
                <c:ptCount val="1"/>
                <c:pt idx="0">
                  <c:v>68 Weighted Market Price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4.9689440993788822E-3"/>
                  <c:y val="8.918616570415052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9689440993788822E-3"/>
                  <c:y val="8.918616570415106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9689440993788822E-3"/>
                  <c:y val="1.4864360950691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9.9378881987578251E-3"/>
                  <c:y val="1.18914887605534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9.937888198757764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'68'!$B$465:$B$470</c:f>
              <c:strCache>
                <c:ptCount val="6"/>
                <c:pt idx="0">
                  <c:v>0 - 50</c:v>
                </c:pt>
                <c:pt idx="1">
                  <c:v>50 - 80</c:v>
                </c:pt>
                <c:pt idx="2">
                  <c:v>80 - 100</c:v>
                </c:pt>
                <c:pt idx="3">
                  <c:v>100 - 120</c:v>
                </c:pt>
                <c:pt idx="4">
                  <c:v>120 - 140</c:v>
                </c:pt>
                <c:pt idx="5">
                  <c:v>140+</c:v>
                </c:pt>
              </c:strCache>
            </c:strRef>
          </c:cat>
          <c:val>
            <c:numRef>
              <c:f>'68'!$P$465:$P$470</c:f>
              <c:numCache>
                <c:formatCode>0.0</c:formatCode>
                <c:ptCount val="6"/>
                <c:pt idx="0">
                  <c:v>4.4111155901136057</c:v>
                </c:pt>
                <c:pt idx="1">
                  <c:v>69.796673779889531</c:v>
                </c:pt>
                <c:pt idx="2">
                  <c:v>94.237230799954787</c:v>
                </c:pt>
                <c:pt idx="3">
                  <c:v>106.9165486659703</c:v>
                </c:pt>
                <c:pt idx="4">
                  <c:v>126.69500997904271</c:v>
                </c:pt>
                <c:pt idx="5">
                  <c:v>181.37552004014341</c:v>
                </c:pt>
              </c:numCache>
            </c:numRef>
          </c:val>
        </c:ser>
        <c:ser>
          <c:idx val="1"/>
          <c:order val="1"/>
          <c:tx>
            <c:strRef>
              <c:f>EMBIG_Div_Security!$K$310</c:f>
              <c:strCache>
                <c:ptCount val="1"/>
                <c:pt idx="0">
                  <c:v>EMBIG Div Weighted Current Price Offer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563146997929607E-3"/>
                  <c:y val="5.945744380276701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8.2815734989648039E-3"/>
                  <c:y val="2.972872190138350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6.625258799171842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8.2815734989648039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6.625258799171842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9.9378881987577643E-3"/>
                  <c:y val="5.945744380276701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'68'!$B$465:$B$470</c:f>
              <c:strCache>
                <c:ptCount val="6"/>
                <c:pt idx="0">
                  <c:v>0 - 50</c:v>
                </c:pt>
                <c:pt idx="1">
                  <c:v>50 - 80</c:v>
                </c:pt>
                <c:pt idx="2">
                  <c:v>80 - 100</c:v>
                </c:pt>
                <c:pt idx="3">
                  <c:v>100 - 120</c:v>
                </c:pt>
                <c:pt idx="4">
                  <c:v>120 - 140</c:v>
                </c:pt>
                <c:pt idx="5">
                  <c:v>140+</c:v>
                </c:pt>
              </c:strCache>
            </c:strRef>
          </c:cat>
          <c:val>
            <c:numRef>
              <c:f>EMBIG_Div_Security!$K$311:$K$316</c:f>
              <c:numCache>
                <c:formatCode>0.00</c:formatCode>
                <c:ptCount val="6"/>
                <c:pt idx="0">
                  <c:v>39.296034212801331</c:v>
                </c:pt>
                <c:pt idx="1">
                  <c:v>70.684383461967769</c:v>
                </c:pt>
                <c:pt idx="2">
                  <c:v>94.599835477515882</c:v>
                </c:pt>
                <c:pt idx="3">
                  <c:v>110.61819534198202</c:v>
                </c:pt>
                <c:pt idx="4">
                  <c:v>129.29034790194058</c:v>
                </c:pt>
                <c:pt idx="5">
                  <c:v>153.6156521002371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728320"/>
        <c:axId val="156734592"/>
      </c:barChart>
      <c:catAx>
        <c:axId val="15672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Market</a:t>
                </a:r>
                <a:r>
                  <a:rPr lang="en-US" baseline="0"/>
                  <a:t> Price/Current Offer Price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3266715573596778"/>
              <c:y val="0.94290587254618075"/>
            </c:manualLayout>
          </c:layout>
          <c:overlay val="0"/>
        </c:title>
        <c:majorTickMark val="out"/>
        <c:minorTickMark val="none"/>
        <c:tickLblPos val="nextTo"/>
        <c:crossAx val="156734592"/>
        <c:crosses val="autoZero"/>
        <c:auto val="1"/>
        <c:lblAlgn val="ctr"/>
        <c:lblOffset val="100"/>
        <c:noMultiLvlLbl val="0"/>
      </c:catAx>
      <c:valAx>
        <c:axId val="1567345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USD</a:t>
                </a:r>
              </a:p>
            </c:rich>
          </c:tx>
          <c:layout>
            <c:manualLayout>
              <c:xMode val="edge"/>
              <c:yMode val="edge"/>
              <c:x val="8.2815734989648039E-3"/>
              <c:y val="0.40975214438889102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15672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Weighted Average Market Price Offer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7607081225228136E-2"/>
          <c:y val="8.7289574916157658E-2"/>
          <c:w val="0.85866642830194906"/>
          <c:h val="0.75022321638062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EMBIG_Div_Country!$U$1</c:f>
              <c:strCache>
                <c:ptCount val="1"/>
                <c:pt idx="0">
                  <c:v>Weighted Average Market Price Offer </c:v>
                </c:pt>
              </c:strCache>
            </c:strRef>
          </c:tx>
          <c:invertIfNegative val="0"/>
          <c:cat>
            <c:strRef>
              <c:f>EMBIG_Div_Country!$D$18:$D$60</c:f>
              <c:strCache>
                <c:ptCount val="43"/>
                <c:pt idx="0">
                  <c:v>Argentina</c:v>
                </c:pt>
                <c:pt idx="1">
                  <c:v>Belarus</c:v>
                </c:pt>
                <c:pt idx="2">
                  <c:v>Belize</c:v>
                </c:pt>
                <c:pt idx="3">
                  <c:v>Brazil</c:v>
                </c:pt>
                <c:pt idx="4">
                  <c:v>Bulgaria</c:v>
                </c:pt>
                <c:pt idx="5">
                  <c:v>Chile</c:v>
                </c:pt>
                <c:pt idx="6">
                  <c:v>China</c:v>
                </c:pt>
                <c:pt idx="7">
                  <c:v>Columbia</c:v>
                </c:pt>
                <c:pt idx="8">
                  <c:v>Croatia</c:v>
                </c:pt>
                <c:pt idx="9">
                  <c:v>Dominican Republic</c:v>
                </c:pt>
                <c:pt idx="10">
                  <c:v>Ecuador</c:v>
                </c:pt>
                <c:pt idx="11">
                  <c:v>Egypt</c:v>
                </c:pt>
                <c:pt idx="12">
                  <c:v>El Salvador</c:v>
                </c:pt>
                <c:pt idx="13">
                  <c:v>Gabon</c:v>
                </c:pt>
                <c:pt idx="14">
                  <c:v>Georgia</c:v>
                </c:pt>
                <c:pt idx="15">
                  <c:v>Ghana</c:v>
                </c:pt>
                <c:pt idx="16">
                  <c:v>Hungary</c:v>
                </c:pt>
                <c:pt idx="17">
                  <c:v>Indonesia</c:v>
                </c:pt>
                <c:pt idx="18">
                  <c:v>Iraq</c:v>
                </c:pt>
                <c:pt idx="19">
                  <c:v>Ivory Coast</c:v>
                </c:pt>
                <c:pt idx="20">
                  <c:v>Jamaica</c:v>
                </c:pt>
                <c:pt idx="21">
                  <c:v>Jordan</c:v>
                </c:pt>
                <c:pt idx="22">
                  <c:v>Kazakhstan</c:v>
                </c:pt>
                <c:pt idx="23">
                  <c:v>Lebanon</c:v>
                </c:pt>
                <c:pt idx="24">
                  <c:v>Lithuania</c:v>
                </c:pt>
                <c:pt idx="25">
                  <c:v>Malaysia</c:v>
                </c:pt>
                <c:pt idx="26">
                  <c:v>Mexico</c:v>
                </c:pt>
                <c:pt idx="27">
                  <c:v>Nigeria</c:v>
                </c:pt>
                <c:pt idx="28">
                  <c:v>Pakistan</c:v>
                </c:pt>
                <c:pt idx="29">
                  <c:v>Panama</c:v>
                </c:pt>
                <c:pt idx="30">
                  <c:v>Peru</c:v>
                </c:pt>
                <c:pt idx="31">
                  <c:v>Philippines</c:v>
                </c:pt>
                <c:pt idx="32">
                  <c:v>Poland</c:v>
                </c:pt>
                <c:pt idx="33">
                  <c:v>Russia</c:v>
                </c:pt>
                <c:pt idx="34">
                  <c:v>Serbia</c:v>
                </c:pt>
                <c:pt idx="35">
                  <c:v>Senegal</c:v>
                </c:pt>
                <c:pt idx="36">
                  <c:v>South Africa</c:v>
                </c:pt>
                <c:pt idx="37">
                  <c:v>Sri Lanka</c:v>
                </c:pt>
                <c:pt idx="38">
                  <c:v>Turkey</c:v>
                </c:pt>
                <c:pt idx="39">
                  <c:v>Ukraine</c:v>
                </c:pt>
                <c:pt idx="40">
                  <c:v>Uruguay</c:v>
                </c:pt>
                <c:pt idx="41">
                  <c:v>Venezuela</c:v>
                </c:pt>
                <c:pt idx="42">
                  <c:v>Vietnam</c:v>
                </c:pt>
              </c:strCache>
            </c:strRef>
          </c:cat>
          <c:val>
            <c:numRef>
              <c:f>EMBIG_Div_Country!$U$18:$U$60</c:f>
              <c:numCache>
                <c:formatCode>0.0</c:formatCode>
                <c:ptCount val="43"/>
                <c:pt idx="0">
                  <c:v>69.123201714748475</c:v>
                </c:pt>
                <c:pt idx="1">
                  <c:v>85.417796573887017</c:v>
                </c:pt>
                <c:pt idx="2">
                  <c:v>62</c:v>
                </c:pt>
                <c:pt idx="3">
                  <c:v>133.89148646443121</c:v>
                </c:pt>
                <c:pt idx="4">
                  <c:v>114.25</c:v>
                </c:pt>
                <c:pt idx="5">
                  <c:v>109.12610477557023</c:v>
                </c:pt>
                <c:pt idx="6">
                  <c:v>105.59614287092856</c:v>
                </c:pt>
                <c:pt idx="7">
                  <c:v>126.27673861707125</c:v>
                </c:pt>
                <c:pt idx="8">
                  <c:v>99.240898139858871</c:v>
                </c:pt>
                <c:pt idx="9">
                  <c:v>106.76876186158334</c:v>
                </c:pt>
                <c:pt idx="10">
                  <c:v>99.5</c:v>
                </c:pt>
                <c:pt idx="11">
                  <c:v>100.97525157561249</c:v>
                </c:pt>
                <c:pt idx="12">
                  <c:v>107.51627264566302</c:v>
                </c:pt>
                <c:pt idx="13">
                  <c:v>116.5</c:v>
                </c:pt>
                <c:pt idx="14">
                  <c:v>103</c:v>
                </c:pt>
                <c:pt idx="15">
                  <c:v>113</c:v>
                </c:pt>
                <c:pt idx="16">
                  <c:v>97.557801786627039</c:v>
                </c:pt>
                <c:pt idx="17">
                  <c:v>123.08489674894483</c:v>
                </c:pt>
                <c:pt idx="18">
                  <c:v>86</c:v>
                </c:pt>
                <c:pt idx="19">
                  <c:v>55.75</c:v>
                </c:pt>
                <c:pt idx="20">
                  <c:v>102.07988513222855</c:v>
                </c:pt>
                <c:pt idx="21">
                  <c:v>96.25</c:v>
                </c:pt>
                <c:pt idx="22">
                  <c:v>113.01532178629841</c:v>
                </c:pt>
                <c:pt idx="23">
                  <c:v>109.52661309407762</c:v>
                </c:pt>
                <c:pt idx="24">
                  <c:v>109.24071735444151</c:v>
                </c:pt>
                <c:pt idx="25">
                  <c:v>121.57550806440705</c:v>
                </c:pt>
                <c:pt idx="26">
                  <c:v>118.51517340551723</c:v>
                </c:pt>
                <c:pt idx="27">
                  <c:v>106.375</c:v>
                </c:pt>
                <c:pt idx="28">
                  <c:v>79.809901545420956</c:v>
                </c:pt>
                <c:pt idx="29">
                  <c:v>131.40920358423259</c:v>
                </c:pt>
                <c:pt idx="30">
                  <c:v>133.61886056238308</c:v>
                </c:pt>
                <c:pt idx="31">
                  <c:v>127.11345483901785</c:v>
                </c:pt>
                <c:pt idx="32">
                  <c:v>107.7437250426043</c:v>
                </c:pt>
                <c:pt idx="33">
                  <c:v>121.5903978077191</c:v>
                </c:pt>
                <c:pt idx="34">
                  <c:v>102.03574543585894</c:v>
                </c:pt>
                <c:pt idx="35">
                  <c:v>104.125</c:v>
                </c:pt>
                <c:pt idx="36">
                  <c:v>113.21579376959558</c:v>
                </c:pt>
                <c:pt idx="37">
                  <c:v>104.61349241273601</c:v>
                </c:pt>
                <c:pt idx="38">
                  <c:v>118.15126382453559</c:v>
                </c:pt>
                <c:pt idx="39">
                  <c:v>95.582301131188757</c:v>
                </c:pt>
                <c:pt idx="40">
                  <c:v>134.5072018911865</c:v>
                </c:pt>
                <c:pt idx="41">
                  <c:v>74.526960265719651</c:v>
                </c:pt>
                <c:pt idx="42">
                  <c:v>104.30704124815173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152576"/>
        <c:axId val="158154752"/>
      </c:barChart>
      <c:catAx>
        <c:axId val="15815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aseline="0"/>
                </a:pPr>
                <a:r>
                  <a:rPr lang="en-US" sz="1200" baseline="0"/>
                  <a:t>EMBI Global Diversified Countries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8154752"/>
        <c:crosses val="autoZero"/>
        <c:auto val="1"/>
        <c:lblAlgn val="ctr"/>
        <c:lblOffset val="100"/>
        <c:noMultiLvlLbl val="0"/>
      </c:catAx>
      <c:valAx>
        <c:axId val="158154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USD</a:t>
                </a:r>
              </a:p>
            </c:rich>
          </c:tx>
          <c:layout>
            <c:manualLayout>
              <c:xMode val="edge"/>
              <c:yMode val="edge"/>
              <c:x val="8.394556247139983E-3"/>
              <c:y val="0.43254252246201824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158152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Weighted Average Stripped YTM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EMBIG_Div_Country!$L$1</c:f>
              <c:strCache>
                <c:ptCount val="1"/>
                <c:pt idx="0">
                  <c:v>Stripped YTM</c:v>
                </c:pt>
              </c:strCache>
            </c:strRef>
          </c:tx>
          <c:invertIfNegative val="0"/>
          <c:cat>
            <c:strRef>
              <c:f>EMBIG_Div_Country!$D$18:$D$60</c:f>
              <c:strCache>
                <c:ptCount val="43"/>
                <c:pt idx="0">
                  <c:v>Argentina</c:v>
                </c:pt>
                <c:pt idx="1">
                  <c:v>Belarus</c:v>
                </c:pt>
                <c:pt idx="2">
                  <c:v>Belize</c:v>
                </c:pt>
                <c:pt idx="3">
                  <c:v>Brazil</c:v>
                </c:pt>
                <c:pt idx="4">
                  <c:v>Bulgaria</c:v>
                </c:pt>
                <c:pt idx="5">
                  <c:v>Chile</c:v>
                </c:pt>
                <c:pt idx="6">
                  <c:v>China</c:v>
                </c:pt>
                <c:pt idx="7">
                  <c:v>Columbia</c:v>
                </c:pt>
                <c:pt idx="8">
                  <c:v>Croatia</c:v>
                </c:pt>
                <c:pt idx="9">
                  <c:v>Dominican Republic</c:v>
                </c:pt>
                <c:pt idx="10">
                  <c:v>Ecuador</c:v>
                </c:pt>
                <c:pt idx="11">
                  <c:v>Egypt</c:v>
                </c:pt>
                <c:pt idx="12">
                  <c:v>El Salvador</c:v>
                </c:pt>
                <c:pt idx="13">
                  <c:v>Gabon</c:v>
                </c:pt>
                <c:pt idx="14">
                  <c:v>Georgia</c:v>
                </c:pt>
                <c:pt idx="15">
                  <c:v>Ghana</c:v>
                </c:pt>
                <c:pt idx="16">
                  <c:v>Hungary</c:v>
                </c:pt>
                <c:pt idx="17">
                  <c:v>Indonesia</c:v>
                </c:pt>
                <c:pt idx="18">
                  <c:v>Iraq</c:v>
                </c:pt>
                <c:pt idx="19">
                  <c:v>Ivory Coast</c:v>
                </c:pt>
                <c:pt idx="20">
                  <c:v>Jamaica</c:v>
                </c:pt>
                <c:pt idx="21">
                  <c:v>Jordan</c:v>
                </c:pt>
                <c:pt idx="22">
                  <c:v>Kazakhstan</c:v>
                </c:pt>
                <c:pt idx="23">
                  <c:v>Lebanon</c:v>
                </c:pt>
                <c:pt idx="24">
                  <c:v>Lithuania</c:v>
                </c:pt>
                <c:pt idx="25">
                  <c:v>Malaysia</c:v>
                </c:pt>
                <c:pt idx="26">
                  <c:v>Mexico</c:v>
                </c:pt>
                <c:pt idx="27">
                  <c:v>Nigeria</c:v>
                </c:pt>
                <c:pt idx="28">
                  <c:v>Pakistan</c:v>
                </c:pt>
                <c:pt idx="29">
                  <c:v>Panama</c:v>
                </c:pt>
                <c:pt idx="30">
                  <c:v>Peru</c:v>
                </c:pt>
                <c:pt idx="31">
                  <c:v>Philippines</c:v>
                </c:pt>
                <c:pt idx="32">
                  <c:v>Poland</c:v>
                </c:pt>
                <c:pt idx="33">
                  <c:v>Russia</c:v>
                </c:pt>
                <c:pt idx="34">
                  <c:v>Serbia</c:v>
                </c:pt>
                <c:pt idx="35">
                  <c:v>Senegal</c:v>
                </c:pt>
                <c:pt idx="36">
                  <c:v>South Africa</c:v>
                </c:pt>
                <c:pt idx="37">
                  <c:v>Sri Lanka</c:v>
                </c:pt>
                <c:pt idx="38">
                  <c:v>Turkey</c:v>
                </c:pt>
                <c:pt idx="39">
                  <c:v>Ukraine</c:v>
                </c:pt>
                <c:pt idx="40">
                  <c:v>Uruguay</c:v>
                </c:pt>
                <c:pt idx="41">
                  <c:v>Venezuela</c:v>
                </c:pt>
                <c:pt idx="42">
                  <c:v>Vietnam</c:v>
                </c:pt>
              </c:strCache>
            </c:strRef>
          </c:cat>
          <c:val>
            <c:numRef>
              <c:f>EMBIG_Div_Country!$L$18:$L$60</c:f>
              <c:numCache>
                <c:formatCode>0.00</c:formatCode>
                <c:ptCount val="43"/>
                <c:pt idx="0">
                  <c:v>10.721</c:v>
                </c:pt>
                <c:pt idx="1">
                  <c:v>13.058</c:v>
                </c:pt>
                <c:pt idx="2">
                  <c:v>15.423</c:v>
                </c:pt>
                <c:pt idx="3">
                  <c:v>4.5709999999999997</c:v>
                </c:pt>
                <c:pt idx="4">
                  <c:v>3.5009999999999999</c:v>
                </c:pt>
                <c:pt idx="5">
                  <c:v>3.6190000000000002</c:v>
                </c:pt>
                <c:pt idx="6">
                  <c:v>4.0090000000000003</c:v>
                </c:pt>
                <c:pt idx="7">
                  <c:v>4.1029999999999998</c:v>
                </c:pt>
                <c:pt idx="8">
                  <c:v>6.6950000000000003</c:v>
                </c:pt>
                <c:pt idx="9">
                  <c:v>6.5880000000000001</c:v>
                </c:pt>
                <c:pt idx="10">
                  <c:v>9.5190000000000001</c:v>
                </c:pt>
                <c:pt idx="11">
                  <c:v>6.0490000000000004</c:v>
                </c:pt>
                <c:pt idx="12">
                  <c:v>6.944</c:v>
                </c:pt>
                <c:pt idx="13">
                  <c:v>5.0279999999999996</c:v>
                </c:pt>
                <c:pt idx="14">
                  <c:v>6.4450000000000003</c:v>
                </c:pt>
                <c:pt idx="15">
                  <c:v>5.867</c:v>
                </c:pt>
                <c:pt idx="16">
                  <c:v>6.94</c:v>
                </c:pt>
                <c:pt idx="17">
                  <c:v>4.6029999999999998</c:v>
                </c:pt>
                <c:pt idx="18">
                  <c:v>7.5720000000000001</c:v>
                </c:pt>
                <c:pt idx="19">
                  <c:v>12.531000000000001</c:v>
                </c:pt>
                <c:pt idx="20">
                  <c:v>7.7329999999999997</c:v>
                </c:pt>
                <c:pt idx="21">
                  <c:v>4.97</c:v>
                </c:pt>
                <c:pt idx="22">
                  <c:v>4.984</c:v>
                </c:pt>
                <c:pt idx="23">
                  <c:v>5.2039999999999997</c:v>
                </c:pt>
                <c:pt idx="24">
                  <c:v>5.0149999999999997</c:v>
                </c:pt>
                <c:pt idx="25">
                  <c:v>3.2679999999999998</c:v>
                </c:pt>
                <c:pt idx="26">
                  <c:v>4.59</c:v>
                </c:pt>
                <c:pt idx="27">
                  <c:v>5.8449999999999998</c:v>
                </c:pt>
                <c:pt idx="28">
                  <c:v>12.435</c:v>
                </c:pt>
                <c:pt idx="29">
                  <c:v>4.4119999999999999</c:v>
                </c:pt>
                <c:pt idx="30">
                  <c:v>4.6139999999999999</c:v>
                </c:pt>
                <c:pt idx="31">
                  <c:v>4.5519999999999996</c:v>
                </c:pt>
                <c:pt idx="32">
                  <c:v>4.1900000000000004</c:v>
                </c:pt>
                <c:pt idx="33">
                  <c:v>4.7119999999999997</c:v>
                </c:pt>
                <c:pt idx="34">
                  <c:v>6.7240000000000002</c:v>
                </c:pt>
                <c:pt idx="35">
                  <c:v>8.1189999999999998</c:v>
                </c:pt>
                <c:pt idx="36">
                  <c:v>4.1989999999999998</c:v>
                </c:pt>
                <c:pt idx="37">
                  <c:v>5.6349999999999998</c:v>
                </c:pt>
                <c:pt idx="38">
                  <c:v>5.2610000000000001</c:v>
                </c:pt>
                <c:pt idx="39">
                  <c:v>8.7490000000000006</c:v>
                </c:pt>
                <c:pt idx="40">
                  <c:v>4.6589999999999998</c:v>
                </c:pt>
                <c:pt idx="41">
                  <c:v>14.398</c:v>
                </c:pt>
                <c:pt idx="42">
                  <c:v>5.968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419712"/>
        <c:axId val="40421248"/>
      </c:barChart>
      <c:catAx>
        <c:axId val="4041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aseline="0"/>
                </a:pPr>
                <a:r>
                  <a:rPr lang="en-US" sz="1200" baseline="0"/>
                  <a:t>EMBI Global Diversified Countries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3000000" vert="horz"/>
          <a:lstStyle/>
          <a:p>
            <a:pPr>
              <a:defRPr/>
            </a:pPr>
            <a:endParaRPr lang="en-US"/>
          </a:p>
        </c:txPr>
        <c:crossAx val="40421248"/>
        <c:crosses val="autoZero"/>
        <c:auto val="1"/>
        <c:lblAlgn val="ctr"/>
        <c:lblOffset val="100"/>
        <c:noMultiLvlLbl val="0"/>
      </c:catAx>
      <c:valAx>
        <c:axId val="40421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4.6417174354511171E-3"/>
              <c:y val="0.39978416725058691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40419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148992"/>
        <c:axId val="40150528"/>
      </c:barChart>
      <c:catAx>
        <c:axId val="4014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40150528"/>
        <c:crosses val="autoZero"/>
        <c:auto val="1"/>
        <c:lblAlgn val="ctr"/>
        <c:lblOffset val="100"/>
        <c:noMultiLvlLbl val="0"/>
      </c:catAx>
      <c:valAx>
        <c:axId val="4015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148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EMBIG Div Country level Weighted EIR Duration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EMBIG_Div_Country!$L$84</c:f>
              <c:strCache>
                <c:ptCount val="1"/>
                <c:pt idx="0">
                  <c:v>Weighted EIR Duration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EMBIG_Div_Country!$D$85:$D$90</c:f>
              <c:strCache>
                <c:ptCount val="6"/>
                <c:pt idx="0">
                  <c:v>0 - 2</c:v>
                </c:pt>
                <c:pt idx="1">
                  <c:v>2 - 4</c:v>
                </c:pt>
                <c:pt idx="2">
                  <c:v>4 - 6</c:v>
                </c:pt>
                <c:pt idx="3">
                  <c:v>6 - 8</c:v>
                </c:pt>
                <c:pt idx="4">
                  <c:v>8 - 10</c:v>
                </c:pt>
                <c:pt idx="5">
                  <c:v>10+</c:v>
                </c:pt>
              </c:strCache>
            </c:strRef>
          </c:cat>
          <c:val>
            <c:numRef>
              <c:f>EMBIG_Div_Country!$L$85:$L$90</c:f>
              <c:numCache>
                <c:formatCode>#,##0.00</c:formatCode>
                <c:ptCount val="6"/>
                <c:pt idx="0">
                  <c:v>0</c:v>
                </c:pt>
                <c:pt idx="1">
                  <c:v>3.409397684993877</c:v>
                </c:pt>
                <c:pt idx="2">
                  <c:v>5.0274459251866901</c:v>
                </c:pt>
                <c:pt idx="3">
                  <c:v>7.121608730065411</c:v>
                </c:pt>
                <c:pt idx="4">
                  <c:v>8.6563259183628123</c:v>
                </c:pt>
                <c:pt idx="5">
                  <c:v>10.566573677611661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861760"/>
        <c:axId val="137863936"/>
      </c:barChart>
      <c:catAx>
        <c:axId val="13786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EIR</a:t>
                </a:r>
                <a:r>
                  <a:rPr lang="en-US" baseline="0"/>
                  <a:t> Duration Buckets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6017625384783231"/>
              <c:y val="0.93339913721302836"/>
            </c:manualLayout>
          </c:layout>
          <c:overlay val="0"/>
        </c:title>
        <c:majorTickMark val="out"/>
        <c:minorTickMark val="none"/>
        <c:tickLblPos val="nextTo"/>
        <c:crossAx val="137863936"/>
        <c:crosses val="autoZero"/>
        <c:auto val="1"/>
        <c:lblAlgn val="ctr"/>
        <c:lblOffset val="100"/>
        <c:noMultiLvlLbl val="0"/>
      </c:catAx>
      <c:valAx>
        <c:axId val="1378639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#,##0.00" sourceLinked="1"/>
        <c:majorTickMark val="out"/>
        <c:minorTickMark val="none"/>
        <c:tickLblPos val="nextTo"/>
        <c:crossAx val="13786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EMBIG Div Security level Stripped YTM Weights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EMBIG_Div_Security!$G$286</c:f>
              <c:strCache>
                <c:ptCount val="1"/>
                <c:pt idx="0">
                  <c:v>EMBIG Div Market Cap %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EMBIG_Div_Security!$C$287:$C$292</c:f>
              <c:strCache>
                <c:ptCount val="6"/>
                <c:pt idx="0">
                  <c:v>0 - 2</c:v>
                </c:pt>
                <c:pt idx="1">
                  <c:v>2 - 4</c:v>
                </c:pt>
                <c:pt idx="2">
                  <c:v>4 - 6</c:v>
                </c:pt>
                <c:pt idx="3">
                  <c:v>6 - 8</c:v>
                </c:pt>
                <c:pt idx="4">
                  <c:v>8 - 10</c:v>
                </c:pt>
                <c:pt idx="5">
                  <c:v>10+</c:v>
                </c:pt>
              </c:strCache>
            </c:strRef>
          </c:cat>
          <c:val>
            <c:numRef>
              <c:f>EMBIG_Div_Security!$G$287:$G$292</c:f>
              <c:numCache>
                <c:formatCode>0.00</c:formatCode>
                <c:ptCount val="6"/>
                <c:pt idx="0">
                  <c:v>3.2362200170000004</c:v>
                </c:pt>
                <c:pt idx="1">
                  <c:v>28.320571369000003</c:v>
                </c:pt>
                <c:pt idx="2">
                  <c:v>47.322965111000009</c:v>
                </c:pt>
                <c:pt idx="3">
                  <c:v>9.9425937760000025</c:v>
                </c:pt>
                <c:pt idx="4">
                  <c:v>3.0865053089999996</c:v>
                </c:pt>
                <c:pt idx="5">
                  <c:v>8.0911444230000011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877760"/>
        <c:axId val="135879680"/>
      </c:barChart>
      <c:catAx>
        <c:axId val="13587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Stripped</a:t>
                </a:r>
                <a:r>
                  <a:rPr lang="en-US" baseline="0"/>
                  <a:t> YTM Buckets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054198475972545"/>
              <c:y val="0.92464322087356121"/>
            </c:manualLayout>
          </c:layout>
          <c:overlay val="0"/>
        </c:title>
        <c:majorTickMark val="out"/>
        <c:minorTickMark val="none"/>
        <c:tickLblPos val="nextTo"/>
        <c:crossAx val="135879680"/>
        <c:crosses val="autoZero"/>
        <c:auto val="1"/>
        <c:lblAlgn val="ctr"/>
        <c:lblOffset val="100"/>
        <c:noMultiLvlLbl val="0"/>
      </c:catAx>
      <c:valAx>
        <c:axId val="1358796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9.9058940069341253E-3"/>
              <c:y val="0.43360624440152234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3587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EMBIG Div Security level</a:t>
            </a:r>
            <a:r>
              <a:rPr lang="en-US" sz="1400" baseline="0"/>
              <a:t> </a:t>
            </a:r>
            <a:r>
              <a:rPr lang="en-US" sz="1400"/>
              <a:t>Weighted Stripped YTM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EMBIG_Div_Security!$K$286</c:f>
              <c:strCache>
                <c:ptCount val="1"/>
                <c:pt idx="0">
                  <c:v>EMBIG Div Weighted Stripped YTM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EMBIG_Div_Security!$C$287:$C$292</c:f>
              <c:strCache>
                <c:ptCount val="6"/>
                <c:pt idx="0">
                  <c:v>0 - 2</c:v>
                </c:pt>
                <c:pt idx="1">
                  <c:v>2 - 4</c:v>
                </c:pt>
                <c:pt idx="2">
                  <c:v>4 - 6</c:v>
                </c:pt>
                <c:pt idx="3">
                  <c:v>6 - 8</c:v>
                </c:pt>
                <c:pt idx="4">
                  <c:v>8 - 10</c:v>
                </c:pt>
                <c:pt idx="5">
                  <c:v>10+</c:v>
                </c:pt>
              </c:strCache>
            </c:strRef>
          </c:cat>
          <c:val>
            <c:numRef>
              <c:f>EMBIG_Div_Security!$K$287:$K$292</c:f>
              <c:numCache>
                <c:formatCode>0.00</c:formatCode>
                <c:ptCount val="6"/>
                <c:pt idx="0">
                  <c:v>1.4064097176956387</c:v>
                </c:pt>
                <c:pt idx="1">
                  <c:v>3.1810810398655818</c:v>
                </c:pt>
                <c:pt idx="2">
                  <c:v>4.8607372722699846</c:v>
                </c:pt>
                <c:pt idx="3">
                  <c:v>6.8798623973904984</c:v>
                </c:pt>
                <c:pt idx="4">
                  <c:v>8.6451802083274369</c:v>
                </c:pt>
                <c:pt idx="5">
                  <c:v>12.923214162194553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892352"/>
        <c:axId val="135915008"/>
      </c:barChart>
      <c:catAx>
        <c:axId val="13589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Stripped</a:t>
                </a:r>
                <a:r>
                  <a:rPr lang="en-US" baseline="0"/>
                  <a:t> YTM Buckets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7694701381507212"/>
              <c:y val="0.93162427665614278"/>
            </c:manualLayout>
          </c:layout>
          <c:overlay val="0"/>
        </c:title>
        <c:majorTickMark val="out"/>
        <c:minorTickMark val="none"/>
        <c:tickLblPos val="nextTo"/>
        <c:crossAx val="135915008"/>
        <c:crosses val="autoZero"/>
        <c:auto val="1"/>
        <c:lblAlgn val="ctr"/>
        <c:lblOffset val="100"/>
        <c:noMultiLvlLbl val="0"/>
      </c:catAx>
      <c:valAx>
        <c:axId val="1359150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9.1954022988505746E-3"/>
              <c:y val="0.4428471918684199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3589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EMBIG Div Security level Stripped</a:t>
            </a:r>
            <a:r>
              <a:rPr lang="en-US" sz="1400" baseline="0"/>
              <a:t> Spread Weights</a:t>
            </a:r>
            <a:endParaRPr lang="en-US" sz="14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EMBIG_Div_Security!$G$294</c:f>
              <c:strCache>
                <c:ptCount val="1"/>
                <c:pt idx="0">
                  <c:v>EMBIG Div Market Cap %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EMBIG_Div_Security!$C$295:$C$300</c:f>
              <c:strCache>
                <c:ptCount val="6"/>
                <c:pt idx="0">
                  <c:v>0 - 200</c:v>
                </c:pt>
                <c:pt idx="1">
                  <c:v>200 - 400</c:v>
                </c:pt>
                <c:pt idx="2">
                  <c:v>400 - 600</c:v>
                </c:pt>
                <c:pt idx="3">
                  <c:v>600 - 800</c:v>
                </c:pt>
                <c:pt idx="4">
                  <c:v>800 - 1000</c:v>
                </c:pt>
                <c:pt idx="5">
                  <c:v>1000+</c:v>
                </c:pt>
              </c:strCache>
            </c:strRef>
          </c:cat>
          <c:val>
            <c:numRef>
              <c:f>EMBIG_Div_Security!$G$295:$G$300</c:f>
              <c:numCache>
                <c:formatCode>0.00</c:formatCode>
                <c:ptCount val="6"/>
                <c:pt idx="0">
                  <c:v>23.885580428000004</c:v>
                </c:pt>
                <c:pt idx="1">
                  <c:v>53.713886662000014</c:v>
                </c:pt>
                <c:pt idx="2">
                  <c:v>11.114151278000001</c:v>
                </c:pt>
                <c:pt idx="3">
                  <c:v>2.7323578739999999</c:v>
                </c:pt>
                <c:pt idx="4">
                  <c:v>2.962005982</c:v>
                </c:pt>
                <c:pt idx="5">
                  <c:v>5.5920177809999991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217344"/>
        <c:axId val="138227712"/>
      </c:barChart>
      <c:catAx>
        <c:axId val="13821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Stripped</a:t>
                </a:r>
                <a:r>
                  <a:rPr lang="en-US" baseline="0"/>
                  <a:t> Spread Buckets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415728423719273"/>
              <c:y val="0.9318063690520626"/>
            </c:manualLayout>
          </c:layout>
          <c:overlay val="0"/>
        </c:title>
        <c:majorTickMark val="out"/>
        <c:minorTickMark val="none"/>
        <c:tickLblPos val="nextTo"/>
        <c:crossAx val="138227712"/>
        <c:crosses val="autoZero"/>
        <c:auto val="1"/>
        <c:lblAlgn val="ctr"/>
        <c:lblOffset val="100"/>
        <c:noMultiLvlLbl val="0"/>
      </c:catAx>
      <c:valAx>
        <c:axId val="1382277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3.9920153406548574E-3"/>
              <c:y val="0.40825465097438468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3821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185737</xdr:colOff>
      <xdr:row>94</xdr:row>
      <xdr:rowOff>90486</xdr:rowOff>
    </xdr:from>
    <xdr:to>
      <xdr:col>9</xdr:col>
      <xdr:colOff>1371600</xdr:colOff>
      <xdr:row>111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252411</xdr:colOff>
      <xdr:row>93</xdr:row>
      <xdr:rowOff>176211</xdr:rowOff>
    </xdr:from>
    <xdr:to>
      <xdr:col>24</xdr:col>
      <xdr:colOff>457200</xdr:colOff>
      <xdr:row>111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52386</xdr:colOff>
      <xdr:row>114</xdr:row>
      <xdr:rowOff>23811</xdr:rowOff>
    </xdr:from>
    <xdr:to>
      <xdr:col>11</xdr:col>
      <xdr:colOff>257175</xdr:colOff>
      <xdr:row>131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623887</xdr:colOff>
      <xdr:row>114</xdr:row>
      <xdr:rowOff>52386</xdr:rowOff>
    </xdr:from>
    <xdr:to>
      <xdr:col>24</xdr:col>
      <xdr:colOff>657225</xdr:colOff>
      <xdr:row>131</xdr:row>
      <xdr:rowOff>133349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204786</xdr:colOff>
      <xdr:row>136</xdr:row>
      <xdr:rowOff>138112</xdr:rowOff>
    </xdr:from>
    <xdr:to>
      <xdr:col>11</xdr:col>
      <xdr:colOff>742950</xdr:colOff>
      <xdr:row>155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1566861</xdr:colOff>
      <xdr:row>135</xdr:row>
      <xdr:rowOff>109536</xdr:rowOff>
    </xdr:from>
    <xdr:to>
      <xdr:col>24</xdr:col>
      <xdr:colOff>885825</xdr:colOff>
      <xdr:row>155</xdr:row>
      <xdr:rowOff>152399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180974</xdr:colOff>
      <xdr:row>321</xdr:row>
      <xdr:rowOff>80962</xdr:rowOff>
    </xdr:from>
    <xdr:to>
      <xdr:col>8</xdr:col>
      <xdr:colOff>95250</xdr:colOff>
      <xdr:row>339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723899</xdr:colOff>
      <xdr:row>321</xdr:row>
      <xdr:rowOff>61911</xdr:rowOff>
    </xdr:from>
    <xdr:to>
      <xdr:col>24</xdr:col>
      <xdr:colOff>600075</xdr:colOff>
      <xdr:row>340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361949</xdr:colOff>
      <xdr:row>341</xdr:row>
      <xdr:rowOff>42861</xdr:rowOff>
    </xdr:from>
    <xdr:to>
      <xdr:col>8</xdr:col>
      <xdr:colOff>219075</xdr:colOff>
      <xdr:row>360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95248</xdr:colOff>
      <xdr:row>341</xdr:row>
      <xdr:rowOff>61911</xdr:rowOff>
    </xdr:from>
    <xdr:to>
      <xdr:col>24</xdr:col>
      <xdr:colOff>857249</xdr:colOff>
      <xdr:row>359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419099</xdr:colOff>
      <xdr:row>362</xdr:row>
      <xdr:rowOff>80961</xdr:rowOff>
    </xdr:from>
    <xdr:to>
      <xdr:col>8</xdr:col>
      <xdr:colOff>180974</xdr:colOff>
      <xdr:row>379</xdr:row>
      <xdr:rowOff>104774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66675</xdr:colOff>
      <xdr:row>361</xdr:row>
      <xdr:rowOff>42860</xdr:rowOff>
    </xdr:from>
    <xdr:to>
      <xdr:col>24</xdr:col>
      <xdr:colOff>676275</xdr:colOff>
      <xdr:row>379</xdr:row>
      <xdr:rowOff>19049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361948</xdr:colOff>
      <xdr:row>380</xdr:row>
      <xdr:rowOff>176211</xdr:rowOff>
    </xdr:from>
    <xdr:to>
      <xdr:col>8</xdr:col>
      <xdr:colOff>380999</xdr:colOff>
      <xdr:row>399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47624</xdr:colOff>
      <xdr:row>380</xdr:row>
      <xdr:rowOff>80961</xdr:rowOff>
    </xdr:from>
    <xdr:to>
      <xdr:col>24</xdr:col>
      <xdr:colOff>742949</xdr:colOff>
      <xdr:row>399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119061</xdr:colOff>
      <xdr:row>87</xdr:row>
      <xdr:rowOff>33336</xdr:rowOff>
    </xdr:from>
    <xdr:to>
      <xdr:col>9</xdr:col>
      <xdr:colOff>1352550</xdr:colOff>
      <xdr:row>105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1100136</xdr:colOff>
      <xdr:row>87</xdr:row>
      <xdr:rowOff>90487</xdr:rowOff>
    </xdr:from>
    <xdr:to>
      <xdr:col>21</xdr:col>
      <xdr:colOff>752475</xdr:colOff>
      <xdr:row>104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195261</xdr:colOff>
      <xdr:row>107</xdr:row>
      <xdr:rowOff>100012</xdr:rowOff>
    </xdr:from>
    <xdr:to>
      <xdr:col>9</xdr:col>
      <xdr:colOff>1266824</xdr:colOff>
      <xdr:row>123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271461</xdr:colOff>
      <xdr:row>106</xdr:row>
      <xdr:rowOff>161926</xdr:rowOff>
    </xdr:from>
    <xdr:to>
      <xdr:col>21</xdr:col>
      <xdr:colOff>723900</xdr:colOff>
      <xdr:row>125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442912</xdr:colOff>
      <xdr:row>127</xdr:row>
      <xdr:rowOff>42861</xdr:rowOff>
    </xdr:from>
    <xdr:to>
      <xdr:col>11</xdr:col>
      <xdr:colOff>390525</xdr:colOff>
      <xdr:row>145</xdr:row>
      <xdr:rowOff>123824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709611</xdr:colOff>
      <xdr:row>127</xdr:row>
      <xdr:rowOff>100011</xdr:rowOff>
    </xdr:from>
    <xdr:to>
      <xdr:col>21</xdr:col>
      <xdr:colOff>552450</xdr:colOff>
      <xdr:row>146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648</xdr:row>
      <xdr:rowOff>80961</xdr:rowOff>
    </xdr:from>
    <xdr:to>
      <xdr:col>9</xdr:col>
      <xdr:colOff>666749</xdr:colOff>
      <xdr:row>664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285749</xdr:colOff>
      <xdr:row>647</xdr:row>
      <xdr:rowOff>109536</xdr:rowOff>
    </xdr:from>
    <xdr:to>
      <xdr:col>26</xdr:col>
      <xdr:colOff>342900</xdr:colOff>
      <xdr:row>665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323849</xdr:colOff>
      <xdr:row>668</xdr:row>
      <xdr:rowOff>14286</xdr:rowOff>
    </xdr:from>
    <xdr:to>
      <xdr:col>10</xdr:col>
      <xdr:colOff>352425</xdr:colOff>
      <xdr:row>687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742949</xdr:colOff>
      <xdr:row>667</xdr:row>
      <xdr:rowOff>119062</xdr:rowOff>
    </xdr:from>
    <xdr:to>
      <xdr:col>27</xdr:col>
      <xdr:colOff>314325</xdr:colOff>
      <xdr:row>687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171450</xdr:colOff>
      <xdr:row>691</xdr:row>
      <xdr:rowOff>4762</xdr:rowOff>
    </xdr:from>
    <xdr:to>
      <xdr:col>10</xdr:col>
      <xdr:colOff>514350</xdr:colOff>
      <xdr:row>706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942974</xdr:colOff>
      <xdr:row>690</xdr:row>
      <xdr:rowOff>185736</xdr:rowOff>
    </xdr:from>
    <xdr:to>
      <xdr:col>27</xdr:col>
      <xdr:colOff>333374</xdr:colOff>
      <xdr:row>708</xdr:row>
      <xdr:rowOff>38099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276224</xdr:colOff>
      <xdr:row>711</xdr:row>
      <xdr:rowOff>80961</xdr:rowOff>
    </xdr:from>
    <xdr:to>
      <xdr:col>10</xdr:col>
      <xdr:colOff>628649</xdr:colOff>
      <xdr:row>727</xdr:row>
      <xdr:rowOff>161924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1190624</xdr:colOff>
      <xdr:row>711</xdr:row>
      <xdr:rowOff>157161</xdr:rowOff>
    </xdr:from>
    <xdr:to>
      <xdr:col>27</xdr:col>
      <xdr:colOff>257174</xdr:colOff>
      <xdr:row>730</xdr:row>
      <xdr:rowOff>85724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100012</xdr:colOff>
      <xdr:row>149</xdr:row>
      <xdr:rowOff>57150</xdr:rowOff>
    </xdr:from>
    <xdr:to>
      <xdr:col>9</xdr:col>
      <xdr:colOff>190500</xdr:colOff>
      <xdr:row>165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261937</xdr:colOff>
      <xdr:row>149</xdr:row>
      <xdr:rowOff>28575</xdr:rowOff>
    </xdr:from>
    <xdr:to>
      <xdr:col>17</xdr:col>
      <xdr:colOff>381000</xdr:colOff>
      <xdr:row>166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233361</xdr:colOff>
      <xdr:row>167</xdr:row>
      <xdr:rowOff>152399</xdr:rowOff>
    </xdr:from>
    <xdr:to>
      <xdr:col>9</xdr:col>
      <xdr:colOff>371474</xdr:colOff>
      <xdr:row>183</xdr:row>
      <xdr:rowOff>161924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319087</xdr:colOff>
      <xdr:row>167</xdr:row>
      <xdr:rowOff>123825</xdr:rowOff>
    </xdr:from>
    <xdr:to>
      <xdr:col>18</xdr:col>
      <xdr:colOff>57150</xdr:colOff>
      <xdr:row>184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214311</xdr:colOff>
      <xdr:row>186</xdr:row>
      <xdr:rowOff>9525</xdr:rowOff>
    </xdr:from>
    <xdr:to>
      <xdr:col>9</xdr:col>
      <xdr:colOff>504824</xdr:colOff>
      <xdr:row>203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242886</xdr:colOff>
      <xdr:row>186</xdr:row>
      <xdr:rowOff>47624</xdr:rowOff>
    </xdr:from>
    <xdr:to>
      <xdr:col>19</xdr:col>
      <xdr:colOff>200025</xdr:colOff>
      <xdr:row>203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166687</xdr:colOff>
      <xdr:row>206</xdr:row>
      <xdr:rowOff>66675</xdr:rowOff>
    </xdr:from>
    <xdr:to>
      <xdr:col>10</xdr:col>
      <xdr:colOff>19050</xdr:colOff>
      <xdr:row>222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338136</xdr:colOff>
      <xdr:row>206</xdr:row>
      <xdr:rowOff>76199</xdr:rowOff>
    </xdr:from>
    <xdr:to>
      <xdr:col>19</xdr:col>
      <xdr:colOff>333375</xdr:colOff>
      <xdr:row>223</xdr:row>
      <xdr:rowOff>180974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3</xdr:row>
      <xdr:rowOff>85724</xdr:rowOff>
    </xdr:from>
    <xdr:to>
      <xdr:col>11</xdr:col>
      <xdr:colOff>390525</xdr:colOff>
      <xdr:row>23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266699</xdr:colOff>
      <xdr:row>3</xdr:row>
      <xdr:rowOff>133350</xdr:rowOff>
    </xdr:from>
    <xdr:to>
      <xdr:col>24</xdr:col>
      <xdr:colOff>9524</xdr:colOff>
      <xdr:row>22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219075</xdr:colOff>
      <xdr:row>26</xdr:row>
      <xdr:rowOff>76199</xdr:rowOff>
    </xdr:from>
    <xdr:to>
      <xdr:col>12</xdr:col>
      <xdr:colOff>333375</xdr:colOff>
      <xdr:row>46</xdr:row>
      <xdr:rowOff>180974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38099</xdr:colOff>
      <xdr:row>26</xdr:row>
      <xdr:rowOff>9525</xdr:rowOff>
    </xdr:from>
    <xdr:to>
      <xdr:col>26</xdr:col>
      <xdr:colOff>9524</xdr:colOff>
      <xdr:row>46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285749</xdr:colOff>
      <xdr:row>50</xdr:row>
      <xdr:rowOff>180974</xdr:rowOff>
    </xdr:from>
    <xdr:to>
      <xdr:col>13</xdr:col>
      <xdr:colOff>9524</xdr:colOff>
      <xdr:row>71</xdr:row>
      <xdr:rowOff>57149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66674</xdr:colOff>
      <xdr:row>51</xdr:row>
      <xdr:rowOff>28575</xdr:rowOff>
    </xdr:from>
    <xdr:to>
      <xdr:col>25</xdr:col>
      <xdr:colOff>609599</xdr:colOff>
      <xdr:row>71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371475</xdr:colOff>
      <xdr:row>72</xdr:row>
      <xdr:rowOff>28575</xdr:rowOff>
    </xdr:from>
    <xdr:to>
      <xdr:col>12</xdr:col>
      <xdr:colOff>114301</xdr:colOff>
      <xdr:row>94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123825</xdr:colOff>
      <xdr:row>74</xdr:row>
      <xdr:rowOff>38099</xdr:rowOff>
    </xdr:from>
    <xdr:to>
      <xdr:col>26</xdr:col>
      <xdr:colOff>85725</xdr:colOff>
      <xdr:row>95</xdr:row>
      <xdr:rowOff>19050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266699</xdr:colOff>
      <xdr:row>2</xdr:row>
      <xdr:rowOff>23811</xdr:rowOff>
    </xdr:from>
    <xdr:to>
      <xdr:col>11</xdr:col>
      <xdr:colOff>9524</xdr:colOff>
      <xdr:row>24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581025</xdr:colOff>
      <xdr:row>2</xdr:row>
      <xdr:rowOff>4762</xdr:rowOff>
    </xdr:from>
    <xdr:to>
      <xdr:col>24</xdr:col>
      <xdr:colOff>333375</xdr:colOff>
      <xdr:row>24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304799</xdr:colOff>
      <xdr:row>27</xdr:row>
      <xdr:rowOff>23811</xdr:rowOff>
    </xdr:from>
    <xdr:to>
      <xdr:col>11</xdr:col>
      <xdr:colOff>85724</xdr:colOff>
      <xdr:row>52</xdr:row>
      <xdr:rowOff>180974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590549</xdr:colOff>
      <xdr:row>27</xdr:row>
      <xdr:rowOff>23811</xdr:rowOff>
    </xdr:from>
    <xdr:to>
      <xdr:col>24</xdr:col>
      <xdr:colOff>466724</xdr:colOff>
      <xdr:row>52</xdr:row>
      <xdr:rowOff>123824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295274</xdr:colOff>
      <xdr:row>55</xdr:row>
      <xdr:rowOff>138112</xdr:rowOff>
    </xdr:from>
    <xdr:to>
      <xdr:col>11</xdr:col>
      <xdr:colOff>609599</xdr:colOff>
      <xdr:row>79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609599</xdr:colOff>
      <xdr:row>56</xdr:row>
      <xdr:rowOff>23812</xdr:rowOff>
    </xdr:from>
    <xdr:to>
      <xdr:col>24</xdr:col>
      <xdr:colOff>581024</xdr:colOff>
      <xdr:row>79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400049</xdr:colOff>
      <xdr:row>84</xdr:row>
      <xdr:rowOff>33336</xdr:rowOff>
    </xdr:from>
    <xdr:to>
      <xdr:col>12</xdr:col>
      <xdr:colOff>9524</xdr:colOff>
      <xdr:row>106</xdr:row>
      <xdr:rowOff>171449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28574</xdr:colOff>
      <xdr:row>84</xdr:row>
      <xdr:rowOff>52386</xdr:rowOff>
    </xdr:from>
    <xdr:to>
      <xdr:col>25</xdr:col>
      <xdr:colOff>380999</xdr:colOff>
      <xdr:row>106</xdr:row>
      <xdr:rowOff>133349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342899</xdr:colOff>
      <xdr:row>4</xdr:row>
      <xdr:rowOff>28574</xdr:rowOff>
    </xdr:from>
    <xdr:to>
      <xdr:col>18</xdr:col>
      <xdr:colOff>523875</xdr:colOff>
      <xdr:row>37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523874</xdr:colOff>
      <xdr:row>42</xdr:row>
      <xdr:rowOff>47624</xdr:rowOff>
    </xdr:from>
    <xdr:to>
      <xdr:col>18</xdr:col>
      <xdr:colOff>495299</xdr:colOff>
      <xdr:row>75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504825</xdr:colOff>
      <xdr:row>78</xdr:row>
      <xdr:rowOff>171450</xdr:rowOff>
    </xdr:from>
    <xdr:to>
      <xdr:col>9</xdr:col>
      <xdr:colOff>200025</xdr:colOff>
      <xdr:row>93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/emgoa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as"/>
    </sheetNames>
    <sheetDataSet>
      <sheetData sheetId="0">
        <row r="4">
          <cell r="A4" t="str">
            <v>00386SAG7</v>
          </cell>
          <cell r="B4" t="str">
            <v>Taqa Abu Dhabi Natl Energy 6.25 9/16/19</v>
          </cell>
          <cell r="C4">
            <v>3000000</v>
          </cell>
          <cell r="D4">
            <v>295</v>
          </cell>
        </row>
        <row r="5">
          <cell r="A5" t="str">
            <v>00130HBH7</v>
          </cell>
          <cell r="B5" t="str">
            <v>AES 8 10/15/17</v>
          </cell>
          <cell r="C5">
            <v>3000000</v>
          </cell>
          <cell r="D5">
            <v>484</v>
          </cell>
        </row>
        <row r="6">
          <cell r="A6" t="str">
            <v>00850LAA2</v>
          </cell>
          <cell r="B6" t="str">
            <v>Agribank 9.125 7/15/19</v>
          </cell>
          <cell r="C6">
            <v>2300000</v>
          </cell>
          <cell r="D6">
            <v>296</v>
          </cell>
        </row>
        <row r="7">
          <cell r="A7" t="str">
            <v>02109TAC6</v>
          </cell>
          <cell r="B7" t="str">
            <v>Alrosa Finance 7.75 11/3/20</v>
          </cell>
          <cell r="C7">
            <v>1500000</v>
          </cell>
          <cell r="D7">
            <v>540</v>
          </cell>
        </row>
        <row r="8">
          <cell r="A8" t="str">
            <v>040114GL8</v>
          </cell>
          <cell r="B8" t="str">
            <v>Argentina 8.28 12/31/33</v>
          </cell>
          <cell r="C8">
            <v>1975917</v>
          </cell>
          <cell r="D8">
            <v>849</v>
          </cell>
        </row>
        <row r="9">
          <cell r="A9" t="str">
            <v>040114GK0</v>
          </cell>
          <cell r="B9" t="str">
            <v>Argentina (Pars) 2038</v>
          </cell>
          <cell r="C9">
            <v>17360000</v>
          </cell>
          <cell r="D9">
            <v>755</v>
          </cell>
        </row>
        <row r="10">
          <cell r="A10" t="str">
            <v>05946NAJ4</v>
          </cell>
          <cell r="B10" t="str">
            <v>Banco Bredesco 5.9% 1/16/21</v>
          </cell>
          <cell r="C10">
            <v>3000000</v>
          </cell>
          <cell r="D10">
            <v>387</v>
          </cell>
        </row>
        <row r="11">
          <cell r="A11" t="str">
            <v>059895AL6</v>
          </cell>
          <cell r="B11" t="str">
            <v>Bangkok Bank 4.8 10/18/20</v>
          </cell>
          <cell r="C11">
            <v>3750000</v>
          </cell>
          <cell r="D11">
            <v>325</v>
          </cell>
        </row>
        <row r="12">
          <cell r="A12" t="str">
            <v>067070AF9</v>
          </cell>
          <cell r="B12" t="str">
            <v>Barbados 7.0% 8/4/22</v>
          </cell>
          <cell r="C12">
            <v>2000000</v>
          </cell>
          <cell r="D12">
            <v>492</v>
          </cell>
        </row>
        <row r="13">
          <cell r="A13" t="str">
            <v>USP16394AF89</v>
          </cell>
          <cell r="B13" t="str">
            <v>Belize 6% 2/20/29</v>
          </cell>
          <cell r="C13">
            <v>2500000</v>
          </cell>
          <cell r="D13">
            <v>1412</v>
          </cell>
        </row>
        <row r="14">
          <cell r="A14" t="str">
            <v>38377HAA5</v>
          </cell>
          <cell r="B14" t="str">
            <v>Bermuda 5.603% 7/20/20</v>
          </cell>
          <cell r="C14">
            <v>4000000</v>
          </cell>
          <cell r="D14">
            <v>238</v>
          </cell>
        </row>
        <row r="15">
          <cell r="A15" t="str">
            <v>10553YAB1</v>
          </cell>
          <cell r="B15" t="str">
            <v>Braskem 7 5/7/20</v>
          </cell>
          <cell r="C15">
            <v>1500000</v>
          </cell>
          <cell r="D15">
            <v>406</v>
          </cell>
        </row>
        <row r="16">
          <cell r="A16" t="str">
            <v>105756BS8</v>
          </cell>
          <cell r="B16" t="str">
            <v>Brazil 4.875 1/22/21</v>
          </cell>
          <cell r="C16">
            <v>3000000</v>
          </cell>
          <cell r="D16">
            <v>161</v>
          </cell>
        </row>
        <row r="17">
          <cell r="A17" t="str">
            <v>BRSTNCNTF071</v>
          </cell>
          <cell r="B17" t="str">
            <v>Brazil NTN-F 10 1/1/14</v>
          </cell>
          <cell r="C17">
            <v>10210000</v>
          </cell>
          <cell r="D17">
            <v>-178</v>
          </cell>
        </row>
        <row r="18">
          <cell r="A18" t="str">
            <v>14976CAA2</v>
          </cell>
          <cell r="B18" t="str">
            <v>Cayman Island Government 5.95 11/24/19</v>
          </cell>
          <cell r="C18">
            <v>8800000</v>
          </cell>
          <cell r="D18">
            <v>356</v>
          </cell>
        </row>
        <row r="19">
          <cell r="A19" t="str">
            <v>12503JAA3</v>
          </cell>
          <cell r="B19" t="str">
            <v>CCL (Cosan) Finance 9.5 8/15/14</v>
          </cell>
          <cell r="C19">
            <v>2500000</v>
          </cell>
          <cell r="D19">
            <v>429</v>
          </cell>
        </row>
        <row r="20">
          <cell r="A20" t="str">
            <v>17311KAA1</v>
          </cell>
          <cell r="B20" t="str">
            <v>Citic Resources 6.75 5/15/14</v>
          </cell>
          <cell r="C20">
            <v>1475000</v>
          </cell>
          <cell r="D20">
            <v>664</v>
          </cell>
        </row>
        <row r="21">
          <cell r="A21" t="str">
            <v>195325BN4</v>
          </cell>
          <cell r="B21" t="str">
            <v>Colombia 4.375 7/12/21</v>
          </cell>
          <cell r="C21">
            <v>9500000</v>
          </cell>
          <cell r="D21">
            <v>179</v>
          </cell>
        </row>
        <row r="22">
          <cell r="A22" t="str">
            <v>21240BAA9</v>
          </cell>
          <cell r="B22" t="str">
            <v>Controladora Mab 7.875 10/28/19</v>
          </cell>
          <cell r="C22">
            <v>1600000</v>
          </cell>
          <cell r="D22">
            <v>626</v>
          </cell>
        </row>
        <row r="23">
          <cell r="A23" t="str">
            <v>USP3100SAA26</v>
          </cell>
          <cell r="B23" t="str">
            <v>Controladora Mab 7.875 10/28/19 (Reg S)</v>
          </cell>
          <cell r="C23">
            <v>1160000</v>
          </cell>
          <cell r="D23">
            <v>626</v>
          </cell>
        </row>
        <row r="24">
          <cell r="A24" t="str">
            <v>226775AC8</v>
          </cell>
          <cell r="B24" t="str">
            <v>Croatia 6.625% 7/14/20</v>
          </cell>
          <cell r="C24">
            <v>1500000</v>
          </cell>
          <cell r="D24">
            <v>506</v>
          </cell>
        </row>
        <row r="25">
          <cell r="A25" t="str">
            <v>226775AD6</v>
          </cell>
          <cell r="B25" t="str">
            <v>Croatia 6.375% 3/24/21</v>
          </cell>
          <cell r="C25">
            <v>1000000</v>
          </cell>
          <cell r="D25">
            <v>481</v>
          </cell>
        </row>
        <row r="26">
          <cell r="A26" t="str">
            <v>12644VAA6</v>
          </cell>
          <cell r="B26" t="str">
            <v>CSN Resources 6.5% 7/21/20</v>
          </cell>
          <cell r="C26">
            <v>1500000</v>
          </cell>
          <cell r="D26">
            <v>366</v>
          </cell>
        </row>
        <row r="27">
          <cell r="A27" t="str">
            <v>USP3579EAH01</v>
          </cell>
          <cell r="B27" t="str">
            <v>Dominican Republic 7.5 5/6/21 RegS</v>
          </cell>
          <cell r="C27">
            <v>3500000</v>
          </cell>
          <cell r="D27">
            <v>517</v>
          </cell>
        </row>
        <row r="28">
          <cell r="A28" t="str">
            <v>279158AB5</v>
          </cell>
          <cell r="B28" t="str">
            <v>Ecopetrol 7.625 7/23/19</v>
          </cell>
          <cell r="C28">
            <v>3000000</v>
          </cell>
          <cell r="D28">
            <v>302</v>
          </cell>
        </row>
        <row r="29">
          <cell r="A29" t="str">
            <v>283875AP7</v>
          </cell>
          <cell r="B29" t="str">
            <v>El Salvador 7.375 12/1/19</v>
          </cell>
          <cell r="C29">
            <v>3000000</v>
          </cell>
          <cell r="D29">
            <v>430</v>
          </cell>
        </row>
        <row r="30">
          <cell r="A30" t="str">
            <v>US283875AH54</v>
          </cell>
          <cell r="B30" t="str">
            <v>EL SALVADOR 8.25 04/10/32 144A</v>
          </cell>
          <cell r="C30">
            <v>1550000</v>
          </cell>
          <cell r="D30">
            <v>499</v>
          </cell>
        </row>
        <row r="31">
          <cell r="A31" t="str">
            <v>USP01012AN67</v>
          </cell>
          <cell r="B31" t="str">
            <v>El Salvador 7.65 6/15/35</v>
          </cell>
          <cell r="C31">
            <v>2450000</v>
          </cell>
          <cell r="D31">
            <v>505</v>
          </cell>
        </row>
        <row r="32">
          <cell r="A32" t="str">
            <v>29245JAE2</v>
          </cell>
          <cell r="B32" t="str">
            <v>Empresa Nacional De Petrol</v>
          </cell>
          <cell r="C32">
            <v>2000000</v>
          </cell>
          <cell r="D32">
            <v>269</v>
          </cell>
        </row>
        <row r="33">
          <cell r="A33" t="str">
            <v>296464AA8</v>
          </cell>
          <cell r="B33" t="str">
            <v>Eskom 5.75 1/26/21</v>
          </cell>
          <cell r="C33">
            <v>2500000</v>
          </cell>
          <cell r="D33">
            <v>310</v>
          </cell>
        </row>
        <row r="34">
          <cell r="A34" t="str">
            <v>35906AAK4</v>
          </cell>
          <cell r="B34" t="str">
            <v>Frontier Communications 8.75% 4/15/22</v>
          </cell>
          <cell r="C34">
            <v>1500000</v>
          </cell>
          <cell r="D34">
            <v>595</v>
          </cell>
        </row>
        <row r="35">
          <cell r="A35" t="str">
            <v>362420AA9</v>
          </cell>
          <cell r="B35" t="str">
            <v>Gabonese Republic 8.2% 12/12/17</v>
          </cell>
          <cell r="C35">
            <v>2200000</v>
          </cell>
          <cell r="D35">
            <v>406</v>
          </cell>
        </row>
        <row r="36">
          <cell r="A36" t="str">
            <v>XS0424860947</v>
          </cell>
          <cell r="B36" t="str">
            <v>GAZ CAPITAL 9.25 4/23/19</v>
          </cell>
          <cell r="C36">
            <v>6000000</v>
          </cell>
          <cell r="D36">
            <v>381</v>
          </cell>
        </row>
        <row r="37">
          <cell r="A37" t="str">
            <v>XS0323760370</v>
          </cell>
          <cell r="B37" t="str">
            <v>Ghana 8.5 10/4/17 RegS</v>
          </cell>
          <cell r="C37">
            <v>2500000</v>
          </cell>
          <cell r="D37">
            <v>488</v>
          </cell>
        </row>
        <row r="38">
          <cell r="A38" t="str">
            <v>455780BF2</v>
          </cell>
          <cell r="B38" t="str">
            <v>Indonesia 4.875 5/5/21</v>
          </cell>
          <cell r="C38">
            <v>8000000</v>
          </cell>
          <cell r="D38">
            <v>198</v>
          </cell>
        </row>
        <row r="39">
          <cell r="A39" t="str">
            <v>455780AX4</v>
          </cell>
          <cell r="B39" t="str">
            <v>INDONESIA 144A 6.625 2/17/37</v>
          </cell>
          <cell r="C39">
            <v>2000000</v>
          </cell>
          <cell r="D39">
            <v>243</v>
          </cell>
        </row>
        <row r="40">
          <cell r="A40" t="str">
            <v>45380RAD7</v>
          </cell>
          <cell r="B40" t="str">
            <v>Independencia International 12 12/30/16</v>
          </cell>
          <cell r="C40">
            <v>224111</v>
          </cell>
          <cell r="D40">
            <v>-94</v>
          </cell>
        </row>
        <row r="41">
          <cell r="A41" t="str">
            <v>46131NAA2</v>
          </cell>
          <cell r="B41" t="str">
            <v>INVERSIONES CMPC 4.75 1/19/18</v>
          </cell>
          <cell r="C41">
            <v>3000000</v>
          </cell>
          <cell r="D41">
            <v>265</v>
          </cell>
        </row>
        <row r="42">
          <cell r="A42" t="str">
            <v>46556LAA2</v>
          </cell>
          <cell r="B42" t="str">
            <v>ITAU Unibanco 6.2 4/15/20</v>
          </cell>
          <cell r="C42">
            <v>2000000</v>
          </cell>
          <cell r="D42">
            <v>415</v>
          </cell>
        </row>
        <row r="43">
          <cell r="A43" t="str">
            <v>470160AW2</v>
          </cell>
          <cell r="B43" t="str">
            <v>Jamaica 8.0 6/24/19</v>
          </cell>
          <cell r="C43">
            <v>650000</v>
          </cell>
          <cell r="D43">
            <v>607</v>
          </cell>
        </row>
        <row r="44">
          <cell r="A44" t="str">
            <v>48667QAC9</v>
          </cell>
          <cell r="B44" t="str">
            <v>Kazmunaigaz 11.75 1/23/15</v>
          </cell>
          <cell r="C44">
            <v>7000000</v>
          </cell>
          <cell r="D44">
            <v>405</v>
          </cell>
        </row>
        <row r="45">
          <cell r="A45" t="str">
            <v>48667DAC8</v>
          </cell>
          <cell r="B45" t="str">
            <v>Kazakhstan Temir Zholy 6.375 10/6/20</v>
          </cell>
          <cell r="C45">
            <v>1000000</v>
          </cell>
          <cell r="D45">
            <v>381</v>
          </cell>
        </row>
        <row r="46">
          <cell r="A46" t="str">
            <v>302154BA6</v>
          </cell>
          <cell r="B46" t="str">
            <v>KEXIM 4.375 9/15/21</v>
          </cell>
          <cell r="C46">
            <v>2000000</v>
          </cell>
          <cell r="D46">
            <v>232</v>
          </cell>
        </row>
        <row r="47">
          <cell r="A47" t="str">
            <v>50065RAB3</v>
          </cell>
          <cell r="B47" t="str">
            <v>Korea Housing Finance Co 3.5 12/15/16</v>
          </cell>
          <cell r="C47">
            <v>5000000</v>
          </cell>
          <cell r="D47">
            <v>220</v>
          </cell>
        </row>
        <row r="48">
          <cell r="A48" t="str">
            <v>LB0000912</v>
          </cell>
          <cell r="B48" t="str">
            <v>Lebanon 6 5/20/19</v>
          </cell>
          <cell r="C48">
            <v>6500000</v>
          </cell>
          <cell r="D48">
            <v>391</v>
          </cell>
        </row>
        <row r="49">
          <cell r="A49" t="str">
            <v>536878AE1</v>
          </cell>
          <cell r="B49" t="str">
            <v>Lithuania 5.125% 9/14/17</v>
          </cell>
          <cell r="C49">
            <v>3500000</v>
          </cell>
          <cell r="D49">
            <v>382</v>
          </cell>
        </row>
        <row r="50">
          <cell r="A50" t="str">
            <v>549876AD2</v>
          </cell>
          <cell r="B50" t="str">
            <v>Lukoil 7.25 11/5/19</v>
          </cell>
          <cell r="C50">
            <v>2000000</v>
          </cell>
          <cell r="D50">
            <v>416</v>
          </cell>
        </row>
        <row r="51">
          <cell r="A51" t="str">
            <v>56068TAE7</v>
          </cell>
          <cell r="B51" t="str">
            <v>Majapahit Hldg 8.0 8/7/19</v>
          </cell>
          <cell r="C51">
            <v>8300000</v>
          </cell>
          <cell r="D51">
            <v>363</v>
          </cell>
        </row>
        <row r="52">
          <cell r="A52" t="str">
            <v>5111999D5</v>
          </cell>
          <cell r="B52" t="str">
            <v>Mexican Bonos 7.25 16</v>
          </cell>
          <cell r="C52">
            <v>111250000</v>
          </cell>
          <cell r="D52">
            <v>-10</v>
          </cell>
        </row>
        <row r="53">
          <cell r="A53" t="str">
            <v>63243NAC8</v>
          </cell>
          <cell r="B53" t="str">
            <v>National Agricultural Corp 3.5 2/8/17</v>
          </cell>
          <cell r="C53">
            <v>2000000</v>
          </cell>
          <cell r="D53">
            <v>291</v>
          </cell>
        </row>
        <row r="54">
          <cell r="A54" t="str">
            <v>XS0584435142</v>
          </cell>
          <cell r="B54" t="str">
            <v>Nigeria 6.75 1/28/21</v>
          </cell>
          <cell r="C54">
            <v>2000000</v>
          </cell>
          <cell r="D54">
            <v>396</v>
          </cell>
        </row>
        <row r="55">
          <cell r="A55" t="str">
            <v>66989PAB6</v>
          </cell>
          <cell r="B55" t="str">
            <v>Novatek 6.604 2/3/21</v>
          </cell>
          <cell r="C55">
            <v>2000000</v>
          </cell>
          <cell r="D55">
            <v>414</v>
          </cell>
        </row>
        <row r="56">
          <cell r="A56" t="str">
            <v>675758AC0</v>
          </cell>
          <cell r="B56" t="str">
            <v>Odebrecht Finance 7 4/21/20</v>
          </cell>
          <cell r="C56">
            <v>3000000</v>
          </cell>
          <cell r="D56">
            <v>417</v>
          </cell>
        </row>
        <row r="57">
          <cell r="A57" t="str">
            <v>675758AG1</v>
          </cell>
          <cell r="B57" t="str">
            <v>Odebrecht Finance 6 4/5/23</v>
          </cell>
          <cell r="C57">
            <v>500000</v>
          </cell>
          <cell r="D57">
            <v>386</v>
          </cell>
        </row>
        <row r="58">
          <cell r="A58" t="str">
            <v>698299AW4</v>
          </cell>
          <cell r="B58" t="str">
            <v>Panama 6.7 1/26/36</v>
          </cell>
          <cell r="C58">
            <v>3058000</v>
          </cell>
          <cell r="D58">
            <v>217</v>
          </cell>
        </row>
        <row r="59">
          <cell r="A59" t="str">
            <v>698299AK0</v>
          </cell>
          <cell r="B59" t="str">
            <v>PANAMA 9.375 04/01/29</v>
          </cell>
          <cell r="C59">
            <v>3252000</v>
          </cell>
          <cell r="D59">
            <v>241</v>
          </cell>
        </row>
        <row r="60">
          <cell r="A60" t="str">
            <v>71656LAK7</v>
          </cell>
          <cell r="B60" t="str">
            <v>Pemex 6.5 6/2/41</v>
          </cell>
          <cell r="C60">
            <v>1000000</v>
          </cell>
          <cell r="D60">
            <v>314</v>
          </cell>
        </row>
        <row r="61">
          <cell r="A61" t="str">
            <v>715638AS1</v>
          </cell>
          <cell r="B61" t="str">
            <v>Peru 7.35% 7/21/25</v>
          </cell>
          <cell r="C61">
            <v>6000000</v>
          </cell>
          <cell r="D61">
            <v>217</v>
          </cell>
        </row>
        <row r="62">
          <cell r="A62" t="str">
            <v>71657YAD4</v>
          </cell>
          <cell r="B62" t="str">
            <v>Petroleum Co Trinidad/Tobago 9.75 8/19</v>
          </cell>
          <cell r="C62">
            <v>2840000</v>
          </cell>
          <cell r="D62">
            <v>544</v>
          </cell>
        </row>
        <row r="63">
          <cell r="A63" t="str">
            <v>40052RAA1</v>
          </cell>
          <cell r="B63" t="str">
            <v>Petrotemex 9.5 8/14</v>
          </cell>
          <cell r="C63">
            <v>1500000</v>
          </cell>
          <cell r="D63">
            <v>692</v>
          </cell>
        </row>
        <row r="64">
          <cell r="A64" t="str">
            <v>718286BE6</v>
          </cell>
          <cell r="B64" t="str">
            <v xml:space="preserve">Philippines 8.375 6/17/19 </v>
          </cell>
          <cell r="C64">
            <v>4000000</v>
          </cell>
          <cell r="D64">
            <v>218</v>
          </cell>
        </row>
        <row r="65">
          <cell r="A65" t="str">
            <v>718286BK2</v>
          </cell>
          <cell r="B65" t="str">
            <v>Philippines 4 1/15/21</v>
          </cell>
          <cell r="C65">
            <v>3500000</v>
          </cell>
          <cell r="D65">
            <v>182</v>
          </cell>
        </row>
        <row r="66">
          <cell r="A66" t="str">
            <v>718286BJ5</v>
          </cell>
          <cell r="B66" t="str">
            <v>Philippines 4.95 1/15/21 (PHP denominated)</v>
          </cell>
          <cell r="C66">
            <v>100000000</v>
          </cell>
          <cell r="D66">
            <v>-22</v>
          </cell>
        </row>
        <row r="67">
          <cell r="A67" t="str">
            <v>74733WAB4</v>
          </cell>
          <cell r="B67" t="str">
            <v>Qatari Dia Finance 5% 7/21/20</v>
          </cell>
          <cell r="C67">
            <v>4000000</v>
          </cell>
          <cell r="D67">
            <v>219</v>
          </cell>
        </row>
        <row r="68">
          <cell r="A68" t="str">
            <v>US718286AY36</v>
          </cell>
          <cell r="B68" t="str">
            <v>PHILIPPINES 9.500 02/02/30</v>
          </cell>
          <cell r="C68">
            <v>4660000</v>
          </cell>
          <cell r="D68">
            <v>270</v>
          </cell>
        </row>
        <row r="69">
          <cell r="A69" t="str">
            <v>81720TAA3</v>
          </cell>
          <cell r="B69" t="str">
            <v>Senegal 8.75 5/13/21</v>
          </cell>
          <cell r="C69">
            <v>1250000</v>
          </cell>
          <cell r="D69">
            <v>645</v>
          </cell>
        </row>
        <row r="70">
          <cell r="A70" t="str">
            <v>85227SAH9</v>
          </cell>
          <cell r="B70" t="str">
            <v>Sri Lanka 6.25 10/4/20</v>
          </cell>
          <cell r="C70">
            <v>3000000</v>
          </cell>
          <cell r="D70">
            <v>424</v>
          </cell>
        </row>
        <row r="71">
          <cell r="A71" t="str">
            <v>XS0292464244</v>
          </cell>
          <cell r="B71" t="str">
            <v>Societe Generale 5.75 3/29/2049</v>
          </cell>
          <cell r="C71">
            <v>2175000</v>
          </cell>
          <cell r="D71">
            <v>4672</v>
          </cell>
        </row>
        <row r="72">
          <cell r="A72" t="str">
            <v>836205AN4</v>
          </cell>
          <cell r="B72" t="str">
            <v>South Africa 5.5 3/9/20</v>
          </cell>
          <cell r="C72">
            <v>5000000</v>
          </cell>
          <cell r="D72">
            <v>215</v>
          </cell>
        </row>
        <row r="73">
          <cell r="A73" t="str">
            <v>TRT070312T14</v>
          </cell>
          <cell r="B73" t="str">
            <v>Turkey 16 3/7/12</v>
          </cell>
          <cell r="C73">
            <v>4050000</v>
          </cell>
          <cell r="D73">
            <v>-41</v>
          </cell>
        </row>
        <row r="74">
          <cell r="A74" t="str">
            <v>900123BY5</v>
          </cell>
          <cell r="B74" t="str">
            <v>Turkey 5.25 3/25/22</v>
          </cell>
          <cell r="C74">
            <v>1800000</v>
          </cell>
          <cell r="D74">
            <v>304</v>
          </cell>
        </row>
        <row r="75">
          <cell r="A75" t="str">
            <v>900123AW0</v>
          </cell>
          <cell r="B75" t="str">
            <v>TURKEY 7.375 02/05/25</v>
          </cell>
          <cell r="C75">
            <v>6225000</v>
          </cell>
          <cell r="D75">
            <v>322</v>
          </cell>
        </row>
        <row r="76">
          <cell r="A76" t="str">
            <v>900123BJ8</v>
          </cell>
          <cell r="B76" t="str">
            <v>Turkey 6.0 1/14/2041</v>
          </cell>
          <cell r="C76">
            <v>5000000</v>
          </cell>
          <cell r="D76">
            <v>321</v>
          </cell>
        </row>
        <row r="77">
          <cell r="A77" t="str">
            <v>903724AA0</v>
          </cell>
          <cell r="B77" t="str">
            <v>Ukraine 7.65 6/11/13</v>
          </cell>
          <cell r="C77">
            <v>3000000</v>
          </cell>
          <cell r="D77">
            <v>847</v>
          </cell>
        </row>
        <row r="78">
          <cell r="A78" t="str">
            <v>603674AA0</v>
          </cell>
          <cell r="B78" t="str">
            <v>Ukraine Government 7.75 9/23/20</v>
          </cell>
          <cell r="C78">
            <v>3000000</v>
          </cell>
          <cell r="D78">
            <v>668</v>
          </cell>
        </row>
        <row r="79">
          <cell r="A79" t="str">
            <v>31771VAA1</v>
          </cell>
          <cell r="B79" t="str">
            <v>Ukraine:  Financing Infrastructure 8.375 11/3/17</v>
          </cell>
          <cell r="C79">
            <v>2000000</v>
          </cell>
          <cell r="D79">
            <v>901</v>
          </cell>
        </row>
        <row r="80">
          <cell r="A80" t="str">
            <v>917288BC5</v>
          </cell>
          <cell r="B80" t="str">
            <v>Uruguay 8 11/18/22</v>
          </cell>
          <cell r="C80">
            <v>4000000</v>
          </cell>
          <cell r="D80">
            <v>207</v>
          </cell>
        </row>
        <row r="81">
          <cell r="A81" t="str">
            <v>92817E9C5</v>
          </cell>
          <cell r="B81" t="str">
            <v>VENEZUELA 6.00 12/09/20</v>
          </cell>
          <cell r="C81">
            <v>7800000</v>
          </cell>
          <cell r="D81">
            <v>1215</v>
          </cell>
        </row>
        <row r="82">
          <cell r="A82" t="str">
            <v>USP17625AB33</v>
          </cell>
          <cell r="B82" t="str">
            <v>Venezuela 9.25 5/7/28</v>
          </cell>
          <cell r="C82">
            <v>11095000</v>
          </cell>
          <cell r="D82">
            <v>1270</v>
          </cell>
        </row>
        <row r="83">
          <cell r="A83" t="str">
            <v>92670LAF6</v>
          </cell>
          <cell r="B83" t="str">
            <v>Vietnam 6.75 1/29/20</v>
          </cell>
          <cell r="C83">
            <v>2000000</v>
          </cell>
          <cell r="D83">
            <v>490</v>
          </cell>
        </row>
        <row r="84">
          <cell r="A84" t="str">
            <v>92935NAA4</v>
          </cell>
          <cell r="B84" t="str">
            <v>WPE International 10.375% 9/30/20</v>
          </cell>
          <cell r="C84">
            <v>500000</v>
          </cell>
          <cell r="D84">
            <v>1057</v>
          </cell>
        </row>
        <row r="86">
          <cell r="A86" t="str">
            <v>Sales:</v>
          </cell>
        </row>
        <row r="87">
          <cell r="A87" t="str">
            <v>XS0496608984</v>
          </cell>
          <cell r="B87" t="str">
            <v>Ivory Coast 2.5 12/31/32</v>
          </cell>
          <cell r="C87">
            <v>5000000</v>
          </cell>
          <cell r="D87">
            <v>1089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91"/>
  <sheetViews>
    <sheetView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T2" sqref="T2:U2"/>
    </sheetView>
  </sheetViews>
  <sheetFormatPr defaultRowHeight="15" x14ac:dyDescent="0.25"/>
  <cols>
    <col min="1" max="1" width="20.5703125" hidden="1" customWidth="1"/>
    <col min="2" max="2" width="4.7109375" style="36" customWidth="1"/>
    <col min="3" max="3" width="9.42578125" bestFit="1" customWidth="1"/>
    <col min="4" max="4" width="24.5703125" bestFit="1" customWidth="1"/>
    <col min="5" max="5" width="11.140625" bestFit="1" customWidth="1"/>
    <col min="6" max="6" width="14.85546875" hidden="1" customWidth="1"/>
    <col min="7" max="7" width="14.85546875" bestFit="1" customWidth="1"/>
    <col min="8" max="8" width="13.28515625" bestFit="1" customWidth="1"/>
    <col min="9" max="9" width="10.5703125" bestFit="1" customWidth="1"/>
    <col min="10" max="10" width="21.5703125" bestFit="1" customWidth="1"/>
    <col min="11" max="11" width="12.7109375" hidden="1" customWidth="1"/>
    <col min="12" max="12" width="26.28515625" bestFit="1" customWidth="1"/>
    <col min="13" max="13" width="15.28515625" hidden="1" customWidth="1"/>
    <col min="14" max="14" width="26.42578125" bestFit="1" customWidth="1"/>
    <col min="15" max="15" width="15.5703125" hidden="1" customWidth="1"/>
    <col min="16" max="16" width="16.140625" hidden="1" customWidth="1"/>
    <col min="17" max="17" width="15.7109375" bestFit="1" customWidth="1"/>
    <col min="18" max="18" width="15" customWidth="1"/>
    <col min="19" max="19" width="8.140625" style="53" customWidth="1"/>
    <col min="20" max="20" width="38.5703125" style="53" bestFit="1" customWidth="1"/>
    <col min="21" max="21" width="40.85546875" style="53" bestFit="1" customWidth="1"/>
    <col min="23" max="23" width="21.5703125" style="15" bestFit="1" customWidth="1"/>
    <col min="24" max="24" width="22.28515625" bestFit="1" customWidth="1"/>
    <col min="25" max="25" width="24.7109375" bestFit="1" customWidth="1"/>
  </cols>
  <sheetData>
    <row r="1" spans="1:25" x14ac:dyDescent="0.25">
      <c r="A1" t="s">
        <v>0</v>
      </c>
      <c r="C1" s="53" t="s">
        <v>1</v>
      </c>
      <c r="D1" s="53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/>
      <c r="T1" s="4" t="s">
        <v>4687</v>
      </c>
      <c r="U1" s="4" t="s">
        <v>4688</v>
      </c>
      <c r="W1" s="12" t="s">
        <v>993</v>
      </c>
      <c r="X1" s="13" t="s">
        <v>988</v>
      </c>
      <c r="Y1" s="13" t="s">
        <v>989</v>
      </c>
    </row>
    <row r="2" spans="1:25" x14ac:dyDescent="0.25">
      <c r="A2" t="s">
        <v>17</v>
      </c>
      <c r="C2" s="39">
        <v>40847</v>
      </c>
      <c r="D2" s="53" t="s">
        <v>18</v>
      </c>
      <c r="E2" s="17">
        <v>583.00088900000003</v>
      </c>
      <c r="F2" s="7">
        <v>247178869907</v>
      </c>
      <c r="G2" s="7">
        <v>272602081873</v>
      </c>
      <c r="H2" s="17">
        <v>100</v>
      </c>
      <c r="I2" s="17">
        <v>11.012</v>
      </c>
      <c r="J2" s="17">
        <v>7.0270000000000001</v>
      </c>
      <c r="K2" s="17">
        <v>5.74</v>
      </c>
      <c r="L2" s="17">
        <v>5.74</v>
      </c>
      <c r="M2" s="17">
        <v>355.43200000000002</v>
      </c>
      <c r="N2" s="17">
        <v>370.08300000000003</v>
      </c>
      <c r="O2" s="17">
        <v>6.7359999999999998</v>
      </c>
      <c r="P2" s="17">
        <v>-5.8000000000000003E-2</v>
      </c>
      <c r="Q2" s="17">
        <v>4.4020000000000001</v>
      </c>
      <c r="R2" s="17">
        <v>7.0890000000000004</v>
      </c>
      <c r="S2" s="17"/>
      <c r="T2" s="60">
        <f>SUMPRODUCT(H18:H60,T18:T60)/100</f>
        <v>113.0537554540296</v>
      </c>
      <c r="U2" s="60">
        <f>SUMPRODUCT(H18:H60,U18:U60)/100</f>
        <v>114.09603249439382</v>
      </c>
    </row>
    <row r="3" spans="1:25" x14ac:dyDescent="0.25">
      <c r="C3" s="53"/>
      <c r="D3" s="37" t="s">
        <v>19</v>
      </c>
      <c r="E3" s="17"/>
      <c r="F3" s="6"/>
      <c r="G3" s="6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</row>
    <row r="4" spans="1:25" x14ac:dyDescent="0.25">
      <c r="A4" t="s">
        <v>20</v>
      </c>
      <c r="C4" s="39">
        <v>40847</v>
      </c>
      <c r="D4" s="53" t="s">
        <v>21</v>
      </c>
      <c r="E4" s="17">
        <v>657.28763700000002</v>
      </c>
      <c r="F4" s="7">
        <v>17687788714</v>
      </c>
      <c r="G4" s="7">
        <v>15194418421</v>
      </c>
      <c r="H4" s="17">
        <v>5.5738450000000004</v>
      </c>
      <c r="I4" s="17">
        <v>13.676</v>
      </c>
      <c r="J4" s="17">
        <v>7.1740000000000004</v>
      </c>
      <c r="K4" s="17">
        <v>7.8730000000000002</v>
      </c>
      <c r="L4" s="17">
        <v>7.8730000000000002</v>
      </c>
      <c r="M4" s="17">
        <v>555.202</v>
      </c>
      <c r="N4" s="17">
        <v>564.77599999999995</v>
      </c>
      <c r="O4" s="17">
        <v>6.8739999999999997</v>
      </c>
      <c r="P4" s="17">
        <v>-0.39500000000000002</v>
      </c>
      <c r="Q4" s="17">
        <v>8.2029999999999994</v>
      </c>
      <c r="R4" s="17">
        <v>0.47499999999999998</v>
      </c>
      <c r="S4" s="17"/>
      <c r="T4" s="17"/>
      <c r="U4" s="17"/>
    </row>
    <row r="5" spans="1:25" x14ac:dyDescent="0.25">
      <c r="A5" t="s">
        <v>22</v>
      </c>
      <c r="C5" s="39">
        <v>40847</v>
      </c>
      <c r="D5" s="53" t="s">
        <v>23</v>
      </c>
      <c r="E5" s="17">
        <v>480.61315100000002</v>
      </c>
      <c r="F5" s="7">
        <v>229491081193</v>
      </c>
      <c r="G5" s="7">
        <v>257407663452</v>
      </c>
      <c r="H5" s="17">
        <v>94.426154999999994</v>
      </c>
      <c r="I5" s="17">
        <v>10.804</v>
      </c>
      <c r="J5" s="17">
        <v>7.0179999999999998</v>
      </c>
      <c r="K5" s="17">
        <v>5.577</v>
      </c>
      <c r="L5" s="17">
        <v>5.577</v>
      </c>
      <c r="M5" s="17">
        <v>340.25599999999997</v>
      </c>
      <c r="N5" s="17">
        <v>355.41699999999997</v>
      </c>
      <c r="O5" s="17">
        <v>6.7279999999999998</v>
      </c>
      <c r="P5" s="17">
        <v>-3.7999999999999999E-2</v>
      </c>
      <c r="Q5" s="17">
        <v>4.1849999999999996</v>
      </c>
      <c r="R5" s="17">
        <v>7.5229999999999997</v>
      </c>
      <c r="S5" s="17"/>
      <c r="T5" s="17"/>
      <c r="U5" s="17"/>
    </row>
    <row r="6" spans="1:25" x14ac:dyDescent="0.25">
      <c r="C6" s="53"/>
      <c r="D6" s="37" t="s">
        <v>24</v>
      </c>
      <c r="E6" s="17"/>
      <c r="F6" s="6"/>
      <c r="G6" s="6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</row>
    <row r="7" spans="1:25" x14ac:dyDescent="0.25">
      <c r="A7" t="s">
        <v>25</v>
      </c>
      <c r="C7" s="39">
        <v>40847</v>
      </c>
      <c r="D7" s="53" t="s">
        <v>26</v>
      </c>
      <c r="E7" s="17">
        <v>551.90344900000002</v>
      </c>
      <c r="F7" s="7">
        <v>97222116267</v>
      </c>
      <c r="G7" s="7">
        <v>106369221953</v>
      </c>
      <c r="H7" s="17">
        <v>39.019959999999998</v>
      </c>
      <c r="I7" s="17">
        <v>14.433</v>
      </c>
      <c r="J7" s="17">
        <v>8.3089999999999993</v>
      </c>
      <c r="K7" s="17">
        <v>6.1920000000000002</v>
      </c>
      <c r="L7" s="17">
        <v>6.1920000000000002</v>
      </c>
      <c r="M7" s="17">
        <v>383.25799999999998</v>
      </c>
      <c r="N7" s="17">
        <v>393.32400000000001</v>
      </c>
      <c r="O7" s="17">
        <v>7.9</v>
      </c>
      <c r="P7" s="17">
        <v>1.2999999999999999E-2</v>
      </c>
      <c r="Q7" s="17">
        <v>4.609</v>
      </c>
      <c r="R7" s="17">
        <v>9.7929999999999993</v>
      </c>
      <c r="S7" s="17"/>
      <c r="T7" s="17"/>
      <c r="U7" s="17"/>
    </row>
    <row r="8" spans="1:25" x14ac:dyDescent="0.25">
      <c r="A8" t="s">
        <v>27</v>
      </c>
      <c r="C8" s="39">
        <v>40847</v>
      </c>
      <c r="D8" s="53" t="s">
        <v>28</v>
      </c>
      <c r="E8" s="17">
        <v>621.79625999999996</v>
      </c>
      <c r="F8" s="7">
        <v>149956753640</v>
      </c>
      <c r="G8" s="7">
        <v>166232859920</v>
      </c>
      <c r="H8" s="17">
        <v>60.980040000000002</v>
      </c>
      <c r="I8" s="17">
        <v>8.7870000000000008</v>
      </c>
      <c r="J8" s="17">
        <v>6.2060000000000004</v>
      </c>
      <c r="K8" s="17">
        <v>5.3390000000000004</v>
      </c>
      <c r="L8" s="17">
        <v>5.3390000000000004</v>
      </c>
      <c r="M8" s="17">
        <v>343.25099999999998</v>
      </c>
      <c r="N8" s="17">
        <v>350.27</v>
      </c>
      <c r="O8" s="17">
        <v>5.992</v>
      </c>
      <c r="P8" s="17">
        <v>-0.10299999999999999</v>
      </c>
      <c r="Q8" s="17">
        <v>4.2690000000000001</v>
      </c>
      <c r="R8" s="17">
        <v>5.41</v>
      </c>
      <c r="S8" s="17"/>
      <c r="T8" s="17"/>
      <c r="U8" s="17"/>
    </row>
    <row r="9" spans="1:25" x14ac:dyDescent="0.25">
      <c r="C9" s="53"/>
      <c r="D9" s="37" t="s">
        <v>29</v>
      </c>
      <c r="E9" s="17"/>
      <c r="F9" s="6"/>
      <c r="G9" s="6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</row>
    <row r="10" spans="1:25" x14ac:dyDescent="0.25">
      <c r="A10" t="s">
        <v>30</v>
      </c>
      <c r="C10" s="39">
        <v>40847</v>
      </c>
      <c r="D10" s="53" t="s">
        <v>31</v>
      </c>
      <c r="E10" s="17">
        <v>702.12128399999995</v>
      </c>
      <c r="F10" s="7">
        <v>15248437999</v>
      </c>
      <c r="G10" s="7">
        <v>15646228188</v>
      </c>
      <c r="H10" s="17">
        <v>5.7395849999999999</v>
      </c>
      <c r="I10" s="17">
        <v>10.083</v>
      </c>
      <c r="J10" s="17">
        <v>6.6609999999999996</v>
      </c>
      <c r="K10" s="17">
        <v>5.9130000000000003</v>
      </c>
      <c r="L10" s="17">
        <v>5.9130000000000003</v>
      </c>
      <c r="M10" s="17">
        <v>377.52300000000002</v>
      </c>
      <c r="N10" s="17">
        <v>399.39499999999998</v>
      </c>
      <c r="O10" s="17">
        <v>6.43</v>
      </c>
      <c r="P10" s="17">
        <v>-0.23300000000000001</v>
      </c>
      <c r="Q10" s="17">
        <v>3.9329999999999998</v>
      </c>
      <c r="R10" s="17">
        <v>7.3970000000000002</v>
      </c>
      <c r="S10" s="17"/>
      <c r="T10" s="17"/>
      <c r="U10" s="17"/>
    </row>
    <row r="11" spans="1:25" x14ac:dyDescent="0.25">
      <c r="A11" t="s">
        <v>32</v>
      </c>
      <c r="C11" s="39">
        <v>40847</v>
      </c>
      <c r="D11" s="53" t="s">
        <v>33</v>
      </c>
      <c r="E11" s="17">
        <v>468.44397500000002</v>
      </c>
      <c r="F11" s="7">
        <v>44848918498</v>
      </c>
      <c r="G11" s="7">
        <v>52867212548</v>
      </c>
      <c r="H11" s="17">
        <v>19.393547000000002</v>
      </c>
      <c r="I11" s="17">
        <v>10.042999999999999</v>
      </c>
      <c r="J11" s="17">
        <v>7.0359999999999996</v>
      </c>
      <c r="K11" s="17">
        <v>4.5629999999999997</v>
      </c>
      <c r="L11" s="17">
        <v>4.5629999999999997</v>
      </c>
      <c r="M11" s="17">
        <v>242.72</v>
      </c>
      <c r="N11" s="17">
        <v>253.29400000000001</v>
      </c>
      <c r="O11" s="17">
        <v>6.7510000000000003</v>
      </c>
      <c r="P11" s="17">
        <v>0.17799999999999999</v>
      </c>
      <c r="Q11" s="17">
        <v>4.2629999999999999</v>
      </c>
      <c r="R11" s="17">
        <v>7.6459999999999999</v>
      </c>
      <c r="S11" s="17"/>
      <c r="T11" s="17"/>
      <c r="U11" s="17"/>
    </row>
    <row r="12" spans="1:25" x14ac:dyDescent="0.25">
      <c r="A12" t="s">
        <v>34</v>
      </c>
      <c r="C12" s="39">
        <v>40847</v>
      </c>
      <c r="D12" s="53" t="s">
        <v>35</v>
      </c>
      <c r="E12" s="17">
        <v>764.91469600000005</v>
      </c>
      <c r="F12" s="7">
        <v>76641809644</v>
      </c>
      <c r="G12" s="7">
        <v>83898622175</v>
      </c>
      <c r="H12" s="17">
        <v>30.776955999999998</v>
      </c>
      <c r="I12" s="17">
        <v>8.0510000000000002</v>
      </c>
      <c r="J12" s="17">
        <v>5.7430000000000003</v>
      </c>
      <c r="K12" s="17">
        <v>5.6970000000000001</v>
      </c>
      <c r="L12" s="17">
        <v>5.6970000000000001</v>
      </c>
      <c r="M12" s="17">
        <v>392.767</v>
      </c>
      <c r="N12" s="17">
        <v>397.62099999999998</v>
      </c>
      <c r="O12" s="17">
        <v>5.5640000000000001</v>
      </c>
      <c r="P12" s="17">
        <v>-0.27900000000000003</v>
      </c>
      <c r="Q12" s="17">
        <v>4.7249999999999996</v>
      </c>
      <c r="R12" s="17">
        <v>3.9</v>
      </c>
      <c r="S12" s="17"/>
      <c r="T12" s="17"/>
      <c r="U12" s="17"/>
    </row>
    <row r="13" spans="1:25" x14ac:dyDescent="0.25">
      <c r="A13" t="s">
        <v>25</v>
      </c>
      <c r="C13" s="39">
        <v>40847</v>
      </c>
      <c r="D13" s="53" t="s">
        <v>36</v>
      </c>
      <c r="E13" s="17">
        <v>551.90344900000002</v>
      </c>
      <c r="F13" s="7">
        <v>97222116267</v>
      </c>
      <c r="G13" s="7">
        <v>106369221953</v>
      </c>
      <c r="H13" s="17">
        <v>39.019959999999998</v>
      </c>
      <c r="I13" s="17">
        <v>14.433</v>
      </c>
      <c r="J13" s="17">
        <v>8.3089999999999993</v>
      </c>
      <c r="K13" s="17">
        <v>6.1920000000000002</v>
      </c>
      <c r="L13" s="17">
        <v>6.1920000000000002</v>
      </c>
      <c r="M13" s="17">
        <v>383.25799999999998</v>
      </c>
      <c r="N13" s="17">
        <v>393.32400000000001</v>
      </c>
      <c r="O13" s="17">
        <v>7.9</v>
      </c>
      <c r="P13" s="17">
        <v>1.2999999999999999E-2</v>
      </c>
      <c r="Q13" s="17">
        <v>4.609</v>
      </c>
      <c r="R13" s="17">
        <v>9.7929999999999993</v>
      </c>
      <c r="S13" s="17"/>
      <c r="T13" s="17"/>
      <c r="U13" s="17"/>
    </row>
    <row r="14" spans="1:25" x14ac:dyDescent="0.25">
      <c r="A14" t="s">
        <v>37</v>
      </c>
      <c r="C14" s="39">
        <v>40847</v>
      </c>
      <c r="D14" s="53" t="s">
        <v>38</v>
      </c>
      <c r="E14" s="17">
        <v>388.199119</v>
      </c>
      <c r="F14" s="7">
        <v>13217587500</v>
      </c>
      <c r="G14" s="7">
        <v>13820797009</v>
      </c>
      <c r="H14" s="17">
        <v>5.0699529999999999</v>
      </c>
      <c r="I14" s="17">
        <v>7.2969999999999997</v>
      </c>
      <c r="J14" s="17">
        <v>5.3319999999999999</v>
      </c>
      <c r="K14" s="17">
        <v>5.8710000000000004</v>
      </c>
      <c r="L14" s="17">
        <v>5.8710000000000004</v>
      </c>
      <c r="M14" s="17">
        <v>424.31700000000001</v>
      </c>
      <c r="N14" s="17">
        <v>420.46800000000002</v>
      </c>
      <c r="O14" s="17">
        <v>5.1859999999999999</v>
      </c>
      <c r="P14" s="17">
        <v>1.7999999999999999E-2</v>
      </c>
      <c r="Q14" s="17">
        <v>1.996</v>
      </c>
      <c r="R14" s="17">
        <v>3.9249999999999998</v>
      </c>
      <c r="S14" s="17"/>
      <c r="T14" s="17"/>
      <c r="U14" s="17"/>
    </row>
    <row r="15" spans="1:25" x14ac:dyDescent="0.25">
      <c r="C15" s="53"/>
      <c r="D15" s="37" t="s">
        <v>39</v>
      </c>
      <c r="E15" s="17"/>
      <c r="F15" s="6"/>
      <c r="G15" s="6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</row>
    <row r="16" spans="1:25" x14ac:dyDescent="0.25">
      <c r="A16" t="s">
        <v>40</v>
      </c>
      <c r="C16" s="39">
        <v>40847</v>
      </c>
      <c r="D16" s="53" t="s">
        <v>41</v>
      </c>
      <c r="E16" s="17">
        <v>602.21325000000002</v>
      </c>
      <c r="F16" s="7">
        <v>247178869907</v>
      </c>
      <c r="G16" s="7">
        <v>272602081873</v>
      </c>
      <c r="H16" s="17">
        <v>100</v>
      </c>
      <c r="I16" s="17">
        <v>11.012</v>
      </c>
      <c r="J16" s="17">
        <v>7.0270000000000001</v>
      </c>
      <c r="K16" s="17">
        <v>5.74</v>
      </c>
      <c r="L16" s="17">
        <v>5.74</v>
      </c>
      <c r="M16" s="17">
        <v>355.43200000000002</v>
      </c>
      <c r="N16" s="17">
        <v>370.08300000000003</v>
      </c>
      <c r="O16" s="17">
        <v>6.7359999999999998</v>
      </c>
      <c r="P16" s="17">
        <v>-5.8000000000000003E-2</v>
      </c>
      <c r="Q16" s="17">
        <v>4.4020000000000001</v>
      </c>
      <c r="R16" s="17">
        <v>7.0890000000000004</v>
      </c>
      <c r="S16" s="17"/>
      <c r="T16" s="17"/>
      <c r="U16" s="17"/>
    </row>
    <row r="17" spans="1:25" x14ac:dyDescent="0.25">
      <c r="C17" s="53"/>
      <c r="D17" s="37" t="s">
        <v>42</v>
      </c>
      <c r="E17" s="17"/>
      <c r="F17" s="6"/>
      <c r="G17" s="6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75"/>
      <c r="U17" s="17"/>
    </row>
    <row r="18" spans="1:25" x14ac:dyDescent="0.25">
      <c r="A18" t="s">
        <v>43</v>
      </c>
      <c r="C18" s="39">
        <v>40847</v>
      </c>
      <c r="D18" s="53" t="s">
        <v>44</v>
      </c>
      <c r="E18" s="17">
        <v>134.152728</v>
      </c>
      <c r="F18" s="7">
        <v>9660859255</v>
      </c>
      <c r="G18" s="7">
        <v>5997129343</v>
      </c>
      <c r="H18" s="17">
        <v>2.1999569999999999</v>
      </c>
      <c r="I18" s="17">
        <v>18.763999999999999</v>
      </c>
      <c r="J18" s="17">
        <v>8.907</v>
      </c>
      <c r="K18" s="17">
        <v>10.721</v>
      </c>
      <c r="L18" s="17">
        <v>10.721</v>
      </c>
      <c r="M18" s="17">
        <v>814.21199999999999</v>
      </c>
      <c r="N18" s="17">
        <v>834.95</v>
      </c>
      <c r="O18" s="17">
        <v>8.4410000000000007</v>
      </c>
      <c r="P18" s="17">
        <v>-1.7749999999999999</v>
      </c>
      <c r="Q18" s="17">
        <v>12.731999999999999</v>
      </c>
      <c r="R18" s="17">
        <v>-9.3780000000000001</v>
      </c>
      <c r="S18" s="17"/>
      <c r="T18" s="76">
        <f>SUMIF(EMBIG_Div_Security!$D$4:$D$284,TEXT($D18,"general"),EMBIG_Div_Security!AE$4:AE$284)</f>
        <v>68.190829654553198</v>
      </c>
      <c r="U18" s="76">
        <f>SUMIF(EMBIG_Div_Security!$D$4:$D$284,TEXT($D18,"general"),EMBIG_Div_Security!AF$4:AF$284)</f>
        <v>69.123201714748475</v>
      </c>
      <c r="W18" s="17">
        <f>IF(J18&lt;1.99,(G18/$G$85)*J18,IF(AND(J18&gt;1.99,J18&lt;3.99),(G18/$G$86)*J18,IF(AND(J18&gt;3.99,J18&lt;5.99),(G18/$G$87)*J18,IF(AND(J18&gt;5.99,J18&lt;7.99),(G18/$G$88)*J18,IF(AND(J18&gt;7.99,J18&lt;9.99),(G18/$G$89)*J18,IF(J18&gt;9.99,(G18/$G$90)*J18))))))</f>
        <v>0.71831119868873061</v>
      </c>
      <c r="X18" s="17">
        <f>IF(L18&lt;1.99,(G18/$G$69)*L18,IF(AND(L18&gt;1.99,L18&lt;3.9999),(G18/$G$70)*L18,IF(AND(L18&gt;3.9999,L18&lt;5.9999),(G18/$G$71)*L18,IF(AND(L18&gt;5.9999,L18&lt;7.9999),(G18/$G$72)*L18,IF(AND(L18&gt;7.9999,L18&lt;9.9999),(G18/$G$73)*L18,IF(L18&gt;9.9999,(G18/$G$74)*L18))))))</f>
        <v>3.0712766368141189</v>
      </c>
      <c r="Y18" s="17">
        <f>IF(N18&lt;199.99,(G18/$G$77)*N18,IF(AND(N18&gt;199.99,N18&lt;399.99),(G18/$G$78)*N18,IF(AND(N18&gt;399.99,N18&lt;599.99),(G18/$G$79)*N18,IF(AND(N18&gt;599.99,N18&lt;799.99),(G18/$G$80)*N18,IF(AND(N18&gt;799.99,N18&lt;999.99),(G18/$G$81)*N18,IF(N18&gt;999.99,(G18/$G$82)*N18))))))</f>
        <v>752.49827322739134</v>
      </c>
    </row>
    <row r="19" spans="1:25" x14ac:dyDescent="0.25">
      <c r="A19" t="s">
        <v>45</v>
      </c>
      <c r="C19" s="39">
        <v>40847</v>
      </c>
      <c r="D19" s="53" t="s">
        <v>46</v>
      </c>
      <c r="E19" s="17">
        <v>91.456052</v>
      </c>
      <c r="F19" s="7">
        <v>1800000000</v>
      </c>
      <c r="G19" s="7">
        <v>1551667224</v>
      </c>
      <c r="H19" s="17">
        <v>0.56920599999999999</v>
      </c>
      <c r="I19" s="17">
        <v>4.8520000000000003</v>
      </c>
      <c r="J19" s="17">
        <v>3.6139999999999999</v>
      </c>
      <c r="K19" s="17">
        <v>13.058</v>
      </c>
      <c r="L19" s="17">
        <v>13.058</v>
      </c>
      <c r="M19" s="17">
        <v>1211.8430000000001</v>
      </c>
      <c r="N19" s="17">
        <v>1216.018</v>
      </c>
      <c r="O19" s="17">
        <v>3.5750000000000002</v>
      </c>
      <c r="P19" s="17">
        <v>-1.276</v>
      </c>
      <c r="Q19" s="17">
        <v>17.257999999999999</v>
      </c>
      <c r="R19" s="17">
        <v>-9.5709999999999997</v>
      </c>
      <c r="S19" s="17"/>
      <c r="T19" s="17">
        <f>SUMIF(EMBIG_Div_Security!$D$4:$D$284,TEXT($D19,"general"),EMBIG_Div_Security!AE$4:AE$284)</f>
        <v>83.917796573887017</v>
      </c>
      <c r="U19" s="76">
        <f>SUMIF(EMBIG_Div_Security!$D$4:$D$284,TEXT($D19,"general"),EMBIG_Div_Security!AF$4:AF$284)</f>
        <v>85.417796573887017</v>
      </c>
      <c r="W19" s="17">
        <f t="shared" ref="W19:W60" si="0">IF(J19&lt;1.99,(G19/$G$85)*J19,IF(AND(J19&gt;1.99,J19&lt;3.99),(G19/$G$86)*J19,IF(AND(J19&gt;3.99,J19&lt;5.99),(G19/$G$87)*J19,IF(AND(J19&gt;5.99,J19&lt;7.99),(G19/$G$88)*J19,IF(AND(J19&gt;7.99,J19&lt;9.99),(G19/$G$89)*J19,IF(J19&gt;9.99,(G19/$G$90)*J19))))))</f>
        <v>1.0398809684186752</v>
      </c>
      <c r="X19" s="17">
        <f t="shared" ref="X19:X60" si="1">IF(L19&lt;1.99,(G19/$G$69)*L19,IF(AND(L19&gt;1.99,L19&lt;3.9999),(G19/$G$70)*L19,IF(AND(L19&gt;3.9999,L19&lt;5.9999),(G19/$G$71)*L19,IF(AND(L19&gt;5.9999,L19&lt;7.9999),(G19/$G$72)*L19,IF(AND(L19&gt;7.9999,L19&lt;9.9999),(G19/$G$73)*L19,IF(L19&gt;9.9999,(G19/$G$74)*L19))))))</f>
        <v>0.96786653817365675</v>
      </c>
      <c r="Y19" s="17">
        <f t="shared" ref="Y19:Y59" si="2">IF(N19&lt;199.99,(G19/$G$77)*N19,IF(AND(N19&gt;199.99,N19&lt;399.99),(G19/$G$78)*N19,IF(AND(N19&gt;399.99,N19&lt;599.99),(G19/$G$79)*N19,IF(AND(N19&gt;599.99,N19&lt;799.99),(G19/$G$80)*N19,IF(AND(N19&gt;799.99,N19&lt;999.99),(G19/$G$81)*N19,IF(N19&gt;999.99,(G19/$G$82)*N19))))))</f>
        <v>126.31891323610836</v>
      </c>
    </row>
    <row r="20" spans="1:25" x14ac:dyDescent="0.25">
      <c r="A20" t="s">
        <v>47</v>
      </c>
      <c r="C20" s="39">
        <v>40847</v>
      </c>
      <c r="D20" s="53" t="s">
        <v>48</v>
      </c>
      <c r="E20" s="17">
        <v>99.660831999999999</v>
      </c>
      <c r="F20" s="7">
        <v>546800000</v>
      </c>
      <c r="G20" s="7">
        <v>334732735</v>
      </c>
      <c r="H20" s="17">
        <v>0.122792</v>
      </c>
      <c r="I20" s="17">
        <v>12.547000000000001</v>
      </c>
      <c r="J20" s="17">
        <v>6.008</v>
      </c>
      <c r="K20" s="17">
        <v>15.423</v>
      </c>
      <c r="L20" s="17">
        <v>15.423</v>
      </c>
      <c r="M20" s="17">
        <v>1315.9680000000001</v>
      </c>
      <c r="N20" s="17">
        <v>1351.078</v>
      </c>
      <c r="O20" s="17">
        <v>5.7969999999999997</v>
      </c>
      <c r="P20" s="17">
        <v>2.7E-2</v>
      </c>
      <c r="Q20" s="17">
        <v>0.76800000000000002</v>
      </c>
      <c r="R20" s="17">
        <v>-24.712</v>
      </c>
      <c r="S20" s="17"/>
      <c r="T20" s="76">
        <f>SUMIF(EMBIG_Div_Security!$D$4:$D$284,TEXT($D20,"general"),EMBIG_Div_Security!AE$4:AE$284)</f>
        <v>60</v>
      </c>
      <c r="U20" s="76">
        <f>SUMIF(EMBIG_Div_Security!$D$4:$D$284,TEXT($D20,"general"),EMBIG_Div_Security!AF$4:AF$284)</f>
        <v>62</v>
      </c>
      <c r="W20" s="17">
        <f t="shared" si="0"/>
        <v>2.1870622379962845E-2</v>
      </c>
      <c r="X20" s="17">
        <f t="shared" si="1"/>
        <v>0.24660806134817165</v>
      </c>
      <c r="Y20" s="17">
        <f t="shared" si="2"/>
        <v>30.276690320985775</v>
      </c>
    </row>
    <row r="21" spans="1:25" x14ac:dyDescent="0.25">
      <c r="A21" t="s">
        <v>49</v>
      </c>
      <c r="C21" s="39">
        <v>40847</v>
      </c>
      <c r="D21" s="53" t="s">
        <v>50</v>
      </c>
      <c r="E21" s="17">
        <v>906.47066900000004</v>
      </c>
      <c r="F21" s="7">
        <v>14320631810</v>
      </c>
      <c r="G21" s="7">
        <v>18974804724</v>
      </c>
      <c r="H21" s="17">
        <v>6.9606240000000001</v>
      </c>
      <c r="I21" s="17">
        <v>13.859</v>
      </c>
      <c r="J21" s="17">
        <v>8.6140000000000008</v>
      </c>
      <c r="K21" s="17">
        <v>4.5709999999999997</v>
      </c>
      <c r="L21" s="17">
        <v>4.5709999999999997</v>
      </c>
      <c r="M21" s="17">
        <v>224.09399999999999</v>
      </c>
      <c r="N21" s="17">
        <v>222.91200000000001</v>
      </c>
      <c r="O21" s="17">
        <v>8.1869999999999994</v>
      </c>
      <c r="P21" s="17">
        <v>1.6E-2</v>
      </c>
      <c r="Q21" s="17">
        <v>3.0539999999999998</v>
      </c>
      <c r="R21" s="17">
        <v>10.818</v>
      </c>
      <c r="S21" s="17"/>
      <c r="T21" s="76">
        <f>SUMIF(EMBIG_Div_Security!$D$4:$D$284,TEXT($D21,"general"),EMBIG_Div_Security!AE$4:AE$284)</f>
        <v>132.97144229483089</v>
      </c>
      <c r="U21" s="76">
        <f>SUMIF(EMBIG_Div_Security!$D$4:$D$284,TEXT($D21,"general"),EMBIG_Div_Security!AF$4:AF$284)</f>
        <v>133.89148646443121</v>
      </c>
      <c r="W21" s="17">
        <f t="shared" si="0"/>
        <v>2.1979608469839489</v>
      </c>
      <c r="X21" s="17">
        <f t="shared" si="1"/>
        <v>0.43281463400699915</v>
      </c>
      <c r="Y21" s="17">
        <f t="shared" si="2"/>
        <v>22.464115637236855</v>
      </c>
    </row>
    <row r="22" spans="1:25" x14ac:dyDescent="0.25">
      <c r="A22" t="s">
        <v>51</v>
      </c>
      <c r="C22" s="39">
        <v>40847</v>
      </c>
      <c r="D22" s="53" t="s">
        <v>52</v>
      </c>
      <c r="E22" s="17">
        <v>917.085689</v>
      </c>
      <c r="F22" s="7">
        <v>1270551000</v>
      </c>
      <c r="G22" s="7">
        <v>1470345145</v>
      </c>
      <c r="H22" s="17">
        <v>0.53937400000000002</v>
      </c>
      <c r="I22" s="17">
        <v>3.2</v>
      </c>
      <c r="J22" s="17">
        <v>2.8010000000000002</v>
      </c>
      <c r="K22" s="17">
        <v>3.5009999999999999</v>
      </c>
      <c r="L22" s="17">
        <v>3.5009999999999999</v>
      </c>
      <c r="M22" s="17">
        <v>304.36799999999999</v>
      </c>
      <c r="N22" s="17">
        <v>307.28899999999999</v>
      </c>
      <c r="O22" s="17">
        <v>2.7919999999999998</v>
      </c>
      <c r="P22" s="17">
        <v>0.02</v>
      </c>
      <c r="Q22" s="17">
        <v>1.6619999999999999</v>
      </c>
      <c r="R22" s="17">
        <v>2.411</v>
      </c>
      <c r="S22" s="17"/>
      <c r="T22" s="76">
        <f>SUMIF(EMBIG_Div_Security!$D$4:$D$284,TEXT($D22,"general"),EMBIG_Div_Security!AE$4:AE$284)</f>
        <v>113.25</v>
      </c>
      <c r="U22" s="76">
        <f>SUMIF(EMBIG_Div_Security!$D$4:$D$284,TEXT($D22,"general"),EMBIG_Div_Security!AF$4:AF$284)</f>
        <v>114.25</v>
      </c>
      <c r="W22" s="17">
        <f t="shared" si="0"/>
        <v>0.76371143944014852</v>
      </c>
      <c r="X22" s="17">
        <f t="shared" si="1"/>
        <v>0.32129089764794999</v>
      </c>
      <c r="Y22" s="17">
        <f t="shared" si="2"/>
        <v>2.3996332360337376</v>
      </c>
    </row>
    <row r="23" spans="1:25" x14ac:dyDescent="0.25">
      <c r="A23" t="s">
        <v>53</v>
      </c>
      <c r="C23" s="39">
        <v>40847</v>
      </c>
      <c r="D23" s="53" t="s">
        <v>54</v>
      </c>
      <c r="E23" s="17">
        <v>266.27393999999998</v>
      </c>
      <c r="F23" s="7">
        <v>6950000000</v>
      </c>
      <c r="G23" s="7">
        <v>7514081048</v>
      </c>
      <c r="H23" s="17">
        <v>2.7564280000000001</v>
      </c>
      <c r="I23" s="17">
        <v>9.0619999999999994</v>
      </c>
      <c r="J23" s="17">
        <v>6.98</v>
      </c>
      <c r="K23" s="17">
        <v>3.6190000000000002</v>
      </c>
      <c r="L23" s="17">
        <v>3.6190000000000002</v>
      </c>
      <c r="M23" s="17">
        <v>166.078</v>
      </c>
      <c r="N23" s="17">
        <v>152.721</v>
      </c>
      <c r="O23" s="17">
        <v>6.694</v>
      </c>
      <c r="P23" s="17">
        <v>0.95799999999999996</v>
      </c>
      <c r="Q23" s="17">
        <v>1.07</v>
      </c>
      <c r="R23" s="17">
        <v>8.2940000000000005</v>
      </c>
      <c r="S23" s="17"/>
      <c r="T23" s="76">
        <f>SUMIF(EMBIG_Div_Security!$D$4:$D$284,TEXT($D23,"general"),EMBIG_Div_Security!AE$4:AE$284)</f>
        <v>107.70894342618082</v>
      </c>
      <c r="U23" s="76">
        <f>SUMIF(EMBIG_Div_Security!$D$4:$D$284,TEXT($D23,"general"),EMBIG_Div_Security!AF$4:AF$284)</f>
        <v>109.12610477557023</v>
      </c>
      <c r="W23" s="17">
        <f t="shared" si="0"/>
        <v>0.57038005377977652</v>
      </c>
      <c r="X23" s="17">
        <f t="shared" si="1"/>
        <v>1.6972721204006385</v>
      </c>
      <c r="Y23" s="17">
        <f t="shared" si="2"/>
        <v>42.791348631979055</v>
      </c>
    </row>
    <row r="24" spans="1:25" x14ac:dyDescent="0.25">
      <c r="A24" t="s">
        <v>55</v>
      </c>
      <c r="C24" s="39">
        <v>40847</v>
      </c>
      <c r="D24" s="53" t="s">
        <v>56</v>
      </c>
      <c r="E24" s="17">
        <v>371.97220700000003</v>
      </c>
      <c r="F24" s="7">
        <v>6575000000</v>
      </c>
      <c r="G24" s="7">
        <v>6920681515</v>
      </c>
      <c r="H24" s="17">
        <v>2.5387490000000001</v>
      </c>
      <c r="I24" s="17">
        <v>6.2779999999999996</v>
      </c>
      <c r="J24" s="17">
        <v>4.5759999999999996</v>
      </c>
      <c r="K24" s="17">
        <v>4.0090000000000003</v>
      </c>
      <c r="L24" s="17">
        <v>4.0090000000000003</v>
      </c>
      <c r="M24" s="17">
        <v>264.95100000000002</v>
      </c>
      <c r="N24" s="17">
        <v>244.76900000000001</v>
      </c>
      <c r="O24" s="17">
        <v>4.4569999999999999</v>
      </c>
      <c r="P24" s="17">
        <v>1.4999999999999999E-2</v>
      </c>
      <c r="Q24" s="17">
        <v>2.2589999999999999</v>
      </c>
      <c r="R24" s="17">
        <v>3.2080000000000002</v>
      </c>
      <c r="S24" s="17"/>
      <c r="T24" s="76">
        <f>SUMIF(EMBIG_Div_Security!$D$4:$D$284,TEXT($D24,"general"),EMBIG_Div_Security!AE$4:AE$284)</f>
        <v>104.12105447111603</v>
      </c>
      <c r="U24" s="76">
        <f>SUMIF(EMBIG_Div_Security!$D$4:$D$284,TEXT($D24,"general"),EMBIG_Div_Security!AF$4:AF$284)</f>
        <v>105.59614287092856</v>
      </c>
      <c r="W24" s="17">
        <f t="shared" si="0"/>
        <v>0.37517621010227731</v>
      </c>
      <c r="X24" s="17">
        <f t="shared" si="1"/>
        <v>0.1384517087131629</v>
      </c>
      <c r="Y24" s="17">
        <f t="shared" si="2"/>
        <v>8.996712447488596</v>
      </c>
    </row>
    <row r="25" spans="1:25" x14ac:dyDescent="0.25">
      <c r="A25" t="s">
        <v>57</v>
      </c>
      <c r="C25" s="39">
        <v>40847</v>
      </c>
      <c r="D25" s="53" t="s">
        <v>986</v>
      </c>
      <c r="E25" s="17">
        <v>447.954655</v>
      </c>
      <c r="F25" s="7">
        <v>9757229500</v>
      </c>
      <c r="G25" s="7">
        <v>12266006264</v>
      </c>
      <c r="H25" s="17">
        <v>4.4996010000000002</v>
      </c>
      <c r="I25" s="17">
        <v>11.837999999999999</v>
      </c>
      <c r="J25" s="17">
        <v>7.7809999999999997</v>
      </c>
      <c r="K25" s="17">
        <v>4.1029999999999998</v>
      </c>
      <c r="L25" s="17">
        <v>4.1029999999999998</v>
      </c>
      <c r="M25" s="17">
        <v>187.56200000000001</v>
      </c>
      <c r="N25" s="17">
        <v>188.21100000000001</v>
      </c>
      <c r="O25" s="17">
        <v>7.4169999999999998</v>
      </c>
      <c r="P25" s="17">
        <v>0.46</v>
      </c>
      <c r="Q25" s="17">
        <v>2.9540000000000002</v>
      </c>
      <c r="R25" s="17">
        <v>11.999000000000001</v>
      </c>
      <c r="S25" s="17"/>
      <c r="T25" s="76">
        <f>SUMIF(EMBIG_Div_Security!$D$4:$D$284,TEXT($D25,"general"),EMBIG_Div_Security!AE$4:AE$284)</f>
        <v>125.28238188557967</v>
      </c>
      <c r="U25" s="76">
        <f>SUMIF(EMBIG_Div_Security!$D$4:$D$284,TEXT($D25,"general"),EMBIG_Div_Security!AF$4:AF$284)</f>
        <v>126.27673861707125</v>
      </c>
      <c r="W25" s="17">
        <f t="shared" si="0"/>
        <v>1.0379385193353221</v>
      </c>
      <c r="X25" s="17">
        <f t="shared" si="1"/>
        <v>0.25114127749995652</v>
      </c>
      <c r="Y25" s="17">
        <f t="shared" si="2"/>
        <v>86.085404450683271</v>
      </c>
    </row>
    <row r="26" spans="1:25" x14ac:dyDescent="0.25">
      <c r="A26" t="s">
        <v>59</v>
      </c>
      <c r="C26" s="39">
        <v>40847</v>
      </c>
      <c r="D26" s="53" t="s">
        <v>60</v>
      </c>
      <c r="E26" s="17">
        <v>105.53532800000001</v>
      </c>
      <c r="F26" s="7">
        <v>4250000000</v>
      </c>
      <c r="G26" s="7">
        <v>4258933163</v>
      </c>
      <c r="H26" s="17">
        <v>1.5623260000000001</v>
      </c>
      <c r="I26" s="17">
        <v>8.6980000000000004</v>
      </c>
      <c r="J26" s="17">
        <v>6.5279999999999996</v>
      </c>
      <c r="K26" s="17">
        <v>6.6950000000000003</v>
      </c>
      <c r="L26" s="17">
        <v>6.6950000000000003</v>
      </c>
      <c r="M26" s="17">
        <v>480.50099999999998</v>
      </c>
      <c r="N26" s="17">
        <v>492.13600000000002</v>
      </c>
      <c r="O26" s="17">
        <v>6.3419999999999996</v>
      </c>
      <c r="P26" s="17">
        <v>-0.442</v>
      </c>
      <c r="Q26" s="17">
        <v>6.1749999999999998</v>
      </c>
      <c r="R26" s="17">
        <v>0.84099999999999997</v>
      </c>
      <c r="S26" s="17"/>
      <c r="T26" s="76">
        <f>SUMIF(EMBIG_Div_Security!$D$4:$D$284,TEXT($D26,"general"),EMBIG_Div_Security!AE$4:AE$284)</f>
        <v>98.240898139858899</v>
      </c>
      <c r="U26" s="76">
        <f>SUMIF(EMBIG_Div_Security!$D$4:$D$284,TEXT($D26,"general"),EMBIG_Div_Security!AF$4:AF$284)</f>
        <v>99.240898139858871</v>
      </c>
      <c r="W26" s="17">
        <f t="shared" si="0"/>
        <v>0.30235280526648139</v>
      </c>
      <c r="X26" s="17">
        <f t="shared" si="1"/>
        <v>1.1217666812382516</v>
      </c>
      <c r="Y26" s="17">
        <f t="shared" si="2"/>
        <v>78.412308191384056</v>
      </c>
    </row>
    <row r="27" spans="1:25" x14ac:dyDescent="0.25">
      <c r="A27" t="s">
        <v>61</v>
      </c>
      <c r="C27" s="39">
        <v>40847</v>
      </c>
      <c r="D27" s="53" t="s">
        <v>62</v>
      </c>
      <c r="E27" s="17">
        <v>271.71045099999998</v>
      </c>
      <c r="F27" s="7">
        <v>1877349059</v>
      </c>
      <c r="G27" s="7">
        <v>2039431148</v>
      </c>
      <c r="H27" s="17">
        <v>0.74813499999999999</v>
      </c>
      <c r="I27" s="17">
        <v>6.9930000000000003</v>
      </c>
      <c r="J27" s="17">
        <v>5.1639999999999997</v>
      </c>
      <c r="K27" s="17">
        <v>6.5880000000000001</v>
      </c>
      <c r="L27" s="17">
        <v>6.5880000000000001</v>
      </c>
      <c r="M27" s="17">
        <v>501.84500000000003</v>
      </c>
      <c r="N27" s="17">
        <v>507.29899999999998</v>
      </c>
      <c r="O27" s="17">
        <v>5.0449999999999999</v>
      </c>
      <c r="P27" s="17">
        <v>2.1000000000000001E-2</v>
      </c>
      <c r="Q27" s="17">
        <v>4.7770000000000001</v>
      </c>
      <c r="R27" s="17">
        <v>2.5840000000000001</v>
      </c>
      <c r="S27" s="17"/>
      <c r="T27" s="76">
        <f>SUMIF(EMBIG_Div_Security!$D$4:$D$284,TEXT($D27,"general"),EMBIG_Div_Security!AE$4:AE$284)</f>
        <v>105.42266662888542</v>
      </c>
      <c r="U27" s="76">
        <f>SUMIF(EMBIG_Div_Security!$D$4:$D$284,TEXT($D27,"general"),EMBIG_Div_Security!AF$4:AF$284)</f>
        <v>106.76876186158334</v>
      </c>
      <c r="W27" s="17">
        <f t="shared" si="0"/>
        <v>0.12476583974335477</v>
      </c>
      <c r="X27" s="17">
        <f t="shared" si="1"/>
        <v>0.52858370284096956</v>
      </c>
      <c r="Y27" s="17">
        <f t="shared" si="2"/>
        <v>38.705379742805306</v>
      </c>
    </row>
    <row r="28" spans="1:25" x14ac:dyDescent="0.25">
      <c r="A28" t="s">
        <v>63</v>
      </c>
      <c r="C28" s="39">
        <v>40847</v>
      </c>
      <c r="D28" s="53" t="s">
        <v>64</v>
      </c>
      <c r="E28" s="17">
        <v>601.52606200000002</v>
      </c>
      <c r="F28" s="7">
        <v>650000000</v>
      </c>
      <c r="G28" s="7">
        <v>657109375</v>
      </c>
      <c r="H28" s="17">
        <v>0.24105099999999999</v>
      </c>
      <c r="I28" s="17">
        <v>4.117</v>
      </c>
      <c r="J28" s="17">
        <v>3.2469999999999999</v>
      </c>
      <c r="K28" s="17">
        <v>9.5190000000000001</v>
      </c>
      <c r="L28" s="17">
        <v>9.5190000000000001</v>
      </c>
      <c r="M28" s="17">
        <v>879.37099999999998</v>
      </c>
      <c r="N28" s="17">
        <v>886.178</v>
      </c>
      <c r="O28" s="17">
        <v>3.23</v>
      </c>
      <c r="P28" s="17">
        <v>2.5999999999999999E-2</v>
      </c>
      <c r="Q28" s="17">
        <v>0.22700000000000001</v>
      </c>
      <c r="R28" s="17">
        <v>14.414</v>
      </c>
      <c r="S28" s="17"/>
      <c r="T28" s="76">
        <f>SUMIF(EMBIG_Div_Security!$D$4:$D$284,TEXT($D28,"general"),EMBIG_Div_Security!AE$4:AE$284)</f>
        <v>97.5</v>
      </c>
      <c r="U28" s="76">
        <f>SUMIF(EMBIG_Div_Security!$D$4:$D$284,TEXT($D28,"general"),EMBIG_Div_Security!AF$4:AF$284)</f>
        <v>99.5</v>
      </c>
      <c r="W28" s="17">
        <f t="shared" si="0"/>
        <v>0.39565517191015198</v>
      </c>
      <c r="X28" s="17">
        <f t="shared" si="1"/>
        <v>0.63615501413186115</v>
      </c>
      <c r="Y28" s="17">
        <f t="shared" si="2"/>
        <v>87.510517190127345</v>
      </c>
    </row>
    <row r="29" spans="1:25" x14ac:dyDescent="0.25">
      <c r="A29" t="s">
        <v>65</v>
      </c>
      <c r="C29" s="39">
        <v>40847</v>
      </c>
      <c r="D29" s="53" t="s">
        <v>66</v>
      </c>
      <c r="E29" s="17">
        <v>219.60306199999999</v>
      </c>
      <c r="F29" s="7">
        <v>2100000000</v>
      </c>
      <c r="G29" s="7">
        <v>2096875348</v>
      </c>
      <c r="H29" s="17">
        <v>0.76920699999999997</v>
      </c>
      <c r="I29" s="17">
        <v>11.898999999999999</v>
      </c>
      <c r="J29" s="17">
        <v>7.1360000000000001</v>
      </c>
      <c r="K29" s="17">
        <v>6.0490000000000004</v>
      </c>
      <c r="L29" s="17">
        <v>6.0490000000000004</v>
      </c>
      <c r="M29" s="17">
        <v>381.81299999999999</v>
      </c>
      <c r="N29" s="17">
        <v>398.56400000000002</v>
      </c>
      <c r="O29" s="17">
        <v>6.8419999999999996</v>
      </c>
      <c r="P29" s="17">
        <v>-0.435</v>
      </c>
      <c r="Q29" s="17">
        <v>1.171</v>
      </c>
      <c r="R29" s="17">
        <v>0.56200000000000006</v>
      </c>
      <c r="S29" s="17"/>
      <c r="T29" s="76">
        <f>SUMIF(EMBIG_Div_Security!$D$4:$D$284,TEXT($D29,"general"),EMBIG_Div_Security!AE$4:AE$284)</f>
        <v>99.450660091646043</v>
      </c>
      <c r="U29" s="76">
        <f>SUMIF(EMBIG_Div_Security!$D$4:$D$284,TEXT($D29,"general"),EMBIG_Div_Security!AF$4:AF$284)</f>
        <v>100.97525157561249</v>
      </c>
      <c r="W29" s="17">
        <f t="shared" si="0"/>
        <v>0.16272732576112148</v>
      </c>
      <c r="X29" s="17">
        <f t="shared" si="1"/>
        <v>0.49900779401398365</v>
      </c>
      <c r="Y29" s="17">
        <f t="shared" si="2"/>
        <v>4.4386330769185465</v>
      </c>
    </row>
    <row r="30" spans="1:25" x14ac:dyDescent="0.25">
      <c r="A30" t="s">
        <v>67</v>
      </c>
      <c r="C30" s="39">
        <v>40847</v>
      </c>
      <c r="D30" s="53" t="s">
        <v>68</v>
      </c>
      <c r="E30" s="17">
        <v>204.65136200000001</v>
      </c>
      <c r="F30" s="7">
        <v>3753500000</v>
      </c>
      <c r="G30" s="7">
        <v>4050690700</v>
      </c>
      <c r="H30" s="17">
        <v>1.485935</v>
      </c>
      <c r="I30" s="17">
        <v>18.22</v>
      </c>
      <c r="J30" s="17">
        <v>9.2119999999999997</v>
      </c>
      <c r="K30" s="17">
        <v>6.944</v>
      </c>
      <c r="L30" s="17">
        <v>6.944</v>
      </c>
      <c r="M30" s="17">
        <v>439.29300000000001</v>
      </c>
      <c r="N30" s="17">
        <v>452.22199999999998</v>
      </c>
      <c r="O30" s="17">
        <v>8.7279999999999998</v>
      </c>
      <c r="P30" s="17">
        <v>0.30599999999999999</v>
      </c>
      <c r="Q30" s="17">
        <v>4.1580000000000004</v>
      </c>
      <c r="R30" s="17">
        <v>4.6390000000000002</v>
      </c>
      <c r="S30" s="17"/>
      <c r="T30" s="76">
        <f>SUMIF(EMBIG_Div_Security!$D$4:$D$284,TEXT($D30,"general"),EMBIG_Div_Security!AE$4:AE$284)</f>
        <v>105.73769441751595</v>
      </c>
      <c r="U30" s="76">
        <f>SUMIF(EMBIG_Div_Security!$D$4:$D$284,TEXT($D30,"general"),EMBIG_Div_Security!AF$4:AF$284)</f>
        <v>107.51627264566302</v>
      </c>
      <c r="W30" s="17">
        <f t="shared" si="0"/>
        <v>0.50178858968147622</v>
      </c>
      <c r="X30" s="17">
        <f t="shared" si="1"/>
        <v>1.1065981135956804</v>
      </c>
      <c r="Y30" s="17">
        <f t="shared" si="2"/>
        <v>68.529734268908143</v>
      </c>
    </row>
    <row r="31" spans="1:25" x14ac:dyDescent="0.25">
      <c r="A31" t="s">
        <v>69</v>
      </c>
      <c r="C31" s="39">
        <v>40847</v>
      </c>
      <c r="D31" s="53" t="s">
        <v>70</v>
      </c>
      <c r="E31" s="17">
        <v>153.06407300000001</v>
      </c>
      <c r="F31" s="7">
        <v>878645000</v>
      </c>
      <c r="G31" s="7">
        <v>1038660902</v>
      </c>
      <c r="H31" s="17">
        <v>0.38101699999999999</v>
      </c>
      <c r="I31" s="17">
        <v>6.1079999999999997</v>
      </c>
      <c r="J31" s="17">
        <v>4.8339999999999996</v>
      </c>
      <c r="K31" s="17">
        <v>5.0279999999999996</v>
      </c>
      <c r="L31" s="17">
        <v>5.0279999999999996</v>
      </c>
      <c r="M31" s="17">
        <v>371.81799999999998</v>
      </c>
      <c r="N31" s="17">
        <v>380.858</v>
      </c>
      <c r="O31" s="17">
        <v>4.7560000000000002</v>
      </c>
      <c r="P31" s="17">
        <v>1.9E-2</v>
      </c>
      <c r="Q31" s="17">
        <v>6.1870000000000003</v>
      </c>
      <c r="R31" s="17">
        <v>4.1020000000000003</v>
      </c>
      <c r="S31" s="17"/>
      <c r="T31" s="76">
        <f>SUMIF(EMBIG_Div_Security!$D$4:$D$284,TEXT($D31,"general"),EMBIG_Div_Security!AE$4:AE$284)</f>
        <v>115</v>
      </c>
      <c r="U31" s="76">
        <f>SUMIF(EMBIG_Div_Security!$D$4:$D$284,TEXT($D31,"general"),EMBIG_Div_Security!AF$4:AF$284)</f>
        <v>116.5</v>
      </c>
      <c r="W31" s="17">
        <f t="shared" si="0"/>
        <v>5.9481353511162599E-2</v>
      </c>
      <c r="X31" s="17">
        <f t="shared" si="1"/>
        <v>2.6060482539254491E-2</v>
      </c>
      <c r="Y31" s="17">
        <f t="shared" si="2"/>
        <v>2.1009486067935024</v>
      </c>
    </row>
    <row r="32" spans="1:25" x14ac:dyDescent="0.25">
      <c r="A32" t="s">
        <v>71</v>
      </c>
      <c r="C32" s="39">
        <v>40847</v>
      </c>
      <c r="D32" s="53" t="s">
        <v>72</v>
      </c>
      <c r="E32" s="17">
        <v>143.547246</v>
      </c>
      <c r="F32" s="7">
        <v>500000000</v>
      </c>
      <c r="G32" s="7">
        <v>509505210</v>
      </c>
      <c r="H32" s="17">
        <v>0.18690399999999999</v>
      </c>
      <c r="I32" s="17">
        <v>9.4420000000000002</v>
      </c>
      <c r="J32" s="17">
        <v>7.0419999999999998</v>
      </c>
      <c r="K32" s="17">
        <v>6.4450000000000003</v>
      </c>
      <c r="L32" s="17">
        <v>6.4450000000000003</v>
      </c>
      <c r="M32" s="17">
        <v>441.56900000000002</v>
      </c>
      <c r="N32" s="17">
        <v>456.226</v>
      </c>
      <c r="O32" s="17">
        <v>6.8220000000000001</v>
      </c>
      <c r="P32" s="17">
        <v>1.9E-2</v>
      </c>
      <c r="Q32" s="17">
        <v>4.6890000000000001</v>
      </c>
      <c r="R32" s="17">
        <v>12.161</v>
      </c>
      <c r="S32" s="17"/>
      <c r="T32" s="76">
        <f>SUMIF(EMBIG_Div_Security!$D$4:$D$284,TEXT($D32,"general"),EMBIG_Div_Security!AE$4:AE$284)</f>
        <v>101.5</v>
      </c>
      <c r="U32" s="76">
        <f>SUMIF(EMBIG_Div_Security!$D$4:$D$284,TEXT($D32,"general"),EMBIG_Div_Security!AF$4:AF$284)</f>
        <v>103</v>
      </c>
      <c r="W32" s="17">
        <f t="shared" si="0"/>
        <v>3.9019139009927317E-2</v>
      </c>
      <c r="X32" s="17">
        <f t="shared" si="1"/>
        <v>0.12918815070888603</v>
      </c>
      <c r="Y32" s="17">
        <f t="shared" si="2"/>
        <v>8.6961483446723378</v>
      </c>
    </row>
    <row r="33" spans="1:25" x14ac:dyDescent="0.25">
      <c r="A33" t="s">
        <v>73</v>
      </c>
      <c r="C33" s="39">
        <v>40847</v>
      </c>
      <c r="D33" s="53" t="s">
        <v>74</v>
      </c>
      <c r="E33" s="17">
        <v>153.97018</v>
      </c>
      <c r="F33" s="7">
        <v>750000000</v>
      </c>
      <c r="G33" s="7">
        <v>841385415</v>
      </c>
      <c r="H33" s="17">
        <v>0.30864999999999998</v>
      </c>
      <c r="I33" s="17">
        <v>5.9189999999999996</v>
      </c>
      <c r="J33" s="17">
        <v>4.7409999999999997</v>
      </c>
      <c r="K33" s="17">
        <v>5.867</v>
      </c>
      <c r="L33" s="17">
        <v>5.867</v>
      </c>
      <c r="M33" s="17">
        <v>461.327</v>
      </c>
      <c r="N33" s="17">
        <v>470.57100000000003</v>
      </c>
      <c r="O33" s="17">
        <v>4.67</v>
      </c>
      <c r="P33" s="17">
        <v>2.1000000000000001E-2</v>
      </c>
      <c r="Q33" s="17">
        <v>8.3659999999999997</v>
      </c>
      <c r="R33" s="17">
        <v>5.9809999999999999</v>
      </c>
      <c r="S33" s="17"/>
      <c r="T33" s="76">
        <f>SUMIF(EMBIG_Div_Security!$D$4:$D$284,TEXT($D33,"general"),EMBIG_Div_Security!AE$4:AE$284)</f>
        <v>111.5</v>
      </c>
      <c r="U33" s="76">
        <f>SUMIF(EMBIG_Div_Security!$D$4:$D$284,TEXT($D33,"general"),EMBIG_Div_Security!AF$4:AF$284)</f>
        <v>113</v>
      </c>
      <c r="W33" s="17">
        <f t="shared" si="0"/>
        <v>4.7256912865297991E-2</v>
      </c>
      <c r="X33" s="17">
        <f t="shared" si="1"/>
        <v>2.4633406161523101E-2</v>
      </c>
      <c r="Y33" s="17">
        <f t="shared" si="2"/>
        <v>14.812160773548793</v>
      </c>
    </row>
    <row r="34" spans="1:25" x14ac:dyDescent="0.25">
      <c r="A34" t="s">
        <v>75</v>
      </c>
      <c r="C34" s="39">
        <v>40847</v>
      </c>
      <c r="D34" s="53" t="s">
        <v>76</v>
      </c>
      <c r="E34" s="17">
        <v>193.93191899999999</v>
      </c>
      <c r="F34" s="7">
        <v>7062500000</v>
      </c>
      <c r="G34" s="7">
        <v>6888229949</v>
      </c>
      <c r="H34" s="17">
        <v>2.5268440000000001</v>
      </c>
      <c r="I34" s="17">
        <v>11.138999999999999</v>
      </c>
      <c r="J34" s="17">
        <v>6.7839999999999998</v>
      </c>
      <c r="K34" s="17">
        <v>6.94</v>
      </c>
      <c r="L34" s="17">
        <v>6.94</v>
      </c>
      <c r="M34" s="17">
        <v>474.827</v>
      </c>
      <c r="N34" s="17">
        <v>496.56</v>
      </c>
      <c r="O34" s="17">
        <v>6.532</v>
      </c>
      <c r="P34" s="17">
        <v>-0.51700000000000002</v>
      </c>
      <c r="Q34" s="17">
        <v>0.63300000000000001</v>
      </c>
      <c r="R34" s="17">
        <v>3.6949999999999998</v>
      </c>
      <c r="S34" s="17"/>
      <c r="T34" s="76">
        <f>SUMIF(EMBIG_Div_Security!$D$4:$D$284,TEXT($D34,"general"),EMBIG_Div_Security!AE$4:AE$284)</f>
        <v>96.533289280838147</v>
      </c>
      <c r="U34" s="76">
        <f>SUMIF(EMBIG_Div_Security!$D$4:$D$284,TEXT($D34,"general"),EMBIG_Div_Security!AF$4:AF$284)</f>
        <v>97.557801786627039</v>
      </c>
      <c r="W34" s="17">
        <f t="shared" si="0"/>
        <v>0.50819046000604895</v>
      </c>
      <c r="X34" s="17">
        <f t="shared" si="1"/>
        <v>1.8806944270656454</v>
      </c>
      <c r="Y34" s="17">
        <f t="shared" si="2"/>
        <v>127.96100655121015</v>
      </c>
    </row>
    <row r="35" spans="1:25" x14ac:dyDescent="0.25">
      <c r="A35" t="s">
        <v>77</v>
      </c>
      <c r="C35" s="39">
        <v>40847</v>
      </c>
      <c r="D35" s="53" t="s">
        <v>78</v>
      </c>
      <c r="E35" s="17">
        <v>237.839844</v>
      </c>
      <c r="F35" s="7">
        <v>13437499999</v>
      </c>
      <c r="G35" s="7">
        <v>16440146695</v>
      </c>
      <c r="H35" s="17">
        <v>6.0308219999999997</v>
      </c>
      <c r="I35" s="17">
        <v>11.476000000000001</v>
      </c>
      <c r="J35" s="17">
        <v>7.4560000000000004</v>
      </c>
      <c r="K35" s="17">
        <v>4.6029999999999998</v>
      </c>
      <c r="L35" s="17">
        <v>4.6029999999999998</v>
      </c>
      <c r="M35" s="17">
        <v>239.422</v>
      </c>
      <c r="N35" s="17">
        <v>245.79599999999999</v>
      </c>
      <c r="O35" s="17">
        <v>7.1239999999999997</v>
      </c>
      <c r="P35" s="17">
        <v>7.4999999999999997E-2</v>
      </c>
      <c r="Q35" s="17">
        <v>5.6</v>
      </c>
      <c r="R35" s="17">
        <v>8.7349999999999994</v>
      </c>
      <c r="S35" s="17"/>
      <c r="T35" s="76">
        <f>SUMIF(EMBIG_Div_Security!$D$4:$D$284,TEXT($D35,"general"),EMBIG_Div_Security!AE$4:AE$284)</f>
        <v>122.00513793100279</v>
      </c>
      <c r="U35" s="76">
        <f>SUMIF(EMBIG_Div_Security!$D$4:$D$284,TEXT($D35,"general"),EMBIG_Div_Security!AF$4:AF$284)</f>
        <v>123.08489674894483</v>
      </c>
      <c r="W35" s="17">
        <f t="shared" si="0"/>
        <v>1.3330444154630692</v>
      </c>
      <c r="X35" s="17">
        <f t="shared" si="1"/>
        <v>0.37762441308747191</v>
      </c>
      <c r="Y35" s="17">
        <f t="shared" si="2"/>
        <v>21.461450053931088</v>
      </c>
    </row>
    <row r="36" spans="1:25" x14ac:dyDescent="0.25">
      <c r="A36" t="s">
        <v>79</v>
      </c>
      <c r="C36" s="39">
        <v>40847</v>
      </c>
      <c r="D36" s="53" t="s">
        <v>80</v>
      </c>
      <c r="E36" s="17">
        <v>198.17135999999999</v>
      </c>
      <c r="F36" s="7">
        <v>2700000000</v>
      </c>
      <c r="G36" s="7">
        <v>2335230000</v>
      </c>
      <c r="H36" s="17">
        <v>0.85664399999999996</v>
      </c>
      <c r="I36" s="17">
        <v>12.45</v>
      </c>
      <c r="J36" s="17">
        <v>8.3260000000000005</v>
      </c>
      <c r="K36" s="17">
        <v>7.5720000000000001</v>
      </c>
      <c r="L36" s="17">
        <v>7.5720000000000001</v>
      </c>
      <c r="M36" s="17">
        <v>531.33399999999995</v>
      </c>
      <c r="N36" s="17">
        <v>537.4</v>
      </c>
      <c r="O36" s="17">
        <v>7.9749999999999996</v>
      </c>
      <c r="P36" s="17">
        <v>1.9E-2</v>
      </c>
      <c r="Q36" s="17">
        <v>7.0570000000000004</v>
      </c>
      <c r="R36" s="17">
        <v>-1.9950000000000001</v>
      </c>
      <c r="S36" s="17"/>
      <c r="T36" s="76">
        <f>SUMIF(EMBIG_Div_Security!$D$4:$D$284,TEXT($D36,"general"),EMBIG_Div_Security!AE$4:AE$284)</f>
        <v>84.75</v>
      </c>
      <c r="U36" s="76">
        <f>SUMIF(EMBIG_Div_Security!$D$4:$D$284,TEXT($D36,"general"),EMBIG_Div_Security!AF$4:AF$284)</f>
        <v>86</v>
      </c>
      <c r="W36" s="17">
        <f t="shared" si="0"/>
        <v>0.2614591453226735</v>
      </c>
      <c r="X36" s="17">
        <f t="shared" si="1"/>
        <v>0.69565097323723446</v>
      </c>
      <c r="Y36" s="17">
        <f t="shared" si="2"/>
        <v>46.948919523107861</v>
      </c>
    </row>
    <row r="37" spans="1:25" x14ac:dyDescent="0.25">
      <c r="A37" t="s">
        <v>81</v>
      </c>
      <c r="C37" s="39">
        <v>40847</v>
      </c>
      <c r="D37" s="53" t="s">
        <v>82</v>
      </c>
      <c r="E37" s="17">
        <v>99.965153999999998</v>
      </c>
      <c r="F37" s="7">
        <v>2332293000</v>
      </c>
      <c r="G37" s="7">
        <v>1265268953</v>
      </c>
      <c r="H37" s="17">
        <v>0.46414499999999997</v>
      </c>
      <c r="I37" s="17">
        <v>14.209</v>
      </c>
      <c r="J37" s="17">
        <v>7.4269999999999996</v>
      </c>
      <c r="K37" s="17">
        <v>12.531000000000001</v>
      </c>
      <c r="L37" s="17">
        <v>12.531000000000001</v>
      </c>
      <c r="M37" s="17">
        <v>1018.3339999999999</v>
      </c>
      <c r="N37" s="17">
        <v>1041.4659999999999</v>
      </c>
      <c r="O37" s="17">
        <v>7.1189999999999998</v>
      </c>
      <c r="P37" s="17">
        <v>0</v>
      </c>
      <c r="Q37" s="17">
        <v>11.856</v>
      </c>
      <c r="R37" s="17">
        <v>25.027999999999999</v>
      </c>
      <c r="S37" s="17"/>
      <c r="T37" s="76">
        <f>SUMIF(EMBIG_Div_Security!$D$4:$D$284,TEXT($D37,"general"),EMBIG_Div_Security!AE$4:AE$284)</f>
        <v>54.25</v>
      </c>
      <c r="U37" s="76">
        <f>SUMIF(EMBIG_Div_Security!$D$4:$D$284,TEXT($D37,"general"),EMBIG_Div_Security!AF$4:AF$284)</f>
        <v>55.75</v>
      </c>
      <c r="W37" s="17">
        <f t="shared" si="0"/>
        <v>0.10219491987582187</v>
      </c>
      <c r="X37" s="17">
        <f t="shared" si="1"/>
        <v>0.7573712339930303</v>
      </c>
      <c r="Y37" s="17">
        <f t="shared" si="2"/>
        <v>88.218107813622453</v>
      </c>
    </row>
    <row r="38" spans="1:25" x14ac:dyDescent="0.25">
      <c r="A38" t="s">
        <v>83</v>
      </c>
      <c r="C38" s="39">
        <v>40847</v>
      </c>
      <c r="D38" s="53" t="s">
        <v>84</v>
      </c>
      <c r="E38" s="17">
        <v>143.82962499999999</v>
      </c>
      <c r="F38" s="7">
        <v>1250000000</v>
      </c>
      <c r="G38" s="7">
        <v>1276833338</v>
      </c>
      <c r="H38" s="17">
        <v>0.468387</v>
      </c>
      <c r="I38" s="17">
        <v>14.532</v>
      </c>
      <c r="J38" s="17">
        <v>7.2530000000000001</v>
      </c>
      <c r="K38" s="17">
        <v>7.7329999999999997</v>
      </c>
      <c r="L38" s="17">
        <v>7.7329999999999997</v>
      </c>
      <c r="M38" s="17">
        <v>536.83199999999999</v>
      </c>
      <c r="N38" s="17">
        <v>564.01700000000005</v>
      </c>
      <c r="O38" s="17">
        <v>6.9349999999999996</v>
      </c>
      <c r="P38" s="17">
        <v>2.1999999999999999E-2</v>
      </c>
      <c r="Q38" s="17">
        <v>4.0990000000000002</v>
      </c>
      <c r="R38" s="17">
        <v>7.6230000000000002</v>
      </c>
      <c r="S38" s="17"/>
      <c r="T38" s="76">
        <f>SUMIF(EMBIG_Div_Security!$D$4:$D$284,TEXT($D38,"general"),EMBIG_Div_Security!AE$4:AE$284)</f>
        <v>100.07988513222855</v>
      </c>
      <c r="U38" s="76">
        <f>SUMIF(EMBIG_Div_Security!$D$4:$D$284,TEXT($D38,"general"),EMBIG_Div_Security!AF$4:AF$284)</f>
        <v>102.07988513222855</v>
      </c>
      <c r="W38" s="17">
        <f t="shared" si="0"/>
        <v>0.10071285861421569</v>
      </c>
      <c r="X38" s="17">
        <f t="shared" si="1"/>
        <v>0.38844841544734859</v>
      </c>
      <c r="Y38" s="17">
        <f t="shared" si="2"/>
        <v>26.941680795446512</v>
      </c>
    </row>
    <row r="39" spans="1:25" x14ac:dyDescent="0.25">
      <c r="A39" t="s">
        <v>85</v>
      </c>
      <c r="C39" s="39">
        <v>40847</v>
      </c>
      <c r="D39" s="53" t="s">
        <v>86</v>
      </c>
      <c r="E39" s="17">
        <v>108.78634599999999</v>
      </c>
      <c r="F39" s="7">
        <v>750000000</v>
      </c>
      <c r="G39" s="7">
        <v>728502608</v>
      </c>
      <c r="H39" s="17">
        <v>0.26723999999999998</v>
      </c>
      <c r="I39" s="17">
        <v>4.0250000000000004</v>
      </c>
      <c r="J39" s="17">
        <v>3.613</v>
      </c>
      <c r="K39" s="17">
        <v>4.97</v>
      </c>
      <c r="L39" s="17">
        <v>4.97</v>
      </c>
      <c r="M39" s="17">
        <v>427.17700000000002</v>
      </c>
      <c r="N39" s="17">
        <v>430.50599999999997</v>
      </c>
      <c r="O39" s="17">
        <v>3.593</v>
      </c>
      <c r="P39" s="17">
        <v>1.0999999999999999E-2</v>
      </c>
      <c r="Q39" s="17">
        <v>3.8069999999999999</v>
      </c>
      <c r="R39" s="17">
        <v>8.7859999999999996</v>
      </c>
      <c r="S39" s="17"/>
      <c r="T39" s="76">
        <f>SUMIF(EMBIG_Div_Security!$D$4:$D$284,TEXT($D39,"general"),EMBIG_Div_Security!AE$4:AE$284)</f>
        <v>95.25</v>
      </c>
      <c r="U39" s="76">
        <f>SUMIF(EMBIG_Div_Security!$D$4:$D$284,TEXT($D39,"general"),EMBIG_Div_Security!AF$4:AF$284)</f>
        <v>96.25</v>
      </c>
      <c r="W39" s="17">
        <f t="shared" si="0"/>
        <v>0.4880855693439819</v>
      </c>
      <c r="X39" s="17">
        <f t="shared" si="1"/>
        <v>1.8067617991048852E-2</v>
      </c>
      <c r="Y39" s="17">
        <f t="shared" si="2"/>
        <v>11.732987231359226</v>
      </c>
    </row>
    <row r="40" spans="1:25" x14ac:dyDescent="0.25">
      <c r="A40" t="s">
        <v>87</v>
      </c>
      <c r="C40" s="39">
        <v>40847</v>
      </c>
      <c r="D40" s="53" t="s">
        <v>88</v>
      </c>
      <c r="E40" s="17">
        <v>144.75533100000001</v>
      </c>
      <c r="F40" s="7">
        <v>8575249999</v>
      </c>
      <c r="G40" s="7">
        <v>9770341667</v>
      </c>
      <c r="H40" s="17">
        <v>3.584104</v>
      </c>
      <c r="I40" s="17">
        <v>5.7939999999999996</v>
      </c>
      <c r="J40" s="17">
        <v>4.5659999999999998</v>
      </c>
      <c r="K40" s="17">
        <v>4.984</v>
      </c>
      <c r="L40" s="17">
        <v>4.984</v>
      </c>
      <c r="M40" s="17">
        <v>376.67599999999999</v>
      </c>
      <c r="N40" s="17">
        <v>362.01400000000001</v>
      </c>
      <c r="O40" s="17">
        <v>4.4729999999999999</v>
      </c>
      <c r="P40" s="17">
        <v>-9.5000000000000001E-2</v>
      </c>
      <c r="Q40" s="17">
        <v>7.4660000000000002</v>
      </c>
      <c r="R40" s="17">
        <v>7.98</v>
      </c>
      <c r="S40" s="17"/>
      <c r="T40" s="76">
        <f>SUMIF(EMBIG_Div_Security!$D$4:$D$284,TEXT($D40,"general"),EMBIG_Div_Security!AE$4:AE$284)</f>
        <v>111.942683835423</v>
      </c>
      <c r="U40" s="76">
        <f>SUMIF(EMBIG_Div_Security!$D$4:$D$284,TEXT($D40,"general"),EMBIG_Div_Security!AF$4:AF$284)</f>
        <v>113.01532178629841</v>
      </c>
      <c r="W40" s="17">
        <f t="shared" si="0"/>
        <v>0.52850131321896543</v>
      </c>
      <c r="X40" s="17">
        <f t="shared" si="1"/>
        <v>0.24299715269573274</v>
      </c>
      <c r="Y40" s="17">
        <f t="shared" si="2"/>
        <v>18.785107287346545</v>
      </c>
    </row>
    <row r="41" spans="1:25" x14ac:dyDescent="0.25">
      <c r="A41" t="s">
        <v>89</v>
      </c>
      <c r="C41" s="39">
        <v>40847</v>
      </c>
      <c r="D41" s="53" t="s">
        <v>90</v>
      </c>
      <c r="E41" s="17">
        <v>373.96773100000001</v>
      </c>
      <c r="F41" s="7">
        <v>9767587500</v>
      </c>
      <c r="G41" s="7">
        <v>10757064402</v>
      </c>
      <c r="H41" s="17">
        <v>3.9460679999999999</v>
      </c>
      <c r="I41" s="17">
        <v>6.1239999999999997</v>
      </c>
      <c r="J41" s="17">
        <v>4.798</v>
      </c>
      <c r="K41" s="17">
        <v>5.2039999999999997</v>
      </c>
      <c r="L41" s="17">
        <v>5.2039999999999997</v>
      </c>
      <c r="M41" s="17">
        <v>389.02</v>
      </c>
      <c r="N41" s="17">
        <v>372.83699999999999</v>
      </c>
      <c r="O41" s="17">
        <v>4.6890000000000001</v>
      </c>
      <c r="P41" s="17">
        <v>1.7999999999999999E-2</v>
      </c>
      <c r="Q41" s="17">
        <v>0.84099999999999997</v>
      </c>
      <c r="R41" s="17">
        <v>5.1230000000000002</v>
      </c>
      <c r="S41" s="17"/>
      <c r="T41" s="76">
        <f>SUMIF(EMBIG_Div_Security!$D$4:$D$284,TEXT($D41,"general"),EMBIG_Div_Security!AE$4:AE$284)</f>
        <v>108.98259404004457</v>
      </c>
      <c r="U41" s="76">
        <f>SUMIF(EMBIG_Div_Security!$D$4:$D$284,TEXT($D41,"general"),EMBIG_Div_Security!AF$4:AF$284)</f>
        <v>109.52661309407762</v>
      </c>
      <c r="W41" s="17">
        <f t="shared" si="0"/>
        <v>0.61144081408810935</v>
      </c>
      <c r="X41" s="17">
        <f t="shared" si="1"/>
        <v>0.27934728617556343</v>
      </c>
      <c r="Y41" s="17">
        <f t="shared" si="2"/>
        <v>21.300575432972678</v>
      </c>
    </row>
    <row r="42" spans="1:25" x14ac:dyDescent="0.25">
      <c r="A42" t="s">
        <v>91</v>
      </c>
      <c r="C42" s="39">
        <v>40847</v>
      </c>
      <c r="D42" s="53" t="s">
        <v>92</v>
      </c>
      <c r="E42" s="17">
        <v>126.030818</v>
      </c>
      <c r="F42" s="7">
        <v>5000000000</v>
      </c>
      <c r="G42" s="7">
        <v>5501719613</v>
      </c>
      <c r="H42" s="17">
        <v>2.018224</v>
      </c>
      <c r="I42" s="17">
        <v>6.5510000000000002</v>
      </c>
      <c r="J42" s="17">
        <v>5.1950000000000003</v>
      </c>
      <c r="K42" s="17">
        <v>5.0149999999999997</v>
      </c>
      <c r="L42" s="17">
        <v>5.0149999999999997</v>
      </c>
      <c r="M42" s="17">
        <v>357.52199999999999</v>
      </c>
      <c r="N42" s="17">
        <v>355.07499999999999</v>
      </c>
      <c r="O42" s="17">
        <v>5.0789999999999997</v>
      </c>
      <c r="P42" s="17">
        <v>-0.60399999999999998</v>
      </c>
      <c r="Q42" s="17">
        <v>3.839</v>
      </c>
      <c r="R42" s="17">
        <v>5.99</v>
      </c>
      <c r="S42" s="17"/>
      <c r="T42" s="76">
        <f>SUMIF(EMBIG_Div_Security!$D$4:$D$284,TEXT($D42,"general"),EMBIG_Div_Security!AE$4:AE$284)</f>
        <v>107.65544690278415</v>
      </c>
      <c r="U42" s="76">
        <f>SUMIF(EMBIG_Div_Security!$D$4:$D$284,TEXT($D42,"general"),EMBIG_Div_Security!AF$4:AF$284)</f>
        <v>109.24071735444151</v>
      </c>
      <c r="W42" s="17">
        <f t="shared" si="0"/>
        <v>0.33859802280504187</v>
      </c>
      <c r="X42" s="17">
        <f t="shared" si="1"/>
        <v>0.13768378319539618</v>
      </c>
      <c r="Y42" s="17">
        <f t="shared" si="2"/>
        <v>10.375215155693617</v>
      </c>
    </row>
    <row r="43" spans="1:25" x14ac:dyDescent="0.25">
      <c r="A43" t="s">
        <v>93</v>
      </c>
      <c r="C43" s="39">
        <v>40847</v>
      </c>
      <c r="D43" s="53" t="s">
        <v>94</v>
      </c>
      <c r="E43" s="17">
        <v>323.340867</v>
      </c>
      <c r="F43" s="7">
        <v>5843750000</v>
      </c>
      <c r="G43" s="7">
        <v>7037435585</v>
      </c>
      <c r="H43" s="17">
        <v>2.5815779999999999</v>
      </c>
      <c r="I43" s="17">
        <v>7.85</v>
      </c>
      <c r="J43" s="17">
        <v>6.3810000000000002</v>
      </c>
      <c r="K43" s="17">
        <v>3.2679999999999998</v>
      </c>
      <c r="L43" s="17">
        <v>3.2679999999999998</v>
      </c>
      <c r="M43" s="17">
        <v>153.66</v>
      </c>
      <c r="N43" s="17">
        <v>154.77600000000001</v>
      </c>
      <c r="O43" s="17">
        <v>6.1989999999999998</v>
      </c>
      <c r="P43" s="17">
        <v>0.80800000000000005</v>
      </c>
      <c r="Q43" s="17">
        <v>4.3070000000000004</v>
      </c>
      <c r="R43" s="17">
        <v>8.2439999999999998</v>
      </c>
      <c r="S43" s="17"/>
      <c r="T43" s="76">
        <f>SUMIF(EMBIG_Div_Security!$D$4:$D$284,TEXT($D43,"general"),EMBIG_Div_Security!AE$4:AE$284)</f>
        <v>119.82245884935176</v>
      </c>
      <c r="U43" s="76">
        <f>SUMIF(EMBIG_Div_Security!$D$4:$D$284,TEXT($D43,"general"),EMBIG_Div_Security!AF$4:AF$284)</f>
        <v>121.57550806440705</v>
      </c>
      <c r="W43" s="17">
        <f t="shared" si="0"/>
        <v>0.48835564185914621</v>
      </c>
      <c r="X43" s="17">
        <f t="shared" si="1"/>
        <v>1.4354348957971643</v>
      </c>
      <c r="Y43" s="17">
        <f t="shared" si="2"/>
        <v>40.616209568923637</v>
      </c>
    </row>
    <row r="44" spans="1:25" x14ac:dyDescent="0.25">
      <c r="A44" t="s">
        <v>95</v>
      </c>
      <c r="C44" s="39">
        <v>40847</v>
      </c>
      <c r="D44" s="53" t="s">
        <v>96</v>
      </c>
      <c r="E44" s="17">
        <v>523.74099799999999</v>
      </c>
      <c r="F44" s="7">
        <v>14750000001</v>
      </c>
      <c r="G44" s="7">
        <v>17364107072</v>
      </c>
      <c r="H44" s="17">
        <v>6.3697629999999998</v>
      </c>
      <c r="I44" s="17">
        <v>16.609000000000002</v>
      </c>
      <c r="J44" s="17">
        <v>8.4700000000000006</v>
      </c>
      <c r="K44" s="17">
        <v>4.59</v>
      </c>
      <c r="L44" s="17">
        <v>4.59</v>
      </c>
      <c r="M44" s="17">
        <v>212.01900000000001</v>
      </c>
      <c r="N44" s="17">
        <v>221.197</v>
      </c>
      <c r="O44" s="17">
        <v>8.0429999999999993</v>
      </c>
      <c r="P44" s="17">
        <v>7.5999999999999998E-2</v>
      </c>
      <c r="Q44" s="17">
        <v>2.5920000000000001</v>
      </c>
      <c r="R44" s="17">
        <v>11.329000000000001</v>
      </c>
      <c r="S44" s="17"/>
      <c r="T44" s="76">
        <f>SUMIF(EMBIG_Div_Security!$D$4:$D$284,TEXT($D44,"general"),EMBIG_Div_Security!AE$4:AE$284)</f>
        <v>117.63338783434182</v>
      </c>
      <c r="U44" s="76">
        <f>SUMIF(EMBIG_Div_Security!$D$4:$D$284,TEXT($D44,"general"),EMBIG_Div_Security!AF$4:AF$284)</f>
        <v>118.51517340551723</v>
      </c>
      <c r="W44" s="17">
        <f t="shared" si="0"/>
        <v>1.9777602084842563</v>
      </c>
      <c r="X44" s="17">
        <f t="shared" si="1"/>
        <v>0.39772101645759661</v>
      </c>
      <c r="Y44" s="17">
        <f t="shared" si="2"/>
        <v>20.399064453191318</v>
      </c>
    </row>
    <row r="45" spans="1:25" x14ac:dyDescent="0.25">
      <c r="A45" t="s">
        <v>97</v>
      </c>
      <c r="C45" s="39">
        <v>40847</v>
      </c>
      <c r="D45" s="53" t="s">
        <v>98</v>
      </c>
      <c r="E45" s="17">
        <v>111.69318199999999</v>
      </c>
      <c r="F45" s="7">
        <v>500000000</v>
      </c>
      <c r="G45" s="7">
        <v>533281250</v>
      </c>
      <c r="H45" s="17">
        <v>0.19562599999999999</v>
      </c>
      <c r="I45" s="17">
        <v>9.2360000000000007</v>
      </c>
      <c r="J45" s="17">
        <v>6.9379999999999997</v>
      </c>
      <c r="K45" s="17">
        <v>5.8449999999999998</v>
      </c>
      <c r="L45" s="17">
        <v>5.8449999999999998</v>
      </c>
      <c r="M45" s="17">
        <v>385.43599999999998</v>
      </c>
      <c r="N45" s="17">
        <v>398.26100000000002</v>
      </c>
      <c r="O45" s="17">
        <v>6.7229999999999999</v>
      </c>
      <c r="P45" s="17">
        <v>0.371</v>
      </c>
      <c r="Q45" s="17">
        <v>8</v>
      </c>
      <c r="R45" s="17">
        <v>11.693</v>
      </c>
      <c r="S45" s="17"/>
      <c r="T45" s="76">
        <f>SUMIF(EMBIG_Div_Security!$D$4:$D$284,TEXT($D45,"general"),EMBIG_Div_Security!AE$4:AE$284)</f>
        <v>104.875</v>
      </c>
      <c r="U45" s="76">
        <f>SUMIF(EMBIG_Div_Security!$D$4:$D$284,TEXT($D45,"general"),EMBIG_Div_Security!AF$4:AF$284)</f>
        <v>106.375</v>
      </c>
      <c r="W45" s="17">
        <f t="shared" si="0"/>
        <v>4.0236819227795449E-2</v>
      </c>
      <c r="X45" s="17">
        <f t="shared" si="1"/>
        <v>1.555443461933809E-2</v>
      </c>
      <c r="Y45" s="17">
        <f t="shared" si="2"/>
        <v>1.127983265663391</v>
      </c>
    </row>
    <row r="46" spans="1:25" x14ac:dyDescent="0.25">
      <c r="A46" t="s">
        <v>99</v>
      </c>
      <c r="C46" s="39">
        <v>40847</v>
      </c>
      <c r="D46" s="53" t="s">
        <v>100</v>
      </c>
      <c r="E46" s="17">
        <v>151.65150299999999</v>
      </c>
      <c r="F46" s="7">
        <v>1250000000</v>
      </c>
      <c r="G46" s="7">
        <v>985036460</v>
      </c>
      <c r="H46" s="17">
        <v>0.361346</v>
      </c>
      <c r="I46" s="17">
        <v>5.1100000000000003</v>
      </c>
      <c r="J46" s="17">
        <v>3.9529999999999998</v>
      </c>
      <c r="K46" s="17">
        <v>12.435</v>
      </c>
      <c r="L46" s="17">
        <v>12.435</v>
      </c>
      <c r="M46" s="17">
        <v>1141.992</v>
      </c>
      <c r="N46" s="17">
        <v>1148.5830000000001</v>
      </c>
      <c r="O46" s="17">
        <v>3.911</v>
      </c>
      <c r="P46" s="17">
        <v>2.5000000000000001E-2</v>
      </c>
      <c r="Q46" s="17">
        <v>0.437</v>
      </c>
      <c r="R46" s="17">
        <v>-7.2050000000000001</v>
      </c>
      <c r="S46" s="17"/>
      <c r="T46" s="76">
        <f>SUMIF(EMBIG_Div_Security!$D$4:$D$284,TEXT($D46,"general"),EMBIG_Div_Security!AE$4:AE$284)</f>
        <v>76.809901545420971</v>
      </c>
      <c r="U46" s="76">
        <f>SUMIF(EMBIG_Div_Security!$D$4:$D$284,TEXT($D46,"general"),EMBIG_Div_Security!AF$4:AF$284)</f>
        <v>79.809901545420956</v>
      </c>
      <c r="W46" s="17">
        <f t="shared" si="0"/>
        <v>0.72206453588091901</v>
      </c>
      <c r="X46" s="17">
        <f t="shared" si="1"/>
        <v>0.58511107673189122</v>
      </c>
      <c r="Y46" s="17">
        <f t="shared" si="2"/>
        <v>75.743344927257624</v>
      </c>
    </row>
    <row r="47" spans="1:25" x14ac:dyDescent="0.25">
      <c r="A47" t="s">
        <v>101</v>
      </c>
      <c r="C47" s="39">
        <v>40847</v>
      </c>
      <c r="D47" s="53" t="s">
        <v>102</v>
      </c>
      <c r="E47" s="17">
        <v>998.21006</v>
      </c>
      <c r="F47" s="7">
        <v>6642818750</v>
      </c>
      <c r="G47" s="7">
        <v>8612588967</v>
      </c>
      <c r="H47" s="17">
        <v>3.1594000000000002</v>
      </c>
      <c r="I47" s="17">
        <v>14.346</v>
      </c>
      <c r="J47" s="17">
        <v>9.2620000000000005</v>
      </c>
      <c r="K47" s="17">
        <v>4.4119999999999999</v>
      </c>
      <c r="L47" s="17">
        <v>4.4119999999999999</v>
      </c>
      <c r="M47" s="17">
        <v>205.70500000000001</v>
      </c>
      <c r="N47" s="17">
        <v>201.142</v>
      </c>
      <c r="O47" s="17">
        <v>8.7789999999999999</v>
      </c>
      <c r="P47" s="17">
        <v>1.6E-2</v>
      </c>
      <c r="Q47" s="17">
        <v>3.1349999999999998</v>
      </c>
      <c r="R47" s="17">
        <v>12.154999999999999</v>
      </c>
      <c r="S47" s="17"/>
      <c r="T47" s="76">
        <f>SUMIF(EMBIG_Div_Security!$D$4:$D$284,TEXT($D47,"general"),EMBIG_Div_Security!AE$4:AE$284)</f>
        <v>129.96008547831588</v>
      </c>
      <c r="U47" s="76">
        <f>SUMIF(EMBIG_Div_Security!$D$4:$D$284,TEXT($D47,"general"),EMBIG_Div_Security!AF$4:AF$284)</f>
        <v>131.40920358423259</v>
      </c>
      <c r="W47" s="17">
        <f t="shared" si="0"/>
        <v>1.0726950268429289</v>
      </c>
      <c r="X47" s="17">
        <f t="shared" si="1"/>
        <v>0.18961933750331103</v>
      </c>
      <c r="Y47" s="17">
        <f t="shared" si="2"/>
        <v>9.2005766488546019</v>
      </c>
    </row>
    <row r="48" spans="1:25" x14ac:dyDescent="0.25">
      <c r="A48" t="s">
        <v>103</v>
      </c>
      <c r="C48" s="39">
        <v>40847</v>
      </c>
      <c r="D48" s="53" t="s">
        <v>104</v>
      </c>
      <c r="E48" s="17">
        <v>936.11514199999999</v>
      </c>
      <c r="F48" s="7">
        <v>7459202001</v>
      </c>
      <c r="G48" s="7">
        <v>9943551483</v>
      </c>
      <c r="H48" s="17">
        <v>3.647643</v>
      </c>
      <c r="I48" s="17">
        <v>19.172999999999998</v>
      </c>
      <c r="J48" s="17">
        <v>10.778</v>
      </c>
      <c r="K48" s="17">
        <v>4.6139999999999999</v>
      </c>
      <c r="L48" s="17">
        <v>4.6139999999999999</v>
      </c>
      <c r="M48" s="17">
        <v>201.357</v>
      </c>
      <c r="N48" s="17">
        <v>204.626</v>
      </c>
      <c r="O48" s="17">
        <v>10.148999999999999</v>
      </c>
      <c r="P48" s="17">
        <v>0.24099999999999999</v>
      </c>
      <c r="Q48" s="17">
        <v>5.8869999999999996</v>
      </c>
      <c r="R48" s="17">
        <v>14.3</v>
      </c>
      <c r="S48" s="17"/>
      <c r="T48" s="76">
        <f>SUMIF(EMBIG_Div_Security!$D$4:$D$284,TEXT($D48,"general"),EMBIG_Div_Security!AE$4:AE$284)</f>
        <v>132.61886056238308</v>
      </c>
      <c r="U48" s="76">
        <f>SUMIF(EMBIG_Div_Security!$D$4:$D$284,TEXT($D48,"general"),EMBIG_Div_Security!AF$4:AF$284)</f>
        <v>133.61886056238308</v>
      </c>
      <c r="W48" s="17">
        <f t="shared" si="0"/>
        <v>6.5026662238245692</v>
      </c>
      <c r="X48" s="17">
        <f t="shared" si="1"/>
        <v>0.22894571353837909</v>
      </c>
      <c r="Y48" s="17">
        <f t="shared" si="2"/>
        <v>10.806396640485527</v>
      </c>
    </row>
    <row r="49" spans="1:25" x14ac:dyDescent="0.25">
      <c r="A49" t="s">
        <v>105</v>
      </c>
      <c r="C49" s="39">
        <v>40847</v>
      </c>
      <c r="D49" s="53" t="s">
        <v>106</v>
      </c>
      <c r="E49" s="17">
        <v>619.90270299999997</v>
      </c>
      <c r="F49" s="7">
        <v>13492668499</v>
      </c>
      <c r="G49" s="7">
        <v>17029361598</v>
      </c>
      <c r="H49" s="17">
        <v>6.2469669999999997</v>
      </c>
      <c r="I49" s="17">
        <v>12.675000000000001</v>
      </c>
      <c r="J49" s="17">
        <v>8.4120000000000008</v>
      </c>
      <c r="K49" s="17">
        <v>4.5519999999999996</v>
      </c>
      <c r="L49" s="17">
        <v>4.5519999999999996</v>
      </c>
      <c r="M49" s="17">
        <v>228.23400000000001</v>
      </c>
      <c r="N49" s="17">
        <v>227.38</v>
      </c>
      <c r="O49" s="17">
        <v>8.0120000000000005</v>
      </c>
      <c r="P49" s="17">
        <v>-5.1999999999999998E-2</v>
      </c>
      <c r="Q49" s="17">
        <v>3.774</v>
      </c>
      <c r="R49" s="17">
        <v>9.5429999999999993</v>
      </c>
      <c r="S49" s="17"/>
      <c r="T49" s="76">
        <f>SUMIF(EMBIG_Div_Security!$D$4:$D$284,TEXT($D49,"general"),EMBIG_Div_Security!AE$4:AE$284)</f>
        <v>126.31730802220426</v>
      </c>
      <c r="U49" s="76">
        <f>SUMIF(EMBIG_Div_Security!$D$4:$D$284,TEXT($D49,"general"),EMBIG_Div_Security!AF$4:AF$284)</f>
        <v>127.11345483901785</v>
      </c>
      <c r="W49" s="17">
        <f t="shared" si="0"/>
        <v>1.9263509023587981</v>
      </c>
      <c r="X49" s="17">
        <f t="shared" si="1"/>
        <v>0.38682454258861221</v>
      </c>
      <c r="Y49" s="17">
        <f t="shared" si="2"/>
        <v>20.565022638730511</v>
      </c>
    </row>
    <row r="50" spans="1:25" x14ac:dyDescent="0.25">
      <c r="A50" t="s">
        <v>107</v>
      </c>
      <c r="C50" s="39">
        <v>40847</v>
      </c>
      <c r="D50" s="53" t="s">
        <v>108</v>
      </c>
      <c r="E50" s="17">
        <v>466.334678</v>
      </c>
      <c r="F50" s="7">
        <v>8000000000</v>
      </c>
      <c r="G50" s="7">
        <v>8636955235</v>
      </c>
      <c r="H50" s="17">
        <v>3.1683379999999999</v>
      </c>
      <c r="I50" s="17">
        <v>6.4</v>
      </c>
      <c r="J50" s="17">
        <v>5.31</v>
      </c>
      <c r="K50" s="17">
        <v>4.1900000000000004</v>
      </c>
      <c r="L50" s="17">
        <v>4.1900000000000004</v>
      </c>
      <c r="M50" s="17">
        <v>279.44900000000001</v>
      </c>
      <c r="N50" s="17">
        <v>270.44600000000003</v>
      </c>
      <c r="O50" s="17">
        <v>5.1920000000000002</v>
      </c>
      <c r="P50" s="17">
        <v>-0.104</v>
      </c>
      <c r="Q50" s="17">
        <v>2.798</v>
      </c>
      <c r="R50" s="17">
        <v>3.9380000000000002</v>
      </c>
      <c r="S50" s="17"/>
      <c r="T50" s="76">
        <f>SUMIF(EMBIG_Div_Security!$D$4:$D$284,TEXT($D50,"general"),EMBIG_Div_Security!AE$4:AE$284)</f>
        <v>106.9963283183105</v>
      </c>
      <c r="U50" s="76">
        <f>SUMIF(EMBIG_Div_Security!$D$4:$D$284,TEXT($D50,"general"),EMBIG_Div_Security!AF$4:AF$284)</f>
        <v>107.7437250426043</v>
      </c>
      <c r="W50" s="17">
        <f t="shared" si="0"/>
        <v>0.5433198876289872</v>
      </c>
      <c r="X50" s="17">
        <f t="shared" si="1"/>
        <v>0.18058766874783178</v>
      </c>
      <c r="Y50" s="17">
        <f t="shared" si="2"/>
        <v>12.405657693353751</v>
      </c>
    </row>
    <row r="51" spans="1:25" x14ac:dyDescent="0.25">
      <c r="A51" t="s">
        <v>109</v>
      </c>
      <c r="C51" s="39">
        <v>40847</v>
      </c>
      <c r="D51" s="53" t="s">
        <v>110</v>
      </c>
      <c r="E51" s="17">
        <v>810.84745399999997</v>
      </c>
      <c r="F51" s="7">
        <v>14750000001</v>
      </c>
      <c r="G51" s="7">
        <v>17623964252</v>
      </c>
      <c r="H51" s="17">
        <v>6.4650879999999997</v>
      </c>
      <c r="I51" s="17">
        <v>7.4459999999999997</v>
      </c>
      <c r="J51" s="17">
        <v>5.7329999999999997</v>
      </c>
      <c r="K51" s="17">
        <v>4.7119999999999997</v>
      </c>
      <c r="L51" s="17">
        <v>4.7119999999999997</v>
      </c>
      <c r="M51" s="17">
        <v>305.64100000000002</v>
      </c>
      <c r="N51" s="17">
        <v>300.27699999999999</v>
      </c>
      <c r="O51" s="17">
        <v>5.5659999999999998</v>
      </c>
      <c r="P51" s="17">
        <v>-4.8000000000000001E-2</v>
      </c>
      <c r="Q51" s="17">
        <v>5.8710000000000004</v>
      </c>
      <c r="R51" s="17">
        <v>6.8140000000000001</v>
      </c>
      <c r="S51" s="17"/>
      <c r="T51" s="76">
        <f>SUMIF(EMBIG_Div_Security!$D$4:$D$284,TEXT($D51,"general"),EMBIG_Div_Security!AE$4:AE$284)</f>
        <v>120.91158729322818</v>
      </c>
      <c r="U51" s="76">
        <f>SUMIF(EMBIG_Div_Security!$D$4:$D$284,TEXT($D51,"general"),EMBIG_Div_Security!AF$4:AF$284)</f>
        <v>121.5903978077191</v>
      </c>
      <c r="W51" s="17">
        <f t="shared" si="0"/>
        <v>1.1969774188349971</v>
      </c>
      <c r="X51" s="17">
        <f t="shared" si="1"/>
        <v>0.41440242198438498</v>
      </c>
      <c r="Y51" s="17">
        <f t="shared" si="2"/>
        <v>28.106336014318575</v>
      </c>
    </row>
    <row r="52" spans="1:25" x14ac:dyDescent="0.25">
      <c r="A52" t="s">
        <v>111</v>
      </c>
      <c r="C52" s="39">
        <v>40847</v>
      </c>
      <c r="D52" s="53" t="s">
        <v>112</v>
      </c>
      <c r="E52" s="17">
        <v>161.99085500000001</v>
      </c>
      <c r="F52" s="7">
        <v>1936000144</v>
      </c>
      <c r="G52" s="7">
        <v>1962709758</v>
      </c>
      <c r="H52" s="17">
        <v>0.71999100000000005</v>
      </c>
      <c r="I52" s="17">
        <v>8.3759999999999994</v>
      </c>
      <c r="J52" s="17">
        <v>6.1710000000000003</v>
      </c>
      <c r="K52" s="17">
        <v>6.7240000000000002</v>
      </c>
      <c r="L52" s="17">
        <v>6.7240000000000002</v>
      </c>
      <c r="M52" s="17">
        <v>489.46800000000002</v>
      </c>
      <c r="N52" s="17">
        <v>492.66699999999997</v>
      </c>
      <c r="O52" s="17">
        <v>5.984</v>
      </c>
      <c r="P52" s="17">
        <v>0.14499999999999999</v>
      </c>
      <c r="Q52" s="17">
        <v>6.4429999999999996</v>
      </c>
      <c r="R52" s="17">
        <v>6.4669999999999996</v>
      </c>
      <c r="S52" s="17"/>
      <c r="T52" s="76">
        <f>SUMIF(EMBIG_Div_Security!$D$4:$D$284,TEXT($D52,"general"),EMBIG_Div_Security!AE$4:AE$284)</f>
        <v>101.03574543585894</v>
      </c>
      <c r="U52" s="76">
        <f>SUMIF(EMBIG_Div_Security!$D$4:$D$284,TEXT($D52,"general"),EMBIG_Div_Security!AF$4:AF$284)</f>
        <v>102.03574543585894</v>
      </c>
      <c r="W52" s="17">
        <f t="shared" si="0"/>
        <v>0.13171785816812392</v>
      </c>
      <c r="X52" s="17">
        <f t="shared" si="1"/>
        <v>0.51920027871118701</v>
      </c>
      <c r="Y52" s="17">
        <f t="shared" si="2"/>
        <v>36.174941159512386</v>
      </c>
    </row>
    <row r="53" spans="1:25" x14ac:dyDescent="0.25">
      <c r="A53" t="s">
        <v>113</v>
      </c>
      <c r="C53" s="39">
        <v>40847</v>
      </c>
      <c r="D53" s="53" t="s">
        <v>114</v>
      </c>
      <c r="E53" s="17">
        <v>101.204595</v>
      </c>
      <c r="F53" s="7">
        <v>500000000</v>
      </c>
      <c r="G53" s="7">
        <v>533784720</v>
      </c>
      <c r="H53" s="17">
        <v>0.19581100000000001</v>
      </c>
      <c r="I53" s="17">
        <v>9.5280000000000005</v>
      </c>
      <c r="J53" s="17">
        <v>6.327</v>
      </c>
      <c r="K53" s="17">
        <v>8.1189999999999998</v>
      </c>
      <c r="L53" s="17">
        <v>8.1189999999999998</v>
      </c>
      <c r="M53" s="17">
        <v>607.36599999999999</v>
      </c>
      <c r="N53" s="17">
        <v>628.81500000000005</v>
      </c>
      <c r="O53" s="17">
        <v>6.1360000000000001</v>
      </c>
      <c r="P53" s="17">
        <v>-0.32700000000000001</v>
      </c>
      <c r="Q53" s="17">
        <v>5.7510000000000003</v>
      </c>
      <c r="R53" s="17">
        <v>1.2050000000000001</v>
      </c>
      <c r="S53" s="17"/>
      <c r="T53" s="76">
        <f>SUMIF(EMBIG_Div_Security!$D$4:$D$284,TEXT($D53,"general"),EMBIG_Div_Security!AE$4:AE$284)</f>
        <v>102.625</v>
      </c>
      <c r="U53" s="76">
        <f>SUMIF(EMBIG_Div_Security!$D$4:$D$284,TEXT($D53,"general"),EMBIG_Div_Security!AF$4:AF$284)</f>
        <v>104.125</v>
      </c>
      <c r="W53" s="17">
        <f t="shared" si="0"/>
        <v>3.6727976691283679E-2</v>
      </c>
      <c r="X53" s="17">
        <f t="shared" si="1"/>
        <v>0.44076047607221519</v>
      </c>
      <c r="Y53" s="17">
        <f t="shared" si="2"/>
        <v>36.5815614135877</v>
      </c>
    </row>
    <row r="54" spans="1:25" x14ac:dyDescent="0.25">
      <c r="A54" t="s">
        <v>115</v>
      </c>
      <c r="C54" s="39">
        <v>40847</v>
      </c>
      <c r="D54" s="53" t="s">
        <v>116</v>
      </c>
      <c r="E54" s="17">
        <v>529.53679999999997</v>
      </c>
      <c r="F54" s="7">
        <v>8187499999</v>
      </c>
      <c r="G54" s="7">
        <v>9336971601</v>
      </c>
      <c r="H54" s="17">
        <v>3.4251290000000001</v>
      </c>
      <c r="I54" s="17">
        <v>9.3360000000000003</v>
      </c>
      <c r="J54" s="17">
        <v>6.8289999999999997</v>
      </c>
      <c r="K54" s="17">
        <v>4.1989999999999998</v>
      </c>
      <c r="L54" s="17">
        <v>4.1989999999999998</v>
      </c>
      <c r="M54" s="17">
        <v>218.959</v>
      </c>
      <c r="N54" s="17">
        <v>227.79400000000001</v>
      </c>
      <c r="O54" s="17">
        <v>6.5890000000000004</v>
      </c>
      <c r="P54" s="17">
        <v>-0.29899999999999999</v>
      </c>
      <c r="Q54" s="17">
        <v>2.6459999999999999</v>
      </c>
      <c r="R54" s="17">
        <v>8.4420000000000002</v>
      </c>
      <c r="S54" s="17"/>
      <c r="T54" s="76">
        <f>SUMIF(EMBIG_Div_Security!$D$4:$D$284,TEXT($D54,"general"),EMBIG_Div_Security!AE$4:AE$284)</f>
        <v>112.48441954207718</v>
      </c>
      <c r="U54" s="76">
        <f>SUMIF(EMBIG_Div_Security!$D$4:$D$284,TEXT($D54,"general"),EMBIG_Div_Security!AF$4:AF$284)</f>
        <v>113.21579376959558</v>
      </c>
      <c r="W54" s="17">
        <f t="shared" si="0"/>
        <v>0.69341971100442013</v>
      </c>
      <c r="X54" s="17">
        <f t="shared" si="1"/>
        <v>0.19564344994250013</v>
      </c>
      <c r="Y54" s="17">
        <f t="shared" si="2"/>
        <v>11.296057154694349</v>
      </c>
    </row>
    <row r="55" spans="1:25" x14ac:dyDescent="0.25">
      <c r="A55" t="s">
        <v>117</v>
      </c>
      <c r="C55" s="39">
        <v>40847</v>
      </c>
      <c r="D55" s="53" t="s">
        <v>118</v>
      </c>
      <c r="E55" s="17">
        <v>162.12553199999999</v>
      </c>
      <c r="F55" s="7">
        <v>2500000000</v>
      </c>
      <c r="G55" s="7">
        <v>2615831945</v>
      </c>
      <c r="H55" s="17">
        <v>0.95957899999999996</v>
      </c>
      <c r="I55" s="17">
        <v>8.1050000000000004</v>
      </c>
      <c r="J55" s="17">
        <v>6.2240000000000002</v>
      </c>
      <c r="K55" s="17">
        <v>5.6349999999999998</v>
      </c>
      <c r="L55" s="17">
        <v>5.6349999999999998</v>
      </c>
      <c r="M55" s="17">
        <v>385.55399999999997</v>
      </c>
      <c r="N55" s="17">
        <v>388.46899999999999</v>
      </c>
      <c r="O55" s="17">
        <v>6.0460000000000003</v>
      </c>
      <c r="P55" s="17">
        <v>0.69099999999999995</v>
      </c>
      <c r="Q55" s="17">
        <v>5.4989999999999997</v>
      </c>
      <c r="R55" s="17">
        <v>6.4</v>
      </c>
      <c r="S55" s="17"/>
      <c r="T55" s="76">
        <f>SUMIF(EMBIG_Div_Security!$D$4:$D$284,TEXT($D55,"general"),EMBIG_Div_Security!AE$4:AE$284)</f>
        <v>103.41621278684627</v>
      </c>
      <c r="U55" s="76">
        <f>SUMIF(EMBIG_Div_Security!$D$4:$D$284,TEXT($D55,"general"),EMBIG_Div_Security!AF$4:AF$284)</f>
        <v>104.61349241273601</v>
      </c>
      <c r="W55" s="17">
        <f t="shared" si="0"/>
        <v>0.17705673655620807</v>
      </c>
      <c r="X55" s="17">
        <f t="shared" si="1"/>
        <v>7.3555840011815199E-2</v>
      </c>
      <c r="Y55" s="17">
        <f t="shared" si="2"/>
        <v>5.3969049487830274</v>
      </c>
    </row>
    <row r="56" spans="1:25" x14ac:dyDescent="0.25">
      <c r="A56" t="s">
        <v>119</v>
      </c>
      <c r="C56" s="39">
        <v>40847</v>
      </c>
      <c r="D56" s="53" t="s">
        <v>120</v>
      </c>
      <c r="E56" s="17">
        <v>553.89548000000002</v>
      </c>
      <c r="F56" s="7">
        <v>14500000000</v>
      </c>
      <c r="G56" s="7">
        <v>17082597954</v>
      </c>
      <c r="H56" s="17">
        <v>6.2664960000000001</v>
      </c>
      <c r="I56" s="17">
        <v>12.138999999999999</v>
      </c>
      <c r="J56" s="17">
        <v>7.4050000000000002</v>
      </c>
      <c r="K56" s="17">
        <v>5.2610000000000001</v>
      </c>
      <c r="L56" s="17">
        <v>5.2610000000000001</v>
      </c>
      <c r="M56" s="17">
        <v>301.79700000000003</v>
      </c>
      <c r="N56" s="17">
        <v>307.30599999999998</v>
      </c>
      <c r="O56" s="17">
        <v>7.0659999999999998</v>
      </c>
      <c r="P56" s="17">
        <v>-0.08</v>
      </c>
      <c r="Q56" s="17">
        <v>3.5329999999999999</v>
      </c>
      <c r="R56" s="17">
        <v>3.9740000000000002</v>
      </c>
      <c r="S56" s="17"/>
      <c r="T56" s="76">
        <f>SUMIF(EMBIG_Div_Security!$D$4:$D$284,TEXT($D56,"general"),EMBIG_Div_Security!AE$4:AE$284)</f>
        <v>117.44264215834464</v>
      </c>
      <c r="U56" s="76">
        <f>SUMIF(EMBIG_Div_Security!$D$4:$D$284,TEXT($D56,"general"),EMBIG_Div_Security!AF$4:AF$284)</f>
        <v>118.15126382453559</v>
      </c>
      <c r="W56" s="17">
        <f t="shared" si="0"/>
        <v>1.3756628670666848</v>
      </c>
      <c r="X56" s="17">
        <f t="shared" si="1"/>
        <v>0.44847229749802209</v>
      </c>
      <c r="Y56" s="17">
        <f t="shared" si="2"/>
        <v>27.880690276325097</v>
      </c>
    </row>
    <row r="57" spans="1:25" x14ac:dyDescent="0.25">
      <c r="A57" t="s">
        <v>121</v>
      </c>
      <c r="C57" s="39">
        <v>40847</v>
      </c>
      <c r="D57" s="53" t="s">
        <v>122</v>
      </c>
      <c r="E57" s="17">
        <v>493.76149600000002</v>
      </c>
      <c r="F57" s="7">
        <v>8997508500</v>
      </c>
      <c r="G57" s="7">
        <v>8641653007</v>
      </c>
      <c r="H57" s="17">
        <v>3.170061</v>
      </c>
      <c r="I57" s="17">
        <v>5.3540000000000001</v>
      </c>
      <c r="J57" s="17">
        <v>4.08</v>
      </c>
      <c r="K57" s="17">
        <v>8.7490000000000006</v>
      </c>
      <c r="L57" s="17">
        <v>8.7490000000000006</v>
      </c>
      <c r="M57" s="17">
        <v>766.15</v>
      </c>
      <c r="N57" s="17">
        <v>757.80799999999999</v>
      </c>
      <c r="O57" s="17">
        <v>4.01</v>
      </c>
      <c r="P57" s="17">
        <v>-0.97399999999999998</v>
      </c>
      <c r="Q57" s="17">
        <v>5.3360000000000003</v>
      </c>
      <c r="R57" s="17">
        <v>-1.766</v>
      </c>
      <c r="S57" s="17"/>
      <c r="T57" s="76">
        <f>SUMIF(EMBIG_Div_Security!$D$4:$D$284,TEXT($D57,"general"),EMBIG_Div_Security!AE$4:AE$284)</f>
        <v>94.477550429019118</v>
      </c>
      <c r="U57" s="76">
        <f>SUMIF(EMBIG_Div_Security!$D$4:$D$284,TEXT($D57,"general"),EMBIG_Div_Security!AF$4:AF$284)</f>
        <v>95.582301131188757</v>
      </c>
      <c r="W57" s="17">
        <f t="shared" si="0"/>
        <v>0.41769319455741266</v>
      </c>
      <c r="X57" s="17">
        <f t="shared" si="1"/>
        <v>7.6893424840918705</v>
      </c>
      <c r="Y57" s="17">
        <f t="shared" si="2"/>
        <v>713.72221977575589</v>
      </c>
    </row>
    <row r="58" spans="1:25" x14ac:dyDescent="0.25">
      <c r="A58" t="s">
        <v>123</v>
      </c>
      <c r="C58" s="39">
        <v>40847</v>
      </c>
      <c r="D58" s="53" t="s">
        <v>124</v>
      </c>
      <c r="E58" s="17">
        <v>295.39605899999998</v>
      </c>
      <c r="F58" s="7">
        <v>4853725891</v>
      </c>
      <c r="G58" s="7">
        <v>6537626267</v>
      </c>
      <c r="H58" s="17">
        <v>2.3982299999999999</v>
      </c>
      <c r="I58" s="17">
        <v>16.937999999999999</v>
      </c>
      <c r="J58" s="17">
        <v>10.244999999999999</v>
      </c>
      <c r="K58" s="17">
        <v>4.6589999999999998</v>
      </c>
      <c r="L58" s="17">
        <v>4.6589999999999998</v>
      </c>
      <c r="M58" s="17">
        <v>217.28200000000001</v>
      </c>
      <c r="N58" s="17">
        <v>216.44300000000001</v>
      </c>
      <c r="O58" s="17">
        <v>9.6890000000000001</v>
      </c>
      <c r="P58" s="17">
        <v>1.6E-2</v>
      </c>
      <c r="Q58" s="17">
        <v>7.9169999999999998</v>
      </c>
      <c r="R58" s="17">
        <v>15.416</v>
      </c>
      <c r="S58" s="17"/>
      <c r="T58" s="76">
        <f>SUMIF(EMBIG_Div_Security!$D$4:$D$284,TEXT($D58,"general"),EMBIG_Div_Security!AE$4:AE$284)</f>
        <v>132.50720189118647</v>
      </c>
      <c r="U58" s="76">
        <f>SUMIF(EMBIG_Div_Security!$D$4:$D$284,TEXT($D58,"general"),EMBIG_Div_Security!AF$4:AF$284)</f>
        <v>134.5072018911865</v>
      </c>
      <c r="W58" s="17">
        <f t="shared" si="0"/>
        <v>4.0639074537870927</v>
      </c>
      <c r="X58" s="17">
        <f t="shared" si="1"/>
        <v>0.15199391456850211</v>
      </c>
      <c r="Y58" s="17">
        <f t="shared" si="2"/>
        <v>7.5152286274254498</v>
      </c>
    </row>
    <row r="59" spans="1:25" x14ac:dyDescent="0.25">
      <c r="A59" t="s">
        <v>125</v>
      </c>
      <c r="C59" s="39">
        <v>40847</v>
      </c>
      <c r="D59" s="53" t="s">
        <v>126</v>
      </c>
      <c r="E59" s="17">
        <v>720.69235900000001</v>
      </c>
      <c r="F59" s="7">
        <v>14750000001</v>
      </c>
      <c r="G59" s="7">
        <v>10800529489</v>
      </c>
      <c r="H59" s="17">
        <v>3.9620129999999998</v>
      </c>
      <c r="I59" s="17">
        <v>11.456</v>
      </c>
      <c r="J59" s="17">
        <v>5.2569999999999997</v>
      </c>
      <c r="K59" s="17">
        <v>14.398</v>
      </c>
      <c r="L59" s="17">
        <v>14.398</v>
      </c>
      <c r="M59" s="17">
        <v>1219.02</v>
      </c>
      <c r="N59" s="17">
        <v>1269.287</v>
      </c>
      <c r="O59" s="17">
        <v>5.0869999999999997</v>
      </c>
      <c r="P59" s="17">
        <v>-0.56100000000000005</v>
      </c>
      <c r="Q59" s="17">
        <v>9.8450000000000006</v>
      </c>
      <c r="R59" s="17">
        <v>13.347</v>
      </c>
      <c r="S59" s="17"/>
      <c r="T59" s="76">
        <f>SUMIF(EMBIG_Div_Security!$D$4:$D$284,TEXT($D59,"general"),EMBIG_Div_Security!AE$4:AE$284)</f>
        <v>73.786584560838804</v>
      </c>
      <c r="U59" s="76">
        <f>SUMIF(EMBIG_Div_Security!$D$4:$D$284,TEXT($D59,"general"),EMBIG_Div_Security!AF$4:AF$284)</f>
        <v>74.526960265719651</v>
      </c>
      <c r="W59" s="17">
        <f t="shared" si="0"/>
        <v>0.67264115613673992</v>
      </c>
      <c r="X59" s="17">
        <f t="shared" si="1"/>
        <v>7.4282658917775466</v>
      </c>
      <c r="Y59" s="17">
        <f t="shared" si="2"/>
        <v>917.771716189416</v>
      </c>
    </row>
    <row r="60" spans="1:25" x14ac:dyDescent="0.25">
      <c r="A60" t="s">
        <v>127</v>
      </c>
      <c r="C60" s="39">
        <v>40847</v>
      </c>
      <c r="D60" s="53" t="s">
        <v>128</v>
      </c>
      <c r="E60" s="17">
        <v>152.066295</v>
      </c>
      <c r="F60" s="7">
        <v>1750000000</v>
      </c>
      <c r="G60" s="7">
        <v>1838718750</v>
      </c>
      <c r="H60" s="17">
        <v>0.67450600000000005</v>
      </c>
      <c r="I60" s="17">
        <v>6.508</v>
      </c>
      <c r="J60" s="17">
        <v>5.1230000000000002</v>
      </c>
      <c r="K60" s="17">
        <v>5.968</v>
      </c>
      <c r="L60" s="17">
        <v>5.968</v>
      </c>
      <c r="M60" s="17">
        <v>454.14</v>
      </c>
      <c r="N60" s="17">
        <v>457.48899999999998</v>
      </c>
      <c r="O60" s="17">
        <v>5.0190000000000001</v>
      </c>
      <c r="P60" s="17">
        <v>0.875</v>
      </c>
      <c r="Q60" s="17">
        <v>5.0650000000000004</v>
      </c>
      <c r="R60" s="17">
        <v>5.4340000000000002</v>
      </c>
      <c r="S60" s="17"/>
      <c r="T60" s="76">
        <f>SUMIF(EMBIG_Div_Security!$D$4:$D$284,TEXT($D60,"general"),EMBIG_Div_Security!AE$4:AE$284)</f>
        <v>103.19812114413909</v>
      </c>
      <c r="U60" s="76">
        <f>SUMIF(EMBIG_Div_Security!$D$4:$D$284,TEXT($D60,"general"),EMBIG_Div_Security!AF$4:AF$284)</f>
        <v>104.30704124815173</v>
      </c>
      <c r="W60" s="17">
        <f t="shared" si="0"/>
        <v>0.11159380169434401</v>
      </c>
      <c r="X60" s="17">
        <f t="shared" si="1"/>
        <v>5.4759253518805617E-2</v>
      </c>
      <c r="Y60" s="17">
        <f>IF(N60&lt;199.99,(G60/$G$77)*N60,IF(AND(N60&gt;199.99,N60&lt;399.99),(G60/$G$78)*N60,IF(AND(N60&gt;399.99,N60&lt;599.99),(G60/$G$79)*N60,IF(AND(N60&gt;599.99,N60&lt;799.99),(G60/$G$80)*N60,IF(AND(N60&gt;799.99,N60&lt;999.99),(G60/$G$81)*N60,IF(N60&gt;999.99,(G60/$G$82)*N60))))))</f>
        <v>31.469818597914905</v>
      </c>
    </row>
    <row r="61" spans="1:25" x14ac:dyDescent="0.25">
      <c r="C61" s="1"/>
      <c r="E61" s="9"/>
      <c r="F61" s="2"/>
      <c r="G61" s="29">
        <f>SUM(G18:G60)</f>
        <v>272602081877</v>
      </c>
      <c r="H61" s="14">
        <f>SUM(H18:H60)</f>
        <v>99.999999000000003</v>
      </c>
      <c r="J61" s="9"/>
      <c r="L61" s="14">
        <f>SUM(L18:L60)</f>
        <v>284.02200000000005</v>
      </c>
      <c r="N61" s="9"/>
      <c r="T61" s="17"/>
      <c r="U61" s="17"/>
    </row>
    <row r="62" spans="1:25" x14ac:dyDescent="0.25">
      <c r="C62" s="19"/>
      <c r="D62" s="40" t="s">
        <v>129</v>
      </c>
      <c r="E62" s="41"/>
      <c r="F62" s="19"/>
      <c r="G62" s="42" t="s">
        <v>996</v>
      </c>
      <c r="H62" s="42" t="s">
        <v>997</v>
      </c>
      <c r="I62" s="19"/>
      <c r="J62" s="42" t="s">
        <v>993</v>
      </c>
      <c r="K62" s="19"/>
      <c r="L62" s="42" t="s">
        <v>988</v>
      </c>
      <c r="M62" s="19"/>
      <c r="N62" s="43" t="s">
        <v>989</v>
      </c>
      <c r="O62" s="19"/>
      <c r="P62" s="19"/>
      <c r="Q62" s="19"/>
      <c r="T62" s="17"/>
      <c r="U62" s="17"/>
    </row>
    <row r="63" spans="1:25" x14ac:dyDescent="0.25">
      <c r="A63" t="s">
        <v>130</v>
      </c>
      <c r="C63" s="44">
        <v>40847</v>
      </c>
      <c r="D63" s="19" t="s">
        <v>131</v>
      </c>
      <c r="E63" s="23">
        <v>428.658725</v>
      </c>
      <c r="F63" s="24">
        <v>134294264675</v>
      </c>
      <c r="G63" s="22">
        <v>158658343549</v>
      </c>
      <c r="H63" s="21">
        <v>58.201442</v>
      </c>
      <c r="I63" s="23">
        <v>10.965</v>
      </c>
      <c r="J63" s="21">
        <v>7.2569999999999997</v>
      </c>
      <c r="K63" s="21">
        <v>4.7729999999999997</v>
      </c>
      <c r="L63" s="21">
        <v>4.5960000000000001</v>
      </c>
      <c r="M63" s="21">
        <v>252.47200000000001</v>
      </c>
      <c r="N63" s="21">
        <v>250.36199999999999</v>
      </c>
      <c r="O63" s="21">
        <v>6.9089999999999998</v>
      </c>
      <c r="P63" s="21">
        <v>0.128</v>
      </c>
      <c r="Q63" s="23">
        <v>2.4300000000000002</v>
      </c>
      <c r="R63" s="66">
        <v>6.9340000000000002</v>
      </c>
      <c r="S63" s="66"/>
      <c r="T63" s="17"/>
      <c r="U63" s="17"/>
    </row>
    <row r="64" spans="1:25" x14ac:dyDescent="0.25">
      <c r="A64" t="s">
        <v>132</v>
      </c>
      <c r="C64" s="44">
        <v>40847</v>
      </c>
      <c r="D64" s="19" t="s">
        <v>133</v>
      </c>
      <c r="E64" s="23">
        <v>355.00234799999998</v>
      </c>
      <c r="F64" s="24">
        <v>52401184307</v>
      </c>
      <c r="G64" s="22">
        <v>62777769521</v>
      </c>
      <c r="H64" s="21">
        <v>23.029087000000001</v>
      </c>
      <c r="I64" s="23">
        <v>11.983000000000001</v>
      </c>
      <c r="J64" s="21">
        <v>7.6040000000000001</v>
      </c>
      <c r="K64" s="21">
        <v>5.3310000000000004</v>
      </c>
      <c r="L64" s="21">
        <v>5.1319999999999997</v>
      </c>
      <c r="M64" s="21">
        <v>302.89600000000002</v>
      </c>
      <c r="N64" s="21">
        <v>296.142</v>
      </c>
      <c r="O64" s="21">
        <v>7.1710000000000003</v>
      </c>
      <c r="P64" s="21">
        <v>0.185</v>
      </c>
      <c r="Q64" s="23">
        <v>2.234</v>
      </c>
      <c r="R64" s="66">
        <v>5.593</v>
      </c>
      <c r="S64" s="66"/>
      <c r="T64" s="17"/>
      <c r="U64" s="17"/>
    </row>
    <row r="65" spans="1:21" x14ac:dyDescent="0.25">
      <c r="A65" t="s">
        <v>134</v>
      </c>
      <c r="C65" s="44">
        <v>40847</v>
      </c>
      <c r="D65" s="19" t="s">
        <v>135</v>
      </c>
      <c r="E65" s="23">
        <v>413.65183000000002</v>
      </c>
      <c r="F65" s="24">
        <v>54800104314</v>
      </c>
      <c r="G65" s="22">
        <v>47565469850</v>
      </c>
      <c r="H65" s="21">
        <v>17.448682000000002</v>
      </c>
      <c r="I65" s="23">
        <v>10.071</v>
      </c>
      <c r="J65" s="21">
        <v>5.4210000000000003</v>
      </c>
      <c r="K65" s="21">
        <v>10.452999999999999</v>
      </c>
      <c r="L65" s="21">
        <v>9.9649999999999999</v>
      </c>
      <c r="M65" s="21">
        <v>825.16399999999999</v>
      </c>
      <c r="N65" s="21">
        <v>821.66200000000003</v>
      </c>
      <c r="O65" s="21">
        <v>5.1710000000000003</v>
      </c>
      <c r="P65" s="21">
        <v>0.42599999999999999</v>
      </c>
      <c r="Q65" s="23">
        <v>3.3069999999999999</v>
      </c>
      <c r="R65" s="66">
        <v>-1.891</v>
      </c>
      <c r="S65" s="66"/>
      <c r="T65" s="17"/>
      <c r="U65" s="17"/>
    </row>
    <row r="66" spans="1:21" x14ac:dyDescent="0.25">
      <c r="A66" t="s">
        <v>136</v>
      </c>
      <c r="C66" s="44">
        <v>40847</v>
      </c>
      <c r="D66" s="19" t="s">
        <v>137</v>
      </c>
      <c r="E66" s="23">
        <v>761.05968600000006</v>
      </c>
      <c r="F66" s="24">
        <v>5032293000</v>
      </c>
      <c r="G66" s="22">
        <v>3600498953</v>
      </c>
      <c r="H66" s="21">
        <v>1.320789</v>
      </c>
      <c r="I66" s="23">
        <v>13.285</v>
      </c>
      <c r="J66" s="21">
        <v>8.01</v>
      </c>
      <c r="K66" s="21">
        <v>10.029999999999999</v>
      </c>
      <c r="L66" s="21">
        <v>9.5410000000000004</v>
      </c>
      <c r="M66" s="21">
        <v>765.93</v>
      </c>
      <c r="N66" s="21">
        <v>735.39099999999996</v>
      </c>
      <c r="O66" s="21">
        <v>7.5670000000000002</v>
      </c>
      <c r="P66" s="21">
        <v>1.345</v>
      </c>
      <c r="Q66" s="23">
        <v>4.6619999999999999</v>
      </c>
      <c r="R66" s="66">
        <v>2.149</v>
      </c>
      <c r="S66" s="66"/>
      <c r="T66" s="17"/>
      <c r="U66" s="17"/>
    </row>
    <row r="67" spans="1:21" x14ac:dyDescent="0.25">
      <c r="H67" s="8"/>
    </row>
    <row r="68" spans="1:21" x14ac:dyDescent="0.25">
      <c r="C68" s="19"/>
      <c r="D68" s="40" t="s">
        <v>987</v>
      </c>
      <c r="E68" s="19"/>
      <c r="F68" s="19"/>
      <c r="G68" s="42" t="s">
        <v>996</v>
      </c>
      <c r="H68" s="42" t="s">
        <v>997</v>
      </c>
      <c r="I68" s="19"/>
      <c r="J68" s="19"/>
      <c r="K68" s="19"/>
      <c r="L68" s="42" t="s">
        <v>988</v>
      </c>
    </row>
    <row r="69" spans="1:21" x14ac:dyDescent="0.25">
      <c r="C69" s="44">
        <v>40837</v>
      </c>
      <c r="D69" s="19" t="s">
        <v>4545</v>
      </c>
      <c r="E69" s="19"/>
      <c r="F69" s="19"/>
      <c r="G69" s="22">
        <f>SUMIFS($G$18:$G$60,$L$18:$L$60,"&lt;1.999")</f>
        <v>0</v>
      </c>
      <c r="H69" s="26">
        <f>SUMIFS($H$18:$H$60,$L$18:$L$60,"&lt;1.999")</f>
        <v>0</v>
      </c>
      <c r="I69" s="25"/>
      <c r="J69" s="25"/>
      <c r="K69" s="25"/>
      <c r="L69" s="26">
        <f>SUMIFS($X$18:$X$60,$L$18:$L$60,"&lt;1.999")</f>
        <v>0</v>
      </c>
    </row>
    <row r="70" spans="1:21" x14ac:dyDescent="0.25">
      <c r="C70" s="44">
        <v>40837</v>
      </c>
      <c r="D70" s="55" t="s">
        <v>4546</v>
      </c>
      <c r="E70" s="19"/>
      <c r="F70" s="19"/>
      <c r="G70" s="22">
        <f>SUMIFS($G$18:$G$60,$L$18:$L$60,"&gt;1.9999",$L$18:$L$60,"&lt;3.9999")</f>
        <v>16021861778</v>
      </c>
      <c r="H70" s="26">
        <f>SUMIFS($H$18:$H$60,$L$18:$L$60,"&gt;1.9999",$L$18:$L$60,"&lt;3.9999")</f>
        <v>5.8773800000000005</v>
      </c>
      <c r="I70" s="25"/>
      <c r="J70" s="25"/>
      <c r="K70" s="25"/>
      <c r="L70" s="26">
        <f>SUMIFS($X$18:$X$60,$L$18:$L$60,"&gt;1.9999",$L$18:$L$60,"&lt;3.9999")</f>
        <v>3.4539979138457526</v>
      </c>
      <c r="N70" s="9"/>
    </row>
    <row r="71" spans="1:21" x14ac:dyDescent="0.25">
      <c r="C71" s="44">
        <v>40837</v>
      </c>
      <c r="D71" s="55" t="s">
        <v>4547</v>
      </c>
      <c r="E71" s="19"/>
      <c r="F71" s="19"/>
      <c r="G71" s="22">
        <f>SUMIFS($G$18:$G$60,$L$18:$L$60,"&gt;3.9999",$L$18:$L$60,"&lt;5.9999")</f>
        <v>200394870179</v>
      </c>
      <c r="H71" s="26">
        <f>SUMIFS($H$18:$H$60,$L$18:$L$60,"&gt;3.9999",$L$18:$L$60,"&lt;5.9999")</f>
        <v>73.511863999999989</v>
      </c>
      <c r="I71" s="25"/>
      <c r="J71" s="25"/>
      <c r="K71" s="25"/>
      <c r="L71" s="26">
        <f>SUMIFS($X$18:$X$60,$L$18:$L$60,"&gt;3.9999",$L$18:$L$60,"&lt;5.9999")</f>
        <v>4.6669016530452083</v>
      </c>
    </row>
    <row r="72" spans="1:21" x14ac:dyDescent="0.25">
      <c r="C72" s="44">
        <v>40837</v>
      </c>
      <c r="D72" s="55" t="s">
        <v>4548</v>
      </c>
      <c r="E72" s="19"/>
      <c r="F72" s="19"/>
      <c r="G72" s="22">
        <f>SUMIFS($G$18:$G$60,$L$18:$L$60,"&gt;5.9999",$L$18:$L$60,"&lt;7.9999")</f>
        <v>25418438614</v>
      </c>
      <c r="H72" s="26">
        <f>SUMIFS($H$18:$H$60,$L$18:$L$60,"&gt;5.9999",$L$18:$L$60,"&lt;7.9999")</f>
        <v>9.3243729999999996</v>
      </c>
      <c r="I72" s="25"/>
      <c r="J72" s="25"/>
      <c r="K72" s="25"/>
      <c r="L72" s="26">
        <f>SUMIFS($X$18:$X$60,$L$18:$L$60,"&gt;5.9999",$L$18:$L$60,"&lt;7.9999")</f>
        <v>6.8691385368591868</v>
      </c>
    </row>
    <row r="73" spans="1:21" s="36" customFormat="1" x14ac:dyDescent="0.25">
      <c r="C73" s="44">
        <v>40837</v>
      </c>
      <c r="D73" s="55" t="s">
        <v>4549</v>
      </c>
      <c r="E73" s="19"/>
      <c r="F73" s="19"/>
      <c r="G73" s="22">
        <f>SUMIFS($G$18:$G$60,$L$18:$L$60,"&gt;7.9999",$L$18:$L$60,"&lt;9.9999")</f>
        <v>9832547102</v>
      </c>
      <c r="H73" s="26">
        <f>SUMIFS($H$18:$H$60,$L$18:$L$60,"&gt;7.9999",$L$18:$L$60,"&lt;9.9999")</f>
        <v>3.6069230000000001</v>
      </c>
      <c r="I73" s="25"/>
      <c r="J73" s="25"/>
      <c r="K73" s="25"/>
      <c r="L73" s="26">
        <f>SUMIFS($X$18:$X$60,$L$18:$L$60,"&gt;7.9999",$L$18:$L$60,"&lt;9.9999")</f>
        <v>8.7662579742959466</v>
      </c>
      <c r="S73" s="53"/>
      <c r="T73" s="53"/>
      <c r="U73" s="53"/>
    </row>
    <row r="74" spans="1:21" s="36" customFormat="1" x14ac:dyDescent="0.25">
      <c r="C74" s="44">
        <v>40837</v>
      </c>
      <c r="D74" s="54" t="s">
        <v>992</v>
      </c>
      <c r="E74" s="19"/>
      <c r="F74" s="19"/>
      <c r="G74" s="22">
        <f>SUMIFS($G$18:$G$60,$L$18:$L$60,"&gt;9.9999")</f>
        <v>20934364204</v>
      </c>
      <c r="H74" s="26">
        <f>SUMIFS($H$18:$H$60,$L$18:$L$60,"&gt;9.9999")</f>
        <v>7.6794589999999996</v>
      </c>
      <c r="I74" s="25"/>
      <c r="J74" s="25"/>
      <c r="K74" s="25"/>
      <c r="L74" s="26">
        <f>SUMIFS($X$18:$X$60,$L$18:$L$60,"&gt;9.9999")</f>
        <v>13.056499438838415</v>
      </c>
      <c r="S74" s="53"/>
      <c r="T74" s="53"/>
      <c r="U74" s="53"/>
    </row>
    <row r="75" spans="1:21" x14ac:dyDescent="0.25">
      <c r="G75" t="str">
        <f>IF(SUM(G69:G74)&lt;&gt;G61,"check values","")</f>
        <v/>
      </c>
      <c r="H75" t="str">
        <f>IF(SUM(H69:H74)&lt;&gt;$H$61,"check values","")</f>
        <v/>
      </c>
      <c r="I75" s="2"/>
    </row>
    <row r="76" spans="1:21" x14ac:dyDescent="0.25">
      <c r="C76" s="19"/>
      <c r="D76" s="40" t="s">
        <v>990</v>
      </c>
      <c r="E76" s="19"/>
      <c r="F76" s="19"/>
      <c r="G76" s="42" t="s">
        <v>996</v>
      </c>
      <c r="H76" s="42" t="s">
        <v>997</v>
      </c>
      <c r="I76" s="19"/>
      <c r="J76" s="19"/>
      <c r="K76" s="19"/>
      <c r="L76" s="43" t="s">
        <v>989</v>
      </c>
    </row>
    <row r="77" spans="1:21" x14ac:dyDescent="0.25">
      <c r="C77" s="44">
        <v>40837</v>
      </c>
      <c r="D77" s="19" t="s">
        <v>4550</v>
      </c>
      <c r="E77" s="19"/>
      <c r="F77" s="19"/>
      <c r="G77" s="22">
        <f>SUMIFS($G$18:$G$60,$N$18:$N$60,"&gt;0",$N$18:$N$60,"&lt;199.99")</f>
        <v>26817522897</v>
      </c>
      <c r="H77" s="26">
        <f>SUMIFS($H$18:$H$60,$N$18:$N$60,"&gt;0",$N$18:$N$60,"&lt;199.99")</f>
        <v>9.8376070000000002</v>
      </c>
      <c r="I77" s="19"/>
      <c r="J77" s="19"/>
      <c r="K77" s="19"/>
      <c r="L77" s="26">
        <f>SUMIFS($Y$18:$Y$60,$N$18:$N$60,"&gt;0",$N$18:$N$60,"&lt;199.99")</f>
        <v>169.49296265158597</v>
      </c>
    </row>
    <row r="78" spans="1:21" x14ac:dyDescent="0.25">
      <c r="C78" s="44">
        <v>40837</v>
      </c>
      <c r="D78" s="55" t="s">
        <v>4551</v>
      </c>
      <c r="E78" s="19"/>
      <c r="F78" s="19"/>
      <c r="G78" s="22">
        <f>SUMIFS($G$18:$G$60,$N$18:$N$60,"&gt;199.99",$N$18:$N$60,"&lt;399.99")</f>
        <v>188287477635</v>
      </c>
      <c r="H78" s="26">
        <f>SUMIFS($H$18:$H$60,$N$18:$N$60,"&gt;199.99",$N$18:$N$60,"&lt;399.99")</f>
        <v>69.070447999999985</v>
      </c>
      <c r="I78" s="19"/>
      <c r="J78" s="19"/>
      <c r="K78" s="19"/>
      <c r="L78" s="26">
        <f>SUMIFS($Y$18:$Y$60,$N$18:$N$60,"&gt;199.99",$N$18:$N$60,"&lt;399.99")</f>
        <v>267.02230929624079</v>
      </c>
    </row>
    <row r="79" spans="1:21" x14ac:dyDescent="0.25">
      <c r="C79" s="44">
        <v>40837</v>
      </c>
      <c r="D79" s="55" t="s">
        <v>4552</v>
      </c>
      <c r="E79" s="19"/>
      <c r="F79" s="19"/>
      <c r="G79" s="22">
        <f>SUMIFS($G$18:$G$60,$N$18:$N$60,"&gt;399.99",$N$18:$N$60,"&lt;599.99")</f>
        <v>26730170039</v>
      </c>
      <c r="H79" s="26">
        <f>SUMIFS($H$18:$H$60,$N$18:$N$60,"&gt;399.99",$N$18:$N$60,"&lt;599.99")</f>
        <v>9.8055620000000019</v>
      </c>
      <c r="I79" s="19"/>
      <c r="J79" s="19"/>
      <c r="K79" s="19"/>
      <c r="L79" s="26">
        <f>SUMIFS($Y$18:$Y$60,$N$18:$N$60,"&gt;399.99",$N$18:$N$60,"&lt;599.99")</f>
        <v>490.38508517986975</v>
      </c>
    </row>
    <row r="80" spans="1:21" x14ac:dyDescent="0.25">
      <c r="C80" s="44">
        <v>40837</v>
      </c>
      <c r="D80" s="55" t="s">
        <v>4553</v>
      </c>
      <c r="E80" s="19"/>
      <c r="F80" s="19"/>
      <c r="G80" s="22">
        <f>SUMIFS($G$18:$G$60,$N$18:$N$60,"&gt;599.99",$N$18:$N$60,"&lt;799.99")</f>
        <v>9175437727</v>
      </c>
      <c r="H80" s="26">
        <f>SUMIFS($H$18:$H$60,$N$18:$N$60,"&gt;599.99",$N$18:$N$60,"&lt;799.99")</f>
        <v>3.365872</v>
      </c>
      <c r="I80" s="19"/>
      <c r="J80" s="19"/>
      <c r="K80" s="19"/>
      <c r="L80" s="26">
        <f>SUMIFS($Y$18:$Y$60,$N$18:$N$60,"&gt;599.99",$N$18:$N$60,"&lt;799.99")</f>
        <v>750.30378118934357</v>
      </c>
    </row>
    <row r="81" spans="3:21" s="36" customFormat="1" x14ac:dyDescent="0.25">
      <c r="C81" s="44">
        <v>40837</v>
      </c>
      <c r="D81" s="55" t="s">
        <v>4554</v>
      </c>
      <c r="E81" s="19"/>
      <c r="F81" s="19"/>
      <c r="G81" s="22">
        <f>SUMIFS($G$18:$G$60,$N$18:$N$60,"&gt;799.99",$N$18:$N$60,"&lt;999.99")</f>
        <v>6654238718</v>
      </c>
      <c r="H81" s="26">
        <f>SUMIFS($H$18:$H$60,$N$18:$N$60,"&gt;799.99",$N$18:$N$60,"&lt;999.99")</f>
        <v>2.4410080000000001</v>
      </c>
      <c r="I81" s="19"/>
      <c r="J81" s="19"/>
      <c r="K81" s="19"/>
      <c r="L81" s="26">
        <f>SUMIFS($Y$18:$Y$60,$N$18:$N$60,"&gt;799.99",$N$18:$N$60,"&lt;999.99")</f>
        <v>840.00879041751864</v>
      </c>
      <c r="S81" s="53"/>
      <c r="T81" s="53"/>
      <c r="U81" s="53"/>
    </row>
    <row r="82" spans="3:21" s="36" customFormat="1" x14ac:dyDescent="0.25">
      <c r="C82" s="44">
        <v>40837</v>
      </c>
      <c r="D82" s="56" t="s">
        <v>4555</v>
      </c>
      <c r="E82" s="19"/>
      <c r="F82" s="19"/>
      <c r="G82" s="22">
        <f>SUMIFS($G$18:$G$60,$N$18:$N$60,"&gt;999.99")</f>
        <v>14937234861</v>
      </c>
      <c r="H82" s="26">
        <f>SUMIFS($H$18:$H$60,$N$18:$N$60,"&gt;999.99")</f>
        <v>5.4795020000000001</v>
      </c>
      <c r="I82" s="19"/>
      <c r="J82" s="19"/>
      <c r="K82" s="19"/>
      <c r="L82" s="26">
        <f>SUMIFS($Y$18:$Y$60,$N$18:$N$60,"&gt;999.99")</f>
        <v>1238.3287724873903</v>
      </c>
      <c r="S82" s="53"/>
      <c r="T82" s="53"/>
      <c r="U82" s="53"/>
    </row>
    <row r="83" spans="3:21" x14ac:dyDescent="0.25">
      <c r="G83" t="str">
        <f>IF(SUM(G77:G82)&lt;&gt;$G$61,"check values","")</f>
        <v/>
      </c>
      <c r="H83" s="15" t="str">
        <f>IF(SUM(H77:H82)&lt;&gt;$H$61,"check values","")</f>
        <v/>
      </c>
    </row>
    <row r="84" spans="3:21" x14ac:dyDescent="0.25">
      <c r="C84" s="19"/>
      <c r="D84" s="40" t="s">
        <v>991</v>
      </c>
      <c r="E84" s="19"/>
      <c r="F84" s="19"/>
      <c r="G84" s="42" t="s">
        <v>996</v>
      </c>
      <c r="H84" s="42" t="s">
        <v>997</v>
      </c>
      <c r="I84" s="19"/>
      <c r="J84" s="19"/>
      <c r="K84" s="19"/>
      <c r="L84" s="42" t="s">
        <v>993</v>
      </c>
    </row>
    <row r="85" spans="3:21" x14ac:dyDescent="0.25">
      <c r="C85" s="44">
        <v>40837</v>
      </c>
      <c r="D85" s="19" t="s">
        <v>4545</v>
      </c>
      <c r="E85" s="19"/>
      <c r="F85" s="19"/>
      <c r="G85" s="22">
        <f>SUMIFS($G$18:$G$60,$J$18:$J$60,"&lt;1.999")</f>
        <v>0</v>
      </c>
      <c r="H85" s="26">
        <f>SUMIFS($H$18:$H$60,$J$18:$J$60,"&lt;1.999")</f>
        <v>0</v>
      </c>
      <c r="I85" s="19"/>
      <c r="J85" s="19"/>
      <c r="K85" s="19"/>
      <c r="L85" s="26">
        <f>SUMIFS($W$18:$W$60,$J$18:$J$60,"&lt;1.999")</f>
        <v>0</v>
      </c>
    </row>
    <row r="86" spans="3:21" s="36" customFormat="1" x14ac:dyDescent="0.25">
      <c r="C86" s="44">
        <v>40837</v>
      </c>
      <c r="D86" s="55" t="s">
        <v>4546</v>
      </c>
      <c r="E86" s="19"/>
      <c r="F86" s="19"/>
      <c r="G86" s="22">
        <f>SUMIFS($G$18:$G$60,$J$18:$J$60,"&gt;1.999",$J$18:$J$60,"&lt;3.999")</f>
        <v>5392660812</v>
      </c>
      <c r="H86" s="26">
        <f>SUMIFS($H$18:$H$60,$J$18:$J$60,"&gt;1.999",$J$18:$J$60,"&lt;3.999")</f>
        <v>1.9782169999999997</v>
      </c>
      <c r="I86" s="19"/>
      <c r="J86" s="19"/>
      <c r="K86" s="19"/>
      <c r="L86" s="26">
        <f>SUMIFS($W$18:$W$60,$J$18:$J$60,"&gt;1.999",$J$18:$J$60,"&lt;3.999")</f>
        <v>3.409397684993877</v>
      </c>
      <c r="S86" s="53"/>
      <c r="T86" s="53"/>
      <c r="U86" s="53"/>
    </row>
    <row r="87" spans="3:21" s="36" customFormat="1" x14ac:dyDescent="0.25">
      <c r="C87" s="44">
        <v>40837</v>
      </c>
      <c r="D87" s="55" t="s">
        <v>4547</v>
      </c>
      <c r="E87" s="19"/>
      <c r="F87" s="19"/>
      <c r="G87" s="22">
        <f>SUMIFS($G$18:$G$60,$J$18:$J$60,"&gt;3.999",$J$18:$J$60,"&lt;5.999")</f>
        <v>84411105395</v>
      </c>
      <c r="H87" s="26">
        <f>SUMIFS($H$18:$H$60,$J$18:$J$60,"&gt;3.999",$J$18:$J$60,"&lt;5.999")</f>
        <v>30.964952999999998</v>
      </c>
      <c r="I87" s="19"/>
      <c r="J87" s="19"/>
      <c r="K87" s="19"/>
      <c r="L87" s="26">
        <f>SUMIFS($W$18:$W$60,$J$18:$J$60,"&gt;3.999",$J$18:$J$60,"&lt;5.999")</f>
        <v>5.0274459251866901</v>
      </c>
      <c r="S87" s="53"/>
      <c r="T87" s="53"/>
      <c r="U87" s="53"/>
    </row>
    <row r="88" spans="3:21" s="36" customFormat="1" x14ac:dyDescent="0.25">
      <c r="C88" s="44">
        <v>40837</v>
      </c>
      <c r="D88" s="55" t="s">
        <v>4548</v>
      </c>
      <c r="E88" s="19"/>
      <c r="F88" s="19"/>
      <c r="G88" s="22">
        <f>SUMIFS($G$18:$G$60,$J$18:$J$60,"&gt;5.999",$J$18:$J$60,"&lt;7.999")</f>
        <v>91953225516</v>
      </c>
      <c r="H88" s="26">
        <f>SUMIFS($H$18:$H$60,$J$18:$J$60,"&gt;5.999",$J$18:$J$60,"&lt;7.999")</f>
        <v>33.731666000000004</v>
      </c>
      <c r="I88" s="19"/>
      <c r="J88" s="19"/>
      <c r="K88" s="19"/>
      <c r="L88" s="26">
        <f>SUMIFS($W$18:$W$60,$J$18:$J$60,"&gt;5.999",$J$18:$J$60,"&lt;7.999")</f>
        <v>7.121608730065411</v>
      </c>
      <c r="S88" s="53"/>
      <c r="T88" s="53"/>
      <c r="U88" s="53"/>
    </row>
    <row r="89" spans="3:21" s="36" customFormat="1" x14ac:dyDescent="0.25">
      <c r="C89" s="44">
        <v>40837</v>
      </c>
      <c r="D89" s="55" t="s">
        <v>4549</v>
      </c>
      <c r="E89" s="19"/>
      <c r="F89" s="19"/>
      <c r="G89" s="22">
        <f>SUMIFS($G$18:$G$60,$J$18:$J$60,"&gt;7.999",$J$18:$J$60,"&lt;9.999")</f>
        <v>74363912404</v>
      </c>
      <c r="H89" s="26">
        <f>SUMIFS($H$18:$H$60,$J$18:$J$60,"&gt;7.999",$J$18:$J$60,"&lt;9.999")</f>
        <v>27.279290000000003</v>
      </c>
      <c r="I89" s="19"/>
      <c r="J89" s="19"/>
      <c r="K89" s="19"/>
      <c r="L89" s="26">
        <f>SUMIFS($W$18:$W$60,$J$18:$J$60,"&gt;7.999",$J$18:$J$60,"&lt;9.999")</f>
        <v>8.6563259183628123</v>
      </c>
      <c r="S89" s="53"/>
      <c r="T89" s="53"/>
      <c r="U89" s="53"/>
    </row>
    <row r="90" spans="3:21" x14ac:dyDescent="0.25">
      <c r="C90" s="44">
        <v>40837</v>
      </c>
      <c r="D90" s="54" t="s">
        <v>992</v>
      </c>
      <c r="E90" s="19"/>
      <c r="F90" s="19"/>
      <c r="G90" s="22">
        <f>SUMIFS($G$18:$G$60,$J$18:$J$60,"&gt;9.999")</f>
        <v>16481177750</v>
      </c>
      <c r="H90" s="26">
        <f>SUMIFS(H18:H60,J18:J60,"&gt;9.999")</f>
        <v>6.0458730000000003</v>
      </c>
      <c r="I90" s="19"/>
      <c r="J90" s="19"/>
      <c r="K90" s="19"/>
      <c r="L90" s="26">
        <f>SUMIFS(W18:W60,J18:J60,"&gt;9.999")</f>
        <v>10.566573677611661</v>
      </c>
    </row>
    <row r="91" spans="3:21" x14ac:dyDescent="0.25">
      <c r="G91" s="15" t="str">
        <f>IF(SUM(G85:G90)&lt;&gt;$G$61,"check values","")</f>
        <v/>
      </c>
      <c r="H91" s="15" t="str">
        <f>IF(SUM(H85:H90)&lt;&gt;$H$61,"check values","")</f>
        <v/>
      </c>
    </row>
  </sheetData>
  <sortState ref="C18:V60">
    <sortCondition ref="N18:N60"/>
  </sortState>
  <pageMargins left="0.7" right="0.7" top="0.75" bottom="0.75" header="0.3" footer="0.3"/>
  <pageSetup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4"/>
  <sheetViews>
    <sheetView workbookViewId="0"/>
  </sheetViews>
  <sheetFormatPr defaultRowHeight="15" x14ac:dyDescent="0.25"/>
  <cols>
    <col min="2" max="2" width="18.85546875" bestFit="1" customWidth="1"/>
  </cols>
  <sheetData>
    <row r="1" spans="1:2" x14ac:dyDescent="0.25">
      <c r="A1" t="s">
        <v>4662</v>
      </c>
      <c r="B1" t="s">
        <v>2897</v>
      </c>
    </row>
    <row r="2" spans="1:2" x14ac:dyDescent="0.25">
      <c r="A2" s="53" t="s">
        <v>4610</v>
      </c>
      <c r="B2" s="53" t="s">
        <v>44</v>
      </c>
    </row>
    <row r="3" spans="1:2" x14ac:dyDescent="0.25">
      <c r="A3" s="53" t="s">
        <v>133</v>
      </c>
      <c r="B3" s="53" t="s">
        <v>2852</v>
      </c>
    </row>
    <row r="4" spans="1:2" s="53" customFormat="1" x14ac:dyDescent="0.25">
      <c r="A4" s="53" t="s">
        <v>4614</v>
      </c>
      <c r="B4" s="53" t="s">
        <v>52</v>
      </c>
    </row>
    <row r="5" spans="1:2" s="53" customFormat="1" x14ac:dyDescent="0.25">
      <c r="A5" s="53" t="s">
        <v>4660</v>
      </c>
      <c r="B5" s="53" t="s">
        <v>2850</v>
      </c>
    </row>
    <row r="6" spans="1:2" s="53" customFormat="1" x14ac:dyDescent="0.25">
      <c r="A6" s="53" t="s">
        <v>4613</v>
      </c>
      <c r="B6" s="53" t="s">
        <v>50</v>
      </c>
    </row>
    <row r="7" spans="1:2" s="53" customFormat="1" x14ac:dyDescent="0.25">
      <c r="A7" s="53" t="s">
        <v>4611</v>
      </c>
      <c r="B7" s="53" t="s">
        <v>46</v>
      </c>
    </row>
    <row r="8" spans="1:2" s="53" customFormat="1" x14ac:dyDescent="0.25">
      <c r="A8" s="53" t="s">
        <v>4612</v>
      </c>
      <c r="B8" s="53" t="s">
        <v>48</v>
      </c>
    </row>
    <row r="9" spans="1:2" s="53" customFormat="1" x14ac:dyDescent="0.25">
      <c r="A9" s="53" t="s">
        <v>4629</v>
      </c>
      <c r="B9" s="53" t="s">
        <v>82</v>
      </c>
    </row>
    <row r="10" spans="1:2" s="53" customFormat="1" x14ac:dyDescent="0.25">
      <c r="A10" s="53" t="s">
        <v>4615</v>
      </c>
      <c r="B10" s="53" t="s">
        <v>54</v>
      </c>
    </row>
    <row r="11" spans="1:2" s="53" customFormat="1" x14ac:dyDescent="0.25">
      <c r="A11" s="53" t="s">
        <v>4616</v>
      </c>
      <c r="B11" s="53" t="s">
        <v>56</v>
      </c>
    </row>
    <row r="12" spans="1:2" s="53" customFormat="1" x14ac:dyDescent="0.25">
      <c r="A12" s="53" t="s">
        <v>4617</v>
      </c>
      <c r="B12" s="53" t="s">
        <v>986</v>
      </c>
    </row>
    <row r="13" spans="1:2" s="53" customFormat="1" x14ac:dyDescent="0.25">
      <c r="A13" s="53" t="s">
        <v>4645</v>
      </c>
      <c r="B13" s="53" t="s">
        <v>112</v>
      </c>
    </row>
    <row r="14" spans="1:2" s="53" customFormat="1" x14ac:dyDescent="0.25">
      <c r="A14" s="53" t="s">
        <v>4619</v>
      </c>
      <c r="B14" s="53" t="s">
        <v>62</v>
      </c>
    </row>
    <row r="15" spans="1:2" s="53" customFormat="1" x14ac:dyDescent="0.25">
      <c r="A15" s="53" t="s">
        <v>4620</v>
      </c>
      <c r="B15" s="53" t="s">
        <v>64</v>
      </c>
    </row>
    <row r="16" spans="1:2" s="53" customFormat="1" x14ac:dyDescent="0.25">
      <c r="A16" s="53" t="s">
        <v>4621</v>
      </c>
      <c r="B16" s="53" t="s">
        <v>66</v>
      </c>
    </row>
    <row r="17" spans="1:2" s="53" customFormat="1" x14ac:dyDescent="0.25">
      <c r="A17" s="53" t="s">
        <v>4623</v>
      </c>
      <c r="B17" s="53" t="s">
        <v>70</v>
      </c>
    </row>
    <row r="18" spans="1:2" s="53" customFormat="1" x14ac:dyDescent="0.25">
      <c r="A18" s="53" t="s">
        <v>4624</v>
      </c>
      <c r="B18" s="53" t="s">
        <v>72</v>
      </c>
    </row>
    <row r="19" spans="1:2" x14ac:dyDescent="0.25">
      <c r="A19" s="53" t="s">
        <v>4625</v>
      </c>
      <c r="B19" s="53" t="s">
        <v>74</v>
      </c>
    </row>
    <row r="20" spans="1:2" x14ac:dyDescent="0.25">
      <c r="A20" s="53" t="s">
        <v>4657</v>
      </c>
      <c r="B20" s="53" t="s">
        <v>2860</v>
      </c>
    </row>
    <row r="21" spans="1:2" x14ac:dyDescent="0.25">
      <c r="A21" s="53" t="s">
        <v>4618</v>
      </c>
      <c r="B21" s="53" t="s">
        <v>60</v>
      </c>
    </row>
    <row r="22" spans="1:2" x14ac:dyDescent="0.25">
      <c r="A22" s="53" t="s">
        <v>4626</v>
      </c>
      <c r="B22" s="53" t="s">
        <v>76</v>
      </c>
    </row>
    <row r="23" spans="1:2" x14ac:dyDescent="0.25">
      <c r="A23" s="53" t="s">
        <v>4627</v>
      </c>
      <c r="B23" s="53" t="s">
        <v>78</v>
      </c>
    </row>
    <row r="24" spans="1:2" x14ac:dyDescent="0.25">
      <c r="A24" s="53" t="s">
        <v>4669</v>
      </c>
      <c r="B24" s="53" t="s">
        <v>2863</v>
      </c>
    </row>
    <row r="25" spans="1:2" x14ac:dyDescent="0.25">
      <c r="A25" s="53" t="s">
        <v>4656</v>
      </c>
      <c r="B25" s="53" t="s">
        <v>2865</v>
      </c>
    </row>
    <row r="26" spans="1:2" x14ac:dyDescent="0.25">
      <c r="A26" s="53" t="s">
        <v>4628</v>
      </c>
      <c r="B26" s="53" t="s">
        <v>80</v>
      </c>
    </row>
    <row r="27" spans="1:2" x14ac:dyDescent="0.25">
      <c r="A27" s="53" t="s">
        <v>4630</v>
      </c>
      <c r="B27" s="53" t="s">
        <v>84</v>
      </c>
    </row>
    <row r="28" spans="1:2" x14ac:dyDescent="0.25">
      <c r="A28" s="53" t="s">
        <v>4631</v>
      </c>
      <c r="B28" s="53" t="s">
        <v>86</v>
      </c>
    </row>
    <row r="29" spans="1:2" x14ac:dyDescent="0.25">
      <c r="A29" s="53" t="s">
        <v>4658</v>
      </c>
      <c r="B29" s="53" t="s">
        <v>2869</v>
      </c>
    </row>
    <row r="30" spans="1:2" x14ac:dyDescent="0.25">
      <c r="A30" s="53" t="s">
        <v>4668</v>
      </c>
      <c r="B30" s="53" t="s">
        <v>2871</v>
      </c>
    </row>
    <row r="31" spans="1:2" x14ac:dyDescent="0.25">
      <c r="A31" s="53" t="s">
        <v>4632</v>
      </c>
      <c r="B31" s="53" t="s">
        <v>88</v>
      </c>
    </row>
    <row r="32" spans="1:2" x14ac:dyDescent="0.25">
      <c r="A32" s="53" t="s">
        <v>4633</v>
      </c>
      <c r="B32" s="53" t="s">
        <v>90</v>
      </c>
    </row>
    <row r="33" spans="1:2" x14ac:dyDescent="0.25">
      <c r="A33" s="53" t="s">
        <v>4647</v>
      </c>
      <c r="B33" s="53" t="s">
        <v>118</v>
      </c>
    </row>
    <row r="34" spans="1:2" x14ac:dyDescent="0.25">
      <c r="A34" s="53" t="s">
        <v>4634</v>
      </c>
      <c r="B34" s="53" t="s">
        <v>92</v>
      </c>
    </row>
    <row r="35" spans="1:2" x14ac:dyDescent="0.25">
      <c r="A35" s="53" t="s">
        <v>4659</v>
      </c>
      <c r="B35" s="53" t="s">
        <v>2874</v>
      </c>
    </row>
    <row r="36" spans="1:2" x14ac:dyDescent="0.25">
      <c r="A36" s="53" t="s">
        <v>4636</v>
      </c>
      <c r="B36" s="53" t="s">
        <v>96</v>
      </c>
    </row>
    <row r="37" spans="1:2" x14ac:dyDescent="0.25">
      <c r="A37" s="53" t="s">
        <v>4635</v>
      </c>
      <c r="B37" s="53" t="s">
        <v>94</v>
      </c>
    </row>
    <row r="38" spans="1:2" x14ac:dyDescent="0.25">
      <c r="A38" s="53" t="s">
        <v>4637</v>
      </c>
      <c r="B38" s="53" t="s">
        <v>98</v>
      </c>
    </row>
    <row r="39" spans="1:2" x14ac:dyDescent="0.25">
      <c r="A39" s="53" t="s">
        <v>4661</v>
      </c>
      <c r="B39" s="53" t="s">
        <v>2879</v>
      </c>
    </row>
    <row r="40" spans="1:2" x14ac:dyDescent="0.25">
      <c r="A40" s="53" t="s">
        <v>4639</v>
      </c>
      <c r="B40" s="53" t="s">
        <v>102</v>
      </c>
    </row>
    <row r="41" spans="1:2" x14ac:dyDescent="0.25">
      <c r="A41" s="53" t="s">
        <v>4640</v>
      </c>
      <c r="B41" s="53" t="s">
        <v>104</v>
      </c>
    </row>
    <row r="42" spans="1:2" x14ac:dyDescent="0.25">
      <c r="A42" s="53" t="s">
        <v>4641</v>
      </c>
      <c r="B42" s="53" t="s">
        <v>106</v>
      </c>
    </row>
    <row r="43" spans="1:2" x14ac:dyDescent="0.25">
      <c r="A43" s="53" t="s">
        <v>4638</v>
      </c>
      <c r="B43" s="53" t="s">
        <v>100</v>
      </c>
    </row>
    <row r="44" spans="1:2" x14ac:dyDescent="0.25">
      <c r="A44" s="53" t="s">
        <v>4642</v>
      </c>
      <c r="B44" s="53" t="s">
        <v>108</v>
      </c>
    </row>
    <row r="45" spans="1:2" x14ac:dyDescent="0.25">
      <c r="A45" s="53" t="s">
        <v>4667</v>
      </c>
      <c r="B45" s="53" t="s">
        <v>2883</v>
      </c>
    </row>
    <row r="46" spans="1:2" x14ac:dyDescent="0.25">
      <c r="A46" s="53" t="s">
        <v>4643</v>
      </c>
      <c r="B46" s="53" t="s">
        <v>110</v>
      </c>
    </row>
    <row r="47" spans="1:2" x14ac:dyDescent="0.25">
      <c r="A47" s="53" t="s">
        <v>4665</v>
      </c>
      <c r="B47" s="53" t="s">
        <v>2888</v>
      </c>
    </row>
    <row r="48" spans="1:2" x14ac:dyDescent="0.25">
      <c r="A48" s="53" t="s">
        <v>4664</v>
      </c>
      <c r="B48" s="53" t="s">
        <v>2886</v>
      </c>
    </row>
    <row r="49" spans="1:2" x14ac:dyDescent="0.25">
      <c r="A49" s="53" t="s">
        <v>4644</v>
      </c>
      <c r="B49" s="53" t="s">
        <v>114</v>
      </c>
    </row>
    <row r="50" spans="1:2" x14ac:dyDescent="0.25">
      <c r="A50" s="53" t="s">
        <v>4622</v>
      </c>
      <c r="B50" s="53" t="s">
        <v>68</v>
      </c>
    </row>
    <row r="51" spans="1:2" x14ac:dyDescent="0.25">
      <c r="A51" s="53" t="s">
        <v>4663</v>
      </c>
      <c r="B51" s="53" t="s">
        <v>2891</v>
      </c>
    </row>
    <row r="52" spans="1:2" x14ac:dyDescent="0.25">
      <c r="A52" s="53" t="s">
        <v>4648</v>
      </c>
      <c r="B52" s="53" t="s">
        <v>120</v>
      </c>
    </row>
    <row r="53" spans="1:2" x14ac:dyDescent="0.25">
      <c r="A53" s="53" t="s">
        <v>4666</v>
      </c>
      <c r="B53" s="53" t="s">
        <v>2894</v>
      </c>
    </row>
    <row r="54" spans="1:2" x14ac:dyDescent="0.25">
      <c r="A54" s="53" t="s">
        <v>4649</v>
      </c>
      <c r="B54" s="53" t="s">
        <v>122</v>
      </c>
    </row>
    <row r="55" spans="1:2" x14ac:dyDescent="0.25">
      <c r="A55" s="53" t="s">
        <v>4650</v>
      </c>
      <c r="B55" s="53" t="s">
        <v>124</v>
      </c>
    </row>
    <row r="56" spans="1:2" x14ac:dyDescent="0.25">
      <c r="A56" s="53" t="s">
        <v>4651</v>
      </c>
      <c r="B56" s="53" t="s">
        <v>126</v>
      </c>
    </row>
    <row r="57" spans="1:2" x14ac:dyDescent="0.25">
      <c r="A57" s="53" t="s">
        <v>4652</v>
      </c>
      <c r="B57" s="53" t="s">
        <v>128</v>
      </c>
    </row>
    <row r="58" spans="1:2" x14ac:dyDescent="0.25">
      <c r="A58" s="53" t="s">
        <v>4646</v>
      </c>
      <c r="B58" s="53" t="s">
        <v>116</v>
      </c>
    </row>
    <row r="59" spans="1:2" x14ac:dyDescent="0.25">
      <c r="A59" s="53"/>
    </row>
    <row r="60" spans="1:2" x14ac:dyDescent="0.25">
      <c r="A60" s="53"/>
    </row>
    <row r="61" spans="1:2" x14ac:dyDescent="0.25">
      <c r="A61" s="53"/>
    </row>
    <row r="62" spans="1:2" x14ac:dyDescent="0.25">
      <c r="A62" s="53"/>
    </row>
    <row r="63" spans="1:2" x14ac:dyDescent="0.25">
      <c r="A63" s="53"/>
    </row>
    <row r="64" spans="1:2" x14ac:dyDescent="0.25">
      <c r="A64" s="53"/>
    </row>
    <row r="65" spans="1:1" x14ac:dyDescent="0.25">
      <c r="A65" s="53"/>
    </row>
    <row r="66" spans="1:1" x14ac:dyDescent="0.25">
      <c r="A66" s="53"/>
    </row>
    <row r="67" spans="1:1" x14ac:dyDescent="0.25">
      <c r="A67" s="53"/>
    </row>
    <row r="68" spans="1:1" x14ac:dyDescent="0.25">
      <c r="A68" s="53"/>
    </row>
    <row r="69" spans="1:1" x14ac:dyDescent="0.25">
      <c r="A69" s="53"/>
    </row>
    <row r="70" spans="1:1" x14ac:dyDescent="0.25">
      <c r="A70" s="53"/>
    </row>
    <row r="71" spans="1:1" x14ac:dyDescent="0.25">
      <c r="A71" s="53"/>
    </row>
    <row r="72" spans="1:1" x14ac:dyDescent="0.25">
      <c r="A72" s="53"/>
    </row>
    <row r="73" spans="1:1" x14ac:dyDescent="0.25">
      <c r="A73" s="53"/>
    </row>
    <row r="74" spans="1:1" x14ac:dyDescent="0.25">
      <c r="A74" s="53"/>
    </row>
    <row r="75" spans="1:1" x14ac:dyDescent="0.25">
      <c r="A75" s="53"/>
    </row>
    <row r="76" spans="1:1" x14ac:dyDescent="0.25">
      <c r="A76" s="53"/>
    </row>
    <row r="77" spans="1:1" x14ac:dyDescent="0.25">
      <c r="A77" s="53"/>
    </row>
    <row r="78" spans="1:1" x14ac:dyDescent="0.25">
      <c r="A78" s="53"/>
    </row>
    <row r="79" spans="1:1" x14ac:dyDescent="0.25">
      <c r="A79" s="53"/>
    </row>
    <row r="80" spans="1:1" x14ac:dyDescent="0.25">
      <c r="A80" s="53"/>
    </row>
    <row r="81" spans="1:1" x14ac:dyDescent="0.25">
      <c r="A81" s="53"/>
    </row>
    <row r="82" spans="1:1" x14ac:dyDescent="0.25">
      <c r="A82" s="53"/>
    </row>
    <row r="83" spans="1:1" x14ac:dyDescent="0.25">
      <c r="A83" s="53"/>
    </row>
    <row r="84" spans="1:1" x14ac:dyDescent="0.25">
      <c r="A84" s="53"/>
    </row>
    <row r="85" spans="1:1" x14ac:dyDescent="0.25">
      <c r="A85" s="53"/>
    </row>
    <row r="86" spans="1:1" x14ac:dyDescent="0.25">
      <c r="A86" s="53"/>
    </row>
    <row r="87" spans="1:1" x14ac:dyDescent="0.25">
      <c r="A87" s="53"/>
    </row>
    <row r="88" spans="1:1" x14ac:dyDescent="0.25">
      <c r="A88" s="53"/>
    </row>
    <row r="89" spans="1:1" x14ac:dyDescent="0.25">
      <c r="A89" s="53"/>
    </row>
    <row r="90" spans="1:1" x14ac:dyDescent="0.25">
      <c r="A90" s="53"/>
    </row>
    <row r="91" spans="1:1" x14ac:dyDescent="0.25">
      <c r="A91" s="53"/>
    </row>
    <row r="92" spans="1:1" x14ac:dyDescent="0.25">
      <c r="A92" s="53"/>
    </row>
    <row r="93" spans="1:1" x14ac:dyDescent="0.25">
      <c r="A93" s="53"/>
    </row>
    <row r="94" spans="1:1" x14ac:dyDescent="0.25">
      <c r="A94" s="53"/>
    </row>
    <row r="95" spans="1:1" x14ac:dyDescent="0.25">
      <c r="A95" s="53"/>
    </row>
    <row r="96" spans="1:1" x14ac:dyDescent="0.25">
      <c r="A96" s="53"/>
    </row>
    <row r="97" spans="1:1" x14ac:dyDescent="0.25">
      <c r="A97" s="53"/>
    </row>
    <row r="98" spans="1:1" x14ac:dyDescent="0.25">
      <c r="A98" s="53"/>
    </row>
    <row r="99" spans="1:1" x14ac:dyDescent="0.25">
      <c r="A99" s="53"/>
    </row>
    <row r="100" spans="1:1" x14ac:dyDescent="0.25">
      <c r="A100" s="53"/>
    </row>
    <row r="101" spans="1:1" x14ac:dyDescent="0.25">
      <c r="A101" s="53"/>
    </row>
    <row r="102" spans="1:1" x14ac:dyDescent="0.25">
      <c r="A102" s="53"/>
    </row>
    <row r="103" spans="1:1" x14ac:dyDescent="0.25">
      <c r="A103" s="53"/>
    </row>
    <row r="104" spans="1:1" x14ac:dyDescent="0.25">
      <c r="A104" s="53"/>
    </row>
    <row r="105" spans="1:1" x14ac:dyDescent="0.25">
      <c r="A105" s="53"/>
    </row>
    <row r="106" spans="1:1" x14ac:dyDescent="0.25">
      <c r="A106" s="53"/>
    </row>
    <row r="107" spans="1:1" x14ac:dyDescent="0.25">
      <c r="A107" s="53"/>
    </row>
    <row r="108" spans="1:1" x14ac:dyDescent="0.25">
      <c r="A108" s="53"/>
    </row>
    <row r="109" spans="1:1" x14ac:dyDescent="0.25">
      <c r="A109" s="53"/>
    </row>
    <row r="110" spans="1:1" x14ac:dyDescent="0.25">
      <c r="A110" s="53"/>
    </row>
    <row r="111" spans="1:1" x14ac:dyDescent="0.25">
      <c r="A111" s="53"/>
    </row>
    <row r="112" spans="1:1" x14ac:dyDescent="0.25">
      <c r="A112" s="53"/>
    </row>
    <row r="113" spans="1:1" x14ac:dyDescent="0.25">
      <c r="A113" s="53"/>
    </row>
    <row r="114" spans="1:1" x14ac:dyDescent="0.25">
      <c r="A114" s="53"/>
    </row>
    <row r="115" spans="1:1" x14ac:dyDescent="0.25">
      <c r="A115" s="53"/>
    </row>
    <row r="116" spans="1:1" x14ac:dyDescent="0.25">
      <c r="A116" s="53"/>
    </row>
    <row r="117" spans="1:1" x14ac:dyDescent="0.25">
      <c r="A117" s="53"/>
    </row>
    <row r="118" spans="1:1" x14ac:dyDescent="0.25">
      <c r="A118" s="53"/>
    </row>
    <row r="119" spans="1:1" x14ac:dyDescent="0.25">
      <c r="A119" s="53"/>
    </row>
    <row r="120" spans="1:1" x14ac:dyDescent="0.25">
      <c r="A120" s="53"/>
    </row>
    <row r="121" spans="1:1" x14ac:dyDescent="0.25">
      <c r="A121" s="53"/>
    </row>
    <row r="122" spans="1:1" x14ac:dyDescent="0.25">
      <c r="A122" s="53"/>
    </row>
    <row r="123" spans="1:1" x14ac:dyDescent="0.25">
      <c r="A123" s="53"/>
    </row>
    <row r="124" spans="1:1" x14ac:dyDescent="0.25">
      <c r="A124" s="53"/>
    </row>
  </sheetData>
  <sortState ref="A1:B58">
    <sortCondition ref="A1:A58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61" workbookViewId="0">
      <selection activeCell="B80" sqref="B8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317"/>
  <sheetViews>
    <sheetView workbookViewId="0">
      <pane xSplit="2" ySplit="1" topLeftCell="I2" activePane="bottomRight" state="frozen"/>
      <selection activeCell="B1" sqref="B1"/>
      <selection pane="topRight" activeCell="C1" sqref="C1"/>
      <selection pane="bottomLeft" activeCell="B2" sqref="B2"/>
      <selection pane="bottomRight" activeCell="R2" sqref="R2"/>
    </sheetView>
  </sheetViews>
  <sheetFormatPr defaultRowHeight="15" x14ac:dyDescent="0.25"/>
  <cols>
    <col min="1" max="1" width="11.85546875" hidden="1" customWidth="1"/>
    <col min="2" max="2" width="9.42578125" bestFit="1" customWidth="1"/>
    <col min="3" max="3" width="42.28515625" bestFit="1" customWidth="1"/>
    <col min="4" max="4" width="18.85546875" bestFit="1" customWidth="1"/>
    <col min="5" max="6" width="19" bestFit="1" customWidth="1"/>
    <col min="7" max="7" width="23.28515625" bestFit="1" customWidth="1"/>
    <col min="8" max="8" width="8.28515625" bestFit="1" customWidth="1"/>
    <col min="9" max="9" width="11.85546875" bestFit="1" customWidth="1"/>
    <col min="10" max="10" width="12.5703125" hidden="1" customWidth="1"/>
    <col min="11" max="11" width="28.140625" customWidth="1"/>
    <col min="12" max="12" width="15.140625" hidden="1" customWidth="1"/>
    <col min="13" max="13" width="15.28515625" bestFit="1" customWidth="1"/>
    <col min="14" max="14" width="15.42578125" hidden="1" customWidth="1"/>
    <col min="15" max="15" width="16" hidden="1" customWidth="1"/>
    <col min="16" max="16" width="15.5703125" bestFit="1" customWidth="1"/>
    <col min="17" max="17" width="14.85546875" bestFit="1" customWidth="1"/>
    <col min="18" max="18" width="21.5703125" bestFit="1" customWidth="1"/>
    <col min="19" max="19" width="23.42578125" bestFit="1" customWidth="1"/>
    <col min="20" max="20" width="21.85546875" hidden="1" customWidth="1"/>
    <col min="21" max="21" width="23.7109375" hidden="1" customWidth="1"/>
    <col min="22" max="22" width="14.140625" hidden="1" customWidth="1"/>
    <col min="23" max="23" width="15" hidden="1" customWidth="1"/>
    <col min="25" max="25" width="21.5703125" bestFit="1" customWidth="1"/>
    <col min="26" max="26" width="22.7109375" bestFit="1" customWidth="1"/>
    <col min="27" max="27" width="24.85546875" bestFit="1" customWidth="1"/>
    <col min="28" max="28" width="27.5703125" bestFit="1" customWidth="1"/>
    <col min="29" max="29" width="38.42578125" hidden="1" customWidth="1"/>
    <col min="31" max="31" width="38.5703125" bestFit="1" customWidth="1"/>
    <col min="32" max="32" width="40.42578125" bestFit="1" customWidth="1"/>
  </cols>
  <sheetData>
    <row r="1" spans="1:32" x14ac:dyDescent="0.25">
      <c r="A1" t="s">
        <v>0</v>
      </c>
      <c r="B1" t="s">
        <v>1</v>
      </c>
      <c r="C1" t="s">
        <v>2</v>
      </c>
      <c r="D1" s="4" t="s">
        <v>985</v>
      </c>
      <c r="E1" s="4" t="s">
        <v>4</v>
      </c>
      <c r="F1" s="4" t="s">
        <v>5</v>
      </c>
      <c r="G1" s="4" t="s">
        <v>4684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138</v>
      </c>
      <c r="S1" s="4" t="s">
        <v>139</v>
      </c>
      <c r="T1" s="4" t="s">
        <v>140</v>
      </c>
      <c r="U1" s="4" t="s">
        <v>141</v>
      </c>
      <c r="V1" t="s">
        <v>142</v>
      </c>
      <c r="W1" t="s">
        <v>143</v>
      </c>
      <c r="Y1" s="12" t="s">
        <v>993</v>
      </c>
      <c r="Z1" s="13" t="s">
        <v>988</v>
      </c>
      <c r="AA1" s="13" t="s">
        <v>989</v>
      </c>
      <c r="AB1" s="13" t="s">
        <v>995</v>
      </c>
      <c r="AC1" s="13" t="s">
        <v>4585</v>
      </c>
      <c r="AE1" s="4" t="s">
        <v>4682</v>
      </c>
      <c r="AF1" s="4" t="s">
        <v>4683</v>
      </c>
    </row>
    <row r="2" spans="1:32" x14ac:dyDescent="0.25">
      <c r="A2" t="s">
        <v>17</v>
      </c>
      <c r="B2" s="39" t="s">
        <v>4674</v>
      </c>
      <c r="C2" s="3" t="s">
        <v>17</v>
      </c>
      <c r="E2" s="18">
        <v>247179000000</v>
      </c>
      <c r="F2" s="18">
        <v>272602000000</v>
      </c>
      <c r="G2" s="10">
        <v>100</v>
      </c>
      <c r="H2" s="10">
        <v>11.011742999999999</v>
      </c>
      <c r="I2" s="10">
        <v>7.0266570000000002</v>
      </c>
      <c r="J2" s="10">
        <v>5.7397202810000003</v>
      </c>
      <c r="K2" s="10">
        <v>5.7397200000000002</v>
      </c>
      <c r="L2" s="10">
        <v>355.43232810000001</v>
      </c>
      <c r="M2" s="10">
        <v>370.08280000000002</v>
      </c>
      <c r="N2" s="10">
        <v>6.7362019999999996</v>
      </c>
      <c r="O2" s="10">
        <v>-5.7700000000000001E-2</v>
      </c>
      <c r="P2" s="10">
        <v>4.4018791530000003</v>
      </c>
      <c r="Q2" s="10">
        <v>7.0890247320000004</v>
      </c>
      <c r="R2" s="10">
        <v>108.59187900000001</v>
      </c>
      <c r="S2" s="10">
        <v>109.626465</v>
      </c>
      <c r="T2" s="10">
        <v>108.21552699999999</v>
      </c>
      <c r="U2" s="10">
        <v>109.246527</v>
      </c>
      <c r="W2" t="s">
        <v>17</v>
      </c>
    </row>
    <row r="3" spans="1:32" s="15" customFormat="1" x14ac:dyDescent="0.25">
      <c r="B3" s="16"/>
      <c r="E3" s="11"/>
      <c r="F3" s="11"/>
      <c r="G3" s="60"/>
      <c r="H3" s="6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1:32" x14ac:dyDescent="0.25">
      <c r="A4" t="s">
        <v>144</v>
      </c>
      <c r="B4" s="39">
        <v>40847</v>
      </c>
      <c r="C4" s="53" t="s">
        <v>145</v>
      </c>
      <c r="D4" s="4" t="str">
        <f>VLOOKUP(LEFT(C4,2),Sort!$A$1:$B$58,2,FALSE)</f>
        <v>Argentina</v>
      </c>
      <c r="E4" s="72">
        <v>3324243250</v>
      </c>
      <c r="F4" s="72">
        <v>2672298912</v>
      </c>
      <c r="G4" s="58">
        <f>F4/SUMIF($D$4:$D$284,TEXT(D4,"general"),$F$4:$F$284)</f>
        <v>0.44559634433294598</v>
      </c>
      <c r="H4" s="10">
        <v>17.408332999999999</v>
      </c>
      <c r="I4" s="10">
        <v>8.4066519999999993</v>
      </c>
      <c r="J4" s="10">
        <v>10.933296</v>
      </c>
      <c r="K4" s="10">
        <v>10.933296</v>
      </c>
      <c r="L4" s="10">
        <v>842.2953</v>
      </c>
      <c r="M4" s="10">
        <v>862.61890000000005</v>
      </c>
      <c r="N4" s="10">
        <v>8.0021079999999998</v>
      </c>
      <c r="O4" s="10">
        <v>-2.1227</v>
      </c>
      <c r="P4" s="10">
        <v>14.88450984</v>
      </c>
      <c r="Q4" s="10">
        <v>-8.8915908439999995</v>
      </c>
      <c r="R4" s="10">
        <v>77.75</v>
      </c>
      <c r="S4" s="10">
        <v>78.75</v>
      </c>
      <c r="T4" s="10">
        <v>102.418655</v>
      </c>
      <c r="U4" s="10">
        <v>103.73593700000001</v>
      </c>
      <c r="V4" s="53" t="s">
        <v>146</v>
      </c>
      <c r="W4" s="53" t="s">
        <v>147</v>
      </c>
      <c r="Y4" s="10">
        <f>IF(I4&lt;1.99,($F4/$F$303)*I4,IF(AND(I4&gt;1.99,I4&lt;3.99),($F4/$F$304)*I4,IF(AND(I4&gt;3.99,I4&lt;5.99),($F4/$F$305)*I4,IF(AND(I4&gt;5.99,I4&lt;7.99),($F4/$F$306)*I4,IF(AND(I4&gt;7.99,I4&lt;9.99),($F4/$F$307)*I4,IF(I4&gt;9.99,($F4/$F$308)*I4))))))</f>
        <v>0.77829157718588093</v>
      </c>
      <c r="Z4" s="10">
        <f>IF(K4&lt;1.99,($F4/$F$287)*K4,IF(AND(K4&gt;1.99,K4&lt;3.99),($F4/$F$288)*K4,IF(AND(K4&gt;3.99,K4&lt;5.99),($F4/$F$289)*K4,IF(AND(K4&gt;5.99,K4&lt;7.99),($F4/$F$290)*K4,IF(AND(K4&gt;7.99,K4&lt;9.99),($F4/$F$291)*K4,IF(K4&gt;9.99,($F4/$F$292)*K4))))))</f>
        <v>1.3246374204707396</v>
      </c>
      <c r="AA4" s="10">
        <f>IF(M4&lt;199.99,($F4/$F$295)*M4,IF(AND(M4&gt;199.99,M4&lt;399.99),($F4/$F$296)*M4,IF(AND(M4&gt;399.99,M4&lt;599.99),($F4/$F$297)*M4,IF(AND(M4&gt;599.99,M4&lt;799.99),($F4/$F$298)*M4,IF(AND(M4&gt;799.99,M4&lt;999.99),($F4/$F$299)*M4,IF(M4&gt;999.99,($F4/$F$300)*M4))))))</f>
        <v>285.48868782240237</v>
      </c>
      <c r="AB4" s="10">
        <f>IF(S4&lt;49.99,($F4/$F$311)*S4,IF(AND(S4&gt;49.99,S4&lt;79.99),($F4/$F$312)*S4,IF(AND(S4&gt;79.99,S4&lt;99.99),($F4/$F$313)*S4,IF(AND(S4&gt;99.99,S4&lt;119.99),($F4/$F$314)*S4,IF(AND(S4&gt;119.99,S4&lt;139.99),($F4/$F$315)*S4,IF(S4&gt;139.99,($F4/$F$316)*S4))))))</f>
        <v>15.500839256260868</v>
      </c>
      <c r="AC4" t="e">
        <f ca="1">_xll.BDP("US040114GL81 isin","YLD YTM BID","PX BID","72.50","SETTLE DT","20111021")</f>
        <v>#NAME?</v>
      </c>
      <c r="AE4" s="10">
        <f>G4*R4</f>
        <v>34.645115771886552</v>
      </c>
      <c r="AF4" s="10">
        <f>G4*S4</f>
        <v>35.090712116219493</v>
      </c>
    </row>
    <row r="5" spans="1:32" x14ac:dyDescent="0.25">
      <c r="A5" t="s">
        <v>148</v>
      </c>
      <c r="B5" s="39">
        <v>40847</v>
      </c>
      <c r="C5" s="53" t="s">
        <v>149</v>
      </c>
      <c r="D5" s="4" t="str">
        <f>VLOOKUP(LEFT(C5,2),Sort!$A$1:$B$58,2,FALSE)</f>
        <v>Argentina</v>
      </c>
      <c r="E5" s="72">
        <v>1232248638</v>
      </c>
      <c r="F5" s="72">
        <v>956404905.60000002</v>
      </c>
      <c r="G5" s="58">
        <f t="shared" ref="G5:G68" si="0">F5/SUMIF($D$4:$D$284,TEXT(D5,"general"),$F$4:$F$284)</f>
        <v>0.15947711826836844</v>
      </c>
      <c r="H5" s="10">
        <v>17.408332999999999</v>
      </c>
      <c r="I5" s="10">
        <v>8.2460109999999993</v>
      </c>
      <c r="J5" s="10">
        <v>11.354385000000001</v>
      </c>
      <c r="K5" s="10">
        <v>11.354385000000001</v>
      </c>
      <c r="L5" s="10">
        <v>884.40419999999995</v>
      </c>
      <c r="M5" s="10">
        <v>906.35140000000001</v>
      </c>
      <c r="N5" s="10">
        <v>7.8532909999999996</v>
      </c>
      <c r="O5" s="10">
        <v>-2.1972</v>
      </c>
      <c r="P5" s="10">
        <v>15.058772859999999</v>
      </c>
      <c r="Q5" s="10">
        <v>-11.00116064</v>
      </c>
      <c r="R5" s="10">
        <v>75</v>
      </c>
      <c r="S5" s="10">
        <v>76</v>
      </c>
      <c r="T5" s="10">
        <v>98.796130000000005</v>
      </c>
      <c r="U5" s="10">
        <v>100.113412</v>
      </c>
      <c r="V5" s="53" t="s">
        <v>146</v>
      </c>
      <c r="W5" s="53" t="s">
        <v>150</v>
      </c>
      <c r="Y5" s="10">
        <f t="shared" ref="Y5:Y68" si="1">IF(I5&lt;1.99,($F5/$F$303)*I5,IF(AND(I5&gt;1.99,I5&lt;3.99),($F5/$F$304)*I5,IF(AND(I5&gt;3.99,I5&lt;5.99),($F5/$F$305)*I5,IF(AND(I5&gt;5.99,I5&lt;7.99),($F5/$F$306)*I5,IF(AND(I5&gt;7.99,I5&lt;9.99),($F5/$F$307)*I5,IF(I5&gt;9.99,($F5/$F$308)*I5))))))</f>
        <v>0.27322468291278157</v>
      </c>
      <c r="Z5" s="10">
        <f t="shared" ref="Z5:Z68" si="2">IF(K5&lt;1.99,($F5/$F$287)*K5,IF(AND(K5&gt;1.99,K5&lt;3.99),($F5/$F$288)*K5,IF(AND(K5&gt;3.99,K5&lt;5.99),($F5/$F$289)*K5,IF(AND(K5&gt;5.99,K5&lt;7.99),($F5/$F$290)*K5,IF(AND(K5&gt;7.99,K5&lt;9.99),($F5/$F$291)*K5,IF(K5&gt;9.99,($F5/$F$292)*K5))))))</f>
        <v>0.49234132454440582</v>
      </c>
      <c r="AA5" s="10">
        <f t="shared" ref="AA5:AA68" si="3">IF(M5&lt;199.99,($F5/$F$295)*M5,IF(AND(M5&gt;199.99,M5&lt;399.99),($F5/$F$296)*M5,IF(AND(M5&gt;399.99,M5&lt;599.99),($F5/$F$297)*M5,IF(AND(M5&gt;599.99,M5&lt;799.99),($F5/$F$298)*M5,IF(AND(M5&gt;799.99,M5&lt;999.99),($F5/$F$299)*M5,IF(M5&gt;999.99,($F5/$F$300)*M5))))))</f>
        <v>107.35525436128246</v>
      </c>
      <c r="AB5" s="10">
        <f t="shared" ref="AB5:AB68" si="4">IF(S5&lt;49.99,($F5/$F$311)*S5,IF(AND(S5&gt;49.99,S5&lt;79.99),($F5/$F$312)*S5,IF(AND(S5&gt;79.99,S5&lt;99.99),($F5/$F$313)*S5,IF(AND(S5&gt;99.99,S5&lt;119.99),($F5/$F$314)*S5,IF(AND(S5&gt;119.99,S5&lt;139.99),($F5/$F$315)*S5,IF(S5&gt;139.99,($F5/$F$316)*S5))))))</f>
        <v>5.3539585261997971</v>
      </c>
      <c r="AE5" s="10">
        <f t="shared" ref="AE5:AE32" si="5">G5*R5</f>
        <v>11.960783870127633</v>
      </c>
      <c r="AF5" s="10">
        <f t="shared" ref="AF5:AF32" si="6">G5*S5</f>
        <v>12.120260988396002</v>
      </c>
    </row>
    <row r="6" spans="1:32" x14ac:dyDescent="0.25">
      <c r="A6" t="s">
        <v>151</v>
      </c>
      <c r="B6" s="39">
        <v>40847</v>
      </c>
      <c r="C6" s="53" t="s">
        <v>152</v>
      </c>
      <c r="D6" s="4" t="str">
        <f>VLOOKUP(LEFT(C6,2),Sort!$A$1:$B$58,2,FALSE)</f>
        <v>Argentina</v>
      </c>
      <c r="E6" s="72">
        <v>4328522053</v>
      </c>
      <c r="F6" s="72">
        <v>1622294009</v>
      </c>
      <c r="G6" s="58">
        <f t="shared" si="0"/>
        <v>0.27051175921881276</v>
      </c>
      <c r="H6" s="10">
        <v>22.645833</v>
      </c>
      <c r="I6" s="10">
        <v>12.308189</v>
      </c>
      <c r="J6" s="10">
        <v>10.261227</v>
      </c>
      <c r="K6" s="10">
        <v>10.261227</v>
      </c>
      <c r="L6" s="10">
        <v>748.4819</v>
      </c>
      <c r="M6" s="10">
        <v>752.65139999999997</v>
      </c>
      <c r="N6" s="10">
        <v>11.507977</v>
      </c>
      <c r="O6" s="10">
        <v>-1.2985</v>
      </c>
      <c r="P6" s="10">
        <v>10.935253299999999</v>
      </c>
      <c r="Q6" s="10">
        <v>-11.543188710000001</v>
      </c>
      <c r="R6" s="10">
        <v>37.25</v>
      </c>
      <c r="S6" s="10">
        <v>38</v>
      </c>
      <c r="T6" s="10">
        <v>37.25</v>
      </c>
      <c r="U6" s="10">
        <v>38</v>
      </c>
      <c r="V6" s="53" t="s">
        <v>146</v>
      </c>
      <c r="W6" s="53" t="s">
        <v>153</v>
      </c>
      <c r="Y6" s="10">
        <f t="shared" si="1"/>
        <v>0.36543506532590653</v>
      </c>
      <c r="Z6" s="10">
        <f t="shared" si="2"/>
        <v>0.75472674156929853</v>
      </c>
      <c r="AA6" s="10">
        <f t="shared" si="3"/>
        <v>163.92933950653807</v>
      </c>
      <c r="AB6" s="10">
        <f t="shared" si="4"/>
        <v>33.522790901231758</v>
      </c>
      <c r="AE6" s="10">
        <f t="shared" si="5"/>
        <v>10.076563030900775</v>
      </c>
      <c r="AF6" s="10">
        <f t="shared" si="6"/>
        <v>10.279446850314885</v>
      </c>
    </row>
    <row r="7" spans="1:32" x14ac:dyDescent="0.25">
      <c r="A7" t="s">
        <v>154</v>
      </c>
      <c r="B7" s="39">
        <v>40847</v>
      </c>
      <c r="C7" s="53" t="s">
        <v>155</v>
      </c>
      <c r="D7" s="4" t="str">
        <f>VLOOKUP(LEFT(C7,2),Sort!$A$1:$B$58,2,FALSE)</f>
        <v>Argentina</v>
      </c>
      <c r="E7" s="72">
        <v>775845314.10000002</v>
      </c>
      <c r="F7" s="72">
        <v>746131517</v>
      </c>
      <c r="G7" s="58">
        <f t="shared" si="0"/>
        <v>0.12441477817987276</v>
      </c>
      <c r="H7" s="10">
        <v>5.5805559999999996</v>
      </c>
      <c r="I7" s="10">
        <v>4.1522350000000001</v>
      </c>
      <c r="J7" s="10">
        <v>10.307062</v>
      </c>
      <c r="K7" s="10">
        <v>10.307062</v>
      </c>
      <c r="L7" s="10">
        <v>915.30880000000002</v>
      </c>
      <c r="M7" s="10">
        <v>925.50620000000004</v>
      </c>
      <c r="N7" s="10">
        <v>4.0991289999999996</v>
      </c>
      <c r="O7" s="10">
        <v>-1.0044</v>
      </c>
      <c r="P7" s="10">
        <v>6.572013052</v>
      </c>
      <c r="Q7" s="10">
        <v>-3.6396270409999998</v>
      </c>
      <c r="R7" s="10">
        <v>92.5</v>
      </c>
      <c r="S7" s="10">
        <v>93.5</v>
      </c>
      <c r="T7" s="10">
        <v>92.5</v>
      </c>
      <c r="U7" s="10">
        <v>93.5</v>
      </c>
      <c r="V7" s="53" t="s">
        <v>156</v>
      </c>
      <c r="W7" s="53" t="s">
        <v>157</v>
      </c>
      <c r="Y7" s="10">
        <f t="shared" si="1"/>
        <v>6.2118635632008382E-2</v>
      </c>
      <c r="Z7" s="10">
        <f t="shared" si="2"/>
        <v>0.34866724671633276</v>
      </c>
      <c r="AA7" s="10">
        <f t="shared" si="3"/>
        <v>85.522348420049184</v>
      </c>
      <c r="AB7" s="10">
        <f t="shared" si="4"/>
        <v>2.322503865395861</v>
      </c>
      <c r="AE7" s="10">
        <f t="shared" si="5"/>
        <v>11.508366981638231</v>
      </c>
      <c r="AF7" s="10">
        <f t="shared" si="6"/>
        <v>11.632781759818103</v>
      </c>
    </row>
    <row r="8" spans="1:32" x14ac:dyDescent="0.25">
      <c r="A8" t="s">
        <v>221</v>
      </c>
      <c r="B8" s="39">
        <v>40847</v>
      </c>
      <c r="C8" s="53" t="s">
        <v>222</v>
      </c>
      <c r="D8" s="4" t="str">
        <f>VLOOKUP(LEFT(C8,2),Sort!$A$1:$B$58,2,FALSE)</f>
        <v>Belarus</v>
      </c>
      <c r="E8" s="72">
        <v>1000000000</v>
      </c>
      <c r="F8" s="72">
        <v>864375000</v>
      </c>
      <c r="G8" s="58">
        <f t="shared" si="0"/>
        <v>0.55706209851604105</v>
      </c>
      <c r="H8" s="10">
        <v>3.75</v>
      </c>
      <c r="I8" s="10">
        <v>2.9640439999999999</v>
      </c>
      <c r="J8" s="10">
        <v>13.724943</v>
      </c>
      <c r="K8" s="10">
        <v>13.724943</v>
      </c>
      <c r="L8" s="10">
        <v>1310.6943000000001</v>
      </c>
      <c r="M8" s="10">
        <v>1316.5675000000001</v>
      </c>
      <c r="N8" s="10">
        <v>2.9513940000000001</v>
      </c>
      <c r="O8" s="10">
        <v>-1.3982000000000001</v>
      </c>
      <c r="P8" s="10">
        <v>17.19235922</v>
      </c>
      <c r="Q8" s="10">
        <v>-10.463827800000001</v>
      </c>
      <c r="R8" s="10">
        <v>84.25</v>
      </c>
      <c r="S8" s="10">
        <v>85.75</v>
      </c>
      <c r="T8" s="10">
        <v>84.25</v>
      </c>
      <c r="U8" s="10">
        <v>85.75</v>
      </c>
      <c r="V8" s="53" t="s">
        <v>146</v>
      </c>
      <c r="W8" s="53" t="s">
        <v>223</v>
      </c>
      <c r="Y8" s="10">
        <f t="shared" si="1"/>
        <v>5.5711950400957506E-2</v>
      </c>
      <c r="Z8" s="10">
        <f t="shared" si="2"/>
        <v>0.53786542211368915</v>
      </c>
      <c r="AA8" s="10">
        <f t="shared" si="3"/>
        <v>74.653060316469748</v>
      </c>
      <c r="AB8" s="10">
        <f t="shared" si="4"/>
        <v>2.4675489432561051</v>
      </c>
      <c r="AE8" s="10">
        <f t="shared" si="5"/>
        <v>46.932481799976458</v>
      </c>
      <c r="AF8" s="10">
        <f t="shared" si="6"/>
        <v>47.76807494775052</v>
      </c>
    </row>
    <row r="9" spans="1:32" x14ac:dyDescent="0.25">
      <c r="A9" t="s">
        <v>224</v>
      </c>
      <c r="B9" s="39">
        <v>40847</v>
      </c>
      <c r="C9" s="53" t="s">
        <v>225</v>
      </c>
      <c r="D9" s="4" t="str">
        <f>VLOOKUP(LEFT(C9,2),Sort!$A$1:$B$58,2,FALSE)</f>
        <v>Belarus</v>
      </c>
      <c r="E9" s="72">
        <v>800000000</v>
      </c>
      <c r="F9" s="72">
        <v>687292224</v>
      </c>
      <c r="G9" s="58">
        <f t="shared" si="0"/>
        <v>0.4429379014839589</v>
      </c>
      <c r="H9" s="10">
        <v>6.230556</v>
      </c>
      <c r="I9" s="10">
        <v>4.4307280000000002</v>
      </c>
      <c r="J9" s="10">
        <v>12.476093000000001</v>
      </c>
      <c r="K9" s="10">
        <v>12.476093000000001</v>
      </c>
      <c r="L9" s="10">
        <v>1113.0694000000001</v>
      </c>
      <c r="M9" s="10">
        <v>1126.5008</v>
      </c>
      <c r="N9" s="10">
        <v>4.358924</v>
      </c>
      <c r="O9" s="10">
        <v>-1.1223000000000001</v>
      </c>
      <c r="P9" s="10">
        <v>17.340763890000002</v>
      </c>
      <c r="Q9" s="10">
        <v>-8.3473939999999995</v>
      </c>
      <c r="R9" s="10">
        <v>83.5</v>
      </c>
      <c r="S9" s="10">
        <v>85</v>
      </c>
      <c r="T9" s="10">
        <v>83.5</v>
      </c>
      <c r="U9" s="10">
        <v>85</v>
      </c>
      <c r="V9" s="53" t="s">
        <v>146</v>
      </c>
      <c r="W9" s="53" t="s">
        <v>226</v>
      </c>
      <c r="Y9" s="10">
        <f t="shared" si="1"/>
        <v>6.1057795271407395E-2</v>
      </c>
      <c r="Z9" s="10">
        <f t="shared" si="2"/>
        <v>0.38875940827714589</v>
      </c>
      <c r="AA9" s="10">
        <f t="shared" si="3"/>
        <v>50.789650351311735</v>
      </c>
      <c r="AB9" s="10">
        <f t="shared" si="4"/>
        <v>1.9448665434828161</v>
      </c>
      <c r="AE9" s="10">
        <f t="shared" si="5"/>
        <v>36.985314773910567</v>
      </c>
      <c r="AF9" s="10">
        <f t="shared" si="6"/>
        <v>37.649721626136504</v>
      </c>
    </row>
    <row r="10" spans="1:32" x14ac:dyDescent="0.25">
      <c r="A10" t="s">
        <v>227</v>
      </c>
      <c r="B10" s="39">
        <v>40847</v>
      </c>
      <c r="C10" s="53" t="s">
        <v>228</v>
      </c>
      <c r="D10" s="4" t="str">
        <f>VLOOKUP(LEFT(C10,2),Sort!$A$1:$B$58,2,FALSE)</f>
        <v>Belize</v>
      </c>
      <c r="E10" s="72">
        <v>546800000</v>
      </c>
      <c r="F10" s="72">
        <v>334732735.19999999</v>
      </c>
      <c r="G10" s="58">
        <f t="shared" si="0"/>
        <v>1</v>
      </c>
      <c r="H10" s="10">
        <v>12.548194000000001</v>
      </c>
      <c r="I10" s="10">
        <v>6.0078199999999997</v>
      </c>
      <c r="J10" s="10">
        <v>15.423082000000001</v>
      </c>
      <c r="K10" s="10">
        <v>15.423082000000001</v>
      </c>
      <c r="L10" s="10">
        <v>1315.9634000000001</v>
      </c>
      <c r="M10" s="10">
        <v>1351.0780999999999</v>
      </c>
      <c r="N10" s="10">
        <v>5.7971950000000003</v>
      </c>
      <c r="O10" s="10">
        <v>2.7199999999999998E-2</v>
      </c>
      <c r="P10" s="10">
        <v>0.76817579300000005</v>
      </c>
      <c r="Q10" s="10">
        <v>-24.712337909999999</v>
      </c>
      <c r="R10" s="10">
        <v>60</v>
      </c>
      <c r="S10" s="10">
        <v>62</v>
      </c>
      <c r="T10" s="10">
        <v>60</v>
      </c>
      <c r="U10" s="10">
        <v>62</v>
      </c>
      <c r="V10" s="53" t="s">
        <v>146</v>
      </c>
      <c r="W10" s="53" t="s">
        <v>229</v>
      </c>
      <c r="Y10" s="10">
        <f t="shared" si="1"/>
        <v>2.4358573795716373E-2</v>
      </c>
      <c r="Z10" s="10">
        <f t="shared" si="2"/>
        <v>0.23406163399051649</v>
      </c>
      <c r="AA10" s="10">
        <f t="shared" si="3"/>
        <v>29.667498490559101</v>
      </c>
      <c r="AB10" s="10">
        <f t="shared" si="4"/>
        <v>1.528655035038837</v>
      </c>
      <c r="AE10" s="10">
        <f t="shared" si="5"/>
        <v>60</v>
      </c>
      <c r="AF10" s="10">
        <f t="shared" si="6"/>
        <v>62</v>
      </c>
    </row>
    <row r="11" spans="1:32" x14ac:dyDescent="0.25">
      <c r="A11" t="s">
        <v>161</v>
      </c>
      <c r="B11" s="39">
        <v>40847</v>
      </c>
      <c r="C11" s="53" t="s">
        <v>162</v>
      </c>
      <c r="D11" s="4" t="str">
        <f>VLOOKUP(LEFT(C11,2),Sort!$A$1:$B$58,2,FALSE)</f>
        <v>Brazil</v>
      </c>
      <c r="E11" s="72">
        <v>391309581.89999998</v>
      </c>
      <c r="F11" s="72">
        <v>468201913.5</v>
      </c>
      <c r="G11" s="58">
        <f t="shared" si="0"/>
        <v>2.4674926585140512E-2</v>
      </c>
      <c r="H11" s="10">
        <v>3.2017090000000001</v>
      </c>
      <c r="I11" s="10">
        <v>2.8864920000000001</v>
      </c>
      <c r="J11" s="10">
        <v>2.0889790000000001</v>
      </c>
      <c r="K11" s="10">
        <v>2.0889790000000001</v>
      </c>
      <c r="L11" s="10">
        <v>163.108</v>
      </c>
      <c r="M11" s="10">
        <v>132.77250000000001</v>
      </c>
      <c r="N11" s="10">
        <v>2.861599</v>
      </c>
      <c r="O11" s="10">
        <v>-0.3977</v>
      </c>
      <c r="P11" s="10">
        <v>-0.31474086299999998</v>
      </c>
      <c r="Q11" s="10">
        <v>3.3088222040000002</v>
      </c>
      <c r="R11" s="10">
        <v>117.25</v>
      </c>
      <c r="S11" s="10">
        <v>118</v>
      </c>
      <c r="T11" s="10">
        <v>84.680555999999996</v>
      </c>
      <c r="U11" s="10">
        <v>85.222223</v>
      </c>
      <c r="V11" s="53" t="s">
        <v>146</v>
      </c>
      <c r="W11" s="53" t="s">
        <v>163</v>
      </c>
      <c r="Y11" s="10">
        <f t="shared" si="1"/>
        <v>2.9387663714279845E-2</v>
      </c>
      <c r="Z11" s="10">
        <f t="shared" si="2"/>
        <v>1.2668817476532118E-2</v>
      </c>
      <c r="AA11" s="10">
        <f t="shared" si="3"/>
        <v>0.95472072335717961</v>
      </c>
      <c r="AB11" s="10">
        <f t="shared" si="4"/>
        <v>0.36784323776246891</v>
      </c>
      <c r="AE11" s="10">
        <f t="shared" si="5"/>
        <v>2.8931351421077252</v>
      </c>
      <c r="AF11" s="10">
        <f t="shared" si="6"/>
        <v>2.9116413370465803</v>
      </c>
    </row>
    <row r="12" spans="1:32" x14ac:dyDescent="0.25">
      <c r="A12" t="s">
        <v>164</v>
      </c>
      <c r="B12" s="39">
        <v>40847</v>
      </c>
      <c r="C12" s="53" t="s">
        <v>165</v>
      </c>
      <c r="D12" s="4" t="str">
        <f>VLOOKUP(LEFT(C12,2),Sort!$A$1:$B$58,2,FALSE)</f>
        <v>Brazil</v>
      </c>
      <c r="E12" s="72">
        <v>466374112.69999999</v>
      </c>
      <c r="F12" s="72">
        <v>506346259.10000002</v>
      </c>
      <c r="G12" s="58">
        <f t="shared" si="0"/>
        <v>2.6685189465704813E-2</v>
      </c>
      <c r="H12" s="10">
        <v>8.6944440000000007</v>
      </c>
      <c r="I12" s="10">
        <v>7.0061730000000004</v>
      </c>
      <c r="J12" s="10">
        <v>4.3324049999999996</v>
      </c>
      <c r="K12" s="10">
        <v>4.3324049999999996</v>
      </c>
      <c r="L12" s="10">
        <v>244.2979</v>
      </c>
      <c r="M12" s="10">
        <v>251.49430000000001</v>
      </c>
      <c r="N12" s="10">
        <v>6.800764</v>
      </c>
      <c r="O12" s="10">
        <v>-0.78559999999999997</v>
      </c>
      <c r="P12" s="10">
        <v>4.3769106850000004</v>
      </c>
      <c r="Q12" s="10">
        <v>8.7778305939999992</v>
      </c>
      <c r="R12" s="10">
        <v>106.875</v>
      </c>
      <c r="S12" s="10">
        <v>108.375</v>
      </c>
      <c r="T12" s="10">
        <v>106.875</v>
      </c>
      <c r="U12" s="10">
        <v>108.375</v>
      </c>
      <c r="V12" s="53" t="s">
        <v>146</v>
      </c>
      <c r="W12" s="53" t="s">
        <v>166</v>
      </c>
      <c r="Y12" s="10">
        <f t="shared" si="1"/>
        <v>4.2969986840019347E-2</v>
      </c>
      <c r="Z12" s="10">
        <f t="shared" si="2"/>
        <v>1.7004956981290776E-2</v>
      </c>
      <c r="AA12" s="10">
        <f t="shared" si="3"/>
        <v>0.86968104691784909</v>
      </c>
      <c r="AB12" s="10">
        <f t="shared" si="4"/>
        <v>0.36536277843823312</v>
      </c>
      <c r="AE12" s="10">
        <f t="shared" si="5"/>
        <v>2.851979624147202</v>
      </c>
      <c r="AF12" s="10">
        <f t="shared" si="6"/>
        <v>2.892007408345759</v>
      </c>
    </row>
    <row r="13" spans="1:32" x14ac:dyDescent="0.25">
      <c r="A13" t="s">
        <v>167</v>
      </c>
      <c r="B13" s="39">
        <v>40847</v>
      </c>
      <c r="C13" s="53" t="s">
        <v>168</v>
      </c>
      <c r="D13" s="4" t="str">
        <f>VLOOKUP(LEFT(C13,2),Sort!$A$1:$B$58,2,FALSE)</f>
        <v>Brazil</v>
      </c>
      <c r="E13" s="72">
        <v>466374112.69999999</v>
      </c>
      <c r="F13" s="72">
        <v>542542071.60000002</v>
      </c>
      <c r="G13" s="58">
        <f t="shared" si="0"/>
        <v>2.8592761798014413E-2</v>
      </c>
      <c r="H13" s="10">
        <v>7.6027779999999998</v>
      </c>
      <c r="I13" s="10">
        <v>6.0921799999999999</v>
      </c>
      <c r="J13" s="10">
        <v>4.1405349999999999</v>
      </c>
      <c r="K13" s="10">
        <v>4.1405349999999999</v>
      </c>
      <c r="L13" s="10">
        <v>245.5615</v>
      </c>
      <c r="M13" s="10">
        <v>254.7482</v>
      </c>
      <c r="N13" s="10">
        <v>5.945862</v>
      </c>
      <c r="O13" s="10">
        <v>-0.30590000000000001</v>
      </c>
      <c r="P13" s="10">
        <v>3.7970133339999999</v>
      </c>
      <c r="Q13" s="10">
        <v>9.5234768229999993</v>
      </c>
      <c r="R13" s="10">
        <v>113.75</v>
      </c>
      <c r="S13" s="10">
        <v>115.25</v>
      </c>
      <c r="T13" s="10">
        <v>113.75</v>
      </c>
      <c r="U13" s="10">
        <v>115.25</v>
      </c>
      <c r="V13" s="53" t="s">
        <v>146</v>
      </c>
      <c r="W13" s="53" t="s">
        <v>169</v>
      </c>
      <c r="Y13" s="10">
        <f t="shared" si="1"/>
        <v>4.0035283285498012E-2</v>
      </c>
      <c r="Z13" s="10">
        <f t="shared" si="2"/>
        <v>1.741360804513355E-2</v>
      </c>
      <c r="AA13" s="10">
        <f t="shared" si="3"/>
        <v>0.9439061130811448</v>
      </c>
      <c r="AB13" s="10">
        <f t="shared" si="4"/>
        <v>0.41631488634145986</v>
      </c>
      <c r="AE13" s="10">
        <f t="shared" si="5"/>
        <v>3.2524266545241396</v>
      </c>
      <c r="AF13" s="10">
        <f t="shared" si="6"/>
        <v>3.2953157972211611</v>
      </c>
    </row>
    <row r="14" spans="1:32" x14ac:dyDescent="0.25">
      <c r="A14" t="s">
        <v>170</v>
      </c>
      <c r="B14" s="39">
        <v>40847</v>
      </c>
      <c r="C14" s="53" t="s">
        <v>171</v>
      </c>
      <c r="D14" s="4" t="str">
        <f>VLOOKUP(LEFT(C14,2),Sort!$A$1:$B$58,2,FALSE)</f>
        <v>Brazil</v>
      </c>
      <c r="E14" s="72">
        <v>466374112.69999999</v>
      </c>
      <c r="F14" s="72">
        <v>538306527.20000005</v>
      </c>
      <c r="G14" s="58">
        <f t="shared" si="0"/>
        <v>2.8369542404618867E-2</v>
      </c>
      <c r="H14" s="10">
        <v>6.625</v>
      </c>
      <c r="I14" s="10">
        <v>5.4561120000000001</v>
      </c>
      <c r="J14" s="10">
        <v>3.8644400000000001</v>
      </c>
      <c r="K14" s="10">
        <v>3.8644400000000001</v>
      </c>
      <c r="L14" s="10">
        <v>240.2877</v>
      </c>
      <c r="M14" s="10">
        <v>248.31559999999999</v>
      </c>
      <c r="N14" s="10">
        <v>5.3518369999999997</v>
      </c>
      <c r="O14" s="10">
        <v>-0.52339999999999998</v>
      </c>
      <c r="P14" s="10">
        <v>3.3537051409999998</v>
      </c>
      <c r="Q14" s="10">
        <v>8.8487394599999991</v>
      </c>
      <c r="R14" s="10">
        <v>113</v>
      </c>
      <c r="S14" s="10">
        <v>114.5</v>
      </c>
      <c r="T14" s="10">
        <v>113</v>
      </c>
      <c r="U14" s="10">
        <v>114.5</v>
      </c>
      <c r="V14" s="53" t="s">
        <v>146</v>
      </c>
      <c r="W14" s="53" t="s">
        <v>172</v>
      </c>
      <c r="Y14" s="10">
        <f t="shared" si="1"/>
        <v>5.8889453062707008E-2</v>
      </c>
      <c r="Z14" s="10">
        <f t="shared" si="2"/>
        <v>2.6945424838962138E-2</v>
      </c>
      <c r="AA14" s="10">
        <f t="shared" si="3"/>
        <v>0.91288885165561218</v>
      </c>
      <c r="AB14" s="10">
        <f t="shared" si="4"/>
        <v>0.41037672147518811</v>
      </c>
      <c r="AE14" s="10">
        <f t="shared" si="5"/>
        <v>3.2057582917219318</v>
      </c>
      <c r="AF14" s="10">
        <f t="shared" si="6"/>
        <v>3.2483126053288602</v>
      </c>
    </row>
    <row r="15" spans="1:32" x14ac:dyDescent="0.25">
      <c r="A15" t="s">
        <v>173</v>
      </c>
      <c r="B15" s="39">
        <v>40847</v>
      </c>
      <c r="C15" s="53" t="s">
        <v>174</v>
      </c>
      <c r="D15" s="4" t="str">
        <f>VLOOKUP(LEFT(C15,2),Sort!$A$1:$B$58,2,FALSE)</f>
        <v>Brazil</v>
      </c>
      <c r="E15" s="72">
        <v>246476386.69999999</v>
      </c>
      <c r="F15" s="72">
        <v>313466615.5</v>
      </c>
      <c r="G15" s="58">
        <f t="shared" si="0"/>
        <v>1.6520149750210215E-2</v>
      </c>
      <c r="H15" s="10">
        <v>2.697222</v>
      </c>
      <c r="I15" s="10">
        <v>2.3788960000000001</v>
      </c>
      <c r="J15" s="10">
        <v>1.1527259999999999</v>
      </c>
      <c r="K15" s="10">
        <v>1.1527259999999999</v>
      </c>
      <c r="L15" s="10">
        <v>79.974800000000002</v>
      </c>
      <c r="M15" s="10">
        <v>82.869299999999996</v>
      </c>
      <c r="N15" s="10">
        <v>2.3782990000000002</v>
      </c>
      <c r="O15" s="10">
        <v>2.29E-2</v>
      </c>
      <c r="P15" s="10">
        <v>1.1666822750000001</v>
      </c>
      <c r="Q15" s="10">
        <v>4.282673054</v>
      </c>
      <c r="R15" s="10">
        <v>124</v>
      </c>
      <c r="S15" s="10">
        <v>124.75</v>
      </c>
      <c r="T15" s="10">
        <v>124</v>
      </c>
      <c r="U15" s="10">
        <v>124.75</v>
      </c>
      <c r="V15" s="53" t="s">
        <v>146</v>
      </c>
      <c r="W15" s="53" t="s">
        <v>175</v>
      </c>
      <c r="Y15" s="10">
        <f t="shared" si="1"/>
        <v>1.6215422540693768E-2</v>
      </c>
      <c r="Z15" s="10">
        <f t="shared" si="2"/>
        <v>4.0959078343913428E-2</v>
      </c>
      <c r="AA15" s="10">
        <f t="shared" si="3"/>
        <v>0.39895140392763095</v>
      </c>
      <c r="AB15" s="10">
        <f t="shared" si="4"/>
        <v>0.78853987123137625</v>
      </c>
      <c r="AE15" s="10">
        <f t="shared" si="5"/>
        <v>2.0484985690260666</v>
      </c>
      <c r="AF15" s="10">
        <f t="shared" si="6"/>
        <v>2.0608886813387244</v>
      </c>
    </row>
    <row r="16" spans="1:32" x14ac:dyDescent="0.25">
      <c r="A16" t="s">
        <v>176</v>
      </c>
      <c r="B16" s="39">
        <v>40847</v>
      </c>
      <c r="C16" s="53" t="s">
        <v>177</v>
      </c>
      <c r="D16" s="4" t="str">
        <f>VLOOKUP(LEFT(C16,2),Sort!$A$1:$B$58,2,FALSE)</f>
        <v>Brazil</v>
      </c>
      <c r="E16" s="72">
        <v>314275523.30000001</v>
      </c>
      <c r="F16" s="72">
        <v>370443542.5</v>
      </c>
      <c r="G16" s="58">
        <f t="shared" si="0"/>
        <v>1.9522917253363338E-2</v>
      </c>
      <c r="H16" s="10">
        <v>1.6222220000000001</v>
      </c>
      <c r="I16" s="10">
        <v>1.4913749999999999</v>
      </c>
      <c r="J16" s="10">
        <v>0.91240900000000003</v>
      </c>
      <c r="K16" s="10">
        <v>0.91240900000000003</v>
      </c>
      <c r="L16" s="10">
        <v>72.2453</v>
      </c>
      <c r="M16" s="10">
        <v>72.904600000000002</v>
      </c>
      <c r="N16" s="10">
        <v>1.486569</v>
      </c>
      <c r="O16" s="10">
        <v>-0.18759999999999999</v>
      </c>
      <c r="P16" s="10">
        <v>0.38085735999999998</v>
      </c>
      <c r="Q16" s="10">
        <v>2.0392615420000002</v>
      </c>
      <c r="R16" s="10">
        <v>114</v>
      </c>
      <c r="S16" s="10">
        <v>115</v>
      </c>
      <c r="T16" s="10">
        <v>114</v>
      </c>
      <c r="U16" s="10">
        <v>115</v>
      </c>
      <c r="V16" s="53" t="s">
        <v>146</v>
      </c>
      <c r="W16" s="53" t="s">
        <v>178</v>
      </c>
      <c r="Y16" s="10">
        <f t="shared" si="1"/>
        <v>5.1744736975276574E-2</v>
      </c>
      <c r="Z16" s="10">
        <f t="shared" si="2"/>
        <v>3.831284309826765E-2</v>
      </c>
      <c r="AA16" s="10">
        <f t="shared" si="3"/>
        <v>0.41477444669687258</v>
      </c>
      <c r="AB16" s="10">
        <f t="shared" si="4"/>
        <v>0.28363998518374883</v>
      </c>
      <c r="AE16" s="10">
        <f t="shared" si="5"/>
        <v>2.2256125668834206</v>
      </c>
      <c r="AF16" s="10">
        <f t="shared" si="6"/>
        <v>2.2451354841367839</v>
      </c>
    </row>
    <row r="17" spans="1:32" x14ac:dyDescent="0.25">
      <c r="A17" t="s">
        <v>179</v>
      </c>
      <c r="B17" s="39">
        <v>40847</v>
      </c>
      <c r="C17" s="53" t="s">
        <v>180</v>
      </c>
      <c r="D17" s="4" t="str">
        <f>VLOOKUP(LEFT(C17,2),Sort!$A$1:$B$58,2,FALSE)</f>
        <v>Brazil</v>
      </c>
      <c r="E17" s="72">
        <v>1222254620</v>
      </c>
      <c r="F17" s="72">
        <v>2037804015</v>
      </c>
      <c r="G17" s="58">
        <f t="shared" si="0"/>
        <v>0.10739525622427763</v>
      </c>
      <c r="H17" s="10">
        <v>15.538888999999999</v>
      </c>
      <c r="I17" s="10">
        <v>9.4873709999999996</v>
      </c>
      <c r="J17" s="10">
        <v>4.4598170000000001</v>
      </c>
      <c r="K17" s="10">
        <v>4.4598170000000001</v>
      </c>
      <c r="L17" s="10">
        <v>204.44409999999999</v>
      </c>
      <c r="M17" s="10">
        <v>208.15459999999999</v>
      </c>
      <c r="N17" s="10">
        <v>9.0231560000000002</v>
      </c>
      <c r="O17" s="10">
        <v>1.6899999999999998E-2</v>
      </c>
      <c r="P17" s="10">
        <v>2.7976887619999999</v>
      </c>
      <c r="Q17" s="10">
        <v>12.08308369</v>
      </c>
      <c r="R17" s="10">
        <v>162</v>
      </c>
      <c r="S17" s="10">
        <v>163</v>
      </c>
      <c r="T17" s="10">
        <v>162</v>
      </c>
      <c r="U17" s="10">
        <v>163</v>
      </c>
      <c r="V17" s="53" t="s">
        <v>146</v>
      </c>
      <c r="W17" s="53" t="s">
        <v>181</v>
      </c>
      <c r="Y17" s="10">
        <f t="shared" si="1"/>
        <v>0.669795959235303</v>
      </c>
      <c r="Z17" s="10">
        <f t="shared" si="2"/>
        <v>7.0449568219724076E-2</v>
      </c>
      <c r="AA17" s="10">
        <f t="shared" si="3"/>
        <v>2.896894503382943</v>
      </c>
      <c r="AB17" s="10">
        <f t="shared" si="4"/>
        <v>12.138946923677642</v>
      </c>
      <c r="AE17" s="10">
        <f t="shared" si="5"/>
        <v>17.398031508332977</v>
      </c>
      <c r="AF17" s="10">
        <f t="shared" si="6"/>
        <v>17.505426764557253</v>
      </c>
    </row>
    <row r="18" spans="1:32" x14ac:dyDescent="0.25">
      <c r="A18" t="s">
        <v>182</v>
      </c>
      <c r="B18" s="39">
        <v>40847</v>
      </c>
      <c r="C18" s="53" t="s">
        <v>183</v>
      </c>
      <c r="D18" s="4" t="str">
        <f>VLOOKUP(LEFT(C18,2),Sort!$A$1:$B$58,2,FALSE)</f>
        <v>Brazil</v>
      </c>
      <c r="E18" s="72">
        <v>791278302</v>
      </c>
      <c r="F18" s="72">
        <v>1064840793</v>
      </c>
      <c r="G18" s="58">
        <f t="shared" si="0"/>
        <v>5.6118669391422307E-2</v>
      </c>
      <c r="H18" s="10">
        <v>28.788889000000001</v>
      </c>
      <c r="I18" s="10">
        <v>10.477624</v>
      </c>
      <c r="J18" s="10">
        <v>8.0741250000000004</v>
      </c>
      <c r="K18" s="10">
        <v>8.0741250000000004</v>
      </c>
      <c r="L18" s="10">
        <v>498.56490000000002</v>
      </c>
      <c r="M18" s="10">
        <v>544.82000000000005</v>
      </c>
      <c r="N18" s="10">
        <v>9.8248490000000004</v>
      </c>
      <c r="O18" s="10">
        <v>0.2089</v>
      </c>
      <c r="P18" s="10">
        <v>0.82833749400000001</v>
      </c>
      <c r="Q18" s="10">
        <v>5.0792875610000001</v>
      </c>
      <c r="R18" s="10">
        <v>132.25</v>
      </c>
      <c r="S18" s="10">
        <v>132.5</v>
      </c>
      <c r="T18" s="10">
        <v>132.25</v>
      </c>
      <c r="U18" s="10">
        <v>132.5</v>
      </c>
      <c r="V18" s="53" t="s">
        <v>146</v>
      </c>
      <c r="W18" s="53" t="s">
        <v>184</v>
      </c>
      <c r="Y18" s="10">
        <f t="shared" si="1"/>
        <v>0.20418977301666594</v>
      </c>
      <c r="Z18" s="10">
        <f t="shared" si="2"/>
        <v>1.0218424774048478</v>
      </c>
      <c r="AA18" s="10">
        <f t="shared" si="3"/>
        <v>19.148389365035086</v>
      </c>
      <c r="AB18" s="10">
        <f t="shared" si="4"/>
        <v>2.8450661394562538</v>
      </c>
      <c r="AE18" s="10">
        <f t="shared" si="5"/>
        <v>7.4216940270156</v>
      </c>
      <c r="AF18" s="10">
        <f t="shared" si="6"/>
        <v>7.4357236943634559</v>
      </c>
    </row>
    <row r="19" spans="1:32" x14ac:dyDescent="0.25">
      <c r="A19" t="s">
        <v>185</v>
      </c>
      <c r="B19" s="39">
        <v>40847</v>
      </c>
      <c r="C19" s="53" t="s">
        <v>186</v>
      </c>
      <c r="D19" s="4" t="str">
        <f>VLOOKUP(LEFT(C19,2),Sort!$A$1:$B$58,2,FALSE)</f>
        <v>Brazil</v>
      </c>
      <c r="E19" s="72">
        <v>297358268.80000001</v>
      </c>
      <c r="F19" s="72">
        <v>563314264.39999998</v>
      </c>
      <c r="G19" s="58">
        <f t="shared" si="0"/>
        <v>2.9687486782200925E-2</v>
      </c>
      <c r="H19" s="10">
        <v>18.341667000000001</v>
      </c>
      <c r="I19" s="10">
        <v>10.226437000000001</v>
      </c>
      <c r="J19" s="10">
        <v>4.8347860000000003</v>
      </c>
      <c r="K19" s="10">
        <v>4.8347860000000003</v>
      </c>
      <c r="L19" s="10">
        <v>227.7029</v>
      </c>
      <c r="M19" s="10">
        <v>235.77109999999999</v>
      </c>
      <c r="N19" s="10">
        <v>9.6778619999999993</v>
      </c>
      <c r="O19" s="10">
        <v>-0.24540000000000001</v>
      </c>
      <c r="P19" s="10">
        <v>2.963678142</v>
      </c>
      <c r="Q19" s="10">
        <v>9.2828448080000001</v>
      </c>
      <c r="R19" s="10">
        <v>187.5</v>
      </c>
      <c r="S19" s="10">
        <v>189.5</v>
      </c>
      <c r="T19" s="10">
        <v>187.5</v>
      </c>
      <c r="U19" s="10">
        <v>189.5</v>
      </c>
      <c r="V19" s="53" t="s">
        <v>146</v>
      </c>
      <c r="W19" s="53" t="s">
        <v>187</v>
      </c>
      <c r="Y19" s="10">
        <f t="shared" si="1"/>
        <v>0.10542936549342286</v>
      </c>
      <c r="Z19" s="10">
        <f t="shared" si="2"/>
        <v>2.1111878996061921E-2</v>
      </c>
      <c r="AA19" s="10">
        <f t="shared" si="3"/>
        <v>0.90703818743485332</v>
      </c>
      <c r="AB19" s="10">
        <f t="shared" si="4"/>
        <v>3.9011348030047577</v>
      </c>
      <c r="AE19" s="10">
        <f t="shared" si="5"/>
        <v>5.5664037716626735</v>
      </c>
      <c r="AF19" s="10">
        <f t="shared" si="6"/>
        <v>5.6257787452270751</v>
      </c>
    </row>
    <row r="20" spans="1:32" x14ac:dyDescent="0.25">
      <c r="A20" t="s">
        <v>188</v>
      </c>
      <c r="B20" s="39">
        <v>40847</v>
      </c>
      <c r="C20" s="53" t="s">
        <v>189</v>
      </c>
      <c r="D20" s="4" t="str">
        <f>VLOOKUP(LEFT(C20,2),Sort!$A$1:$B$58,2,FALSE)</f>
        <v>Brazil</v>
      </c>
      <c r="E20" s="72">
        <v>1008534019</v>
      </c>
      <c r="F20" s="72">
        <v>1126711090</v>
      </c>
      <c r="G20" s="58">
        <f t="shared" si="0"/>
        <v>5.9379324660563663E-2</v>
      </c>
      <c r="H20" s="10">
        <v>9.2194439999999993</v>
      </c>
      <c r="I20" s="10">
        <v>7.6067080000000002</v>
      </c>
      <c r="J20" s="10">
        <v>3.5120469999999999</v>
      </c>
      <c r="K20" s="10">
        <v>3.5120469999999999</v>
      </c>
      <c r="L20" s="10">
        <v>152.4271</v>
      </c>
      <c r="M20" s="10">
        <v>158.51130000000001</v>
      </c>
      <c r="N20" s="10">
        <v>7.3613280000000003</v>
      </c>
      <c r="O20" s="10">
        <v>0.46179999999999999</v>
      </c>
      <c r="P20" s="10">
        <v>3.6933560760000002</v>
      </c>
      <c r="Q20" s="10">
        <v>12.23105529</v>
      </c>
      <c r="R20" s="10">
        <v>110.35</v>
      </c>
      <c r="S20" s="10">
        <v>110.65</v>
      </c>
      <c r="T20" s="10">
        <v>110.35</v>
      </c>
      <c r="U20" s="10">
        <v>110.65</v>
      </c>
      <c r="V20" s="53" t="s">
        <v>146</v>
      </c>
      <c r="W20" s="53" t="s">
        <v>190</v>
      </c>
      <c r="Y20" s="10">
        <f t="shared" si="1"/>
        <v>0.10381164483679121</v>
      </c>
      <c r="Z20" s="10">
        <f t="shared" si="2"/>
        <v>5.1255645701229778E-2</v>
      </c>
      <c r="AA20" s="10">
        <f t="shared" si="3"/>
        <v>2.7428864515170219</v>
      </c>
      <c r="AB20" s="10">
        <f t="shared" si="4"/>
        <v>0.83006398746523735</v>
      </c>
      <c r="AE20" s="10">
        <f t="shared" si="5"/>
        <v>6.5525084762932</v>
      </c>
      <c r="AF20" s="10">
        <f t="shared" si="6"/>
        <v>6.57032227369137</v>
      </c>
    </row>
    <row r="21" spans="1:32" x14ac:dyDescent="0.25">
      <c r="A21" t="s">
        <v>191</v>
      </c>
      <c r="B21" s="39">
        <v>40847</v>
      </c>
      <c r="C21" s="53" t="s">
        <v>192</v>
      </c>
      <c r="D21" s="4" t="str">
        <f>VLOOKUP(LEFT(C21,2),Sort!$A$1:$B$58,2,FALSE)</f>
        <v>Brazil</v>
      </c>
      <c r="E21" s="72">
        <v>851132755.70000005</v>
      </c>
      <c r="F21" s="72">
        <v>981462458.89999998</v>
      </c>
      <c r="G21" s="58">
        <f t="shared" si="0"/>
        <v>5.1724509065743038E-2</v>
      </c>
      <c r="H21" s="10">
        <v>29.177778</v>
      </c>
      <c r="I21" s="10">
        <v>15.378879</v>
      </c>
      <c r="J21" s="10">
        <v>4.7200530000000001</v>
      </c>
      <c r="K21" s="10">
        <v>4.7200530000000001</v>
      </c>
      <c r="L21" s="10">
        <v>161.18219999999999</v>
      </c>
      <c r="M21" s="10">
        <v>176.49369999999999</v>
      </c>
      <c r="N21" s="10">
        <v>14.209818</v>
      </c>
      <c r="O21" s="10">
        <v>0.36170000000000002</v>
      </c>
      <c r="P21" s="10">
        <v>5.6701037740000002</v>
      </c>
      <c r="Q21" s="10">
        <v>19.335352149999999</v>
      </c>
      <c r="R21" s="10">
        <v>113.5</v>
      </c>
      <c r="S21" s="10">
        <v>114.25</v>
      </c>
      <c r="T21" s="10">
        <v>113.5</v>
      </c>
      <c r="U21" s="10">
        <v>114.25</v>
      </c>
      <c r="V21" s="53" t="s">
        <v>146</v>
      </c>
      <c r="W21" s="53" t="s">
        <v>193</v>
      </c>
      <c r="Y21" s="10">
        <f t="shared" si="1"/>
        <v>0.27623892117562215</v>
      </c>
      <c r="Z21" s="10">
        <f t="shared" si="2"/>
        <v>3.5910334547376729E-2</v>
      </c>
      <c r="AA21" s="10">
        <f t="shared" si="3"/>
        <v>2.6603448284899227</v>
      </c>
      <c r="AB21" s="10">
        <f t="shared" si="4"/>
        <v>0.74658195057023147</v>
      </c>
      <c r="AE21" s="10">
        <f t="shared" si="5"/>
        <v>5.8707317789618347</v>
      </c>
      <c r="AF21" s="10">
        <f t="shared" si="6"/>
        <v>5.9095251607611416</v>
      </c>
    </row>
    <row r="22" spans="1:32" x14ac:dyDescent="0.25">
      <c r="A22" t="s">
        <v>194</v>
      </c>
      <c r="B22" s="39">
        <v>40847</v>
      </c>
      <c r="C22" s="53" t="s">
        <v>195</v>
      </c>
      <c r="D22" s="4" t="str">
        <f>VLOOKUP(LEFT(C22,2),Sort!$A$1:$B$58,2,FALSE)</f>
        <v>Brazil</v>
      </c>
      <c r="E22" s="72">
        <v>1044678012</v>
      </c>
      <c r="F22" s="72">
        <v>1245909114</v>
      </c>
      <c r="G22" s="58">
        <f t="shared" si="0"/>
        <v>6.5661235106651186E-2</v>
      </c>
      <c r="H22" s="10">
        <v>7.2</v>
      </c>
      <c r="I22" s="10">
        <v>6.0244479999999996</v>
      </c>
      <c r="J22" s="10">
        <v>3.0334789999999998</v>
      </c>
      <c r="K22" s="10">
        <v>3.0334789999999998</v>
      </c>
      <c r="L22" s="10">
        <v>142.40119999999999</v>
      </c>
      <c r="M22" s="10">
        <v>150.6619</v>
      </c>
      <c r="N22" s="10">
        <v>5.8876059999999999</v>
      </c>
      <c r="O22" s="10">
        <v>9.7600000000000006E-2</v>
      </c>
      <c r="P22" s="10">
        <v>2.454302819</v>
      </c>
      <c r="Q22" s="10">
        <v>10.288711109999999</v>
      </c>
      <c r="R22" s="10">
        <v>117.5</v>
      </c>
      <c r="S22" s="10">
        <v>118.25</v>
      </c>
      <c r="T22" s="10">
        <v>117.5</v>
      </c>
      <c r="U22" s="10">
        <v>118.25</v>
      </c>
      <c r="V22" s="53" t="s">
        <v>146</v>
      </c>
      <c r="W22" s="53" t="s">
        <v>196</v>
      </c>
      <c r="Y22" s="10">
        <f t="shared" si="1"/>
        <v>9.0916012751560304E-2</v>
      </c>
      <c r="Z22" s="10">
        <f t="shared" si="2"/>
        <v>4.8954900960410649E-2</v>
      </c>
      <c r="AA22" s="10">
        <f t="shared" si="3"/>
        <v>2.8828685165878922</v>
      </c>
      <c r="AB22" s="10">
        <f t="shared" si="4"/>
        <v>0.98092340543760836</v>
      </c>
      <c r="AE22" s="10">
        <f t="shared" si="5"/>
        <v>7.7151951250315145</v>
      </c>
      <c r="AF22" s="10">
        <f t="shared" si="6"/>
        <v>7.7644410513615032</v>
      </c>
    </row>
    <row r="23" spans="1:32" x14ac:dyDescent="0.25">
      <c r="A23" t="s">
        <v>197</v>
      </c>
      <c r="B23" s="39">
        <v>40847</v>
      </c>
      <c r="C23" s="53" t="s">
        <v>198</v>
      </c>
      <c r="D23" s="4" t="str">
        <f>VLOOKUP(LEFT(C23,2),Sort!$A$1:$B$58,2,FALSE)</f>
        <v>Brazil</v>
      </c>
      <c r="E23" s="72">
        <v>1184527895</v>
      </c>
      <c r="F23" s="72">
        <v>1400901661</v>
      </c>
      <c r="G23" s="58">
        <f t="shared" si="0"/>
        <v>7.3829569340656709E-2</v>
      </c>
      <c r="H23" s="10">
        <v>5.2055559999999996</v>
      </c>
      <c r="I23" s="10">
        <v>4.5311909999999997</v>
      </c>
      <c r="J23" s="10">
        <v>2.4493550000000002</v>
      </c>
      <c r="K23" s="10">
        <v>2.4493550000000002</v>
      </c>
      <c r="L23" s="10">
        <v>140.58189999999999</v>
      </c>
      <c r="M23" s="10">
        <v>145.6857</v>
      </c>
      <c r="N23" s="10">
        <v>4.4785349999999999</v>
      </c>
      <c r="O23" s="10">
        <v>9.8699999999999996E-2</v>
      </c>
      <c r="P23" s="10">
        <v>2.439726716</v>
      </c>
      <c r="Q23" s="10">
        <v>7.7545551140000004</v>
      </c>
      <c r="R23" s="10">
        <v>116.5</v>
      </c>
      <c r="S23" s="10">
        <v>117.25</v>
      </c>
      <c r="T23" s="10">
        <v>116.5</v>
      </c>
      <c r="U23" s="10">
        <v>117.25</v>
      </c>
      <c r="V23" s="53" t="s">
        <v>146</v>
      </c>
      <c r="W23" s="53" t="s">
        <v>199</v>
      </c>
      <c r="Y23" s="10">
        <f t="shared" si="1"/>
        <v>0.12727544306239227</v>
      </c>
      <c r="Z23" s="10">
        <f t="shared" si="2"/>
        <v>4.4445541891968622E-2</v>
      </c>
      <c r="AA23" s="10">
        <f t="shared" si="3"/>
        <v>3.1344374511630497</v>
      </c>
      <c r="AB23" s="10">
        <f t="shared" si="4"/>
        <v>1.093624136469235</v>
      </c>
      <c r="AE23" s="10">
        <f t="shared" si="5"/>
        <v>8.6011448281865057</v>
      </c>
      <c r="AF23" s="10">
        <f t="shared" si="6"/>
        <v>8.6565170051919988</v>
      </c>
    </row>
    <row r="24" spans="1:32" x14ac:dyDescent="0.25">
      <c r="A24" t="s">
        <v>200</v>
      </c>
      <c r="B24" s="39">
        <v>40847</v>
      </c>
      <c r="C24" s="53" t="s">
        <v>201</v>
      </c>
      <c r="D24" s="4" t="str">
        <f>VLOOKUP(LEFT(C24,2),Sort!$A$1:$B$58,2,FALSE)</f>
        <v>Brazil</v>
      </c>
      <c r="E24" s="72">
        <v>1428524502</v>
      </c>
      <c r="F24" s="72">
        <v>1939772593</v>
      </c>
      <c r="G24" s="58">
        <f t="shared" si="0"/>
        <v>0.10222885670488112</v>
      </c>
      <c r="H24" s="10">
        <v>25.213889000000002</v>
      </c>
      <c r="I24" s="10">
        <v>13.630819000000001</v>
      </c>
      <c r="J24" s="10">
        <v>4.7462499999999999</v>
      </c>
      <c r="K24" s="10">
        <v>4.7462499999999999</v>
      </c>
      <c r="L24" s="10">
        <v>183.9384</v>
      </c>
      <c r="M24" s="10">
        <v>192.39949999999999</v>
      </c>
      <c r="N24" s="10">
        <v>12.685649</v>
      </c>
      <c r="O24" s="10">
        <v>-9.5799999999999996E-2</v>
      </c>
      <c r="P24" s="10">
        <v>5.2751860559999999</v>
      </c>
      <c r="Q24" s="10">
        <v>17.374270760000002</v>
      </c>
      <c r="R24" s="10">
        <v>133.75</v>
      </c>
      <c r="S24" s="10">
        <v>134.75</v>
      </c>
      <c r="T24" s="10">
        <v>133.75</v>
      </c>
      <c r="U24" s="10">
        <v>134.75</v>
      </c>
      <c r="V24" s="53" t="s">
        <v>146</v>
      </c>
      <c r="W24" s="53" t="s">
        <v>202</v>
      </c>
      <c r="Y24" s="10">
        <f t="shared" si="1"/>
        <v>0.48390406094238486</v>
      </c>
      <c r="Z24" s="10">
        <f t="shared" si="2"/>
        <v>7.1367471869604585E-2</v>
      </c>
      <c r="AA24" s="10">
        <f t="shared" si="3"/>
        <v>5.7317836657130359</v>
      </c>
      <c r="AB24" s="10">
        <f t="shared" si="4"/>
        <v>5.2707376670947053</v>
      </c>
      <c r="AE24" s="10">
        <f t="shared" si="5"/>
        <v>13.673109584277849</v>
      </c>
      <c r="AF24" s="10">
        <f t="shared" si="6"/>
        <v>13.775338440982731</v>
      </c>
    </row>
    <row r="25" spans="1:32" x14ac:dyDescent="0.25">
      <c r="A25" t="s">
        <v>203</v>
      </c>
      <c r="B25" s="39">
        <v>40847</v>
      </c>
      <c r="C25" s="53" t="s">
        <v>204</v>
      </c>
      <c r="D25" s="4" t="str">
        <f>VLOOKUP(LEFT(C25,2),Sort!$A$1:$B$58,2,FALSE)</f>
        <v>Brazil</v>
      </c>
      <c r="E25" s="72">
        <v>615557863.89999998</v>
      </c>
      <c r="F25" s="72">
        <v>736976652.60000002</v>
      </c>
      <c r="G25" s="58">
        <f t="shared" si="0"/>
        <v>3.8839748991900701E-2</v>
      </c>
      <c r="H25" s="10">
        <v>3.35</v>
      </c>
      <c r="I25" s="10">
        <v>2.9857680000000002</v>
      </c>
      <c r="J25" s="10">
        <v>1.9052549999999999</v>
      </c>
      <c r="K25" s="10">
        <v>1.9052549999999999</v>
      </c>
      <c r="L25" s="10">
        <v>140.40549999999999</v>
      </c>
      <c r="M25" s="10">
        <v>144.21850000000001</v>
      </c>
      <c r="N25" s="10">
        <v>2.9793850000000002</v>
      </c>
      <c r="O25" s="10">
        <v>0.2276</v>
      </c>
      <c r="P25" s="10">
        <v>1.2366560129999999</v>
      </c>
      <c r="Q25" s="10">
        <v>4.5829225559999998</v>
      </c>
      <c r="R25" s="10">
        <v>118.5</v>
      </c>
      <c r="S25" s="10">
        <v>119.25</v>
      </c>
      <c r="T25" s="10">
        <v>118.5</v>
      </c>
      <c r="U25" s="10">
        <v>119.25</v>
      </c>
      <c r="V25" s="53" t="s">
        <v>146</v>
      </c>
      <c r="W25" s="53" t="s">
        <v>205</v>
      </c>
      <c r="Y25" s="10">
        <f t="shared" si="1"/>
        <v>4.7848828348080144E-2</v>
      </c>
      <c r="Z25" s="10">
        <f t="shared" si="2"/>
        <v>0.15916208935135182</v>
      </c>
      <c r="AA25" s="10">
        <f t="shared" si="3"/>
        <v>1.6323366674063873</v>
      </c>
      <c r="AB25" s="10">
        <f t="shared" si="4"/>
        <v>0.58513988547378848</v>
      </c>
      <c r="AE25" s="10">
        <f t="shared" si="5"/>
        <v>4.6025102555402331</v>
      </c>
      <c r="AF25" s="10">
        <f t="shared" si="6"/>
        <v>4.6316400672841587</v>
      </c>
    </row>
    <row r="26" spans="1:32" x14ac:dyDescent="0.25">
      <c r="A26" t="s">
        <v>206</v>
      </c>
      <c r="B26" s="39">
        <v>40847</v>
      </c>
      <c r="C26" s="53" t="s">
        <v>207</v>
      </c>
      <c r="D26" s="4" t="str">
        <f>VLOOKUP(LEFT(C26,2),Sort!$A$1:$B$58,2,FALSE)</f>
        <v>Brazil</v>
      </c>
      <c r="E26" s="72">
        <v>1046067807</v>
      </c>
      <c r="F26" s="72">
        <v>1549335391</v>
      </c>
      <c r="G26" s="58">
        <f t="shared" si="0"/>
        <v>8.1652244312506367E-2</v>
      </c>
      <c r="H26" s="10">
        <v>22.213889000000002</v>
      </c>
      <c r="I26" s="10">
        <v>12.308144</v>
      </c>
      <c r="J26" s="10">
        <v>4.802988</v>
      </c>
      <c r="K26" s="10">
        <v>4.802988</v>
      </c>
      <c r="L26" s="10">
        <v>204.85220000000001</v>
      </c>
      <c r="M26" s="10">
        <v>209.80240000000001</v>
      </c>
      <c r="N26" s="10">
        <v>11.524452</v>
      </c>
      <c r="O26" s="10">
        <v>-0.3211</v>
      </c>
      <c r="P26" s="10">
        <v>4.1426787689999998</v>
      </c>
      <c r="Q26" s="10">
        <v>14.7290148</v>
      </c>
      <c r="R26" s="10">
        <v>145.75</v>
      </c>
      <c r="S26" s="10">
        <v>146.75</v>
      </c>
      <c r="T26" s="10">
        <v>145.75</v>
      </c>
      <c r="U26" s="10">
        <v>146.75</v>
      </c>
      <c r="V26" s="53" t="s">
        <v>146</v>
      </c>
      <c r="W26" s="53" t="s">
        <v>208</v>
      </c>
      <c r="Y26" s="10">
        <f t="shared" si="1"/>
        <v>0.3489992607155874</v>
      </c>
      <c r="Z26" s="10">
        <f t="shared" si="2"/>
        <v>5.7684060876153125E-2</v>
      </c>
      <c r="AA26" s="10">
        <f t="shared" si="3"/>
        <v>2.2199344290588092</v>
      </c>
      <c r="AB26" s="10">
        <f t="shared" si="4"/>
        <v>8.3091107173745495</v>
      </c>
      <c r="AE26" s="10">
        <f t="shared" si="5"/>
        <v>11.900814608547803</v>
      </c>
      <c r="AF26" s="10">
        <f t="shared" si="6"/>
        <v>11.982466852860309</v>
      </c>
    </row>
    <row r="27" spans="1:32" x14ac:dyDescent="0.25">
      <c r="A27" t="s">
        <v>209</v>
      </c>
      <c r="B27" s="39">
        <v>40847</v>
      </c>
      <c r="C27" s="53" t="s">
        <v>210</v>
      </c>
      <c r="D27" s="4" t="str">
        <f>VLOOKUP(LEFT(C27,2),Sort!$A$1:$B$58,2,FALSE)</f>
        <v>Brazil</v>
      </c>
      <c r="E27" s="72">
        <v>795998008.10000002</v>
      </c>
      <c r="F27" s="72">
        <v>1173406088</v>
      </c>
      <c r="G27" s="58">
        <f t="shared" si="0"/>
        <v>6.1840219446170477E-2</v>
      </c>
      <c r="H27" s="10">
        <v>13.252777999999999</v>
      </c>
      <c r="I27" s="10">
        <v>8.9591180000000001</v>
      </c>
      <c r="J27" s="10">
        <v>4.1707869999999998</v>
      </c>
      <c r="K27" s="10">
        <v>4.1707869999999998</v>
      </c>
      <c r="L27" s="10">
        <v>187.15459999999999</v>
      </c>
      <c r="M27" s="10">
        <v>191.19380000000001</v>
      </c>
      <c r="N27" s="10">
        <v>8.5624540000000007</v>
      </c>
      <c r="O27" s="10">
        <v>0.52800000000000002</v>
      </c>
      <c r="P27" s="10">
        <v>3.824802096</v>
      </c>
      <c r="Q27" s="10">
        <v>12.437947449999999</v>
      </c>
      <c r="R27" s="10">
        <v>145.25</v>
      </c>
      <c r="S27" s="10">
        <v>146.25</v>
      </c>
      <c r="T27" s="10">
        <v>145.25</v>
      </c>
      <c r="U27" s="10">
        <v>146.25</v>
      </c>
      <c r="V27" s="53" t="s">
        <v>146</v>
      </c>
      <c r="W27" s="53" t="s">
        <v>211</v>
      </c>
      <c r="Y27" s="10">
        <f t="shared" si="1"/>
        <v>0.36420660669353738</v>
      </c>
      <c r="Z27" s="10">
        <f t="shared" si="2"/>
        <v>3.7937196306084338E-2</v>
      </c>
      <c r="AA27" s="10">
        <f t="shared" si="3"/>
        <v>3.4455390360515548</v>
      </c>
      <c r="AB27" s="10">
        <f t="shared" si="4"/>
        <v>6.2715545834110236</v>
      </c>
      <c r="AE27" s="10">
        <f t="shared" si="5"/>
        <v>8.9822918745562621</v>
      </c>
      <c r="AF27" s="10">
        <f t="shared" si="6"/>
        <v>9.0441320940024319</v>
      </c>
    </row>
    <row r="28" spans="1:32" x14ac:dyDescent="0.25">
      <c r="A28" t="s">
        <v>212</v>
      </c>
      <c r="B28" s="39">
        <v>40847</v>
      </c>
      <c r="C28" s="53" t="s">
        <v>213</v>
      </c>
      <c r="D28" s="4" t="str">
        <f>VLOOKUP(LEFT(C28,2),Sort!$A$1:$B$58,2,FALSE)</f>
        <v>Brazil</v>
      </c>
      <c r="E28" s="72">
        <v>555251027.39999998</v>
      </c>
      <c r="F28" s="72">
        <v>771623485.39999998</v>
      </c>
      <c r="G28" s="58">
        <f t="shared" si="0"/>
        <v>4.0665687825334446E-2</v>
      </c>
      <c r="H28" s="10">
        <v>7.95</v>
      </c>
      <c r="I28" s="10">
        <v>6.2180140000000002</v>
      </c>
      <c r="J28" s="10">
        <v>3.2049159999999999</v>
      </c>
      <c r="K28" s="10">
        <v>3.2049159999999999</v>
      </c>
      <c r="L28" s="10">
        <v>145.4949</v>
      </c>
      <c r="M28" s="10">
        <v>158.17859999999999</v>
      </c>
      <c r="N28" s="10">
        <v>6.0634629999999996</v>
      </c>
      <c r="O28" s="10">
        <v>1.77E-2</v>
      </c>
      <c r="P28" s="10">
        <v>2.7165777699999998</v>
      </c>
      <c r="Q28" s="10">
        <v>10.735196589999999</v>
      </c>
      <c r="R28" s="10">
        <v>138.5</v>
      </c>
      <c r="S28" s="10">
        <v>139.5</v>
      </c>
      <c r="T28" s="10">
        <v>138.5</v>
      </c>
      <c r="U28" s="10">
        <v>139.5</v>
      </c>
      <c r="V28" s="53" t="s">
        <v>146</v>
      </c>
      <c r="W28" s="53" t="s">
        <v>214</v>
      </c>
      <c r="Y28" s="10">
        <f t="shared" si="1"/>
        <v>5.8115755910557121E-2</v>
      </c>
      <c r="Z28" s="10">
        <f t="shared" si="2"/>
        <v>3.2032505509562936E-2</v>
      </c>
      <c r="AA28" s="10">
        <f t="shared" si="3"/>
        <v>1.8745118810243546</v>
      </c>
      <c r="AB28" s="10">
        <f t="shared" si="4"/>
        <v>2.1705582917554764</v>
      </c>
      <c r="AE28" s="10">
        <f t="shared" si="5"/>
        <v>5.6321977638088203</v>
      </c>
      <c r="AF28" s="10">
        <f t="shared" si="6"/>
        <v>5.6728634516341554</v>
      </c>
    </row>
    <row r="29" spans="1:32" x14ac:dyDescent="0.25">
      <c r="A29" t="s">
        <v>215</v>
      </c>
      <c r="B29" s="39">
        <v>40847</v>
      </c>
      <c r="C29" s="53" t="s">
        <v>216</v>
      </c>
      <c r="D29" s="4" t="str">
        <f>VLOOKUP(LEFT(C29,2),Sort!$A$1:$B$58,2,FALSE)</f>
        <v>Brazil</v>
      </c>
      <c r="E29" s="72">
        <v>806174291.20000005</v>
      </c>
      <c r="F29" s="72">
        <v>1176560992</v>
      </c>
      <c r="G29" s="58">
        <f t="shared" si="0"/>
        <v>6.2006487507745081E-2</v>
      </c>
      <c r="H29" s="10">
        <v>12.45</v>
      </c>
      <c r="I29" s="10">
        <v>8.6578189999999999</v>
      </c>
      <c r="J29" s="10">
        <v>4.0752430000000004</v>
      </c>
      <c r="K29" s="10">
        <v>4.0752430000000004</v>
      </c>
      <c r="L29" s="10">
        <v>181.67830000000001</v>
      </c>
      <c r="M29" s="10">
        <v>188.46250000000001</v>
      </c>
      <c r="N29" s="10">
        <v>8.2993919999999992</v>
      </c>
      <c r="O29" s="10">
        <v>1.6899999999999998E-2</v>
      </c>
      <c r="P29" s="10">
        <v>2.3703978879999998</v>
      </c>
      <c r="Q29" s="10">
        <v>10.980045609999999</v>
      </c>
      <c r="R29" s="10">
        <v>145.5</v>
      </c>
      <c r="S29" s="10">
        <v>146.5</v>
      </c>
      <c r="T29" s="10">
        <v>145.5</v>
      </c>
      <c r="U29" s="10">
        <v>146.5</v>
      </c>
      <c r="V29" s="53" t="s">
        <v>146</v>
      </c>
      <c r="W29" s="53" t="s">
        <v>217</v>
      </c>
      <c r="Y29" s="10">
        <f t="shared" si="1"/>
        <v>0.35290448160581228</v>
      </c>
      <c r="Z29" s="10">
        <f t="shared" si="2"/>
        <v>3.7167798600246604E-2</v>
      </c>
      <c r="AA29" s="10">
        <f t="shared" si="3"/>
        <v>3.4054493548923501</v>
      </c>
      <c r="AB29" s="10">
        <f t="shared" si="4"/>
        <v>6.2991661664346745</v>
      </c>
      <c r="AE29" s="10">
        <f t="shared" si="5"/>
        <v>9.0219439323769102</v>
      </c>
      <c r="AF29" s="10">
        <f t="shared" si="6"/>
        <v>9.0839504198846548</v>
      </c>
    </row>
    <row r="30" spans="1:32" x14ac:dyDescent="0.25">
      <c r="A30" t="s">
        <v>218</v>
      </c>
      <c r="B30" s="39">
        <v>40847</v>
      </c>
      <c r="C30" s="53" t="s">
        <v>219</v>
      </c>
      <c r="D30" s="4" t="str">
        <f>VLOOKUP(LEFT(C30,2),Sort!$A$1:$B$58,2,FALSE)</f>
        <v>Brazil</v>
      </c>
      <c r="E30" s="72">
        <v>322110608.39999998</v>
      </c>
      <c r="F30" s="72">
        <v>466879195</v>
      </c>
      <c r="G30" s="58">
        <f t="shared" si="0"/>
        <v>2.4605217382894146E-2</v>
      </c>
      <c r="H30" s="10">
        <v>12.45</v>
      </c>
      <c r="I30" s="10">
        <v>8.6393109999999993</v>
      </c>
      <c r="J30" s="10">
        <v>4.1562159999999997</v>
      </c>
      <c r="K30" s="10">
        <v>4.1562159999999997</v>
      </c>
      <c r="L30" s="10">
        <v>189.7756</v>
      </c>
      <c r="M30" s="10">
        <v>196.69900000000001</v>
      </c>
      <c r="N30" s="10">
        <v>8.2819450000000003</v>
      </c>
      <c r="O30" s="10">
        <v>1.7000000000000001E-2</v>
      </c>
      <c r="P30" s="10">
        <v>2.386844441</v>
      </c>
      <c r="Q30" s="10">
        <v>11.06183768</v>
      </c>
      <c r="R30" s="10">
        <v>144.5</v>
      </c>
      <c r="S30" s="10">
        <v>145.5</v>
      </c>
      <c r="T30" s="10">
        <v>144.5</v>
      </c>
      <c r="U30" s="10">
        <v>145.5</v>
      </c>
      <c r="V30" s="53" t="s">
        <v>146</v>
      </c>
      <c r="W30" s="53" t="s">
        <v>220</v>
      </c>
      <c r="Y30" s="10">
        <f t="shared" si="1"/>
        <v>0.139739072160214</v>
      </c>
      <c r="Z30" s="10">
        <f t="shared" si="2"/>
        <v>1.5041859049453645E-2</v>
      </c>
      <c r="AA30" s="10">
        <f t="shared" si="3"/>
        <v>1.4103980729868311</v>
      </c>
      <c r="AB30" s="10">
        <f t="shared" si="4"/>
        <v>2.482552887034414</v>
      </c>
      <c r="AE30" s="10">
        <f t="shared" si="5"/>
        <v>3.555453911828204</v>
      </c>
      <c r="AF30" s="10">
        <f t="shared" si="6"/>
        <v>3.5800591292110981</v>
      </c>
    </row>
    <row r="31" spans="1:32" x14ac:dyDescent="0.25">
      <c r="A31" t="s">
        <v>158</v>
      </c>
      <c r="B31" s="39">
        <v>40847</v>
      </c>
      <c r="C31" s="53" t="s">
        <v>159</v>
      </c>
      <c r="D31" s="4" t="str">
        <f>VLOOKUP(LEFT(C31,2),Sort!$A$1:$B$58,2,FALSE)</f>
        <v>Bulgaria</v>
      </c>
      <c r="E31" s="72">
        <v>1270551000</v>
      </c>
      <c r="F31" s="72">
        <v>1470345145</v>
      </c>
      <c r="G31" s="58">
        <f t="shared" si="0"/>
        <v>1</v>
      </c>
      <c r="H31" s="10">
        <v>3.2</v>
      </c>
      <c r="I31" s="10">
        <v>2.8006169999999999</v>
      </c>
      <c r="J31" s="10">
        <v>3.50108</v>
      </c>
      <c r="K31" s="10">
        <v>3.50108</v>
      </c>
      <c r="L31" s="10">
        <v>304.36799999999999</v>
      </c>
      <c r="M31" s="10">
        <v>307.28890000000001</v>
      </c>
      <c r="N31" s="10">
        <v>2.7921269999999998</v>
      </c>
      <c r="O31" s="10">
        <v>1.9800000000000002E-2</v>
      </c>
      <c r="P31" s="10">
        <v>1.661787116</v>
      </c>
      <c r="Q31" s="10">
        <v>2.4114925650000001</v>
      </c>
      <c r="R31" s="10">
        <v>113.25</v>
      </c>
      <c r="S31" s="10">
        <v>114.25</v>
      </c>
      <c r="T31" s="10">
        <v>113.25</v>
      </c>
      <c r="U31" s="10">
        <v>114.25</v>
      </c>
      <c r="V31" s="53" t="s">
        <v>146</v>
      </c>
      <c r="W31" s="53" t="s">
        <v>160</v>
      </c>
      <c r="Y31" s="10">
        <f t="shared" si="1"/>
        <v>8.954359606389356E-2</v>
      </c>
      <c r="Z31" s="10">
        <f t="shared" si="2"/>
        <v>6.667916415488026E-2</v>
      </c>
      <c r="AA31" s="10">
        <f t="shared" si="3"/>
        <v>3.0856766778423159</v>
      </c>
      <c r="AB31" s="10">
        <f t="shared" si="4"/>
        <v>1.1184667700850051</v>
      </c>
      <c r="AE31" s="10">
        <f t="shared" si="5"/>
        <v>113.25</v>
      </c>
      <c r="AF31" s="10">
        <f t="shared" si="6"/>
        <v>114.25</v>
      </c>
    </row>
    <row r="32" spans="1:32" x14ac:dyDescent="0.25">
      <c r="A32" t="s">
        <v>233</v>
      </c>
      <c r="B32" s="39">
        <v>40847</v>
      </c>
      <c r="C32" s="53" t="s">
        <v>234</v>
      </c>
      <c r="D32" s="4" t="str">
        <f>VLOOKUP(LEFT(C32,2),Sort!$A$1:$B$58,2,FALSE)</f>
        <v>Chile</v>
      </c>
      <c r="E32" s="72">
        <v>457236842.10000002</v>
      </c>
      <c r="F32" s="72">
        <v>465457581</v>
      </c>
      <c r="G32" s="58">
        <f t="shared" si="0"/>
        <v>6.1944711268840665E-2</v>
      </c>
      <c r="H32" s="10">
        <v>8.927778</v>
      </c>
      <c r="I32" s="10">
        <v>7.6197629999999998</v>
      </c>
      <c r="J32" s="10">
        <v>3.7265739999999998</v>
      </c>
      <c r="K32" s="10">
        <v>3.7265739999999998</v>
      </c>
      <c r="L32" s="10">
        <v>179.34370000000001</v>
      </c>
      <c r="M32" s="10">
        <v>182.8501</v>
      </c>
      <c r="N32" s="10">
        <v>7.3810890000000002</v>
      </c>
      <c r="O32" s="10">
        <v>1.1299999999999999E-2</v>
      </c>
      <c r="P32" s="10">
        <v>1.852112717</v>
      </c>
      <c r="Q32" s="10">
        <v>10.647970559999999</v>
      </c>
      <c r="R32" s="10">
        <v>101.5</v>
      </c>
      <c r="S32" s="10">
        <v>103</v>
      </c>
      <c r="T32" s="10">
        <v>101.5</v>
      </c>
      <c r="U32" s="10">
        <v>103</v>
      </c>
      <c r="V32" s="53" t="s">
        <v>146</v>
      </c>
      <c r="W32" s="53" t="s">
        <v>235</v>
      </c>
      <c r="Y32" s="10">
        <f t="shared" si="1"/>
        <v>4.2959412126662634E-2</v>
      </c>
      <c r="Z32" s="10">
        <f t="shared" si="2"/>
        <v>2.2467703215848515E-2</v>
      </c>
      <c r="AA32" s="10">
        <f t="shared" si="3"/>
        <v>1.3071045993908872</v>
      </c>
      <c r="AB32" s="10">
        <f t="shared" si="4"/>
        <v>0.31920149583072743</v>
      </c>
      <c r="AE32" s="10">
        <f t="shared" si="5"/>
        <v>6.2873881937873275</v>
      </c>
      <c r="AF32" s="10">
        <f t="shared" si="6"/>
        <v>6.3803052606905881</v>
      </c>
    </row>
    <row r="33" spans="1:32" x14ac:dyDescent="0.25">
      <c r="A33" t="s">
        <v>236</v>
      </c>
      <c r="B33" s="39">
        <v>40847</v>
      </c>
      <c r="C33" s="53" t="s">
        <v>237</v>
      </c>
      <c r="D33" s="4" t="str">
        <f>VLOOKUP(LEFT(C33,2),Sort!$A$1:$B$58,2,FALSE)</f>
        <v>Chile</v>
      </c>
      <c r="E33" s="72">
        <v>914473684.20000005</v>
      </c>
      <c r="F33" s="72">
        <v>936645857.70000005</v>
      </c>
      <c r="G33" s="58">
        <f t="shared" si="0"/>
        <v>0.1246520834223605</v>
      </c>
      <c r="H33" s="10">
        <v>9.0027779999999993</v>
      </c>
      <c r="I33" s="10">
        <v>7.6770620000000003</v>
      </c>
      <c r="J33" s="10">
        <v>3.4763199999999999</v>
      </c>
      <c r="K33" s="10">
        <v>3.4763199999999999</v>
      </c>
      <c r="L33" s="10">
        <v>152.91329999999999</v>
      </c>
      <c r="M33" s="10">
        <v>155.2921</v>
      </c>
      <c r="N33" s="10">
        <v>7.4308909999999999</v>
      </c>
      <c r="O33" s="10">
        <v>1.5349999999999999</v>
      </c>
      <c r="P33" s="10">
        <v>1.5221348640000001</v>
      </c>
      <c r="Q33" s="10">
        <v>9.2411408670000004</v>
      </c>
      <c r="R33" s="10">
        <v>100.56</v>
      </c>
      <c r="S33" s="10">
        <v>102.1</v>
      </c>
      <c r="T33" s="10">
        <v>100.56</v>
      </c>
      <c r="U33" s="10">
        <v>102.1</v>
      </c>
      <c r="V33" s="53" t="s">
        <v>146</v>
      </c>
      <c r="W33" s="53" t="s">
        <v>238</v>
      </c>
      <c r="Y33" s="10">
        <f t="shared" si="1"/>
        <v>8.709780751317453E-2</v>
      </c>
      <c r="Z33" s="10">
        <f t="shared" si="2"/>
        <v>4.2175863651005938E-2</v>
      </c>
      <c r="AA33" s="10">
        <f t="shared" si="3"/>
        <v>2.2338798577182999</v>
      </c>
      <c r="AB33" s="10">
        <f t="shared" si="4"/>
        <v>0.63672036976582669</v>
      </c>
      <c r="AE33" s="10">
        <f t="shared" ref="AE33:AE96" si="7">G33*R33</f>
        <v>12.535013508952572</v>
      </c>
      <c r="AF33" s="10">
        <f t="shared" ref="AF33:AF96" si="8">G33*S33</f>
        <v>12.726977717423006</v>
      </c>
    </row>
    <row r="34" spans="1:32" x14ac:dyDescent="0.25">
      <c r="A34" t="s">
        <v>239</v>
      </c>
      <c r="B34" s="39">
        <v>40847</v>
      </c>
      <c r="C34" s="53" t="s">
        <v>240</v>
      </c>
      <c r="D34" s="4" t="str">
        <f>VLOOKUP(LEFT(C34,2),Sort!$A$1:$B$58,2,FALSE)</f>
        <v>Chile</v>
      </c>
      <c r="E34" s="72">
        <v>457236842.10000002</v>
      </c>
      <c r="F34" s="72">
        <v>491147812.5</v>
      </c>
      <c r="G34" s="58">
        <f t="shared" si="0"/>
        <v>6.5363656491041644E-2</v>
      </c>
      <c r="H34" s="10">
        <v>2.95</v>
      </c>
      <c r="I34" s="10">
        <v>2.7661720000000001</v>
      </c>
      <c r="J34" s="10">
        <v>1.9219459999999999</v>
      </c>
      <c r="K34" s="10">
        <v>1.9219459999999999</v>
      </c>
      <c r="L34" s="10">
        <v>153.05459999999999</v>
      </c>
      <c r="M34" s="10">
        <v>154.3535</v>
      </c>
      <c r="N34" s="10">
        <v>2.7620870000000002</v>
      </c>
      <c r="O34" s="10">
        <v>0.47249999999999998</v>
      </c>
      <c r="P34" s="10">
        <v>0.92259980900000005</v>
      </c>
      <c r="Q34" s="10">
        <v>3.9972229019999999</v>
      </c>
      <c r="R34" s="10">
        <v>107.179</v>
      </c>
      <c r="S34" s="10">
        <v>108.072</v>
      </c>
      <c r="T34" s="10">
        <v>107.179</v>
      </c>
      <c r="U34" s="10">
        <v>108.072</v>
      </c>
      <c r="V34" s="53" t="s">
        <v>146</v>
      </c>
      <c r="W34" s="53" t="s">
        <v>241</v>
      </c>
      <c r="Y34" s="10">
        <f t="shared" si="1"/>
        <v>2.9542885693966969E-2</v>
      </c>
      <c r="Z34" s="10">
        <f t="shared" si="2"/>
        <v>0.10700059368753798</v>
      </c>
      <c r="AA34" s="10">
        <f t="shared" si="3"/>
        <v>1.1642968655204213</v>
      </c>
      <c r="AB34" s="10">
        <f t="shared" si="4"/>
        <v>0.3534052426175639</v>
      </c>
      <c r="AE34" s="10">
        <f t="shared" si="7"/>
        <v>7.0056113390533525</v>
      </c>
      <c r="AF34" s="10">
        <f t="shared" si="8"/>
        <v>7.0639810842998525</v>
      </c>
    </row>
    <row r="35" spans="1:32" x14ac:dyDescent="0.25">
      <c r="A35" t="s">
        <v>242</v>
      </c>
      <c r="B35" s="39">
        <v>40847</v>
      </c>
      <c r="C35" s="53" t="s">
        <v>243</v>
      </c>
      <c r="D35" s="4" t="str">
        <f>VLOOKUP(LEFT(C35,2),Sort!$A$1:$B$58,2,FALSE)</f>
        <v>Chile</v>
      </c>
      <c r="E35" s="72">
        <v>457236842.10000002</v>
      </c>
      <c r="F35" s="72">
        <v>489065098.69999999</v>
      </c>
      <c r="G35" s="58">
        <f t="shared" si="0"/>
        <v>6.5086481705920601E-2</v>
      </c>
      <c r="H35" s="10">
        <v>1.95</v>
      </c>
      <c r="I35" s="10">
        <v>1.861337</v>
      </c>
      <c r="J35" s="10">
        <v>1.486974</v>
      </c>
      <c r="K35" s="10">
        <v>1.486974</v>
      </c>
      <c r="L35" s="10">
        <v>124.75239999999999</v>
      </c>
      <c r="M35" s="10">
        <v>125.25830000000001</v>
      </c>
      <c r="N35" s="10">
        <v>1.860549</v>
      </c>
      <c r="O35" s="10">
        <v>0.1004</v>
      </c>
      <c r="P35" s="10">
        <v>0.18226566899999999</v>
      </c>
      <c r="Q35" s="10">
        <v>2.5174337499999999</v>
      </c>
      <c r="R35" s="10">
        <v>106.68600000000001</v>
      </c>
      <c r="S35" s="10">
        <v>107.684</v>
      </c>
      <c r="T35" s="10">
        <v>106.68600000000001</v>
      </c>
      <c r="U35" s="10">
        <v>107.684</v>
      </c>
      <c r="V35" s="53" t="s">
        <v>146</v>
      </c>
      <c r="W35" s="53" t="s">
        <v>244</v>
      </c>
      <c r="Y35" s="10">
        <f t="shared" si="1"/>
        <v>8.5260716506534925E-2</v>
      </c>
      <c r="Z35" s="10">
        <f t="shared" si="2"/>
        <v>8.2433328850405191E-2</v>
      </c>
      <c r="AA35" s="10">
        <f t="shared" si="3"/>
        <v>0.94082363042257655</v>
      </c>
      <c r="AB35" s="10">
        <f t="shared" si="4"/>
        <v>0.35064321174267876</v>
      </c>
      <c r="AE35" s="10">
        <f t="shared" si="7"/>
        <v>6.9438163872778453</v>
      </c>
      <c r="AF35" s="10">
        <f t="shared" si="8"/>
        <v>7.0087726960203538</v>
      </c>
    </row>
    <row r="36" spans="1:32" x14ac:dyDescent="0.25">
      <c r="A36" t="s">
        <v>245</v>
      </c>
      <c r="B36" s="39">
        <v>40847</v>
      </c>
      <c r="C36" s="53" t="s">
        <v>246</v>
      </c>
      <c r="D36" s="4" t="str">
        <f>VLOOKUP(LEFT(C36,2),Sort!$A$1:$B$58,2,FALSE)</f>
        <v>Chile</v>
      </c>
      <c r="E36" s="72">
        <v>457236842.10000002</v>
      </c>
      <c r="F36" s="72">
        <v>525517162.80000001</v>
      </c>
      <c r="G36" s="58">
        <f t="shared" si="0"/>
        <v>6.9937648983025874E-2</v>
      </c>
      <c r="H36" s="10">
        <v>23.883333</v>
      </c>
      <c r="I36" s="10">
        <v>14.294594</v>
      </c>
      <c r="J36" s="10">
        <v>4.4803379999999997</v>
      </c>
      <c r="K36" s="10">
        <v>4.4803379999999997</v>
      </c>
      <c r="L36" s="10">
        <v>164.10650000000001</v>
      </c>
      <c r="M36" s="10">
        <v>163.7071</v>
      </c>
      <c r="N36" s="10">
        <v>13.297273000000001</v>
      </c>
      <c r="O36" s="10">
        <v>2.9142999999999999</v>
      </c>
      <c r="P36" s="10">
        <v>0.46283403400000001</v>
      </c>
      <c r="Q36" s="10">
        <v>15.59451325</v>
      </c>
      <c r="R36" s="10">
        <v>114.277</v>
      </c>
      <c r="S36" s="10">
        <v>116.676</v>
      </c>
      <c r="T36" s="10">
        <v>114.277</v>
      </c>
      <c r="U36" s="10">
        <v>116.676</v>
      </c>
      <c r="V36" s="53" t="s">
        <v>146</v>
      </c>
      <c r="W36" s="53" t="s">
        <v>247</v>
      </c>
      <c r="Y36" s="10">
        <f t="shared" si="1"/>
        <v>0.13748180518253159</v>
      </c>
      <c r="Z36" s="10">
        <f t="shared" si="2"/>
        <v>1.825141610060791E-2</v>
      </c>
      <c r="AA36" s="10">
        <f t="shared" si="3"/>
        <v>1.3212635431142636</v>
      </c>
      <c r="AB36" s="10">
        <f t="shared" si="4"/>
        <v>0.40824043772100871</v>
      </c>
      <c r="AE36" s="10">
        <f t="shared" si="7"/>
        <v>7.992264712833248</v>
      </c>
      <c r="AF36" s="10">
        <f t="shared" si="8"/>
        <v>8.1600451327435266</v>
      </c>
    </row>
    <row r="37" spans="1:32" x14ac:dyDescent="0.25">
      <c r="A37" t="s">
        <v>248</v>
      </c>
      <c r="B37" s="39">
        <v>40847</v>
      </c>
      <c r="C37" s="53" t="s">
        <v>249</v>
      </c>
      <c r="D37" s="4" t="str">
        <f>VLOOKUP(LEFT(C37,2),Sort!$A$1:$B$58,2,FALSE)</f>
        <v>Chile</v>
      </c>
      <c r="E37" s="72">
        <v>457236842.10000002</v>
      </c>
      <c r="F37" s="72">
        <v>558609679.29999995</v>
      </c>
      <c r="G37" s="58">
        <f t="shared" si="0"/>
        <v>7.4341715998859567E-2</v>
      </c>
      <c r="H37" s="10">
        <v>24.975000000000001</v>
      </c>
      <c r="I37" s="10">
        <v>14.404396</v>
      </c>
      <c r="J37" s="10">
        <v>4.5003060000000001</v>
      </c>
      <c r="K37" s="10">
        <v>4.5003060000000001</v>
      </c>
      <c r="L37" s="10">
        <v>160.55760000000001</v>
      </c>
      <c r="M37" s="10">
        <v>164.49959999999999</v>
      </c>
      <c r="N37" s="10">
        <v>13.387404999999999</v>
      </c>
      <c r="O37" s="10">
        <v>3.0832000000000002</v>
      </c>
      <c r="P37" s="10">
        <v>0.67243498599999996</v>
      </c>
      <c r="Q37" s="10">
        <v>15.828014960000001</v>
      </c>
      <c r="R37" s="10">
        <v>122.017</v>
      </c>
      <c r="S37" s="10">
        <v>124.593</v>
      </c>
      <c r="T37" s="10">
        <v>122.017</v>
      </c>
      <c r="U37" s="10">
        <v>124.593</v>
      </c>
      <c r="V37" s="53" t="s">
        <v>146</v>
      </c>
      <c r="W37" s="53" t="s">
        <v>250</v>
      </c>
      <c r="Y37" s="10">
        <f t="shared" si="1"/>
        <v>0.1472617665155041</v>
      </c>
      <c r="Z37" s="10">
        <f t="shared" si="2"/>
        <v>1.9487197421127617E-2</v>
      </c>
      <c r="AA37" s="10">
        <f t="shared" si="3"/>
        <v>1.4112642345708577</v>
      </c>
      <c r="AB37" s="10">
        <f t="shared" si="4"/>
        <v>1.4034401868985791</v>
      </c>
      <c r="AE37" s="10">
        <f t="shared" si="7"/>
        <v>9.0709531610328469</v>
      </c>
      <c r="AF37" s="10">
        <f t="shared" si="8"/>
        <v>9.2624574214459106</v>
      </c>
    </row>
    <row r="38" spans="1:32" x14ac:dyDescent="0.25">
      <c r="A38" t="s">
        <v>251</v>
      </c>
      <c r="B38" s="39">
        <v>40847</v>
      </c>
      <c r="C38" s="53" t="s">
        <v>252</v>
      </c>
      <c r="D38" s="4" t="str">
        <f>VLOOKUP(LEFT(C38,2),Sort!$A$1:$B$58,2,FALSE)</f>
        <v>Chile</v>
      </c>
      <c r="E38" s="72">
        <v>548684210.5</v>
      </c>
      <c r="F38" s="72">
        <v>705339039.39999998</v>
      </c>
      <c r="G38" s="58">
        <f t="shared" si="0"/>
        <v>9.3868968786383192E-2</v>
      </c>
      <c r="H38" s="10">
        <v>7.2</v>
      </c>
      <c r="I38" s="10">
        <v>5.8028589999999998</v>
      </c>
      <c r="J38" s="10">
        <v>3.1562700000000001</v>
      </c>
      <c r="K38" s="10">
        <v>3.1562700000000001</v>
      </c>
      <c r="L38" s="10">
        <v>154.68029999999999</v>
      </c>
      <c r="M38" s="10">
        <v>165.81729999999999</v>
      </c>
      <c r="N38" s="10">
        <v>5.6742169999999996</v>
      </c>
      <c r="O38" s="10">
        <v>1.1709000000000001</v>
      </c>
      <c r="P38" s="10">
        <v>1.4980471959999999</v>
      </c>
      <c r="Q38" s="10">
        <v>8.7107550059999994</v>
      </c>
      <c r="R38" s="10">
        <v>126.301</v>
      </c>
      <c r="S38" s="10">
        <v>127.774</v>
      </c>
      <c r="T38" s="10">
        <v>126.301</v>
      </c>
      <c r="U38" s="10">
        <v>127.774</v>
      </c>
      <c r="V38" s="53" t="s">
        <v>146</v>
      </c>
      <c r="W38" s="53" t="s">
        <v>253</v>
      </c>
      <c r="Y38" s="10">
        <f t="shared" si="1"/>
        <v>8.2066240448672237E-2</v>
      </c>
      <c r="Z38" s="10">
        <f t="shared" si="2"/>
        <v>2.8836389976522124E-2</v>
      </c>
      <c r="AA38" s="10">
        <f t="shared" si="3"/>
        <v>1.7962335083185907</v>
      </c>
      <c r="AB38" s="10">
        <f t="shared" si="4"/>
        <v>1.8173234107754956</v>
      </c>
      <c r="AE38" s="10">
        <f t="shared" si="7"/>
        <v>11.855744626688983</v>
      </c>
      <c r="AF38" s="10">
        <f t="shared" si="8"/>
        <v>11.994013617711326</v>
      </c>
    </row>
    <row r="39" spans="1:32" x14ac:dyDescent="0.25">
      <c r="A39" t="s">
        <v>254</v>
      </c>
      <c r="B39" s="39">
        <v>40847</v>
      </c>
      <c r="C39" s="53" t="s">
        <v>255</v>
      </c>
      <c r="D39" s="4" t="str">
        <f>VLOOKUP(LEFT(C39,2),Sort!$A$1:$B$58,2,FALSE)</f>
        <v>Chile</v>
      </c>
      <c r="E39" s="72">
        <v>457236842.10000002</v>
      </c>
      <c r="F39" s="72">
        <v>481060788.30000001</v>
      </c>
      <c r="G39" s="58">
        <f t="shared" si="0"/>
        <v>6.4021240281408973E-2</v>
      </c>
      <c r="H39" s="10">
        <v>8.769444</v>
      </c>
      <c r="I39" s="10">
        <v>7.1296840000000001</v>
      </c>
      <c r="J39" s="10">
        <v>4.4163620000000003</v>
      </c>
      <c r="K39" s="10">
        <v>4.4163620000000003</v>
      </c>
      <c r="L39" s="10">
        <v>251.2886</v>
      </c>
      <c r="M39" s="10">
        <v>257.92930000000001</v>
      </c>
      <c r="N39" s="10">
        <v>6.9158340000000003</v>
      </c>
      <c r="O39" s="10">
        <v>1.3899999999999999E-2</v>
      </c>
      <c r="P39" s="10">
        <v>2.3426906930000002</v>
      </c>
      <c r="Q39" s="10">
        <v>8.4310040629999996</v>
      </c>
      <c r="R39" s="10">
        <v>104</v>
      </c>
      <c r="S39" s="10">
        <v>106</v>
      </c>
      <c r="T39" s="10">
        <v>104</v>
      </c>
      <c r="U39" s="10">
        <v>106</v>
      </c>
      <c r="V39" s="53" t="s">
        <v>146</v>
      </c>
      <c r="W39" s="53" t="s">
        <v>256</v>
      </c>
      <c r="Y39" s="10">
        <f t="shared" si="1"/>
        <v>4.1543874554233938E-2</v>
      </c>
      <c r="Z39" s="10">
        <f t="shared" si="2"/>
        <v>1.6468858817126567E-2</v>
      </c>
      <c r="AA39" s="10">
        <f t="shared" si="3"/>
        <v>0.84739303773687324</v>
      </c>
      <c r="AB39" s="10">
        <f t="shared" si="4"/>
        <v>0.33951065532851005</v>
      </c>
      <c r="AE39" s="10">
        <f t="shared" si="7"/>
        <v>6.6582089892665328</v>
      </c>
      <c r="AF39" s="10">
        <f t="shared" si="8"/>
        <v>6.7862514698293515</v>
      </c>
    </row>
    <row r="40" spans="1:32" x14ac:dyDescent="0.25">
      <c r="A40" t="s">
        <v>257</v>
      </c>
      <c r="B40" s="39">
        <v>40847</v>
      </c>
      <c r="C40" s="53" t="s">
        <v>258</v>
      </c>
      <c r="D40" s="4" t="str">
        <f>VLOOKUP(LEFT(C40,2),Sort!$A$1:$B$58,2,FALSE)</f>
        <v>Chile</v>
      </c>
      <c r="E40" s="72">
        <v>914473684.20000005</v>
      </c>
      <c r="F40" s="72">
        <v>912666327.60000002</v>
      </c>
      <c r="G40" s="58">
        <f t="shared" si="0"/>
        <v>0.12146080428320523</v>
      </c>
      <c r="H40" s="10">
        <v>9.8638890000000004</v>
      </c>
      <c r="I40" s="10">
        <v>8.6090820000000008</v>
      </c>
      <c r="J40" s="10">
        <v>3.2263350000000002</v>
      </c>
      <c r="K40" s="10">
        <v>3.2263350000000002</v>
      </c>
      <c r="L40" s="10">
        <v>111.7833</v>
      </c>
      <c r="M40" s="10">
        <v>115.3944</v>
      </c>
      <c r="N40" s="10">
        <v>8.2993799999999993</v>
      </c>
      <c r="O40" s="10">
        <v>0.70640000000000003</v>
      </c>
      <c r="P40" s="10">
        <v>1.728507343</v>
      </c>
      <c r="Q40" s="10">
        <v>1.7186003080000001</v>
      </c>
      <c r="R40" s="10">
        <v>99.36</v>
      </c>
      <c r="S40" s="10">
        <v>100.196</v>
      </c>
      <c r="T40" s="10">
        <v>99.36</v>
      </c>
      <c r="U40" s="10">
        <v>100.196</v>
      </c>
      <c r="V40" s="53" t="s">
        <v>146</v>
      </c>
      <c r="W40" s="53" t="s">
        <v>259</v>
      </c>
      <c r="Y40" s="10">
        <f t="shared" si="1"/>
        <v>0.27220938723864252</v>
      </c>
      <c r="Z40" s="10">
        <f t="shared" si="2"/>
        <v>3.8140844778136694E-2</v>
      </c>
      <c r="AA40" s="10">
        <f t="shared" si="3"/>
        <v>1.6174534611535665</v>
      </c>
      <c r="AB40" s="10">
        <f t="shared" si="4"/>
        <v>0.60884956043318228</v>
      </c>
      <c r="AE40" s="10">
        <f t="shared" si="7"/>
        <v>12.068345513579272</v>
      </c>
      <c r="AF40" s="10">
        <f t="shared" si="8"/>
        <v>12.169886745960032</v>
      </c>
    </row>
    <row r="41" spans="1:32" x14ac:dyDescent="0.25">
      <c r="A41" t="s">
        <v>260</v>
      </c>
      <c r="B41" s="39">
        <v>40847</v>
      </c>
      <c r="C41" s="53" t="s">
        <v>261</v>
      </c>
      <c r="D41" s="4" t="str">
        <f>VLOOKUP(LEFT(C41,2),Sort!$A$1:$B$58,2,FALSE)</f>
        <v>Chile</v>
      </c>
      <c r="E41" s="72">
        <v>914473684.20000005</v>
      </c>
      <c r="F41" s="72">
        <v>971602885.39999998</v>
      </c>
      <c r="G41" s="58">
        <f t="shared" si="0"/>
        <v>0.12930428606355748</v>
      </c>
      <c r="H41" s="10">
        <v>8.7555560000000003</v>
      </c>
      <c r="I41" s="10">
        <v>7.5742909999999997</v>
      </c>
      <c r="J41" s="10">
        <v>3.0263589999999998</v>
      </c>
      <c r="K41" s="10">
        <v>3.0263589999999998</v>
      </c>
      <c r="L41" s="10">
        <v>112.5485</v>
      </c>
      <c r="M41" s="10">
        <v>114.75879999999999</v>
      </c>
      <c r="N41" s="10">
        <v>7.3406729999999998</v>
      </c>
      <c r="O41" s="10">
        <v>0.77280000000000004</v>
      </c>
      <c r="P41" s="10">
        <v>0.56924988799999998</v>
      </c>
      <c r="Q41" s="10">
        <v>10.142296869999999</v>
      </c>
      <c r="R41" s="10">
        <v>105.3</v>
      </c>
      <c r="S41" s="10">
        <v>106.48099999999999</v>
      </c>
      <c r="T41" s="10">
        <v>105.3</v>
      </c>
      <c r="U41" s="10">
        <v>106.48099999999999</v>
      </c>
      <c r="V41" s="53" t="s">
        <v>146</v>
      </c>
      <c r="W41" s="53" t="s">
        <v>262</v>
      </c>
      <c r="Y41" s="10">
        <f t="shared" si="1"/>
        <v>8.9138955388659374E-2</v>
      </c>
      <c r="Z41" s="10">
        <f t="shared" si="2"/>
        <v>3.8087113601475868E-2</v>
      </c>
      <c r="AA41" s="10">
        <f t="shared" si="3"/>
        <v>1.7124181673281695</v>
      </c>
      <c r="AB41" s="10">
        <f t="shared" si="4"/>
        <v>0.68882436732090124</v>
      </c>
      <c r="AE41" s="10">
        <f t="shared" si="7"/>
        <v>13.615741322492603</v>
      </c>
      <c r="AF41" s="10">
        <f t="shared" si="8"/>
        <v>13.768449684333664</v>
      </c>
    </row>
    <row r="42" spans="1:32" x14ac:dyDescent="0.25">
      <c r="A42" t="s">
        <v>263</v>
      </c>
      <c r="B42" s="39">
        <v>40847</v>
      </c>
      <c r="C42" s="53" t="s">
        <v>264</v>
      </c>
      <c r="D42" s="4" t="str">
        <f>VLOOKUP(LEFT(C42,2),Sort!$A$1:$B$58,2,FALSE)</f>
        <v>Chile</v>
      </c>
      <c r="E42" s="72">
        <v>914473684.20000005</v>
      </c>
      <c r="F42" s="72">
        <v>976968815.79999995</v>
      </c>
      <c r="G42" s="58">
        <f t="shared" si="0"/>
        <v>0.13001840271539625</v>
      </c>
      <c r="H42" s="10">
        <v>1.2</v>
      </c>
      <c r="I42" s="10">
        <v>1.174604</v>
      </c>
      <c r="J42" s="10">
        <v>0.33727299999999999</v>
      </c>
      <c r="K42" s="10">
        <v>0.33727299999999999</v>
      </c>
      <c r="L42" s="10">
        <v>21.107299999999999</v>
      </c>
      <c r="M42" s="10">
        <v>21.2258</v>
      </c>
      <c r="N42" s="10">
        <v>1.159824</v>
      </c>
      <c r="O42" s="10">
        <v>6.3E-2</v>
      </c>
      <c r="P42" s="10">
        <v>0.352038452</v>
      </c>
      <c r="Q42" s="10">
        <v>1.447866383</v>
      </c>
      <c r="R42" s="10">
        <v>105.184</v>
      </c>
      <c r="S42" s="10">
        <v>106.17700000000001</v>
      </c>
      <c r="T42" s="10">
        <v>105.184</v>
      </c>
      <c r="U42" s="10">
        <v>106.17700000000001</v>
      </c>
      <c r="V42" s="53" t="s">
        <v>146</v>
      </c>
      <c r="W42" s="53" t="s">
        <v>265</v>
      </c>
      <c r="Y42" s="10">
        <f t="shared" si="1"/>
        <v>0.10748044932862462</v>
      </c>
      <c r="Z42" s="10">
        <f t="shared" si="2"/>
        <v>3.7350383822128505E-2</v>
      </c>
      <c r="AA42" s="10">
        <f t="shared" si="3"/>
        <v>0.31847826734098006</v>
      </c>
      <c r="AB42" s="10">
        <f t="shared" si="4"/>
        <v>0.69065114616353884</v>
      </c>
      <c r="AE42" s="10">
        <f t="shared" si="7"/>
        <v>13.675855671216238</v>
      </c>
      <c r="AF42" s="10">
        <f t="shared" si="8"/>
        <v>13.804963945112629</v>
      </c>
    </row>
    <row r="43" spans="1:32" x14ac:dyDescent="0.25">
      <c r="A43" t="s">
        <v>266</v>
      </c>
      <c r="B43" s="39">
        <v>40847</v>
      </c>
      <c r="C43" s="53" t="s">
        <v>267</v>
      </c>
      <c r="D43" s="4" t="str">
        <f>VLOOKUP(LEFT(C43,2),Sort!$A$1:$B$58,2,FALSE)</f>
        <v>China</v>
      </c>
      <c r="E43" s="72">
        <v>463028169</v>
      </c>
      <c r="F43" s="72">
        <v>469107344.5</v>
      </c>
      <c r="G43" s="58">
        <f t="shared" si="0"/>
        <v>6.7783403054152841E-2</v>
      </c>
      <c r="H43" s="10">
        <v>4.7388890000000004</v>
      </c>
      <c r="I43" s="10">
        <v>4.1756659999999997</v>
      </c>
      <c r="J43" s="10">
        <v>4.5604940000000003</v>
      </c>
      <c r="K43" s="10">
        <v>4.5604940000000003</v>
      </c>
      <c r="L43" s="10">
        <v>365.37380000000002</v>
      </c>
      <c r="M43" s="10">
        <v>369.55009999999999</v>
      </c>
      <c r="N43" s="10">
        <v>4.1417400000000004</v>
      </c>
      <c r="O43" s="10">
        <v>-1.0126999999999999</v>
      </c>
      <c r="P43" s="10">
        <v>3.810866286</v>
      </c>
      <c r="Q43" s="10">
        <v>0.103501</v>
      </c>
      <c r="R43" s="10">
        <v>100.04</v>
      </c>
      <c r="S43" s="10">
        <v>101.32</v>
      </c>
      <c r="T43" s="10">
        <v>100.04</v>
      </c>
      <c r="U43" s="10">
        <v>101.32</v>
      </c>
      <c r="V43" s="53" t="s">
        <v>146</v>
      </c>
      <c r="W43" s="53" t="s">
        <v>268</v>
      </c>
      <c r="Y43" s="10">
        <f t="shared" si="1"/>
        <v>3.9275577912151471E-2</v>
      </c>
      <c r="Z43" s="10">
        <f t="shared" si="2"/>
        <v>1.6583760022677859E-2</v>
      </c>
      <c r="AA43" s="10">
        <f t="shared" si="3"/>
        <v>1.1839403170362315</v>
      </c>
      <c r="AB43" s="10">
        <f t="shared" si="4"/>
        <v>0.31645721271450494</v>
      </c>
      <c r="AE43" s="10">
        <f t="shared" si="7"/>
        <v>6.7810516415374504</v>
      </c>
      <c r="AF43" s="10">
        <f t="shared" si="8"/>
        <v>6.8678143974467654</v>
      </c>
    </row>
    <row r="44" spans="1:32" x14ac:dyDescent="0.25">
      <c r="A44" t="s">
        <v>269</v>
      </c>
      <c r="B44" s="39">
        <v>40847</v>
      </c>
      <c r="C44" s="53" t="s">
        <v>270</v>
      </c>
      <c r="D44" s="4" t="str">
        <f>VLOOKUP(LEFT(C44,2),Sort!$A$1:$B$58,2,FALSE)</f>
        <v>China</v>
      </c>
      <c r="E44" s="72">
        <v>926056338</v>
      </c>
      <c r="F44" s="72">
        <v>994040448.89999998</v>
      </c>
      <c r="G44" s="58">
        <f t="shared" si="0"/>
        <v>0.14363331802390852</v>
      </c>
      <c r="H44" s="10">
        <v>3.7166670000000002</v>
      </c>
      <c r="I44" s="10">
        <v>3.3770120000000001</v>
      </c>
      <c r="J44" s="10">
        <v>2.7622900000000001</v>
      </c>
      <c r="K44" s="10">
        <v>2.7622900000000001</v>
      </c>
      <c r="L44" s="10">
        <v>215.4023</v>
      </c>
      <c r="M44" s="10">
        <v>219.07839999999999</v>
      </c>
      <c r="N44" s="10">
        <v>3.3654639999999998</v>
      </c>
      <c r="O44" s="10">
        <v>0.35859999999999997</v>
      </c>
      <c r="P44" s="10">
        <v>-0.60266770700000005</v>
      </c>
      <c r="Q44" s="10">
        <v>2.575035475</v>
      </c>
      <c r="R44" s="10">
        <v>105.96</v>
      </c>
      <c r="S44" s="10">
        <v>107.41</v>
      </c>
      <c r="T44" s="10">
        <v>105.96</v>
      </c>
      <c r="U44" s="10">
        <v>107.41</v>
      </c>
      <c r="V44" s="53" t="s">
        <v>146</v>
      </c>
      <c r="W44" s="53" t="s">
        <v>271</v>
      </c>
      <c r="Y44" s="10">
        <f t="shared" si="1"/>
        <v>7.2995851626289535E-2</v>
      </c>
      <c r="Z44" s="10">
        <f t="shared" si="2"/>
        <v>3.5566583464968729E-2</v>
      </c>
      <c r="AA44" s="10">
        <f t="shared" si="3"/>
        <v>1.4872633318965689</v>
      </c>
      <c r="AB44" s="10">
        <f t="shared" si="4"/>
        <v>0.71088010232212973</v>
      </c>
      <c r="AE44" s="10">
        <f t="shared" si="7"/>
        <v>15.219386377813347</v>
      </c>
      <c r="AF44" s="10">
        <f t="shared" si="8"/>
        <v>15.427654688948014</v>
      </c>
    </row>
    <row r="45" spans="1:32" x14ac:dyDescent="0.25">
      <c r="A45" t="s">
        <v>272</v>
      </c>
      <c r="B45" s="39">
        <v>40847</v>
      </c>
      <c r="C45" s="53" t="s">
        <v>273</v>
      </c>
      <c r="D45" s="4" t="str">
        <f>VLOOKUP(LEFT(C45,2),Sort!$A$1:$B$58,2,FALSE)</f>
        <v>China</v>
      </c>
      <c r="E45" s="72">
        <v>926056338</v>
      </c>
      <c r="F45" s="72">
        <v>1003667573</v>
      </c>
      <c r="G45" s="58">
        <f t="shared" si="0"/>
        <v>0.14502438392976891</v>
      </c>
      <c r="H45" s="10">
        <v>2.7388889999999999</v>
      </c>
      <c r="I45" s="10">
        <v>2.535971</v>
      </c>
      <c r="J45" s="10">
        <v>2.0777909999999999</v>
      </c>
      <c r="K45" s="10">
        <v>2.0777909999999999</v>
      </c>
      <c r="L45" s="10">
        <v>171.84800000000001</v>
      </c>
      <c r="M45" s="10">
        <v>174.04259999999999</v>
      </c>
      <c r="N45" s="10">
        <v>2.536206</v>
      </c>
      <c r="O45" s="10">
        <v>5.96E-2</v>
      </c>
      <c r="P45" s="10">
        <v>-0.65235127800000003</v>
      </c>
      <c r="Q45" s="10">
        <v>4.057795788</v>
      </c>
      <c r="R45" s="10">
        <v>107.01</v>
      </c>
      <c r="S45" s="10">
        <v>108.4</v>
      </c>
      <c r="T45" s="10">
        <v>107.01</v>
      </c>
      <c r="U45" s="10">
        <v>108.4</v>
      </c>
      <c r="V45" s="53" t="s">
        <v>146</v>
      </c>
      <c r="W45" s="53" t="s">
        <v>274</v>
      </c>
      <c r="Y45" s="10">
        <f t="shared" si="1"/>
        <v>5.5347205096034753E-2</v>
      </c>
      <c r="Z45" s="10">
        <f t="shared" si="2"/>
        <v>2.7012238431699438E-2</v>
      </c>
      <c r="AA45" s="10">
        <f t="shared" si="3"/>
        <v>2.6827517573057995</v>
      </c>
      <c r="AB45" s="10">
        <f t="shared" si="4"/>
        <v>0.72438051568383233</v>
      </c>
      <c r="AE45" s="10">
        <f t="shared" si="7"/>
        <v>15.519059324324571</v>
      </c>
      <c r="AF45" s="10">
        <f t="shared" si="8"/>
        <v>15.72064321798695</v>
      </c>
    </row>
    <row r="46" spans="1:32" x14ac:dyDescent="0.25">
      <c r="A46" t="s">
        <v>275</v>
      </c>
      <c r="B46" s="39">
        <v>40847</v>
      </c>
      <c r="C46" s="53" t="s">
        <v>276</v>
      </c>
      <c r="D46" s="4" t="str">
        <f>VLOOKUP(LEFT(C46,2),Sort!$A$1:$B$58,2,FALSE)</f>
        <v>China</v>
      </c>
      <c r="E46" s="72">
        <v>926056338</v>
      </c>
      <c r="F46" s="72">
        <v>987572204.70000005</v>
      </c>
      <c r="G46" s="58">
        <f t="shared" si="0"/>
        <v>0.14269869270029822</v>
      </c>
      <c r="H46" s="10">
        <v>1.9888889999999999</v>
      </c>
      <c r="I46" s="10">
        <v>1.9115679999999999</v>
      </c>
      <c r="J46" s="10">
        <v>1.178598</v>
      </c>
      <c r="K46" s="10">
        <v>1.178598</v>
      </c>
      <c r="L46" s="10">
        <v>93.327600000000004</v>
      </c>
      <c r="M46" s="10">
        <v>93.795199999999994</v>
      </c>
      <c r="N46" s="10">
        <v>1.911632</v>
      </c>
      <c r="O46" s="10">
        <v>4.0500000000000001E-2</v>
      </c>
      <c r="P46" s="10">
        <v>0.15525489100000001</v>
      </c>
      <c r="Q46" s="10">
        <v>1.2229919629999999</v>
      </c>
      <c r="R46" s="10">
        <v>106.59</v>
      </c>
      <c r="S46" s="10">
        <v>107</v>
      </c>
      <c r="T46" s="10">
        <v>106.59</v>
      </c>
      <c r="U46" s="10">
        <v>107</v>
      </c>
      <c r="V46" s="53" t="s">
        <v>146</v>
      </c>
      <c r="W46" s="53" t="s">
        <v>277</v>
      </c>
      <c r="Y46" s="10">
        <f t="shared" si="1"/>
        <v>0.17681369755377629</v>
      </c>
      <c r="Z46" s="10">
        <f t="shared" si="2"/>
        <v>0.13193722634860663</v>
      </c>
      <c r="AA46" s="10">
        <f t="shared" si="3"/>
        <v>1.4226055690011801</v>
      </c>
      <c r="AB46" s="10">
        <f t="shared" si="4"/>
        <v>0.70355851064349317</v>
      </c>
      <c r="AE46" s="10">
        <f t="shared" si="7"/>
        <v>15.210253654924788</v>
      </c>
      <c r="AF46" s="10">
        <f t="shared" si="8"/>
        <v>15.26876011893191</v>
      </c>
    </row>
    <row r="47" spans="1:32" x14ac:dyDescent="0.25">
      <c r="A47" t="s">
        <v>278</v>
      </c>
      <c r="B47" s="39">
        <v>40847</v>
      </c>
      <c r="C47" s="53" t="s">
        <v>279</v>
      </c>
      <c r="D47" s="4" t="str">
        <f>VLOOKUP(LEFT(C47,2),Sort!$A$1:$B$58,2,FALSE)</f>
        <v>China</v>
      </c>
      <c r="E47" s="72">
        <v>1389084507</v>
      </c>
      <c r="F47" s="72">
        <v>1425929001</v>
      </c>
      <c r="G47" s="58">
        <f t="shared" si="0"/>
        <v>0.20603881251189513</v>
      </c>
      <c r="H47" s="10">
        <v>9.0250000000000004</v>
      </c>
      <c r="I47" s="10">
        <v>7.4153609999999999</v>
      </c>
      <c r="J47" s="10">
        <v>4.2300000000000004</v>
      </c>
      <c r="K47" s="10">
        <v>4.2300000000000004</v>
      </c>
      <c r="L47" s="10">
        <v>227.86500000000001</v>
      </c>
      <c r="M47" s="10">
        <v>232.8561</v>
      </c>
      <c r="N47" s="10">
        <v>7.18119</v>
      </c>
      <c r="O47" s="10">
        <v>-0.20399999999999999</v>
      </c>
      <c r="P47" s="10">
        <v>9.1024618820000001</v>
      </c>
      <c r="Q47" s="10">
        <v>5.359521472</v>
      </c>
      <c r="R47" s="10">
        <v>100.51493000000001</v>
      </c>
      <c r="S47" s="10">
        <v>102.00707</v>
      </c>
      <c r="T47" s="10">
        <v>100.51493000000001</v>
      </c>
      <c r="U47" s="10">
        <v>102.00707</v>
      </c>
      <c r="V47" s="53" t="s">
        <v>146</v>
      </c>
      <c r="W47" s="53" t="s">
        <v>280</v>
      </c>
      <c r="Y47" s="10">
        <f t="shared" si="1"/>
        <v>0.12807576494946643</v>
      </c>
      <c r="Z47" s="10">
        <f t="shared" si="2"/>
        <v>4.6755978771063751E-2</v>
      </c>
      <c r="AA47" s="10">
        <f t="shared" si="3"/>
        <v>2.2676173681108782</v>
      </c>
      <c r="AB47" s="10">
        <f t="shared" si="4"/>
        <v>0.96844678161553199</v>
      </c>
      <c r="AE47" s="10">
        <f t="shared" si="7"/>
        <v>20.709976816916264</v>
      </c>
      <c r="AF47" s="10">
        <f t="shared" si="8"/>
        <v>21.017415570617761</v>
      </c>
    </row>
    <row r="48" spans="1:32" x14ac:dyDescent="0.25">
      <c r="A48" t="s">
        <v>281</v>
      </c>
      <c r="B48" s="39">
        <v>40847</v>
      </c>
      <c r="C48" s="53" t="s">
        <v>282</v>
      </c>
      <c r="D48" s="4" t="str">
        <f>VLOOKUP(LEFT(C48,2),Sort!$A$1:$B$58,2,FALSE)</f>
        <v>China</v>
      </c>
      <c r="E48" s="72">
        <v>463028169</v>
      </c>
      <c r="F48" s="72">
        <v>467810925.89999998</v>
      </c>
      <c r="G48" s="58">
        <f t="shared" si="0"/>
        <v>6.7596077774510571E-2</v>
      </c>
      <c r="H48" s="10">
        <v>29.024999999999999</v>
      </c>
      <c r="I48" s="10">
        <v>13.219576999999999</v>
      </c>
      <c r="J48" s="10">
        <v>6.15</v>
      </c>
      <c r="K48" s="10">
        <v>6.15</v>
      </c>
      <c r="L48" s="10">
        <v>304.95299999999997</v>
      </c>
      <c r="M48" s="10">
        <v>330.06869999999998</v>
      </c>
      <c r="N48" s="10">
        <v>12.274428</v>
      </c>
      <c r="O48" s="10">
        <v>1.7899999999999999E-2</v>
      </c>
      <c r="P48" s="10">
        <v>8.5858691769999993</v>
      </c>
      <c r="Q48" s="10">
        <v>0.987333032</v>
      </c>
      <c r="R48" s="10">
        <v>98.040430000000001</v>
      </c>
      <c r="S48" s="10">
        <v>102.01635</v>
      </c>
      <c r="T48" s="10">
        <v>98.040430000000001</v>
      </c>
      <c r="U48" s="10">
        <v>102.01635</v>
      </c>
      <c r="V48" s="53" t="s">
        <v>146</v>
      </c>
      <c r="W48" s="53" t="s">
        <v>283</v>
      </c>
      <c r="Y48" s="10">
        <f t="shared" si="1"/>
        <v>0.11318123184295716</v>
      </c>
      <c r="Z48" s="10">
        <f t="shared" si="2"/>
        <v>0.10614917235187107</v>
      </c>
      <c r="AA48" s="10">
        <f t="shared" si="3"/>
        <v>1.0545300422240105</v>
      </c>
      <c r="AB48" s="10">
        <f t="shared" si="4"/>
        <v>0.31775158586663166</v>
      </c>
      <c r="AE48" s="10">
        <f t="shared" si="7"/>
        <v>6.6271485313264593</v>
      </c>
      <c r="AF48" s="10">
        <f t="shared" si="8"/>
        <v>6.8959051288716919</v>
      </c>
    </row>
    <row r="49" spans="1:32" x14ac:dyDescent="0.25">
      <c r="A49" t="s">
        <v>284</v>
      </c>
      <c r="B49" s="39">
        <v>40847</v>
      </c>
      <c r="C49" s="53" t="s">
        <v>285</v>
      </c>
      <c r="D49" s="4" t="str">
        <f>VLOOKUP(LEFT(C49,2),Sort!$A$1:$B$58,2,FALSE)</f>
        <v>China</v>
      </c>
      <c r="E49" s="72">
        <v>555633802.79999995</v>
      </c>
      <c r="F49" s="72">
        <v>583248030.5</v>
      </c>
      <c r="G49" s="58">
        <f t="shared" si="0"/>
        <v>8.4276097561551452E-2</v>
      </c>
      <c r="H49" s="10">
        <v>2.9305560000000002</v>
      </c>
      <c r="I49" s="10">
        <v>2.7363230000000001</v>
      </c>
      <c r="J49" s="10">
        <v>2.5783870000000002</v>
      </c>
      <c r="K49" s="10">
        <v>2.5783870000000002</v>
      </c>
      <c r="L49" s="10">
        <v>218.99430000000001</v>
      </c>
      <c r="M49" s="10">
        <v>220.4051</v>
      </c>
      <c r="N49" s="10">
        <v>2.732205</v>
      </c>
      <c r="O49" s="10">
        <v>6.0199999999999997E-2</v>
      </c>
      <c r="P49" s="10">
        <v>-0.37566352800000002</v>
      </c>
      <c r="Q49" s="10">
        <v>2.871750032</v>
      </c>
      <c r="R49" s="10">
        <v>104.64</v>
      </c>
      <c r="S49" s="10">
        <v>106.09</v>
      </c>
      <c r="T49" s="10">
        <v>104.64</v>
      </c>
      <c r="U49" s="10">
        <v>106.09</v>
      </c>
      <c r="V49" s="53" t="s">
        <v>146</v>
      </c>
      <c r="W49" s="53" t="s">
        <v>286</v>
      </c>
      <c r="Y49" s="10">
        <f t="shared" si="1"/>
        <v>3.47042098610564E-2</v>
      </c>
      <c r="Z49" s="10">
        <f t="shared" si="2"/>
        <v>1.9479159088205432E-2</v>
      </c>
      <c r="AA49" s="10">
        <f t="shared" si="3"/>
        <v>0.8779285529317532</v>
      </c>
      <c r="AB49" s="10">
        <f t="shared" si="4"/>
        <v>0.41197922413729787</v>
      </c>
      <c r="AE49" s="10">
        <f t="shared" si="7"/>
        <v>8.8186508488407434</v>
      </c>
      <c r="AF49" s="10">
        <f t="shared" si="8"/>
        <v>8.9408511903049934</v>
      </c>
    </row>
    <row r="50" spans="1:32" x14ac:dyDescent="0.25">
      <c r="A50" t="s">
        <v>287</v>
      </c>
      <c r="B50" s="39">
        <v>40847</v>
      </c>
      <c r="C50" s="53" t="s">
        <v>288</v>
      </c>
      <c r="D50" s="4" t="str">
        <f>VLOOKUP(LEFT(C50,2),Sort!$A$1:$B$58,2,FALSE)</f>
        <v>China</v>
      </c>
      <c r="E50" s="72">
        <v>926056338</v>
      </c>
      <c r="F50" s="72">
        <v>989305985.89999998</v>
      </c>
      <c r="G50" s="58">
        <f t="shared" si="0"/>
        <v>0.14294921444391442</v>
      </c>
      <c r="H50" s="10">
        <v>3.95</v>
      </c>
      <c r="I50" s="10">
        <v>3.6046339999999999</v>
      </c>
      <c r="J50" s="10">
        <v>2.8105730000000002</v>
      </c>
      <c r="K50" s="10">
        <v>2.8105730000000002</v>
      </c>
      <c r="L50" s="10">
        <v>213.41730000000001</v>
      </c>
      <c r="M50" s="10">
        <v>217.2654</v>
      </c>
      <c r="N50" s="10">
        <v>3.587631</v>
      </c>
      <c r="O50" s="10">
        <v>0.3795</v>
      </c>
      <c r="P50" s="10">
        <v>-0.61697507600000001</v>
      </c>
      <c r="Q50" s="10">
        <v>2.5083685720000002</v>
      </c>
      <c r="R50" s="10">
        <v>106.58</v>
      </c>
      <c r="S50" s="10">
        <v>108.13</v>
      </c>
      <c r="T50" s="10">
        <v>106.58</v>
      </c>
      <c r="U50" s="10">
        <v>108.13</v>
      </c>
      <c r="V50" s="53" t="s">
        <v>146</v>
      </c>
      <c r="W50" s="53" t="s">
        <v>289</v>
      </c>
      <c r="Y50" s="10">
        <f t="shared" si="1"/>
        <v>7.7544916145052475E-2</v>
      </c>
      <c r="Z50" s="10">
        <f t="shared" si="2"/>
        <v>3.6015904612303848E-2</v>
      </c>
      <c r="AA50" s="10">
        <f t="shared" si="3"/>
        <v>1.4679303834151207</v>
      </c>
      <c r="AB50" s="10">
        <f t="shared" si="4"/>
        <v>0.71223682574761593</v>
      </c>
      <c r="AE50" s="10">
        <f t="shared" si="7"/>
        <v>15.2355272754324</v>
      </c>
      <c r="AF50" s="10">
        <f t="shared" si="8"/>
        <v>15.457098557820466</v>
      </c>
    </row>
    <row r="51" spans="1:32" x14ac:dyDescent="0.25">
      <c r="A51" t="s">
        <v>290</v>
      </c>
      <c r="B51" s="39">
        <v>40847</v>
      </c>
      <c r="C51" s="53" t="s">
        <v>291</v>
      </c>
      <c r="D51" s="4" t="str">
        <f>VLOOKUP(LEFT(C51,2),Sort!$A$1:$B$58,2,FALSE)</f>
        <v>Columbia</v>
      </c>
      <c r="E51" s="72">
        <v>609092937.5</v>
      </c>
      <c r="F51" s="72">
        <v>692203668.79999995</v>
      </c>
      <c r="G51" s="58">
        <f t="shared" si="0"/>
        <v>5.6432685084264196E-2</v>
      </c>
      <c r="H51" s="10">
        <v>1.2</v>
      </c>
      <c r="I51" s="10">
        <v>1.1373869999999999</v>
      </c>
      <c r="J51" s="10">
        <v>1.215754</v>
      </c>
      <c r="K51" s="10">
        <v>1.215754</v>
      </c>
      <c r="L51" s="10">
        <v>108.9554</v>
      </c>
      <c r="M51" s="10">
        <v>109.2077</v>
      </c>
      <c r="N51" s="10">
        <v>1.1230770000000001</v>
      </c>
      <c r="O51" s="10">
        <v>2.63E-2</v>
      </c>
      <c r="P51" s="10">
        <v>-7.3762642000000003E-2</v>
      </c>
      <c r="Q51" s="10">
        <v>2.368802697</v>
      </c>
      <c r="R51" s="10">
        <v>110.42</v>
      </c>
      <c r="S51" s="10">
        <v>111.32</v>
      </c>
      <c r="T51" s="10">
        <v>110.42</v>
      </c>
      <c r="U51" s="10">
        <v>111.32</v>
      </c>
      <c r="V51" s="53" t="s">
        <v>146</v>
      </c>
      <c r="W51" s="53" t="s">
        <v>292</v>
      </c>
      <c r="Y51" s="10">
        <f t="shared" si="1"/>
        <v>7.3739375161070556E-2</v>
      </c>
      <c r="Z51" s="10">
        <f t="shared" si="2"/>
        <v>9.539209697274334E-2</v>
      </c>
      <c r="AA51" s="10">
        <f t="shared" si="3"/>
        <v>1.1609731876092018</v>
      </c>
      <c r="AB51" s="10">
        <f t="shared" si="4"/>
        <v>0.51304407859928181</v>
      </c>
      <c r="AE51" s="10">
        <f t="shared" si="7"/>
        <v>6.2312970870044531</v>
      </c>
      <c r="AF51" s="10">
        <f t="shared" si="8"/>
        <v>6.28208650358029</v>
      </c>
    </row>
    <row r="52" spans="1:32" x14ac:dyDescent="0.25">
      <c r="A52" t="s">
        <v>293</v>
      </c>
      <c r="B52" s="39">
        <v>40847</v>
      </c>
      <c r="C52" s="53" t="s">
        <v>294</v>
      </c>
      <c r="D52" s="4" t="str">
        <f>VLOOKUP(LEFT(C52,2),Sort!$A$1:$B$58,2,FALSE)</f>
        <v>Columbia</v>
      </c>
      <c r="E52" s="72">
        <v>646498553</v>
      </c>
      <c r="F52" s="72">
        <v>1018037677</v>
      </c>
      <c r="G52" s="58">
        <f t="shared" si="0"/>
        <v>8.2996670228074457E-2</v>
      </c>
      <c r="H52" s="10">
        <v>8.3111110000000004</v>
      </c>
      <c r="I52" s="10">
        <v>6.02719</v>
      </c>
      <c r="J52" s="10">
        <v>3.793698</v>
      </c>
      <c r="K52" s="10">
        <v>3.793698</v>
      </c>
      <c r="L52" s="10">
        <v>197.60830000000001</v>
      </c>
      <c r="M52" s="10">
        <v>215.47630000000001</v>
      </c>
      <c r="N52" s="10">
        <v>5.8720150000000002</v>
      </c>
      <c r="O52" s="10">
        <v>0.4995</v>
      </c>
      <c r="P52" s="10">
        <v>1.7207961919999999</v>
      </c>
      <c r="Q52" s="10">
        <v>10.011929909999999</v>
      </c>
      <c r="R52" s="10">
        <v>155.25</v>
      </c>
      <c r="S52" s="10">
        <v>156.25</v>
      </c>
      <c r="T52" s="10">
        <v>155.25</v>
      </c>
      <c r="U52" s="10">
        <v>156.25</v>
      </c>
      <c r="V52" s="53" t="s">
        <v>146</v>
      </c>
      <c r="W52" s="53" t="s">
        <v>295</v>
      </c>
      <c r="Y52" s="10">
        <f t="shared" si="1"/>
        <v>7.4321675466135828E-2</v>
      </c>
      <c r="Z52" s="10">
        <f t="shared" si="2"/>
        <v>5.0025959554578128E-2</v>
      </c>
      <c r="AA52" s="10">
        <f t="shared" si="3"/>
        <v>1.4981234919679642</v>
      </c>
      <c r="AB52" s="10">
        <f t="shared" si="4"/>
        <v>5.8131947390368834</v>
      </c>
      <c r="AE52" s="10">
        <f t="shared" si="7"/>
        <v>12.885233052908559</v>
      </c>
      <c r="AF52" s="10">
        <f t="shared" si="8"/>
        <v>12.968229723136634</v>
      </c>
    </row>
    <row r="53" spans="1:32" x14ac:dyDescent="0.25">
      <c r="A53" t="s">
        <v>296</v>
      </c>
      <c r="B53" s="39">
        <v>40847</v>
      </c>
      <c r="C53" s="53" t="s">
        <v>297</v>
      </c>
      <c r="D53" s="4" t="str">
        <f>VLOOKUP(LEFT(C53,2),Sort!$A$1:$B$58,2,FALSE)</f>
        <v>Columbia</v>
      </c>
      <c r="E53" s="72">
        <v>1624247833</v>
      </c>
      <c r="F53" s="72">
        <v>1727370646</v>
      </c>
      <c r="G53" s="58">
        <f t="shared" si="0"/>
        <v>0.14082584083743882</v>
      </c>
      <c r="H53" s="10">
        <v>9.6916670000000007</v>
      </c>
      <c r="I53" s="10">
        <v>8.0376100000000008</v>
      </c>
      <c r="J53" s="10">
        <v>3.6343670000000001</v>
      </c>
      <c r="K53" s="10">
        <v>3.6343670000000001</v>
      </c>
      <c r="L53" s="10">
        <v>155.81280000000001</v>
      </c>
      <c r="M53" s="10">
        <v>162.4616</v>
      </c>
      <c r="N53" s="10">
        <v>7.7628310000000003</v>
      </c>
      <c r="O53" s="10">
        <v>0.7218</v>
      </c>
      <c r="P53" s="10">
        <v>3.2427123409999998</v>
      </c>
      <c r="Q53" s="10">
        <v>5.7288969999999999</v>
      </c>
      <c r="R53" s="10">
        <v>105</v>
      </c>
      <c r="S53" s="10">
        <v>106</v>
      </c>
      <c r="T53" s="10">
        <v>105</v>
      </c>
      <c r="U53" s="10">
        <v>106</v>
      </c>
      <c r="V53" s="53" t="s">
        <v>146</v>
      </c>
      <c r="W53" s="53" t="s">
        <v>298</v>
      </c>
      <c r="Y53" s="10">
        <f t="shared" si="1"/>
        <v>0.48100178773704294</v>
      </c>
      <c r="Z53" s="10">
        <f t="shared" si="2"/>
        <v>8.1317334851404202E-2</v>
      </c>
      <c r="AA53" s="10">
        <f t="shared" si="3"/>
        <v>4.3099406894752281</v>
      </c>
      <c r="AB53" s="10">
        <f t="shared" si="4"/>
        <v>1.2190990292332078</v>
      </c>
      <c r="AE53" s="10">
        <f t="shared" si="7"/>
        <v>14.786713287931077</v>
      </c>
      <c r="AF53" s="10">
        <f t="shared" si="8"/>
        <v>14.927539128768515</v>
      </c>
    </row>
    <row r="54" spans="1:32" x14ac:dyDescent="0.25">
      <c r="A54" t="s">
        <v>299</v>
      </c>
      <c r="B54" s="39">
        <v>40847</v>
      </c>
      <c r="C54" s="53" t="s">
        <v>300</v>
      </c>
      <c r="D54" s="4" t="str">
        <f>VLOOKUP(LEFT(C54,2),Sort!$A$1:$B$58,2,FALSE)</f>
        <v>Columbia</v>
      </c>
      <c r="E54" s="72">
        <v>812123916.70000005</v>
      </c>
      <c r="F54" s="72">
        <v>982966023.29999995</v>
      </c>
      <c r="G54" s="58">
        <f t="shared" si="0"/>
        <v>8.0137414090256556E-2</v>
      </c>
      <c r="H54" s="10">
        <v>29.208333</v>
      </c>
      <c r="I54" s="10">
        <v>15.005983000000001</v>
      </c>
      <c r="J54" s="10">
        <v>4.8244689999999997</v>
      </c>
      <c r="K54" s="10">
        <v>4.8244689999999997</v>
      </c>
      <c r="L54" s="10">
        <v>171.46860000000001</v>
      </c>
      <c r="M54" s="10">
        <v>189.04949999999999</v>
      </c>
      <c r="N54" s="10">
        <v>13.879883</v>
      </c>
      <c r="O54" s="10">
        <v>0.63770000000000004</v>
      </c>
      <c r="P54" s="10">
        <v>5.8843355229999998</v>
      </c>
      <c r="Q54" s="10">
        <v>21.58778693</v>
      </c>
      <c r="R54" s="10">
        <v>119.25</v>
      </c>
      <c r="S54" s="10">
        <v>120.25</v>
      </c>
      <c r="T54" s="10">
        <v>119.25</v>
      </c>
      <c r="U54" s="10">
        <v>120.25</v>
      </c>
      <c r="V54" s="53" t="s">
        <v>146</v>
      </c>
      <c r="W54" s="53" t="s">
        <v>301</v>
      </c>
      <c r="Y54" s="10">
        <f t="shared" si="1"/>
        <v>0.26995380515624384</v>
      </c>
      <c r="Z54" s="10">
        <f t="shared" si="2"/>
        <v>3.6760965570199235E-2</v>
      </c>
      <c r="AA54" s="10">
        <f t="shared" si="3"/>
        <v>2.8539678211193555</v>
      </c>
      <c r="AB54" s="10">
        <f t="shared" si="4"/>
        <v>2.3835013377299168</v>
      </c>
      <c r="AE54" s="10">
        <f t="shared" si="7"/>
        <v>9.5563866302630949</v>
      </c>
      <c r="AF54" s="10">
        <f t="shared" si="8"/>
        <v>9.6365240443533509</v>
      </c>
    </row>
    <row r="55" spans="1:32" x14ac:dyDescent="0.25">
      <c r="A55" t="s">
        <v>302</v>
      </c>
      <c r="B55" s="39">
        <v>40847</v>
      </c>
      <c r="C55" s="53" t="s">
        <v>303</v>
      </c>
      <c r="D55" s="4" t="str">
        <f>VLOOKUP(LEFT(C55,2),Sort!$A$1:$B$58,2,FALSE)</f>
        <v>Columbia</v>
      </c>
      <c r="E55" s="72">
        <v>1340004463</v>
      </c>
      <c r="F55" s="72">
        <v>1651108837</v>
      </c>
      <c r="G55" s="58">
        <f t="shared" si="0"/>
        <v>0.13460851081560565</v>
      </c>
      <c r="H55" s="10">
        <v>5.233333</v>
      </c>
      <c r="I55" s="10">
        <v>4.4367000000000001</v>
      </c>
      <c r="J55" s="10">
        <v>2.7763620000000002</v>
      </c>
      <c r="K55" s="10">
        <v>2.7763620000000002</v>
      </c>
      <c r="L55" s="10">
        <v>172.46449999999999</v>
      </c>
      <c r="M55" s="10">
        <v>178.95060000000001</v>
      </c>
      <c r="N55" s="10">
        <v>4.3856809999999999</v>
      </c>
      <c r="O55" s="10">
        <v>-0.105</v>
      </c>
      <c r="P55" s="10">
        <v>2.13324457</v>
      </c>
      <c r="Q55" s="10">
        <v>8.6051772720000006</v>
      </c>
      <c r="R55" s="10">
        <v>121.25</v>
      </c>
      <c r="S55" s="10">
        <v>122.25</v>
      </c>
      <c r="T55" s="10">
        <v>121.25</v>
      </c>
      <c r="U55" s="10">
        <v>122.25</v>
      </c>
      <c r="V55" s="53" t="s">
        <v>146</v>
      </c>
      <c r="W55" s="53" t="s">
        <v>304</v>
      </c>
      <c r="Y55" s="10">
        <f t="shared" si="1"/>
        <v>0.14687922209766863</v>
      </c>
      <c r="Z55" s="10">
        <f t="shared" si="2"/>
        <v>5.9377323058917235E-2</v>
      </c>
      <c r="AA55" s="10">
        <f t="shared" si="3"/>
        <v>4.5377847702445422</v>
      </c>
      <c r="AB55" s="10">
        <f t="shared" si="4"/>
        <v>4.0702058868871651</v>
      </c>
      <c r="AE55" s="10">
        <f t="shared" si="7"/>
        <v>16.321281936392186</v>
      </c>
      <c r="AF55" s="10">
        <f t="shared" si="8"/>
        <v>16.455890447207793</v>
      </c>
    </row>
    <row r="56" spans="1:32" x14ac:dyDescent="0.25">
      <c r="A56" t="s">
        <v>305</v>
      </c>
      <c r="B56" s="39">
        <v>40847</v>
      </c>
      <c r="C56" s="53" t="s">
        <v>306</v>
      </c>
      <c r="D56" s="4" t="str">
        <f>VLOOKUP(LEFT(C56,2),Sort!$A$1:$B$58,2,FALSE)</f>
        <v>Columbia</v>
      </c>
      <c r="E56" s="72">
        <v>1624247833</v>
      </c>
      <c r="F56" s="72">
        <v>2057465185</v>
      </c>
      <c r="G56" s="58">
        <f t="shared" si="0"/>
        <v>0.16773717056170329</v>
      </c>
      <c r="H56" s="10">
        <v>7.375</v>
      </c>
      <c r="I56" s="10">
        <v>5.9843840000000004</v>
      </c>
      <c r="J56" s="10">
        <v>3.2636430000000001</v>
      </c>
      <c r="K56" s="10">
        <v>3.2636430000000001</v>
      </c>
      <c r="L56" s="10">
        <v>162.13929999999999</v>
      </c>
      <c r="M56" s="10">
        <v>172.934</v>
      </c>
      <c r="N56" s="10">
        <v>5.850187</v>
      </c>
      <c r="O56" s="10">
        <v>0.61199999999999999</v>
      </c>
      <c r="P56" s="10">
        <v>2.486773785</v>
      </c>
      <c r="Q56" s="10">
        <v>9.9966155889999992</v>
      </c>
      <c r="R56" s="10">
        <v>125.75</v>
      </c>
      <c r="S56" s="10">
        <v>126.75</v>
      </c>
      <c r="T56" s="10">
        <v>125.75</v>
      </c>
      <c r="U56" s="10">
        <v>126.75</v>
      </c>
      <c r="V56" s="53" t="s">
        <v>146</v>
      </c>
      <c r="W56" s="53" t="s">
        <v>307</v>
      </c>
      <c r="Y56" s="10">
        <f t="shared" si="1"/>
        <v>0.24687467799592738</v>
      </c>
      <c r="Z56" s="10">
        <f t="shared" si="2"/>
        <v>8.6976907560770311E-2</v>
      </c>
      <c r="AA56" s="10">
        <f t="shared" si="3"/>
        <v>5.4644683456787853</v>
      </c>
      <c r="AB56" s="10">
        <f t="shared" si="4"/>
        <v>5.2586258455440147</v>
      </c>
      <c r="AE56" s="10">
        <f t="shared" si="7"/>
        <v>21.092949198134189</v>
      </c>
      <c r="AF56" s="10">
        <f t="shared" si="8"/>
        <v>21.260686368695893</v>
      </c>
    </row>
    <row r="57" spans="1:32" x14ac:dyDescent="0.25">
      <c r="A57" t="s">
        <v>308</v>
      </c>
      <c r="B57" s="39">
        <v>40847</v>
      </c>
      <c r="C57" s="53" t="s">
        <v>309</v>
      </c>
      <c r="D57" s="4" t="str">
        <f>VLOOKUP(LEFT(C57,2),Sort!$A$1:$B$58,2,FALSE)</f>
        <v>Columbia</v>
      </c>
      <c r="E57" s="72">
        <v>1476766130</v>
      </c>
      <c r="F57" s="72">
        <v>2022015875</v>
      </c>
      <c r="G57" s="58">
        <f t="shared" si="0"/>
        <v>0.1648471255679336</v>
      </c>
      <c r="H57" s="10">
        <v>25.875</v>
      </c>
      <c r="I57" s="10">
        <v>13.734698</v>
      </c>
      <c r="J57" s="10">
        <v>4.8493050000000002</v>
      </c>
      <c r="K57" s="10">
        <v>4.8493050000000002</v>
      </c>
      <c r="L57" s="10">
        <v>190.88550000000001</v>
      </c>
      <c r="M57" s="10">
        <v>202.20939999999999</v>
      </c>
      <c r="N57" s="10">
        <v>12.777892</v>
      </c>
      <c r="O57" s="10">
        <v>0.75090000000000001</v>
      </c>
      <c r="P57" s="10">
        <v>5.0431136700000003</v>
      </c>
      <c r="Q57" s="10">
        <v>20.225724029999999</v>
      </c>
      <c r="R57" s="10">
        <v>136</v>
      </c>
      <c r="S57" s="10">
        <v>137</v>
      </c>
      <c r="T57" s="10">
        <v>136</v>
      </c>
      <c r="U57" s="10">
        <v>137</v>
      </c>
      <c r="V57" s="53" t="s">
        <v>146</v>
      </c>
      <c r="W57" s="53" t="s">
        <v>310</v>
      </c>
      <c r="Y57" s="10">
        <f t="shared" si="1"/>
        <v>0.5082649624437231</v>
      </c>
      <c r="Z57" s="10">
        <f t="shared" si="2"/>
        <v>7.6008636974838395E-2</v>
      </c>
      <c r="AA57" s="10">
        <f t="shared" si="3"/>
        <v>2.7923519414450491</v>
      </c>
      <c r="AB57" s="10">
        <f t="shared" si="4"/>
        <v>5.5859486182987084</v>
      </c>
      <c r="AE57" s="10">
        <f t="shared" si="7"/>
        <v>22.419209077238971</v>
      </c>
      <c r="AF57" s="10">
        <f t="shared" si="8"/>
        <v>22.584056202806902</v>
      </c>
    </row>
    <row r="58" spans="1:32" x14ac:dyDescent="0.25">
      <c r="A58" t="s">
        <v>311</v>
      </c>
      <c r="B58" s="39">
        <v>40847</v>
      </c>
      <c r="C58" s="53" t="s">
        <v>312</v>
      </c>
      <c r="D58" s="4" t="str">
        <f>VLOOKUP(LEFT(C58,2),Sort!$A$1:$B$58,2,FALSE)</f>
        <v>Columbia</v>
      </c>
      <c r="E58" s="72">
        <v>812123916.70000005</v>
      </c>
      <c r="F58" s="72">
        <v>980656546</v>
      </c>
      <c r="G58" s="58">
        <f t="shared" si="0"/>
        <v>7.994913134768443E-2</v>
      </c>
      <c r="H58" s="10">
        <v>3.1361110000000001</v>
      </c>
      <c r="I58" s="10">
        <v>2.7645279999999999</v>
      </c>
      <c r="J58" s="10">
        <v>2.0455480000000001</v>
      </c>
      <c r="K58" s="10">
        <v>2.0455480000000001</v>
      </c>
      <c r="L58" s="10">
        <v>160.68039999999999</v>
      </c>
      <c r="M58" s="10">
        <v>163.24789999999999</v>
      </c>
      <c r="N58" s="10">
        <v>2.7582879999999999</v>
      </c>
      <c r="O58" s="10">
        <v>0.22650000000000001</v>
      </c>
      <c r="P58" s="10">
        <v>0.95448730599999998</v>
      </c>
      <c r="Q58" s="10">
        <v>6.2423840970000004</v>
      </c>
      <c r="R58" s="10">
        <v>117.75</v>
      </c>
      <c r="S58" s="10">
        <v>118.75</v>
      </c>
      <c r="T58" s="10">
        <v>117.75</v>
      </c>
      <c r="U58" s="10">
        <v>118.75</v>
      </c>
      <c r="V58" s="53" t="s">
        <v>146</v>
      </c>
      <c r="W58" s="53" t="s">
        <v>313</v>
      </c>
      <c r="Y58" s="10">
        <f t="shared" si="1"/>
        <v>5.895212219028996E-2</v>
      </c>
      <c r="Z58" s="10">
        <f t="shared" si="2"/>
        <v>2.5983366988255742E-2</v>
      </c>
      <c r="AA58" s="10">
        <f t="shared" si="3"/>
        <v>2.4586661804023278</v>
      </c>
      <c r="AB58" s="10">
        <f t="shared" si="4"/>
        <v>0.77535061367595748</v>
      </c>
      <c r="AE58" s="10">
        <f t="shared" si="7"/>
        <v>9.4140102161898422</v>
      </c>
      <c r="AF58" s="10">
        <f t="shared" si="8"/>
        <v>9.4939593475375261</v>
      </c>
    </row>
    <row r="59" spans="1:32" x14ac:dyDescent="0.25">
      <c r="A59" t="s">
        <v>314</v>
      </c>
      <c r="B59" s="39">
        <v>40847</v>
      </c>
      <c r="C59" s="53" t="s">
        <v>315</v>
      </c>
      <c r="D59" s="4" t="str">
        <f>VLOOKUP(LEFT(C59,2),Sort!$A$1:$B$58,2,FALSE)</f>
        <v>Columbia</v>
      </c>
      <c r="E59" s="72">
        <v>812123916.70000005</v>
      </c>
      <c r="F59" s="72">
        <v>1134181807</v>
      </c>
      <c r="G59" s="58">
        <f t="shared" si="0"/>
        <v>9.2465451467038967E-2</v>
      </c>
      <c r="H59" s="10">
        <v>12.55</v>
      </c>
      <c r="I59" s="10">
        <v>8.6079519999999992</v>
      </c>
      <c r="J59" s="10">
        <v>4.2827320000000002</v>
      </c>
      <c r="K59" s="10">
        <v>4.2827320000000002</v>
      </c>
      <c r="L59" s="10">
        <v>201.91919999999999</v>
      </c>
      <c r="M59" s="10">
        <v>207.0068</v>
      </c>
      <c r="N59" s="10">
        <v>8.2462859999999996</v>
      </c>
      <c r="O59" s="10">
        <v>0.37559999999999999</v>
      </c>
      <c r="P59" s="10">
        <v>3.2393022500000002</v>
      </c>
      <c r="Q59" s="10">
        <v>13.164514110000001</v>
      </c>
      <c r="R59" s="10">
        <v>136</v>
      </c>
      <c r="S59" s="10">
        <v>137</v>
      </c>
      <c r="T59" s="10">
        <v>136</v>
      </c>
      <c r="U59" s="10">
        <v>137</v>
      </c>
      <c r="V59" s="53" t="s">
        <v>146</v>
      </c>
      <c r="W59" s="53" t="s">
        <v>316</v>
      </c>
      <c r="Y59" s="10">
        <f t="shared" si="1"/>
        <v>0.33823359296353839</v>
      </c>
      <c r="Z59" s="10">
        <f t="shared" si="2"/>
        <v>3.7653249198639098E-2</v>
      </c>
      <c r="AA59" s="10">
        <f t="shared" si="3"/>
        <v>1.6034356745640899</v>
      </c>
      <c r="AB59" s="10">
        <f t="shared" si="4"/>
        <v>3.1332500283714055</v>
      </c>
      <c r="AE59" s="10">
        <f t="shared" si="7"/>
        <v>12.575301399517299</v>
      </c>
      <c r="AF59" s="10">
        <f t="shared" si="8"/>
        <v>12.667766850984339</v>
      </c>
    </row>
    <row r="60" spans="1:32" x14ac:dyDescent="0.25">
      <c r="A60" t="s">
        <v>347</v>
      </c>
      <c r="B60" s="39">
        <v>40847</v>
      </c>
      <c r="C60" s="53" t="s">
        <v>348</v>
      </c>
      <c r="D60" s="4" t="str">
        <f>VLOOKUP(LEFT(C60,2),Sort!$A$1:$B$58,2,FALSE)</f>
        <v>Croatia</v>
      </c>
      <c r="E60" s="72">
        <v>1500000000</v>
      </c>
      <c r="F60" s="72">
        <v>1550062500</v>
      </c>
      <c r="G60" s="58">
        <f t="shared" si="0"/>
        <v>0.36395558246049892</v>
      </c>
      <c r="H60" s="10">
        <v>8.0055560000000003</v>
      </c>
      <c r="I60" s="10">
        <v>6.0423859999999996</v>
      </c>
      <c r="J60" s="10">
        <v>6.5871709999999997</v>
      </c>
      <c r="K60" s="10">
        <v>6.5871709999999997</v>
      </c>
      <c r="L60" s="10">
        <v>482.67970000000003</v>
      </c>
      <c r="M60" s="10">
        <v>493.4794</v>
      </c>
      <c r="N60" s="10">
        <v>5.8870579999999997</v>
      </c>
      <c r="O60" s="10">
        <v>-0.46350000000000002</v>
      </c>
      <c r="P60" s="10">
        <v>5.9192828759999996</v>
      </c>
      <c r="Q60" s="10">
        <v>0.92022568299999996</v>
      </c>
      <c r="R60" s="10">
        <v>100</v>
      </c>
      <c r="S60" s="10">
        <v>101</v>
      </c>
      <c r="T60" s="10">
        <v>100</v>
      </c>
      <c r="U60" s="10">
        <v>101</v>
      </c>
      <c r="V60" s="53" t="s">
        <v>146</v>
      </c>
      <c r="W60" s="53" t="s">
        <v>349</v>
      </c>
      <c r="Y60" s="10">
        <f t="shared" si="1"/>
        <v>0.11344737022177834</v>
      </c>
      <c r="Z60" s="10">
        <f t="shared" si="2"/>
        <v>0.37672052545921286</v>
      </c>
      <c r="AA60" s="10">
        <f t="shared" si="3"/>
        <v>25.247173557649429</v>
      </c>
      <c r="AB60" s="10">
        <f t="shared" si="4"/>
        <v>1.0423610351278187</v>
      </c>
      <c r="AE60" s="10">
        <f t="shared" si="7"/>
        <v>36.395558246049895</v>
      </c>
      <c r="AF60" s="10">
        <f t="shared" si="8"/>
        <v>36.759513828510393</v>
      </c>
    </row>
    <row r="61" spans="1:32" x14ac:dyDescent="0.25">
      <c r="A61" t="s">
        <v>350</v>
      </c>
      <c r="B61" s="39">
        <v>40847</v>
      </c>
      <c r="C61" s="53" t="s">
        <v>351</v>
      </c>
      <c r="D61" s="4" t="str">
        <f>VLOOKUP(LEFT(C61,2),Sort!$A$1:$B$58,2,FALSE)</f>
        <v>Croatia</v>
      </c>
      <c r="E61" s="72">
        <v>1500000000</v>
      </c>
      <c r="F61" s="72">
        <v>1454109375</v>
      </c>
      <c r="G61" s="58">
        <f t="shared" si="0"/>
        <v>0.34142573253620229</v>
      </c>
      <c r="H61" s="10">
        <v>9.391667</v>
      </c>
      <c r="I61" s="10">
        <v>7.0448060000000003</v>
      </c>
      <c r="J61" s="10">
        <v>6.7742319999999996</v>
      </c>
      <c r="K61" s="10">
        <v>6.7742319999999996</v>
      </c>
      <c r="L61" s="10">
        <v>475.41930000000002</v>
      </c>
      <c r="M61" s="10">
        <v>488.95260000000002</v>
      </c>
      <c r="N61" s="10">
        <v>6.8258099999999997</v>
      </c>
      <c r="O61" s="10">
        <v>-0.495</v>
      </c>
      <c r="P61" s="10">
        <v>6.8866501119999999</v>
      </c>
      <c r="Q61" s="10">
        <v>5.2912847999999998E-2</v>
      </c>
      <c r="R61" s="10">
        <v>96.25</v>
      </c>
      <c r="S61" s="10">
        <v>97.25</v>
      </c>
      <c r="T61" s="10">
        <v>96.25</v>
      </c>
      <c r="U61" s="10">
        <v>97.25</v>
      </c>
      <c r="V61" s="53" t="s">
        <v>146</v>
      </c>
      <c r="W61" s="53" t="s">
        <v>352</v>
      </c>
      <c r="Y61" s="10">
        <f t="shared" si="1"/>
        <v>0.12408031017391319</v>
      </c>
      <c r="Z61" s="10">
        <f t="shared" si="2"/>
        <v>0.36343627813002977</v>
      </c>
      <c r="AA61" s="10">
        <f t="shared" si="3"/>
        <v>23.467042621333682</v>
      </c>
      <c r="AB61" s="10">
        <f t="shared" si="4"/>
        <v>4.7077797211732051</v>
      </c>
      <c r="AE61" s="10">
        <f t="shared" si="7"/>
        <v>32.862226756609473</v>
      </c>
      <c r="AF61" s="10">
        <f t="shared" si="8"/>
        <v>33.203652489145675</v>
      </c>
    </row>
    <row r="62" spans="1:32" x14ac:dyDescent="0.25">
      <c r="A62" t="s">
        <v>353</v>
      </c>
      <c r="B62" s="39">
        <v>40847</v>
      </c>
      <c r="C62" s="53" t="s">
        <v>354</v>
      </c>
      <c r="D62" s="4" t="str">
        <f>VLOOKUP(LEFT(C62,2),Sort!$A$1:$B$58,2,FALSE)</f>
        <v>Croatia</v>
      </c>
      <c r="E62" s="72">
        <v>1250000000</v>
      </c>
      <c r="F62" s="72">
        <v>1254761288</v>
      </c>
      <c r="G62" s="58">
        <f t="shared" si="0"/>
        <v>0.2946186850032988</v>
      </c>
      <c r="H62" s="10">
        <v>8.697222</v>
      </c>
      <c r="I62" s="10">
        <v>6.5294179999999997</v>
      </c>
      <c r="J62" s="10">
        <v>6.7190479999999999</v>
      </c>
      <c r="K62" s="10">
        <v>6.7190479999999999</v>
      </c>
      <c r="L62" s="10">
        <v>482.91019999999997</v>
      </c>
      <c r="M62" s="10">
        <v>494.55849999999998</v>
      </c>
      <c r="N62" s="10">
        <v>6.3437270000000003</v>
      </c>
      <c r="O62" s="10">
        <v>-0.35399999999999998</v>
      </c>
      <c r="P62" s="10">
        <v>5.6745375879999997</v>
      </c>
      <c r="Q62" s="10">
        <v>0.25409462300000002</v>
      </c>
      <c r="R62" s="10">
        <v>98.375</v>
      </c>
      <c r="S62" s="10">
        <v>99.375</v>
      </c>
      <c r="T62" s="10">
        <v>98.375</v>
      </c>
      <c r="U62" s="10">
        <v>99.375</v>
      </c>
      <c r="V62" s="53" t="s">
        <v>146</v>
      </c>
      <c r="W62" s="53" t="s">
        <v>355</v>
      </c>
      <c r="Y62" s="10">
        <f t="shared" si="1"/>
        <v>9.9236706304289587E-2</v>
      </c>
      <c r="Z62" s="10">
        <f t="shared" si="2"/>
        <v>0.31105700838216771</v>
      </c>
      <c r="AA62" s="10">
        <f t="shared" si="3"/>
        <v>20.482044703078969</v>
      </c>
      <c r="AB62" s="10">
        <f t="shared" si="4"/>
        <v>4.151143076791679</v>
      </c>
      <c r="AE62" s="10">
        <f t="shared" si="7"/>
        <v>28.983113137199521</v>
      </c>
      <c r="AF62" s="10">
        <f t="shared" si="8"/>
        <v>29.277731822202817</v>
      </c>
    </row>
    <row r="63" spans="1:32" x14ac:dyDescent="0.25">
      <c r="A63" t="s">
        <v>320</v>
      </c>
      <c r="B63" s="39">
        <v>40847</v>
      </c>
      <c r="C63" s="53" t="s">
        <v>321</v>
      </c>
      <c r="D63" s="4" t="str">
        <f>VLOOKUP(LEFT(C63,2),Sort!$A$1:$B$58,2,FALSE)</f>
        <v>Dominican Republic</v>
      </c>
      <c r="E63" s="72">
        <v>1250000000</v>
      </c>
      <c r="F63" s="72">
        <v>1333593750</v>
      </c>
      <c r="G63" s="58">
        <f t="shared" si="0"/>
        <v>0.65390476730208402</v>
      </c>
      <c r="H63" s="10">
        <v>8.5083330000000004</v>
      </c>
      <c r="I63" s="10">
        <v>6.1574850000000003</v>
      </c>
      <c r="J63" s="10">
        <v>6.8699579999999996</v>
      </c>
      <c r="K63" s="10">
        <v>6.8699579999999996</v>
      </c>
      <c r="L63" s="10">
        <v>501.53969999999998</v>
      </c>
      <c r="M63" s="10">
        <v>514.98910000000001</v>
      </c>
      <c r="N63" s="10">
        <v>5.9896750000000001</v>
      </c>
      <c r="O63" s="10">
        <v>1.95E-2</v>
      </c>
      <c r="P63" s="10">
        <v>6.5764816660000003</v>
      </c>
      <c r="Q63" s="10">
        <v>1.62660201</v>
      </c>
      <c r="R63" s="10">
        <v>103</v>
      </c>
      <c r="S63" s="10">
        <v>104</v>
      </c>
      <c r="T63" s="10">
        <v>103</v>
      </c>
      <c r="U63" s="10">
        <v>104</v>
      </c>
      <c r="V63" s="53" t="s">
        <v>146</v>
      </c>
      <c r="W63" s="53" t="s">
        <v>322</v>
      </c>
      <c r="Y63" s="10">
        <f t="shared" si="1"/>
        <v>9.9463485009219713E-2</v>
      </c>
      <c r="Z63" s="10">
        <f t="shared" si="2"/>
        <v>0.33802495937972377</v>
      </c>
      <c r="AA63" s="10">
        <f t="shared" si="3"/>
        <v>22.668152013542699</v>
      </c>
      <c r="AB63" s="10">
        <f t="shared" si="4"/>
        <v>0.92343105498067291</v>
      </c>
      <c r="AE63" s="10">
        <f t="shared" si="7"/>
        <v>67.352191032114661</v>
      </c>
      <c r="AF63" s="10">
        <f t="shared" si="8"/>
        <v>68.006095799416741</v>
      </c>
    </row>
    <row r="64" spans="1:32" x14ac:dyDescent="0.25">
      <c r="A64" t="s">
        <v>323</v>
      </c>
      <c r="B64" s="39">
        <v>40847</v>
      </c>
      <c r="C64" s="53" t="s">
        <v>324</v>
      </c>
      <c r="D64" s="4" t="str">
        <f>VLOOKUP(LEFT(C64,2),Sort!$A$1:$B$58,2,FALSE)</f>
        <v>Dominican Republic</v>
      </c>
      <c r="E64" s="72">
        <v>627349059.20000005</v>
      </c>
      <c r="F64" s="72">
        <v>705837397.60000002</v>
      </c>
      <c r="G64" s="58">
        <f t="shared" si="0"/>
        <v>0.34609523269791609</v>
      </c>
      <c r="H64" s="10">
        <v>3.973611</v>
      </c>
      <c r="I64" s="10">
        <v>3.286994</v>
      </c>
      <c r="J64" s="10">
        <v>5.5813560000000004</v>
      </c>
      <c r="K64" s="10">
        <v>5.5813560000000004</v>
      </c>
      <c r="L64" s="10">
        <v>489.80619999999999</v>
      </c>
      <c r="M64" s="10">
        <v>480.58760000000001</v>
      </c>
      <c r="N64" s="10">
        <v>3.260456</v>
      </c>
      <c r="O64" s="10">
        <v>2.23E-2</v>
      </c>
      <c r="P64" s="10">
        <v>1.536991351</v>
      </c>
      <c r="Q64" s="10">
        <v>3.5052676410000001</v>
      </c>
      <c r="R64" s="10">
        <v>110</v>
      </c>
      <c r="S64" s="10">
        <v>112</v>
      </c>
      <c r="T64" s="10">
        <v>120.227457</v>
      </c>
      <c r="U64" s="10">
        <v>122.413411</v>
      </c>
      <c r="V64" s="53" t="s">
        <v>146</v>
      </c>
      <c r="W64" s="53" t="s">
        <v>325</v>
      </c>
      <c r="Y64" s="10">
        <f t="shared" si="1"/>
        <v>5.0450455929973402E-2</v>
      </c>
      <c r="Z64" s="10">
        <f t="shared" si="2"/>
        <v>3.0538188592603325E-2</v>
      </c>
      <c r="AA64" s="10">
        <f t="shared" si="3"/>
        <v>11.19622851608376</v>
      </c>
      <c r="AB64" s="10">
        <f t="shared" si="4"/>
        <v>0.52634472240879659</v>
      </c>
      <c r="AE64" s="10">
        <f t="shared" si="7"/>
        <v>38.07047559677077</v>
      </c>
      <c r="AF64" s="10">
        <f t="shared" si="8"/>
        <v>38.762666062166602</v>
      </c>
    </row>
    <row r="65" spans="1:32" x14ac:dyDescent="0.25">
      <c r="A65" t="s">
        <v>326</v>
      </c>
      <c r="B65" s="39">
        <v>40847</v>
      </c>
      <c r="C65" s="53" t="s">
        <v>327</v>
      </c>
      <c r="D65" s="4" t="str">
        <f>VLOOKUP(LEFT(C65,2),Sort!$A$1:$B$58,2,FALSE)</f>
        <v>Ecuador</v>
      </c>
      <c r="E65" s="72">
        <v>650000000</v>
      </c>
      <c r="F65" s="72">
        <v>657109375</v>
      </c>
      <c r="G65" s="58">
        <f t="shared" si="0"/>
        <v>1</v>
      </c>
      <c r="H65" s="10">
        <v>4.1166669999999996</v>
      </c>
      <c r="I65" s="10">
        <v>3.2472080000000001</v>
      </c>
      <c r="J65" s="10">
        <v>9.5187790000000003</v>
      </c>
      <c r="K65" s="10">
        <v>9.5187790000000003</v>
      </c>
      <c r="L65" s="10">
        <v>879.37120000000004</v>
      </c>
      <c r="M65" s="10">
        <v>886.17769999999996</v>
      </c>
      <c r="N65" s="10">
        <v>3.2301519999999999</v>
      </c>
      <c r="O65" s="10">
        <v>2.58E-2</v>
      </c>
      <c r="P65" s="10">
        <v>0.22720290600000001</v>
      </c>
      <c r="Q65" s="10">
        <v>14.41350692</v>
      </c>
      <c r="R65" s="10">
        <v>97.5</v>
      </c>
      <c r="S65" s="10">
        <v>99.5</v>
      </c>
      <c r="T65" s="10">
        <v>97.5</v>
      </c>
      <c r="U65" s="10">
        <v>99.5</v>
      </c>
      <c r="V65" s="53" t="s">
        <v>146</v>
      </c>
      <c r="W65" s="53" t="s">
        <v>328</v>
      </c>
      <c r="Y65" s="10">
        <f t="shared" si="1"/>
        <v>4.6399071580914802E-2</v>
      </c>
      <c r="Z65" s="10">
        <f t="shared" si="2"/>
        <v>0.74340026294287787</v>
      </c>
      <c r="AA65" s="10">
        <f t="shared" si="3"/>
        <v>72.117951270337485</v>
      </c>
      <c r="AB65" s="10">
        <f t="shared" si="4"/>
        <v>2.1766579804876018</v>
      </c>
      <c r="AE65" s="10">
        <f t="shared" si="7"/>
        <v>97.5</v>
      </c>
      <c r="AF65" s="10">
        <f t="shared" si="8"/>
        <v>99.5</v>
      </c>
    </row>
    <row r="66" spans="1:32" x14ac:dyDescent="0.25">
      <c r="A66" t="s">
        <v>329</v>
      </c>
      <c r="B66" s="39">
        <v>40847</v>
      </c>
      <c r="C66" s="53" t="s">
        <v>330</v>
      </c>
      <c r="D66" s="4" t="str">
        <f>VLOOKUP(LEFT(C66,2),Sort!$A$1:$B$58,2,FALSE)</f>
        <v>Egypt</v>
      </c>
      <c r="E66" s="72">
        <v>600000000</v>
      </c>
      <c r="F66" s="72">
        <v>604699998</v>
      </c>
      <c r="G66" s="58">
        <f t="shared" si="0"/>
        <v>0.28838147130527475</v>
      </c>
      <c r="H66" s="10">
        <v>3.7555559999999999</v>
      </c>
      <c r="I66" s="10">
        <v>3.3508589999999998</v>
      </c>
      <c r="J66" s="10">
        <v>4.8064010000000001</v>
      </c>
      <c r="K66" s="10">
        <v>4.8064010000000001</v>
      </c>
      <c r="L66" s="10">
        <v>418.67790000000002</v>
      </c>
      <c r="M66" s="10">
        <v>422.54939999999999</v>
      </c>
      <c r="N66" s="10">
        <v>3.3367900000000001</v>
      </c>
      <c r="O66" s="10">
        <v>-1.9319</v>
      </c>
      <c r="P66" s="10">
        <v>-1.7945605229999999</v>
      </c>
      <c r="Q66" s="10">
        <v>0.92526584499999998</v>
      </c>
      <c r="R66" s="10">
        <v>99.5</v>
      </c>
      <c r="S66" s="10">
        <v>101.5</v>
      </c>
      <c r="T66" s="10">
        <v>99.5</v>
      </c>
      <c r="U66" s="10">
        <v>101.5</v>
      </c>
      <c r="V66" s="53" t="s">
        <v>146</v>
      </c>
      <c r="W66" s="53" t="s">
        <v>331</v>
      </c>
      <c r="Y66" s="10">
        <f t="shared" si="1"/>
        <v>4.4061333815001547E-2</v>
      </c>
      <c r="Z66" s="10">
        <f t="shared" si="2"/>
        <v>2.252987862146269E-2</v>
      </c>
      <c r="AA66" s="10">
        <f t="shared" si="3"/>
        <v>8.4335802992028199</v>
      </c>
      <c r="AB66" s="10">
        <f t="shared" si="4"/>
        <v>0.40865196770326712</v>
      </c>
      <c r="AE66" s="10">
        <f t="shared" si="7"/>
        <v>28.693956394874839</v>
      </c>
      <c r="AF66" s="10">
        <f t="shared" si="8"/>
        <v>29.270719337485389</v>
      </c>
    </row>
    <row r="67" spans="1:32" x14ac:dyDescent="0.25">
      <c r="A67" t="s">
        <v>332</v>
      </c>
      <c r="B67" s="39">
        <v>40847</v>
      </c>
      <c r="C67" s="53" t="s">
        <v>333</v>
      </c>
      <c r="D67" s="4" t="str">
        <f>VLOOKUP(LEFT(C67,2),Sort!$A$1:$B$58,2,FALSE)</f>
        <v>Egypt</v>
      </c>
      <c r="E67" s="72">
        <v>1000000000</v>
      </c>
      <c r="F67" s="72">
        <v>1003138890</v>
      </c>
      <c r="G67" s="58">
        <f t="shared" si="0"/>
        <v>0.4783970067447233</v>
      </c>
      <c r="H67" s="10">
        <v>8.4888890000000004</v>
      </c>
      <c r="I67" s="10">
        <v>6.8075609999999998</v>
      </c>
      <c r="J67" s="10">
        <v>5.5261110000000002</v>
      </c>
      <c r="K67" s="10">
        <v>5.5261110000000002</v>
      </c>
      <c r="L67" s="10">
        <v>367.51920000000001</v>
      </c>
      <c r="M67" s="10">
        <v>375.7543</v>
      </c>
      <c r="N67" s="10">
        <v>6.6159739999999996</v>
      </c>
      <c r="O67" s="10">
        <v>1.5900000000000001E-2</v>
      </c>
      <c r="P67" s="10">
        <v>1.1822387080000001</v>
      </c>
      <c r="Q67" s="10">
        <v>1.423519464</v>
      </c>
      <c r="R67" s="10">
        <v>100.25</v>
      </c>
      <c r="S67" s="10">
        <v>101.5</v>
      </c>
      <c r="T67" s="10">
        <v>100.25</v>
      </c>
      <c r="U67" s="10">
        <v>101.5</v>
      </c>
      <c r="V67" s="53" t="s">
        <v>146</v>
      </c>
      <c r="W67" s="53" t="s">
        <v>334</v>
      </c>
      <c r="Y67" s="10">
        <f t="shared" si="1"/>
        <v>8.2715970027777544E-2</v>
      </c>
      <c r="Z67" s="10">
        <f t="shared" si="2"/>
        <v>4.2971405148940219E-2</v>
      </c>
      <c r="AA67" s="10">
        <f t="shared" si="3"/>
        <v>2.5742414571278758</v>
      </c>
      <c r="AB67" s="10">
        <f t="shared" si="4"/>
        <v>0.67791414359847779</v>
      </c>
      <c r="AE67" s="10">
        <f t="shared" si="7"/>
        <v>47.959299926158508</v>
      </c>
      <c r="AF67" s="10">
        <f t="shared" si="8"/>
        <v>48.557296184589411</v>
      </c>
    </row>
    <row r="68" spans="1:32" x14ac:dyDescent="0.25">
      <c r="A68" t="s">
        <v>335</v>
      </c>
      <c r="B68" s="39">
        <v>40847</v>
      </c>
      <c r="C68" s="53" t="s">
        <v>336</v>
      </c>
      <c r="D68" s="4" t="str">
        <f>VLOOKUP(LEFT(C68,2),Sort!$A$1:$B$58,2,FALSE)</f>
        <v>Egypt</v>
      </c>
      <c r="E68" s="72">
        <v>500000000</v>
      </c>
      <c r="F68" s="72">
        <v>489036460</v>
      </c>
      <c r="G68" s="58">
        <f t="shared" si="0"/>
        <v>0.23322152195000195</v>
      </c>
      <c r="H68" s="10">
        <v>28.491667</v>
      </c>
      <c r="I68" s="10">
        <v>12.490872</v>
      </c>
      <c r="J68" s="10">
        <v>6.9356429999999998</v>
      </c>
      <c r="K68" s="10">
        <v>6.9356429999999998</v>
      </c>
      <c r="L68" s="10">
        <v>386.22660000000002</v>
      </c>
      <c r="M68" s="10">
        <v>415.97269999999997</v>
      </c>
      <c r="N68" s="10">
        <v>11.637831</v>
      </c>
      <c r="O68" s="10">
        <v>0.53359999999999996</v>
      </c>
      <c r="P68" s="10">
        <v>5.0085901140000004</v>
      </c>
      <c r="Q68" s="10">
        <v>-1.502870929</v>
      </c>
      <c r="R68" s="10">
        <v>97.75</v>
      </c>
      <c r="S68" s="10">
        <v>99.25</v>
      </c>
      <c r="T68" s="10">
        <v>97.75</v>
      </c>
      <c r="U68" s="10">
        <v>99.25</v>
      </c>
      <c r="V68" s="53" t="s">
        <v>146</v>
      </c>
      <c r="W68" s="53" t="s">
        <v>337</v>
      </c>
      <c r="Y68" s="10">
        <f t="shared" si="1"/>
        <v>0.1117945144106391</v>
      </c>
      <c r="Z68" s="10">
        <f t="shared" si="2"/>
        <v>0.12514085139935885</v>
      </c>
      <c r="AA68" s="10">
        <f t="shared" si="3"/>
        <v>6.7142977435557372</v>
      </c>
      <c r="AB68" s="10">
        <f t="shared" si="4"/>
        <v>1.6158506001342328</v>
      </c>
      <c r="AE68" s="10">
        <f t="shared" si="7"/>
        <v>22.797403770612689</v>
      </c>
      <c r="AF68" s="10">
        <f t="shared" si="8"/>
        <v>23.147236053537693</v>
      </c>
    </row>
    <row r="69" spans="1:32" x14ac:dyDescent="0.25">
      <c r="A69" t="s">
        <v>784</v>
      </c>
      <c r="B69" s="39">
        <v>40847</v>
      </c>
      <c r="C69" s="53" t="s">
        <v>785</v>
      </c>
      <c r="D69" s="4" t="str">
        <f>VLOOKUP(LEFT(C69,2),Sort!$A$1:$B$58,2,FALSE)</f>
        <v>El Salvador</v>
      </c>
      <c r="E69" s="72">
        <v>800000000</v>
      </c>
      <c r="F69" s="72">
        <v>889050000</v>
      </c>
      <c r="G69" s="58">
        <f t="shared" ref="G69:G132" si="9">F69/SUMIF($D$4:$D$284,TEXT(D69,"general"),$F$4:$F$284)</f>
        <v>0.21948108751476583</v>
      </c>
      <c r="H69" s="10">
        <v>11.225</v>
      </c>
      <c r="I69" s="10">
        <v>7.6856629999999999</v>
      </c>
      <c r="J69" s="10">
        <v>6.3620669999999997</v>
      </c>
      <c r="K69" s="10">
        <v>6.3620669999999997</v>
      </c>
      <c r="L69" s="10">
        <v>416.58370000000002</v>
      </c>
      <c r="M69" s="10">
        <v>429.42099999999999</v>
      </c>
      <c r="N69" s="10">
        <v>7.3986479999999997</v>
      </c>
      <c r="O69" s="10">
        <v>1.9400000000000001E-2</v>
      </c>
      <c r="P69" s="10">
        <v>3.3505333369999999</v>
      </c>
      <c r="Q69" s="10">
        <v>4.805171981</v>
      </c>
      <c r="R69" s="10">
        <v>109</v>
      </c>
      <c r="S69" s="10">
        <v>111</v>
      </c>
      <c r="T69" s="10">
        <v>109</v>
      </c>
      <c r="U69" s="10">
        <v>111</v>
      </c>
      <c r="V69" s="53" t="s">
        <v>146</v>
      </c>
      <c r="W69" s="53" t="s">
        <v>786</v>
      </c>
      <c r="Y69" s="10">
        <f t="shared" ref="Y69:Y132" si="10">IF(I69&lt;1.99,($F69/$F$303)*I69,IF(AND(I69&gt;1.99,I69&lt;3.99),($F69/$F$304)*I69,IF(AND(I69&gt;3.99,I69&lt;5.99),($F69/$F$305)*I69,IF(AND(I69&gt;5.99,I69&lt;7.99),($F69/$F$306)*I69,IF(AND(I69&gt;7.99,I69&lt;9.99),($F69/$F$307)*I69,IF(I69&gt;9.99,($F69/$F$308)*I69))))))</f>
        <v>8.2764535489014385E-2</v>
      </c>
      <c r="Z69" s="10">
        <f t="shared" ref="Z69:Z132" si="11">IF(K69&lt;1.99,($F69/$F$287)*K69,IF(AND(K69&gt;1.99,K69&lt;3.99),($F69/$F$288)*K69,IF(AND(K69&gt;3.99,K69&lt;5.99),($F69/$F$289)*K69,IF(AND(K69&gt;5.99,K69&lt;7.99),($F69/$F$290)*K69,IF(AND(K69&gt;7.99,K69&lt;9.99),($F69/$F$291)*K69,IF(K69&gt;9.99,($F69/$F$292)*K69))))))</f>
        <v>0.20868707913680751</v>
      </c>
      <c r="AA69" s="10">
        <f t="shared" ref="AA69:AA132" si="12">IF(M69&lt;199.99,($F69/$F$295)*M69,IF(AND(M69&gt;199.99,M69&lt;399.99),($F69/$F$296)*M69,IF(AND(M69&gt;399.99,M69&lt;599.99),($F69/$F$297)*M69,IF(AND(M69&gt;599.99,M69&lt;799.99),($F69/$F$298)*M69,IF(AND(M69&gt;799.99,M69&lt;999.99),($F69/$F$299)*M69,IF(M69&gt;999.99,($F69/$F$300)*M69))))))</f>
        <v>12.60097044853268</v>
      </c>
      <c r="AB69" s="10">
        <f t="shared" ref="AB69:AB132" si="13">IF(S69&lt;49.99,($F69/$F$311)*S69,IF(AND(S69&gt;49.99,S69&lt;79.99),($F69/$F$312)*S69,IF(AND(S69&gt;79.99,S69&lt;99.99),($F69/$F$313)*S69,IF(AND(S69&gt;99.99,S69&lt;119.99),($F69/$F$314)*S69,IF(AND(S69&gt;119.99,S69&lt;139.99),($F69/$F$315)*S69,IF(S69&gt;139.99,($F69/$F$316)*S69))))))</f>
        <v>0.65704747414207898</v>
      </c>
      <c r="AE69" s="10">
        <f t="shared" si="7"/>
        <v>23.923438539109476</v>
      </c>
      <c r="AF69" s="10">
        <f t="shared" si="8"/>
        <v>24.362400714139007</v>
      </c>
    </row>
    <row r="70" spans="1:32" x14ac:dyDescent="0.25">
      <c r="A70" t="s">
        <v>787</v>
      </c>
      <c r="B70" s="39">
        <v>40847</v>
      </c>
      <c r="C70" s="53" t="s">
        <v>788</v>
      </c>
      <c r="D70" s="4" t="str">
        <f>VLOOKUP(LEFT(C70,2),Sort!$A$1:$B$58,2,FALSE)</f>
        <v>El Salvador</v>
      </c>
      <c r="E70" s="72">
        <v>800000000</v>
      </c>
      <c r="F70" s="72">
        <v>896911112</v>
      </c>
      <c r="G70" s="58">
        <f t="shared" si="9"/>
        <v>0.22142177185291934</v>
      </c>
      <c r="H70" s="10">
        <v>8.0805559999999996</v>
      </c>
      <c r="I70" s="10">
        <v>6.0955459999999997</v>
      </c>
      <c r="J70" s="10">
        <v>5.8055029999999999</v>
      </c>
      <c r="K70" s="10">
        <v>5.8055029999999999</v>
      </c>
      <c r="L70" s="10">
        <v>403.10789999999997</v>
      </c>
      <c r="M70" s="10">
        <v>414.82429999999999</v>
      </c>
      <c r="N70" s="10">
        <v>5.9384560000000004</v>
      </c>
      <c r="O70" s="10">
        <v>1.83E-2</v>
      </c>
      <c r="P70" s="10">
        <v>2.8187834380000001</v>
      </c>
      <c r="Q70" s="10">
        <v>5.6298220570000002</v>
      </c>
      <c r="R70" s="10">
        <v>109</v>
      </c>
      <c r="S70" s="10">
        <v>110</v>
      </c>
      <c r="T70" s="10">
        <v>109</v>
      </c>
      <c r="U70" s="10">
        <v>110</v>
      </c>
      <c r="V70" s="53" t="s">
        <v>146</v>
      </c>
      <c r="W70" s="53" t="s">
        <v>789</v>
      </c>
      <c r="Y70" s="10">
        <f t="shared" si="10"/>
        <v>6.6221463675031733E-2</v>
      </c>
      <c r="Z70" s="10">
        <f t="shared" si="11"/>
        <v>4.0363437186797579E-2</v>
      </c>
      <c r="AA70" s="10">
        <f t="shared" si="12"/>
        <v>12.28027582263339</v>
      </c>
      <c r="AB70" s="10">
        <f t="shared" si="13"/>
        <v>0.65688549903355653</v>
      </c>
      <c r="AE70" s="10">
        <f t="shared" si="7"/>
        <v>24.134973131968209</v>
      </c>
      <c r="AF70" s="10">
        <f t="shared" si="8"/>
        <v>24.356394903821126</v>
      </c>
    </row>
    <row r="71" spans="1:32" x14ac:dyDescent="0.25">
      <c r="A71" t="s">
        <v>790</v>
      </c>
      <c r="B71" s="39">
        <v>40847</v>
      </c>
      <c r="C71" s="53" t="s">
        <v>791</v>
      </c>
      <c r="D71" s="4" t="str">
        <f>VLOOKUP(LEFT(C71,2),Sort!$A$1:$B$58,2,FALSE)</f>
        <v>El Salvador</v>
      </c>
      <c r="E71" s="72">
        <v>653500000</v>
      </c>
      <c r="F71" s="72">
        <v>672769172.89999998</v>
      </c>
      <c r="G71" s="58">
        <f t="shared" si="9"/>
        <v>0.1660875200658023</v>
      </c>
      <c r="H71" s="10">
        <v>29.244444000000001</v>
      </c>
      <c r="I71" s="10">
        <v>11.714655</v>
      </c>
      <c r="J71" s="10">
        <v>7.3721259999999997</v>
      </c>
      <c r="K71" s="10">
        <v>7.3721259999999997</v>
      </c>
      <c r="L71" s="10">
        <v>426.05079999999998</v>
      </c>
      <c r="M71" s="10">
        <v>463.28899999999999</v>
      </c>
      <c r="N71" s="10">
        <v>10.928279</v>
      </c>
      <c r="O71" s="10">
        <v>1.0019</v>
      </c>
      <c r="P71" s="10">
        <v>5.7449785249999996</v>
      </c>
      <c r="Q71" s="10">
        <v>7.7777745920000001</v>
      </c>
      <c r="R71" s="10">
        <v>101</v>
      </c>
      <c r="S71" s="10">
        <v>103</v>
      </c>
      <c r="T71" s="10">
        <v>101</v>
      </c>
      <c r="U71" s="10">
        <v>103</v>
      </c>
      <c r="V71" s="53" t="s">
        <v>146</v>
      </c>
      <c r="W71" s="53" t="s">
        <v>792</v>
      </c>
      <c r="Y71" s="10">
        <f t="shared" si="10"/>
        <v>0.14423879423784386</v>
      </c>
      <c r="Z71" s="10">
        <f t="shared" si="11"/>
        <v>0.18299110029456511</v>
      </c>
      <c r="AA71" s="10">
        <f t="shared" si="12"/>
        <v>10.287565182148262</v>
      </c>
      <c r="AB71" s="10">
        <f t="shared" si="13"/>
        <v>0.4613716375122941</v>
      </c>
      <c r="AE71" s="10">
        <f t="shared" si="7"/>
        <v>16.774839526646034</v>
      </c>
      <c r="AF71" s="10">
        <f t="shared" si="8"/>
        <v>17.107014566777636</v>
      </c>
    </row>
    <row r="72" spans="1:32" x14ac:dyDescent="0.25">
      <c r="A72" t="s">
        <v>793</v>
      </c>
      <c r="B72" s="39">
        <v>40847</v>
      </c>
      <c r="C72" s="53" t="s">
        <v>794</v>
      </c>
      <c r="D72" s="4" t="str">
        <f>VLOOKUP(LEFT(C72,2),Sort!$A$1:$B$58,2,FALSE)</f>
        <v>El Salvador</v>
      </c>
      <c r="E72" s="72">
        <v>1000000000</v>
      </c>
      <c r="F72" s="72">
        <v>1044325000</v>
      </c>
      <c r="G72" s="58">
        <f t="shared" si="9"/>
        <v>0.25781405626101778</v>
      </c>
      <c r="H72" s="10">
        <v>23.616667</v>
      </c>
      <c r="I72" s="10">
        <v>10.914395000000001</v>
      </c>
      <c r="J72" s="10">
        <v>7.3348760000000004</v>
      </c>
      <c r="K72" s="10">
        <v>7.3348760000000004</v>
      </c>
      <c r="L72" s="10">
        <v>450.91489999999999</v>
      </c>
      <c r="M72" s="10">
        <v>469.1429</v>
      </c>
      <c r="N72" s="10">
        <v>10.237477</v>
      </c>
      <c r="O72" s="10">
        <v>0.50160000000000005</v>
      </c>
      <c r="P72" s="10">
        <v>5.1289781259999998</v>
      </c>
      <c r="Q72" s="10">
        <v>2.7371980260000002</v>
      </c>
      <c r="R72" s="10">
        <v>101.5</v>
      </c>
      <c r="S72" s="10">
        <v>103.5</v>
      </c>
      <c r="T72" s="10">
        <v>101.5</v>
      </c>
      <c r="U72" s="10">
        <v>103.5</v>
      </c>
      <c r="V72" s="53" t="s">
        <v>146</v>
      </c>
      <c r="W72" s="53" t="s">
        <v>795</v>
      </c>
      <c r="Y72" s="10">
        <f t="shared" si="10"/>
        <v>0.20860361905705965</v>
      </c>
      <c r="Z72" s="10">
        <f t="shared" si="11"/>
        <v>0.28261784906158011</v>
      </c>
      <c r="AA72" s="10">
        <f t="shared" si="12"/>
        <v>16.170943160155002</v>
      </c>
      <c r="AB72" s="10">
        <f t="shared" si="13"/>
        <v>0.71965377767198258</v>
      </c>
      <c r="AE72" s="10">
        <f t="shared" si="7"/>
        <v>26.168126710493304</v>
      </c>
      <c r="AF72" s="10">
        <f t="shared" si="8"/>
        <v>26.683754823015342</v>
      </c>
    </row>
    <row r="73" spans="1:32" x14ac:dyDescent="0.25">
      <c r="A73" t="s">
        <v>796</v>
      </c>
      <c r="B73" s="39">
        <v>40847</v>
      </c>
      <c r="C73" s="53" t="s">
        <v>797</v>
      </c>
      <c r="D73" s="4" t="str">
        <f>VLOOKUP(LEFT(C73,2),Sort!$A$1:$B$58,2,FALSE)</f>
        <v>El Salvador</v>
      </c>
      <c r="E73" s="72">
        <v>500000000</v>
      </c>
      <c r="F73" s="72">
        <v>547635415</v>
      </c>
      <c r="G73" s="58">
        <f t="shared" si="9"/>
        <v>0.13519556430549476</v>
      </c>
      <c r="H73" s="10">
        <v>20.441666999999999</v>
      </c>
      <c r="I73" s="10">
        <v>10.471541999999999</v>
      </c>
      <c r="J73" s="10">
        <v>7.2121209999999998</v>
      </c>
      <c r="K73" s="10">
        <v>7.2121209999999998</v>
      </c>
      <c r="L73" s="10">
        <v>454.76839999999999</v>
      </c>
      <c r="M73" s="10">
        <v>466.31240000000003</v>
      </c>
      <c r="N73" s="10">
        <v>9.8700589999999995</v>
      </c>
      <c r="O73" s="10">
        <v>2.0899999999999998E-2</v>
      </c>
      <c r="P73" s="10">
        <v>3.9435314639999999</v>
      </c>
      <c r="Q73" s="10">
        <v>3.6580377390000001</v>
      </c>
      <c r="R73" s="10">
        <v>109</v>
      </c>
      <c r="S73" s="10">
        <v>111</v>
      </c>
      <c r="T73" s="10">
        <v>109</v>
      </c>
      <c r="U73" s="10">
        <v>111</v>
      </c>
      <c r="V73" s="53" t="s">
        <v>146</v>
      </c>
      <c r="W73" s="53" t="s">
        <v>798</v>
      </c>
      <c r="Y73" s="10">
        <f t="shared" si="10"/>
        <v>0.10495150278955649</v>
      </c>
      <c r="Z73" s="10">
        <f t="shared" si="11"/>
        <v>0.1457221821192779</v>
      </c>
      <c r="AA73" s="10">
        <f t="shared" si="12"/>
        <v>8.4287469932533856</v>
      </c>
      <c r="AB73" s="10">
        <f t="shared" si="13"/>
        <v>0.4047269176947294</v>
      </c>
      <c r="AE73" s="10">
        <f t="shared" si="7"/>
        <v>14.736316509298929</v>
      </c>
      <c r="AF73" s="10">
        <f t="shared" si="8"/>
        <v>15.006707637909917</v>
      </c>
    </row>
    <row r="74" spans="1:32" x14ac:dyDescent="0.25">
      <c r="A74" t="s">
        <v>338</v>
      </c>
      <c r="B74" s="39">
        <v>40847</v>
      </c>
      <c r="C74" s="53" t="s">
        <v>339</v>
      </c>
      <c r="D74" s="4" t="str">
        <f>VLOOKUP(LEFT(C74,2),Sort!$A$1:$B$58,2,FALSE)</f>
        <v>Gabon</v>
      </c>
      <c r="E74" s="72">
        <v>878645000</v>
      </c>
      <c r="F74" s="72">
        <v>1038660902</v>
      </c>
      <c r="G74" s="58">
        <f t="shared" si="9"/>
        <v>1</v>
      </c>
      <c r="H74" s="10">
        <v>6.108333</v>
      </c>
      <c r="I74" s="10">
        <v>4.8337820000000002</v>
      </c>
      <c r="J74" s="10">
        <v>5.0275860000000003</v>
      </c>
      <c r="K74" s="10">
        <v>5.0275860000000003</v>
      </c>
      <c r="L74" s="10">
        <v>371.81819999999999</v>
      </c>
      <c r="M74" s="10">
        <v>380.85829999999999</v>
      </c>
      <c r="N74" s="10">
        <v>4.7561270000000002</v>
      </c>
      <c r="O74" s="10">
        <v>1.9300000000000001E-2</v>
      </c>
      <c r="P74" s="10">
        <v>6.1871511879999996</v>
      </c>
      <c r="Q74" s="10">
        <v>4.1018066380000002</v>
      </c>
      <c r="R74" s="10">
        <v>115</v>
      </c>
      <c r="S74" s="10">
        <v>116.5</v>
      </c>
      <c r="T74" s="10">
        <v>115</v>
      </c>
      <c r="U74" s="10">
        <v>116.5</v>
      </c>
      <c r="V74" s="53" t="s">
        <v>146</v>
      </c>
      <c r="W74" s="53" t="s">
        <v>340</v>
      </c>
      <c r="Y74" s="10">
        <f t="shared" si="10"/>
        <v>0.10066660966751866</v>
      </c>
      <c r="Z74" s="10">
        <f t="shared" si="11"/>
        <v>4.0479223744159562E-2</v>
      </c>
      <c r="AA74" s="10">
        <f t="shared" si="12"/>
        <v>2.7016025766689977</v>
      </c>
      <c r="AB74" s="10">
        <f t="shared" si="13"/>
        <v>0.80565163777294102</v>
      </c>
      <c r="AE74" s="10">
        <f t="shared" si="7"/>
        <v>115</v>
      </c>
      <c r="AF74" s="10">
        <f t="shared" si="8"/>
        <v>116.5</v>
      </c>
    </row>
    <row r="75" spans="1:32" x14ac:dyDescent="0.25">
      <c r="A75" t="s">
        <v>341</v>
      </c>
      <c r="B75" s="39">
        <v>40847</v>
      </c>
      <c r="C75" s="53" t="s">
        <v>342</v>
      </c>
      <c r="D75" s="4" t="str">
        <f>VLOOKUP(LEFT(C75,2),Sort!$A$1:$B$58,2,FALSE)</f>
        <v>Georgia</v>
      </c>
      <c r="E75" s="72">
        <v>500000000</v>
      </c>
      <c r="F75" s="72">
        <v>509505210</v>
      </c>
      <c r="G75" s="58">
        <f t="shared" si="9"/>
        <v>1</v>
      </c>
      <c r="H75" s="10">
        <v>9.4416670000000007</v>
      </c>
      <c r="I75" s="10">
        <v>7.0417259999999997</v>
      </c>
      <c r="J75" s="10">
        <v>6.4450969999999996</v>
      </c>
      <c r="K75" s="10">
        <v>6.4450969999999996</v>
      </c>
      <c r="L75" s="10">
        <v>441.56909999999999</v>
      </c>
      <c r="M75" s="10">
        <v>456.22609999999997</v>
      </c>
      <c r="N75" s="10">
        <v>6.8215159999999999</v>
      </c>
      <c r="O75" s="10">
        <v>1.8700000000000001E-2</v>
      </c>
      <c r="P75" s="10">
        <v>4.6894235230000003</v>
      </c>
      <c r="Q75" s="10">
        <v>6.0002084030000002</v>
      </c>
      <c r="R75" s="10">
        <v>101.5</v>
      </c>
      <c r="S75" s="10">
        <v>103</v>
      </c>
      <c r="T75" s="10">
        <v>101.5</v>
      </c>
      <c r="U75" s="10">
        <v>103</v>
      </c>
      <c r="V75" s="53" t="s">
        <v>146</v>
      </c>
      <c r="W75" s="53" t="s">
        <v>343</v>
      </c>
      <c r="Y75" s="10">
        <f t="shared" si="10"/>
        <v>4.3457477056263176E-2</v>
      </c>
      <c r="Z75" s="10">
        <f t="shared" si="11"/>
        <v>0.1211571986195154</v>
      </c>
      <c r="AA75" s="10">
        <f t="shared" si="12"/>
        <v>7.672259508407504</v>
      </c>
      <c r="AB75" s="10">
        <f t="shared" si="13"/>
        <v>0.3494084784614323</v>
      </c>
      <c r="AE75" s="10">
        <f t="shared" si="7"/>
        <v>101.5</v>
      </c>
      <c r="AF75" s="10">
        <f t="shared" si="8"/>
        <v>103</v>
      </c>
    </row>
    <row r="76" spans="1:32" x14ac:dyDescent="0.25">
      <c r="A76" t="s">
        <v>344</v>
      </c>
      <c r="B76" s="39">
        <v>40847</v>
      </c>
      <c r="C76" s="53" t="s">
        <v>345</v>
      </c>
      <c r="D76" s="4" t="str">
        <f>VLOOKUP(LEFT(C76,2),Sort!$A$1:$B$58,2,FALSE)</f>
        <v>Ghana</v>
      </c>
      <c r="E76" s="72">
        <v>750000000</v>
      </c>
      <c r="F76" s="72">
        <v>841385415</v>
      </c>
      <c r="G76" s="58">
        <f t="shared" si="9"/>
        <v>1</v>
      </c>
      <c r="H76" s="10">
        <v>5.9194440000000004</v>
      </c>
      <c r="I76" s="10">
        <v>4.7411539999999999</v>
      </c>
      <c r="J76" s="10">
        <v>5.8670439999999999</v>
      </c>
      <c r="K76" s="10">
        <v>5.8670439999999999</v>
      </c>
      <c r="L76" s="10">
        <v>461.32679999999999</v>
      </c>
      <c r="M76" s="10">
        <v>470.57139999999998</v>
      </c>
      <c r="N76" s="10">
        <v>4.6703599999999996</v>
      </c>
      <c r="O76" s="10">
        <v>2.1100000000000001E-2</v>
      </c>
      <c r="P76" s="10">
        <v>8.3663148619999994</v>
      </c>
      <c r="Q76" s="10">
        <v>5.9803822220000002</v>
      </c>
      <c r="R76" s="10">
        <v>111.5</v>
      </c>
      <c r="S76" s="10">
        <v>113</v>
      </c>
      <c r="T76" s="10">
        <v>111.5</v>
      </c>
      <c r="U76" s="10">
        <v>113</v>
      </c>
      <c r="V76" s="53" t="s">
        <v>146</v>
      </c>
      <c r="W76" s="53" t="s">
        <v>346</v>
      </c>
      <c r="Y76" s="10">
        <f t="shared" si="10"/>
        <v>7.9984095847416434E-2</v>
      </c>
      <c r="Z76" s="10">
        <f t="shared" si="11"/>
        <v>3.8266012423590817E-2</v>
      </c>
      <c r="AA76" s="10">
        <f t="shared" si="12"/>
        <v>13.068177832440863</v>
      </c>
      <c r="AB76" s="10">
        <f t="shared" si="13"/>
        <v>0.63302521289044777</v>
      </c>
      <c r="AE76" s="10">
        <f t="shared" si="7"/>
        <v>111.5</v>
      </c>
      <c r="AF76" s="10">
        <f t="shared" si="8"/>
        <v>113</v>
      </c>
    </row>
    <row r="77" spans="1:32" x14ac:dyDescent="0.25">
      <c r="A77" t="s">
        <v>356</v>
      </c>
      <c r="B77" s="39">
        <v>40847</v>
      </c>
      <c r="C77" s="53" t="s">
        <v>357</v>
      </c>
      <c r="D77" s="4" t="str">
        <f>VLOOKUP(LEFT(C77,2),Sort!$A$1:$B$58,2,FALSE)</f>
        <v>Hungary</v>
      </c>
      <c r="E77" s="72">
        <v>1366935484</v>
      </c>
      <c r="F77" s="72">
        <v>1338742440</v>
      </c>
      <c r="G77" s="58">
        <f t="shared" si="9"/>
        <v>0.1943521702835069</v>
      </c>
      <c r="H77" s="10">
        <v>3.25</v>
      </c>
      <c r="I77" s="10">
        <v>2.9420890000000002</v>
      </c>
      <c r="J77" s="10">
        <v>5.5129049999999999</v>
      </c>
      <c r="K77" s="10">
        <v>5.5129049999999999</v>
      </c>
      <c r="L77" s="10">
        <v>504.09050000000002</v>
      </c>
      <c r="M77" s="10">
        <v>506.34179999999998</v>
      </c>
      <c r="N77" s="10">
        <v>2.9307400000000001</v>
      </c>
      <c r="O77" s="10">
        <v>-0.49459999999999998</v>
      </c>
      <c r="P77" s="10">
        <v>0.12210821400000001</v>
      </c>
      <c r="Q77" s="10">
        <v>2.8529056009999998</v>
      </c>
      <c r="R77" s="10">
        <v>96.75</v>
      </c>
      <c r="S77" s="10">
        <v>97.75</v>
      </c>
      <c r="T77" s="10">
        <v>96.75</v>
      </c>
      <c r="U77" s="10">
        <v>97.75</v>
      </c>
      <c r="V77" s="53" t="s">
        <v>146</v>
      </c>
      <c r="W77" s="53" t="s">
        <v>358</v>
      </c>
      <c r="Y77" s="10">
        <f t="shared" si="10"/>
        <v>8.5647434129819983E-2</v>
      </c>
      <c r="Z77" s="10">
        <f t="shared" si="11"/>
        <v>5.7210589592402043E-2</v>
      </c>
      <c r="AA77" s="10">
        <f t="shared" si="12"/>
        <v>22.373572743323354</v>
      </c>
      <c r="AB77" s="10">
        <f t="shared" si="13"/>
        <v>4.3565554572330409</v>
      </c>
      <c r="AE77" s="10">
        <f t="shared" si="7"/>
        <v>18.803572474929293</v>
      </c>
      <c r="AF77" s="10">
        <f t="shared" si="8"/>
        <v>18.997924645212798</v>
      </c>
    </row>
    <row r="78" spans="1:32" x14ac:dyDescent="0.25">
      <c r="A78" t="s">
        <v>359</v>
      </c>
      <c r="B78" s="39">
        <v>40847</v>
      </c>
      <c r="C78" s="53" t="s">
        <v>360</v>
      </c>
      <c r="D78" s="4" t="str">
        <f>VLOOKUP(LEFT(C78,2),Sort!$A$1:$B$58,2,FALSE)</f>
        <v>Hungary</v>
      </c>
      <c r="E78" s="72">
        <v>1822580645</v>
      </c>
      <c r="F78" s="72">
        <v>1788533818</v>
      </c>
      <c r="G78" s="58">
        <f t="shared" si="9"/>
        <v>0.25965071306303456</v>
      </c>
      <c r="H78" s="10">
        <v>8.2388890000000004</v>
      </c>
      <c r="I78" s="10">
        <v>6.357869</v>
      </c>
      <c r="J78" s="10">
        <v>6.6064870000000004</v>
      </c>
      <c r="K78" s="10">
        <v>6.6064870000000004</v>
      </c>
      <c r="L78" s="10">
        <v>480.24020000000002</v>
      </c>
      <c r="M78" s="10">
        <v>490.14659999999998</v>
      </c>
      <c r="N78" s="10">
        <v>6.1873779999999998</v>
      </c>
      <c r="O78" s="10">
        <v>-0.4894</v>
      </c>
      <c r="P78" s="10">
        <v>0.49783198400000001</v>
      </c>
      <c r="Q78" s="10">
        <v>4.8386159089999996</v>
      </c>
      <c r="R78" s="10">
        <v>96.5</v>
      </c>
      <c r="S78" s="10">
        <v>97.75</v>
      </c>
      <c r="T78" s="10">
        <v>96.5</v>
      </c>
      <c r="U78" s="10">
        <v>97.75</v>
      </c>
      <c r="V78" s="53" t="s">
        <v>146</v>
      </c>
      <c r="W78" s="53" t="s">
        <v>361</v>
      </c>
      <c r="Y78" s="10">
        <f t="shared" si="10"/>
        <v>0.13773537304090708</v>
      </c>
      <c r="Z78" s="10">
        <f t="shared" si="11"/>
        <v>0.43595220324205602</v>
      </c>
      <c r="AA78" s="10">
        <f t="shared" si="12"/>
        <v>28.934613032403927</v>
      </c>
      <c r="AB78" s="10">
        <f t="shared" si="13"/>
        <v>5.8202732149536898</v>
      </c>
      <c r="AE78" s="10">
        <f t="shared" si="7"/>
        <v>25.056293810582833</v>
      </c>
      <c r="AF78" s="10">
        <f t="shared" si="8"/>
        <v>25.380857201911628</v>
      </c>
    </row>
    <row r="79" spans="1:32" x14ac:dyDescent="0.25">
      <c r="A79" t="s">
        <v>362</v>
      </c>
      <c r="B79" s="39">
        <v>40847</v>
      </c>
      <c r="C79" s="53" t="s">
        <v>363</v>
      </c>
      <c r="D79" s="4" t="str">
        <f>VLOOKUP(LEFT(C79,2),Sort!$A$1:$B$58,2,FALSE)</f>
        <v>Hungary</v>
      </c>
      <c r="E79" s="72">
        <v>2733870968</v>
      </c>
      <c r="F79" s="72">
        <v>2647810979</v>
      </c>
      <c r="G79" s="58">
        <f t="shared" si="9"/>
        <v>0.3843964267459446</v>
      </c>
      <c r="H79" s="10">
        <v>9.4055560000000007</v>
      </c>
      <c r="I79" s="10">
        <v>7.058567</v>
      </c>
      <c r="J79" s="10">
        <v>6.77393</v>
      </c>
      <c r="K79" s="10">
        <v>6.77393</v>
      </c>
      <c r="L79" s="10">
        <v>475.12889999999999</v>
      </c>
      <c r="M79" s="10">
        <v>488.7303</v>
      </c>
      <c r="N79" s="10">
        <v>6.8389579999999999</v>
      </c>
      <c r="O79" s="10">
        <v>-0.23930000000000001</v>
      </c>
      <c r="P79" s="10">
        <v>0.77605111400000004</v>
      </c>
      <c r="Q79" s="10">
        <v>2.2733E-2</v>
      </c>
      <c r="R79" s="10">
        <v>96.25</v>
      </c>
      <c r="S79" s="10">
        <v>97.25</v>
      </c>
      <c r="T79" s="10">
        <v>96.25</v>
      </c>
      <c r="U79" s="10">
        <v>97.25</v>
      </c>
      <c r="V79" s="53" t="s">
        <v>146</v>
      </c>
      <c r="W79" s="53" t="s">
        <v>364</v>
      </c>
      <c r="Y79" s="10">
        <f t="shared" si="10"/>
        <v>0.22638115845936396</v>
      </c>
      <c r="Z79" s="10">
        <f t="shared" si="11"/>
        <v>0.66175741898474516</v>
      </c>
      <c r="AA79" s="10">
        <f t="shared" si="12"/>
        <v>42.712084931028201</v>
      </c>
      <c r="AB79" s="10">
        <f t="shared" si="13"/>
        <v>8.5724712643682466</v>
      </c>
      <c r="AE79" s="10">
        <f t="shared" si="7"/>
        <v>36.998156074297171</v>
      </c>
      <c r="AF79" s="10">
        <f t="shared" si="8"/>
        <v>37.382552501043115</v>
      </c>
    </row>
    <row r="80" spans="1:32" x14ac:dyDescent="0.25">
      <c r="A80" t="s">
        <v>365</v>
      </c>
      <c r="B80" s="39">
        <v>40847</v>
      </c>
      <c r="C80" s="53" t="s">
        <v>366</v>
      </c>
      <c r="D80" s="4" t="str">
        <f>VLOOKUP(LEFT(C80,2),Sort!$A$1:$B$58,2,FALSE)</f>
        <v>Hungary</v>
      </c>
      <c r="E80" s="72">
        <v>1139112903</v>
      </c>
      <c r="F80" s="72">
        <v>1113142712</v>
      </c>
      <c r="G80" s="58">
        <f t="shared" si="9"/>
        <v>0.161600689907514</v>
      </c>
      <c r="H80" s="10">
        <v>29.405556000000001</v>
      </c>
      <c r="I80" s="10">
        <v>11.437034000000001</v>
      </c>
      <c r="J80" s="10">
        <v>7.8205840000000002</v>
      </c>
      <c r="K80" s="10">
        <v>7.8205840000000002</v>
      </c>
      <c r="L80" s="10">
        <v>470.07819999999998</v>
      </c>
      <c r="M80" s="10">
        <v>511.0213</v>
      </c>
      <c r="N80" s="10">
        <v>10.685335</v>
      </c>
      <c r="O80" s="10">
        <v>-1.2419</v>
      </c>
      <c r="P80" s="10">
        <v>1.1312116969999999</v>
      </c>
      <c r="Q80" s="10">
        <v>1.544181</v>
      </c>
      <c r="R80" s="10">
        <v>97</v>
      </c>
      <c r="S80" s="10">
        <v>97.75</v>
      </c>
      <c r="T80" s="10">
        <v>97</v>
      </c>
      <c r="U80" s="10">
        <v>97.75</v>
      </c>
      <c r="V80" s="53" t="s">
        <v>146</v>
      </c>
      <c r="W80" s="53" t="s">
        <v>367</v>
      </c>
      <c r="Y80" s="10">
        <f t="shared" si="10"/>
        <v>0.23299722912465715</v>
      </c>
      <c r="Z80" s="10">
        <f t="shared" si="11"/>
        <v>0.32118937340676346</v>
      </c>
      <c r="AA80" s="10">
        <f t="shared" si="12"/>
        <v>18.775191593325857</v>
      </c>
      <c r="AB80" s="10">
        <f t="shared" si="13"/>
        <v>3.6224054842414555</v>
      </c>
      <c r="AE80" s="10">
        <f t="shared" si="7"/>
        <v>15.675266921028857</v>
      </c>
      <c r="AF80" s="10">
        <f t="shared" si="8"/>
        <v>15.796467438459494</v>
      </c>
    </row>
    <row r="81" spans="1:32" x14ac:dyDescent="0.25">
      <c r="A81" t="s">
        <v>368</v>
      </c>
      <c r="B81" s="39">
        <v>40847</v>
      </c>
      <c r="C81" s="53" t="s">
        <v>369</v>
      </c>
      <c r="D81" s="4" t="str">
        <f>VLOOKUP(LEFT(C81,2),Sort!$A$1:$B$58,2,FALSE)</f>
        <v>Indonesia</v>
      </c>
      <c r="E81" s="72">
        <v>282894736.80000001</v>
      </c>
      <c r="F81" s="72">
        <v>324670823.80000001</v>
      </c>
      <c r="G81" s="58">
        <f t="shared" si="9"/>
        <v>1.9748657344828911E-2</v>
      </c>
      <c r="H81" s="10">
        <v>5.6527779999999996</v>
      </c>
      <c r="I81" s="10">
        <v>4.6479949999999999</v>
      </c>
      <c r="J81" s="10">
        <v>4.5155820000000002</v>
      </c>
      <c r="K81" s="10">
        <v>4.5155820000000002</v>
      </c>
      <c r="L81" s="10">
        <v>334.03390000000002</v>
      </c>
      <c r="M81" s="10">
        <v>341.17579999999998</v>
      </c>
      <c r="N81" s="10">
        <v>4.5856479999999999</v>
      </c>
      <c r="O81" s="10">
        <v>1.7600000000000001E-2</v>
      </c>
      <c r="P81" s="10">
        <v>4.3781163640000003</v>
      </c>
      <c r="Q81" s="10">
        <v>4.6772317289999998</v>
      </c>
      <c r="R81" s="10">
        <v>112.25</v>
      </c>
      <c r="S81" s="10">
        <v>113.5</v>
      </c>
      <c r="T81" s="10">
        <v>112.25</v>
      </c>
      <c r="U81" s="10">
        <v>113.5</v>
      </c>
      <c r="V81" s="53" t="s">
        <v>146</v>
      </c>
      <c r="W81" s="53" t="s">
        <v>370</v>
      </c>
      <c r="Y81" s="10">
        <f t="shared" si="10"/>
        <v>3.0257532847620974E-2</v>
      </c>
      <c r="Z81" s="10">
        <f t="shared" si="11"/>
        <v>1.1364645144235302E-2</v>
      </c>
      <c r="AA81" s="10">
        <f t="shared" si="12"/>
        <v>0.75649443035099051</v>
      </c>
      <c r="AB81" s="10">
        <f t="shared" si="13"/>
        <v>0.24535036562526696</v>
      </c>
      <c r="AE81" s="10">
        <f t="shared" si="7"/>
        <v>2.2167867869570452</v>
      </c>
      <c r="AF81" s="10">
        <f t="shared" si="8"/>
        <v>2.2414726086380816</v>
      </c>
    </row>
    <row r="82" spans="1:32" x14ac:dyDescent="0.25">
      <c r="A82" t="s">
        <v>371</v>
      </c>
      <c r="B82" s="39">
        <v>40847</v>
      </c>
      <c r="C82" s="53" t="s">
        <v>372</v>
      </c>
      <c r="D82" s="4" t="str">
        <f>VLOOKUP(LEFT(C82,2),Sort!$A$1:$B$58,2,FALSE)</f>
        <v>Indonesia</v>
      </c>
      <c r="E82" s="72">
        <v>311184210.5</v>
      </c>
      <c r="F82" s="72">
        <v>355821855.30000001</v>
      </c>
      <c r="G82" s="58">
        <f t="shared" si="9"/>
        <v>2.1643472036925897E-2</v>
      </c>
      <c r="H82" s="10">
        <v>4.9555559999999996</v>
      </c>
      <c r="I82" s="10">
        <v>4.1976290000000001</v>
      </c>
      <c r="J82" s="10">
        <v>4.3515579999999998</v>
      </c>
      <c r="K82" s="10">
        <v>4.3515579999999998</v>
      </c>
      <c r="L82" s="10">
        <v>338.15359999999998</v>
      </c>
      <c r="M82" s="10">
        <v>344.82690000000002</v>
      </c>
      <c r="N82" s="10">
        <v>4.1576779999999998</v>
      </c>
      <c r="O82" s="10">
        <v>1.8800000000000001E-2</v>
      </c>
      <c r="P82" s="10">
        <v>3.2688866810000001</v>
      </c>
      <c r="Q82" s="10">
        <v>4.014694027</v>
      </c>
      <c r="R82" s="10">
        <v>114</v>
      </c>
      <c r="S82" s="10">
        <v>115</v>
      </c>
      <c r="T82" s="10">
        <v>114</v>
      </c>
      <c r="U82" s="10">
        <v>115</v>
      </c>
      <c r="V82" s="53" t="s">
        <v>146</v>
      </c>
      <c r="W82" s="53" t="s">
        <v>373</v>
      </c>
      <c r="Y82" s="10">
        <f t="shared" si="10"/>
        <v>2.994754800018171E-2</v>
      </c>
      <c r="Z82" s="10">
        <f t="shared" si="11"/>
        <v>1.2002626164402442E-2</v>
      </c>
      <c r="AA82" s="10">
        <f t="shared" si="12"/>
        <v>0.83794981812250124</v>
      </c>
      <c r="AB82" s="10">
        <f t="shared" si="13"/>
        <v>0.27244450013687582</v>
      </c>
      <c r="AE82" s="10">
        <f t="shared" si="7"/>
        <v>2.467355812209552</v>
      </c>
      <c r="AF82" s="10">
        <f t="shared" si="8"/>
        <v>2.4889992842464781</v>
      </c>
    </row>
    <row r="83" spans="1:32" x14ac:dyDescent="0.25">
      <c r="A83" t="s">
        <v>374</v>
      </c>
      <c r="B83" s="39">
        <v>40847</v>
      </c>
      <c r="C83" s="53" t="s">
        <v>375</v>
      </c>
      <c r="D83" s="4" t="str">
        <f>VLOOKUP(LEFT(C83,2),Sort!$A$1:$B$58,2,FALSE)</f>
        <v>Indonesia</v>
      </c>
      <c r="E83" s="72">
        <v>707236842.10000002</v>
      </c>
      <c r="F83" s="72">
        <v>837844822.89999998</v>
      </c>
      <c r="G83" s="58">
        <f t="shared" si="9"/>
        <v>5.0963342261341076E-2</v>
      </c>
      <c r="H83" s="10">
        <v>8.213889</v>
      </c>
      <c r="I83" s="10">
        <v>6.241695</v>
      </c>
      <c r="J83" s="10">
        <v>5.180707</v>
      </c>
      <c r="K83" s="10">
        <v>5.180707</v>
      </c>
      <c r="L83" s="10">
        <v>338.13049999999998</v>
      </c>
      <c r="M83" s="10">
        <v>350.20580000000001</v>
      </c>
      <c r="N83" s="10">
        <v>6.0774970000000001</v>
      </c>
      <c r="O83" s="10">
        <v>0.65549999999999997</v>
      </c>
      <c r="P83" s="10">
        <v>5.4312291420000003</v>
      </c>
      <c r="Q83" s="10">
        <v>6.2330353699999996</v>
      </c>
      <c r="R83" s="10">
        <v>116.25</v>
      </c>
      <c r="S83" s="10">
        <v>117</v>
      </c>
      <c r="T83" s="10">
        <v>116.25</v>
      </c>
      <c r="U83" s="10">
        <v>117</v>
      </c>
      <c r="V83" s="53" t="s">
        <v>146</v>
      </c>
      <c r="W83" s="53" t="s">
        <v>376</v>
      </c>
      <c r="Y83" s="10">
        <f t="shared" si="10"/>
        <v>6.334362181864768E-2</v>
      </c>
      <c r="Z83" s="10">
        <f t="shared" si="11"/>
        <v>3.3647399527121209E-2</v>
      </c>
      <c r="AA83" s="10">
        <f t="shared" si="12"/>
        <v>2.0038775431467766</v>
      </c>
      <c r="AB83" s="10">
        <f t="shared" si="13"/>
        <v>0.65267508925467166</v>
      </c>
      <c r="AE83" s="10">
        <f t="shared" si="7"/>
        <v>5.9244885378809</v>
      </c>
      <c r="AF83" s="10">
        <f t="shared" si="8"/>
        <v>5.9627110445769063</v>
      </c>
    </row>
    <row r="84" spans="1:32" x14ac:dyDescent="0.25">
      <c r="A84" t="s">
        <v>377</v>
      </c>
      <c r="B84" s="39">
        <v>40847</v>
      </c>
      <c r="C84" s="53" t="s">
        <v>378</v>
      </c>
      <c r="D84" s="4" t="str">
        <f>VLOOKUP(LEFT(C84,2),Sort!$A$1:$B$58,2,FALSE)</f>
        <v>Indonesia</v>
      </c>
      <c r="E84" s="72">
        <v>282894736.80000001</v>
      </c>
      <c r="F84" s="72">
        <v>340136718.69999999</v>
      </c>
      <c r="G84" s="58">
        <f t="shared" si="9"/>
        <v>2.0689396815460816E-2</v>
      </c>
      <c r="H84" s="10">
        <v>25.655556000000001</v>
      </c>
      <c r="I84" s="10">
        <v>11.981645</v>
      </c>
      <c r="J84" s="10">
        <v>6.3794089999999999</v>
      </c>
      <c r="K84" s="10">
        <v>6.3794089999999999</v>
      </c>
      <c r="L84" s="10">
        <v>345.01069999999999</v>
      </c>
      <c r="M84" s="10">
        <v>364.7953</v>
      </c>
      <c r="N84" s="10">
        <v>11.192837000000001</v>
      </c>
      <c r="O84" s="10">
        <v>1.8200000000000001E-2</v>
      </c>
      <c r="P84" s="10">
        <v>8.2004550639999998</v>
      </c>
      <c r="Q84" s="10">
        <v>10.155546620000001</v>
      </c>
      <c r="R84" s="10">
        <v>117.5</v>
      </c>
      <c r="S84" s="10">
        <v>118.75</v>
      </c>
      <c r="T84" s="10">
        <v>117.5</v>
      </c>
      <c r="U84" s="10">
        <v>118.75</v>
      </c>
      <c r="V84" s="53" t="s">
        <v>146</v>
      </c>
      <c r="W84" s="53" t="s">
        <v>379</v>
      </c>
      <c r="Y84" s="10">
        <f t="shared" si="10"/>
        <v>7.4585853279401731E-2</v>
      </c>
      <c r="Z84" s="10">
        <f t="shared" si="11"/>
        <v>8.0058067087866794E-2</v>
      </c>
      <c r="AA84" s="10">
        <f t="shared" si="12"/>
        <v>0.84739716240684204</v>
      </c>
      <c r="AB84" s="10">
        <f t="shared" si="13"/>
        <v>0.2689271943918391</v>
      </c>
      <c r="AE84" s="10">
        <f t="shared" si="7"/>
        <v>2.4310041258166457</v>
      </c>
      <c r="AF84" s="10">
        <f t="shared" si="8"/>
        <v>2.4568658718359719</v>
      </c>
    </row>
    <row r="85" spans="1:32" x14ac:dyDescent="0.25">
      <c r="A85" t="s">
        <v>380</v>
      </c>
      <c r="B85" s="39">
        <v>40847</v>
      </c>
      <c r="C85" s="53" t="s">
        <v>381</v>
      </c>
      <c r="D85" s="4" t="str">
        <f>VLOOKUP(LEFT(C85,2),Sort!$A$1:$B$58,2,FALSE)</f>
        <v>Indonesia</v>
      </c>
      <c r="E85" s="72">
        <v>424342105.30000001</v>
      </c>
      <c r="F85" s="72">
        <v>504589911.89999998</v>
      </c>
      <c r="G85" s="58">
        <f t="shared" si="9"/>
        <v>3.0692543152288348E-2</v>
      </c>
      <c r="H85" s="10">
        <v>7.7611109999999996</v>
      </c>
      <c r="I85" s="10">
        <v>5.9525129999999997</v>
      </c>
      <c r="J85" s="10">
        <v>5.1902949999999999</v>
      </c>
      <c r="K85" s="10">
        <v>5.1902949999999999</v>
      </c>
      <c r="L85" s="10">
        <v>347.57139999999998</v>
      </c>
      <c r="M85" s="10">
        <v>360.03739999999999</v>
      </c>
      <c r="N85" s="10">
        <v>5.8080579999999999</v>
      </c>
      <c r="O85" s="10">
        <v>1.8700000000000001E-2</v>
      </c>
      <c r="P85" s="10">
        <v>4.962732151</v>
      </c>
      <c r="Q85" s="10">
        <v>4.9819918679999997</v>
      </c>
      <c r="R85" s="10">
        <v>117</v>
      </c>
      <c r="S85" s="10">
        <v>117.75</v>
      </c>
      <c r="T85" s="10">
        <v>117</v>
      </c>
      <c r="U85" s="10">
        <v>117.75</v>
      </c>
      <c r="V85" s="53" t="s">
        <v>146</v>
      </c>
      <c r="W85" s="53" t="s">
        <v>382</v>
      </c>
      <c r="Y85" s="10">
        <f t="shared" si="10"/>
        <v>6.022315646739735E-2</v>
      </c>
      <c r="Z85" s="10">
        <f t="shared" si="11"/>
        <v>2.0301563671043986E-2</v>
      </c>
      <c r="AA85" s="10">
        <f t="shared" si="12"/>
        <v>1.2407104316961997</v>
      </c>
      <c r="AB85" s="10">
        <f t="shared" si="13"/>
        <v>0.39559160289042705</v>
      </c>
      <c r="AE85" s="10">
        <f t="shared" si="7"/>
        <v>3.5910275488177366</v>
      </c>
      <c r="AF85" s="10">
        <f t="shared" si="8"/>
        <v>3.6140469561819528</v>
      </c>
    </row>
    <row r="86" spans="1:32" x14ac:dyDescent="0.25">
      <c r="A86" t="s">
        <v>383</v>
      </c>
      <c r="B86" s="39">
        <v>40847</v>
      </c>
      <c r="C86" s="53" t="s">
        <v>384</v>
      </c>
      <c r="D86" s="4" t="str">
        <f>VLOOKUP(LEFT(C86,2),Sort!$A$1:$B$58,2,FALSE)</f>
        <v>Indonesia</v>
      </c>
      <c r="E86" s="72">
        <v>565789473.70000005</v>
      </c>
      <c r="F86" s="72">
        <v>594550436.70000005</v>
      </c>
      <c r="G86" s="58">
        <f t="shared" si="9"/>
        <v>3.6164545711811789E-2</v>
      </c>
      <c r="H86" s="10">
        <v>9.5583329999999993</v>
      </c>
      <c r="I86" s="10">
        <v>7.5208459999999997</v>
      </c>
      <c r="J86" s="10">
        <v>4.7566660000000001</v>
      </c>
      <c r="K86" s="10">
        <v>4.7566660000000001</v>
      </c>
      <c r="L86" s="10">
        <v>270.54050000000001</v>
      </c>
      <c r="M86" s="10">
        <v>279.9991</v>
      </c>
      <c r="N86" s="10">
        <v>7.2741110000000004</v>
      </c>
      <c r="O86" s="10">
        <v>0.49209999999999998</v>
      </c>
      <c r="P86" s="10">
        <v>6.764880625</v>
      </c>
      <c r="Q86" s="10">
        <v>6.3506819999999999</v>
      </c>
      <c r="R86" s="10">
        <v>102.75</v>
      </c>
      <c r="S86" s="10">
        <v>103.75</v>
      </c>
      <c r="T86" s="10">
        <v>102.75</v>
      </c>
      <c r="U86" s="10">
        <v>103.75</v>
      </c>
      <c r="V86" s="53" t="s">
        <v>146</v>
      </c>
      <c r="W86" s="53" t="s">
        <v>385</v>
      </c>
      <c r="Y86" s="10">
        <f t="shared" si="10"/>
        <v>5.4161683675166251E-2</v>
      </c>
      <c r="Z86" s="10">
        <f t="shared" si="11"/>
        <v>2.1922508313439438E-2</v>
      </c>
      <c r="AA86" s="10">
        <f t="shared" si="12"/>
        <v>1.1369191748647605</v>
      </c>
      <c r="AB86" s="10">
        <f t="shared" si="13"/>
        <v>0.41069970682791551</v>
      </c>
      <c r="AE86" s="10">
        <f t="shared" si="7"/>
        <v>3.7159070718886613</v>
      </c>
      <c r="AF86" s="10">
        <f t="shared" si="8"/>
        <v>3.7520716176004734</v>
      </c>
    </row>
    <row r="87" spans="1:32" x14ac:dyDescent="0.25">
      <c r="A87" t="s">
        <v>386</v>
      </c>
      <c r="B87" s="39">
        <v>40847</v>
      </c>
      <c r="C87" s="53" t="s">
        <v>387</v>
      </c>
      <c r="D87" s="4" t="str">
        <f>VLOOKUP(LEFT(C87,2),Sort!$A$1:$B$58,2,FALSE)</f>
        <v>Indonesia</v>
      </c>
      <c r="E87" s="72">
        <v>282894736.80000001</v>
      </c>
      <c r="F87" s="72">
        <v>302178729</v>
      </c>
      <c r="G87" s="58">
        <f t="shared" si="9"/>
        <v>1.8380537265624528E-2</v>
      </c>
      <c r="H87" s="10">
        <v>29.566666999999999</v>
      </c>
      <c r="I87" s="10">
        <v>13.387013</v>
      </c>
      <c r="J87" s="10">
        <v>6.026052</v>
      </c>
      <c r="K87" s="10">
        <v>6.026052</v>
      </c>
      <c r="L87" s="10">
        <v>289.80650000000003</v>
      </c>
      <c r="M87" s="10">
        <v>316.73020000000002</v>
      </c>
      <c r="N87" s="10">
        <v>12.424868</v>
      </c>
      <c r="O87" s="10">
        <v>0.96230000000000004</v>
      </c>
      <c r="P87" s="10">
        <v>7.8290614529999996</v>
      </c>
      <c r="Q87" s="10">
        <v>7.6669343879999996</v>
      </c>
      <c r="R87" s="10">
        <v>104</v>
      </c>
      <c r="S87" s="10">
        <v>106.5</v>
      </c>
      <c r="T87" s="10">
        <v>104</v>
      </c>
      <c r="U87" s="10">
        <v>106.5</v>
      </c>
      <c r="V87" s="53" t="s">
        <v>146</v>
      </c>
      <c r="W87" s="53" t="s">
        <v>388</v>
      </c>
      <c r="Y87" s="10">
        <f t="shared" si="10"/>
        <v>7.4034487130348089E-2</v>
      </c>
      <c r="Z87" s="10">
        <f t="shared" si="11"/>
        <v>6.7184316150959614E-2</v>
      </c>
      <c r="AA87" s="10">
        <f t="shared" si="12"/>
        <v>0.65363849077631486</v>
      </c>
      <c r="AB87" s="10">
        <f t="shared" si="13"/>
        <v>0.21426985857441025</v>
      </c>
      <c r="AE87" s="10">
        <f t="shared" si="7"/>
        <v>1.911575875624951</v>
      </c>
      <c r="AF87" s="10">
        <f t="shared" si="8"/>
        <v>1.9575272187890123</v>
      </c>
    </row>
    <row r="88" spans="1:32" x14ac:dyDescent="0.25">
      <c r="A88" t="s">
        <v>389</v>
      </c>
      <c r="B88" s="39">
        <v>40847</v>
      </c>
      <c r="C88" s="53" t="s">
        <v>390</v>
      </c>
      <c r="D88" s="4" t="str">
        <f>VLOOKUP(LEFT(C88,2),Sort!$A$1:$B$58,2,FALSE)</f>
        <v>Indonesia</v>
      </c>
      <c r="E88" s="72">
        <v>565789473.70000005</v>
      </c>
      <c r="F88" s="72">
        <v>699647800.39999998</v>
      </c>
      <c r="G88" s="58">
        <f t="shared" si="9"/>
        <v>4.255727234879074E-2</v>
      </c>
      <c r="H88" s="10">
        <v>2.5055559999999999</v>
      </c>
      <c r="I88" s="10">
        <v>2.169508</v>
      </c>
      <c r="J88" s="10">
        <v>2.3111600000000001</v>
      </c>
      <c r="K88" s="10">
        <v>2.3111600000000001</v>
      </c>
      <c r="L88" s="10">
        <v>198.73159999999999</v>
      </c>
      <c r="M88" s="10">
        <v>201.3219</v>
      </c>
      <c r="N88" s="10">
        <v>2.17001</v>
      </c>
      <c r="O88" s="10">
        <v>0.22600000000000001</v>
      </c>
      <c r="P88" s="10">
        <v>2.111401554</v>
      </c>
      <c r="Q88" s="10">
        <v>2.329845766</v>
      </c>
      <c r="R88" s="10">
        <v>118.5</v>
      </c>
      <c r="S88" s="10">
        <v>119.5</v>
      </c>
      <c r="T88" s="10">
        <v>118.5</v>
      </c>
      <c r="U88" s="10">
        <v>119.5</v>
      </c>
      <c r="V88" s="53" t="s">
        <v>146</v>
      </c>
      <c r="W88" s="53" t="s">
        <v>391</v>
      </c>
      <c r="Y88" s="10">
        <f t="shared" si="10"/>
        <v>3.3006710808877127E-2</v>
      </c>
      <c r="Z88" s="10">
        <f t="shared" si="11"/>
        <v>2.0944900727469358E-2</v>
      </c>
      <c r="AA88" s="10">
        <f t="shared" si="12"/>
        <v>0.96195497915960604</v>
      </c>
      <c r="AB88" s="10">
        <f t="shared" si="13"/>
        <v>0.55666634235049794</v>
      </c>
      <c r="AE88" s="10">
        <f t="shared" si="7"/>
        <v>5.0430367733317025</v>
      </c>
      <c r="AF88" s="10">
        <f t="shared" si="8"/>
        <v>5.0855940456804936</v>
      </c>
    </row>
    <row r="89" spans="1:32" x14ac:dyDescent="0.25">
      <c r="A89" t="s">
        <v>392</v>
      </c>
      <c r="B89" s="39">
        <v>40847</v>
      </c>
      <c r="C89" s="53" t="s">
        <v>393</v>
      </c>
      <c r="D89" s="4" t="str">
        <f>VLOOKUP(LEFT(C89,2),Sort!$A$1:$B$58,2,FALSE)</f>
        <v>Indonesia</v>
      </c>
      <c r="E89" s="72">
        <v>1131578947</v>
      </c>
      <c r="F89" s="72">
        <v>1707611564</v>
      </c>
      <c r="G89" s="58">
        <f t="shared" si="9"/>
        <v>0.10386838971486104</v>
      </c>
      <c r="H89" s="10">
        <v>7.3361109999999998</v>
      </c>
      <c r="I89" s="10">
        <v>5.4808919999999999</v>
      </c>
      <c r="J89" s="10">
        <v>3.7606959999999998</v>
      </c>
      <c r="K89" s="10">
        <v>3.7606959999999998</v>
      </c>
      <c r="L89" s="10">
        <v>212.57310000000001</v>
      </c>
      <c r="M89" s="10">
        <v>230.1028</v>
      </c>
      <c r="N89" s="10">
        <v>5.3652569999999997</v>
      </c>
      <c r="O89" s="10">
        <v>2.1399999999999999E-2</v>
      </c>
      <c r="P89" s="10">
        <v>5.1596613939999996</v>
      </c>
      <c r="Q89" s="10">
        <v>7.1563935360000004</v>
      </c>
      <c r="R89" s="10">
        <v>149</v>
      </c>
      <c r="S89" s="10">
        <v>150</v>
      </c>
      <c r="T89" s="10">
        <v>149</v>
      </c>
      <c r="U89" s="10">
        <v>150</v>
      </c>
      <c r="V89" s="53" t="s">
        <v>146</v>
      </c>
      <c r="W89" s="53" t="s">
        <v>394</v>
      </c>
      <c r="Y89" s="10">
        <f t="shared" si="10"/>
        <v>0.18765706947245889</v>
      </c>
      <c r="Z89" s="10">
        <f t="shared" si="11"/>
        <v>8.3181382867095907E-2</v>
      </c>
      <c r="AA89" s="10">
        <f t="shared" si="12"/>
        <v>2.6834607287614896</v>
      </c>
      <c r="AB89" s="10">
        <f t="shared" si="13"/>
        <v>9.3607649628834029</v>
      </c>
      <c r="AE89" s="10">
        <f t="shared" si="7"/>
        <v>15.476390067514295</v>
      </c>
      <c r="AF89" s="10">
        <f t="shared" si="8"/>
        <v>15.580258457229155</v>
      </c>
    </row>
    <row r="90" spans="1:32" x14ac:dyDescent="0.25">
      <c r="A90" t="s">
        <v>395</v>
      </c>
      <c r="B90" s="39">
        <v>40847</v>
      </c>
      <c r="C90" s="53" t="s">
        <v>396</v>
      </c>
      <c r="D90" s="4" t="str">
        <f>VLOOKUP(LEFT(C90,2),Sort!$A$1:$B$58,2,FALSE)</f>
        <v>Indonesia</v>
      </c>
      <c r="E90" s="72">
        <v>1414473684</v>
      </c>
      <c r="F90" s="72">
        <v>1549349648</v>
      </c>
      <c r="G90" s="58">
        <f t="shared" si="9"/>
        <v>9.4241838387460572E-2</v>
      </c>
      <c r="H90" s="10">
        <v>9.5055560000000003</v>
      </c>
      <c r="I90" s="10">
        <v>7.6776350000000004</v>
      </c>
      <c r="J90" s="10">
        <v>3.906933</v>
      </c>
      <c r="K90" s="10">
        <v>3.906933</v>
      </c>
      <c r="L90" s="10">
        <v>186.55590000000001</v>
      </c>
      <c r="M90" s="10">
        <v>194.01070000000001</v>
      </c>
      <c r="N90" s="10">
        <v>7.423851</v>
      </c>
      <c r="O90" s="10">
        <v>0.12659999999999999</v>
      </c>
      <c r="P90" s="10">
        <v>6.3128112490000001</v>
      </c>
      <c r="Q90" s="10">
        <v>9.4427040000000009</v>
      </c>
      <c r="R90" s="10">
        <v>107.125</v>
      </c>
      <c r="S90" s="10">
        <v>107.625</v>
      </c>
      <c r="T90" s="10">
        <v>107.125</v>
      </c>
      <c r="U90" s="10">
        <v>107.625</v>
      </c>
      <c r="V90" s="53" t="s">
        <v>146</v>
      </c>
      <c r="W90" s="53" t="s">
        <v>397</v>
      </c>
      <c r="Y90" s="10">
        <f t="shared" si="10"/>
        <v>0.14408330353961249</v>
      </c>
      <c r="Z90" s="10">
        <f t="shared" si="11"/>
        <v>7.8406888947584436E-2</v>
      </c>
      <c r="AA90" s="10">
        <f t="shared" si="12"/>
        <v>4.616471438138519</v>
      </c>
      <c r="AB90" s="10">
        <f t="shared" si="13"/>
        <v>1.110222915928476</v>
      </c>
      <c r="AE90" s="10">
        <f t="shared" si="7"/>
        <v>10.095656937256713</v>
      </c>
      <c r="AF90" s="10">
        <f t="shared" si="8"/>
        <v>10.142777856450444</v>
      </c>
    </row>
    <row r="91" spans="1:32" x14ac:dyDescent="0.25">
      <c r="A91" t="s">
        <v>398</v>
      </c>
      <c r="B91" s="39">
        <v>40847</v>
      </c>
      <c r="C91" s="53" t="s">
        <v>399</v>
      </c>
      <c r="D91" s="4" t="str">
        <f>VLOOKUP(LEFT(C91,2),Sort!$A$1:$B$58,2,FALSE)</f>
        <v>Indonesia</v>
      </c>
      <c r="E91" s="72">
        <v>1131578947</v>
      </c>
      <c r="F91" s="72">
        <v>1296404420</v>
      </c>
      <c r="G91" s="58">
        <f t="shared" si="9"/>
        <v>7.8856012903311776E-2</v>
      </c>
      <c r="H91" s="10">
        <v>8.3611109999999993</v>
      </c>
      <c r="I91" s="10">
        <v>6.8259359999999996</v>
      </c>
      <c r="J91" s="10">
        <v>3.7985890000000002</v>
      </c>
      <c r="K91" s="10">
        <v>3.7985890000000002</v>
      </c>
      <c r="L91" s="10">
        <v>197.16079999999999</v>
      </c>
      <c r="M91" s="10">
        <v>204.5147</v>
      </c>
      <c r="N91" s="10">
        <v>6.6369819999999997</v>
      </c>
      <c r="O91" s="10">
        <v>-0.2036</v>
      </c>
      <c r="P91" s="10">
        <v>5.7281279060000001</v>
      </c>
      <c r="Q91" s="10">
        <v>8.923451172</v>
      </c>
      <c r="R91" s="10">
        <v>113.75</v>
      </c>
      <c r="S91" s="10">
        <v>114.75</v>
      </c>
      <c r="T91" s="10">
        <v>113.75</v>
      </c>
      <c r="U91" s="10">
        <v>114.75</v>
      </c>
      <c r="V91" s="53" t="s">
        <v>146</v>
      </c>
      <c r="W91" s="53" t="s">
        <v>400</v>
      </c>
      <c r="Y91" s="10">
        <f t="shared" si="10"/>
        <v>0.10718634774336133</v>
      </c>
      <c r="Z91" s="10">
        <f t="shared" si="11"/>
        <v>6.3786919656276572E-2</v>
      </c>
      <c r="AA91" s="10">
        <f t="shared" si="12"/>
        <v>1.8107116085487249</v>
      </c>
      <c r="AB91" s="10">
        <f t="shared" si="13"/>
        <v>0.99046876025446928</v>
      </c>
      <c r="AE91" s="10">
        <f t="shared" si="7"/>
        <v>8.9698714677517142</v>
      </c>
      <c r="AF91" s="10">
        <f t="shared" si="8"/>
        <v>9.0487274806550264</v>
      </c>
    </row>
    <row r="92" spans="1:32" x14ac:dyDescent="0.25">
      <c r="A92" t="s">
        <v>401</v>
      </c>
      <c r="B92" s="39">
        <v>40847</v>
      </c>
      <c r="C92" s="53" t="s">
        <v>402</v>
      </c>
      <c r="D92" s="4" t="str">
        <f>VLOOKUP(LEFT(C92,2),Sort!$A$1:$B$58,2,FALSE)</f>
        <v>Indonesia</v>
      </c>
      <c r="E92" s="72">
        <v>735526315.79999995</v>
      </c>
      <c r="F92" s="72">
        <v>810871792.79999995</v>
      </c>
      <c r="G92" s="58">
        <f t="shared" si="9"/>
        <v>4.9322661639774681E-2</v>
      </c>
      <c r="H92" s="10">
        <v>2.3527779999999998</v>
      </c>
      <c r="I92" s="10">
        <v>2.175805</v>
      </c>
      <c r="J92" s="10">
        <v>2.3541500000000002</v>
      </c>
      <c r="K92" s="10">
        <v>2.3541500000000002</v>
      </c>
      <c r="L92" s="10">
        <v>205.3528</v>
      </c>
      <c r="M92" s="10">
        <v>207.0667</v>
      </c>
      <c r="N92" s="10">
        <v>2.1779000000000002</v>
      </c>
      <c r="O92" s="10">
        <v>0.24440000000000001</v>
      </c>
      <c r="P92" s="10">
        <v>2.1070892090000002</v>
      </c>
      <c r="Q92" s="10">
        <v>2.326619086</v>
      </c>
      <c r="R92" s="10">
        <v>109.25</v>
      </c>
      <c r="S92" s="10">
        <v>110</v>
      </c>
      <c r="T92" s="10">
        <v>109.25</v>
      </c>
      <c r="U92" s="10">
        <v>110</v>
      </c>
      <c r="V92" s="53" t="s">
        <v>146</v>
      </c>
      <c r="W92" s="53" t="s">
        <v>403</v>
      </c>
      <c r="Y92" s="10">
        <f t="shared" si="10"/>
        <v>3.8364865739323815E-2</v>
      </c>
      <c r="Z92" s="10">
        <f t="shared" si="11"/>
        <v>2.4726072902711897E-2</v>
      </c>
      <c r="AA92" s="10">
        <f t="shared" si="12"/>
        <v>1.1466918051137518</v>
      </c>
      <c r="AB92" s="10">
        <f t="shared" si="13"/>
        <v>0.59387147192091272</v>
      </c>
      <c r="AE92" s="10">
        <f t="shared" si="7"/>
        <v>5.3885007841453838</v>
      </c>
      <c r="AF92" s="10">
        <f t="shared" si="8"/>
        <v>5.4254927803752153</v>
      </c>
    </row>
    <row r="93" spans="1:32" x14ac:dyDescent="0.25">
      <c r="A93" t="s">
        <v>404</v>
      </c>
      <c r="B93" s="39">
        <v>40847</v>
      </c>
      <c r="C93" s="53" t="s">
        <v>405</v>
      </c>
      <c r="D93" s="4" t="str">
        <f>VLOOKUP(LEFT(C93,2),Sort!$A$1:$B$58,2,FALSE)</f>
        <v>Indonesia</v>
      </c>
      <c r="E93" s="72">
        <v>848684210.5</v>
      </c>
      <c r="F93" s="72">
        <v>1038777685</v>
      </c>
      <c r="G93" s="58">
        <f t="shared" si="9"/>
        <v>6.318542676060325E-2</v>
      </c>
      <c r="H93" s="10">
        <v>25.288889000000001</v>
      </c>
      <c r="I93" s="10">
        <v>13.635014</v>
      </c>
      <c r="J93" s="10">
        <v>5.0556179999999999</v>
      </c>
      <c r="K93" s="10">
        <v>5.0556179999999999</v>
      </c>
      <c r="L93" s="10">
        <v>214.49420000000001</v>
      </c>
      <c r="M93" s="10">
        <v>223.15039999999999</v>
      </c>
      <c r="N93" s="10">
        <v>12.685834</v>
      </c>
      <c r="O93" s="10">
        <v>-0.39190000000000003</v>
      </c>
      <c r="P93" s="10">
        <v>8.9117108890000001</v>
      </c>
      <c r="Q93" s="10">
        <v>16.203381660000002</v>
      </c>
      <c r="R93" s="10">
        <v>121</v>
      </c>
      <c r="S93" s="10">
        <v>122.25</v>
      </c>
      <c r="T93" s="10">
        <v>121</v>
      </c>
      <c r="U93" s="10">
        <v>122.25</v>
      </c>
      <c r="V93" s="53" t="s">
        <v>146</v>
      </c>
      <c r="W93" s="53" t="s">
        <v>406</v>
      </c>
      <c r="Y93" s="10">
        <f t="shared" si="10"/>
        <v>0.2592177261214742</v>
      </c>
      <c r="Z93" s="10">
        <f t="shared" si="11"/>
        <v>4.0709497949240801E-2</v>
      </c>
      <c r="AA93" s="10">
        <f t="shared" si="12"/>
        <v>1.583086096006016</v>
      </c>
      <c r="AB93" s="10">
        <f t="shared" si="13"/>
        <v>2.5607270422803881</v>
      </c>
      <c r="AE93" s="10">
        <f t="shared" si="7"/>
        <v>7.6454366380329937</v>
      </c>
      <c r="AF93" s="10">
        <f t="shared" si="8"/>
        <v>7.7244184214837475</v>
      </c>
    </row>
    <row r="94" spans="1:32" x14ac:dyDescent="0.25">
      <c r="A94" t="s">
        <v>407</v>
      </c>
      <c r="B94" s="39">
        <v>40847</v>
      </c>
      <c r="C94" s="53" t="s">
        <v>408</v>
      </c>
      <c r="D94" s="4" t="str">
        <f>VLOOKUP(LEFT(C94,2),Sort!$A$1:$B$58,2,FALSE)</f>
        <v>Indonesia</v>
      </c>
      <c r="E94" s="72">
        <v>565789473.70000005</v>
      </c>
      <c r="F94" s="72">
        <v>666393914.5</v>
      </c>
      <c r="G94" s="58">
        <f t="shared" si="9"/>
        <v>4.0534547946465993E-2</v>
      </c>
      <c r="H94" s="10">
        <v>5.35</v>
      </c>
      <c r="I94" s="10">
        <v>4.5745889999999996</v>
      </c>
      <c r="J94" s="10">
        <v>3.1413090000000001</v>
      </c>
      <c r="K94" s="10">
        <v>3.1413090000000001</v>
      </c>
      <c r="L94" s="10">
        <v>205.52340000000001</v>
      </c>
      <c r="M94" s="10">
        <v>211.869</v>
      </c>
      <c r="N94" s="10">
        <v>4.5217770000000002</v>
      </c>
      <c r="O94" s="10">
        <v>0.22900000000000001</v>
      </c>
      <c r="P94" s="10">
        <v>4.2343985609999999</v>
      </c>
      <c r="Q94" s="10">
        <v>6.0862423899999998</v>
      </c>
      <c r="R94" s="10">
        <v>116.75</v>
      </c>
      <c r="S94" s="10">
        <v>118.25</v>
      </c>
      <c r="T94" s="10">
        <v>116.75</v>
      </c>
      <c r="U94" s="10">
        <v>118.25</v>
      </c>
      <c r="V94" s="53" t="s">
        <v>146</v>
      </c>
      <c r="W94" s="53" t="s">
        <v>409</v>
      </c>
      <c r="Y94" s="10">
        <f t="shared" si="10"/>
        <v>6.1123427882166931E-2</v>
      </c>
      <c r="Z94" s="10">
        <f t="shared" si="11"/>
        <v>2.7115055754589071E-2</v>
      </c>
      <c r="AA94" s="10">
        <f t="shared" si="12"/>
        <v>0.96423455825371518</v>
      </c>
      <c r="AB94" s="10">
        <f t="shared" si="13"/>
        <v>0.52466217690276762</v>
      </c>
      <c r="AE94" s="10">
        <f t="shared" si="7"/>
        <v>4.7324084727499045</v>
      </c>
      <c r="AF94" s="10">
        <f t="shared" si="8"/>
        <v>4.7932102946696036</v>
      </c>
    </row>
    <row r="95" spans="1:32" x14ac:dyDescent="0.25">
      <c r="A95" t="s">
        <v>410</v>
      </c>
      <c r="B95" s="39">
        <v>40847</v>
      </c>
      <c r="C95" s="53" t="s">
        <v>411</v>
      </c>
      <c r="D95" s="4" t="str">
        <f>VLOOKUP(LEFT(C95,2),Sort!$A$1:$B$58,2,FALSE)</f>
        <v>Indonesia</v>
      </c>
      <c r="E95" s="72">
        <v>1075000000</v>
      </c>
      <c r="F95" s="72">
        <v>1282198790</v>
      </c>
      <c r="G95" s="58">
        <f t="shared" si="9"/>
        <v>7.7991931197558512E-2</v>
      </c>
      <c r="H95" s="10">
        <v>6.2055559999999996</v>
      </c>
      <c r="I95" s="10">
        <v>5.1492269999999998</v>
      </c>
      <c r="J95" s="10">
        <v>3.5690119999999999</v>
      </c>
      <c r="K95" s="10">
        <v>3.5690119999999999</v>
      </c>
      <c r="L95" s="10">
        <v>223.0976</v>
      </c>
      <c r="M95" s="10">
        <v>230.10069999999999</v>
      </c>
      <c r="N95" s="10">
        <v>5.0609229999999998</v>
      </c>
      <c r="O95" s="10">
        <v>1.6E-2</v>
      </c>
      <c r="P95" s="10">
        <v>3.7261832670000001</v>
      </c>
      <c r="Q95" s="10">
        <v>6.062495953</v>
      </c>
      <c r="R95" s="10">
        <v>117.25</v>
      </c>
      <c r="S95" s="10">
        <v>118.25</v>
      </c>
      <c r="T95" s="10">
        <v>117.25</v>
      </c>
      <c r="U95" s="10">
        <v>118.25</v>
      </c>
      <c r="V95" s="53" t="s">
        <v>146</v>
      </c>
      <c r="W95" s="53" t="s">
        <v>412</v>
      </c>
      <c r="Y95" s="10">
        <f t="shared" si="10"/>
        <v>0.13237988479033405</v>
      </c>
      <c r="Z95" s="10">
        <f t="shared" si="11"/>
        <v>5.9275085846728422E-2</v>
      </c>
      <c r="AA95" s="10">
        <f t="shared" si="12"/>
        <v>2.0149188320346547</v>
      </c>
      <c r="AB95" s="10">
        <f t="shared" si="13"/>
        <v>1.0094948254265526</v>
      </c>
      <c r="AE95" s="10">
        <f t="shared" si="7"/>
        <v>9.1445539329137357</v>
      </c>
      <c r="AF95" s="10">
        <f t="shared" si="8"/>
        <v>9.2225458641112947</v>
      </c>
    </row>
    <row r="96" spans="1:32" x14ac:dyDescent="0.25">
      <c r="A96" t="s">
        <v>413</v>
      </c>
      <c r="B96" s="39">
        <v>40847</v>
      </c>
      <c r="C96" s="53" t="s">
        <v>414</v>
      </c>
      <c r="D96" s="4" t="str">
        <f>VLOOKUP(LEFT(C96,2),Sort!$A$1:$B$58,2,FALSE)</f>
        <v>Indonesia</v>
      </c>
      <c r="E96" s="72">
        <v>509210526.30000001</v>
      </c>
      <c r="F96" s="72">
        <v>607233552.60000002</v>
      </c>
      <c r="G96" s="58">
        <f t="shared" si="9"/>
        <v>3.693601789721563E-2</v>
      </c>
      <c r="H96" s="10">
        <v>4.2</v>
      </c>
      <c r="I96" s="10">
        <v>3.6297570000000001</v>
      </c>
      <c r="J96" s="10">
        <v>2.7989579999999998</v>
      </c>
      <c r="K96" s="10">
        <v>2.7989579999999998</v>
      </c>
      <c r="L96" s="10">
        <v>204.95580000000001</v>
      </c>
      <c r="M96" s="10">
        <v>210.24760000000001</v>
      </c>
      <c r="N96" s="10">
        <v>3.6080450000000002</v>
      </c>
      <c r="O96" s="10">
        <v>1.7500000000000002E-2</v>
      </c>
      <c r="P96" s="10">
        <v>3.3213000739999998</v>
      </c>
      <c r="Q96" s="10">
        <v>5.10359915</v>
      </c>
      <c r="R96" s="10">
        <v>117</v>
      </c>
      <c r="S96" s="10">
        <v>118.5</v>
      </c>
      <c r="T96" s="10">
        <v>117</v>
      </c>
      <c r="U96" s="10">
        <v>118.5</v>
      </c>
      <c r="V96" s="53" t="s">
        <v>146</v>
      </c>
      <c r="W96" s="53" t="s">
        <v>415</v>
      </c>
      <c r="Y96" s="10">
        <f t="shared" si="10"/>
        <v>4.792860966376665E-2</v>
      </c>
      <c r="Z96" s="10">
        <f t="shared" si="11"/>
        <v>2.2015115224438671E-2</v>
      </c>
      <c r="AA96" s="10">
        <f t="shared" si="12"/>
        <v>0.87190879967614909</v>
      </c>
      <c r="AB96" s="10">
        <f t="shared" si="13"/>
        <v>0.47909506327072399</v>
      </c>
      <c r="AE96" s="10">
        <f t="shared" si="7"/>
        <v>4.3215140939742289</v>
      </c>
      <c r="AF96" s="10">
        <f t="shared" si="8"/>
        <v>4.3769181208200525</v>
      </c>
    </row>
    <row r="97" spans="1:32" x14ac:dyDescent="0.25">
      <c r="A97" t="s">
        <v>416</v>
      </c>
      <c r="B97" s="39">
        <v>40847</v>
      </c>
      <c r="C97" s="53" t="s">
        <v>417</v>
      </c>
      <c r="D97" s="4" t="str">
        <f>VLOOKUP(LEFT(C97,2),Sort!$A$1:$B$58,2,FALSE)</f>
        <v>Indonesia</v>
      </c>
      <c r="E97" s="72">
        <v>565789473.70000005</v>
      </c>
      <c r="F97" s="72">
        <v>647895744.5</v>
      </c>
      <c r="G97" s="58">
        <f t="shared" si="9"/>
        <v>3.9409365164223047E-2</v>
      </c>
      <c r="H97" s="10">
        <v>3.463889</v>
      </c>
      <c r="I97" s="10">
        <v>3.1121310000000002</v>
      </c>
      <c r="J97" s="10">
        <v>2.6157819999999998</v>
      </c>
      <c r="K97" s="10">
        <v>2.6157819999999998</v>
      </c>
      <c r="L97" s="10">
        <v>208.1326</v>
      </c>
      <c r="M97" s="10">
        <v>212.0222</v>
      </c>
      <c r="N97" s="10">
        <v>3.1034709999999999</v>
      </c>
      <c r="O97" s="10">
        <v>0.23649999999999999</v>
      </c>
      <c r="P97" s="10">
        <v>2.9283232570000002</v>
      </c>
      <c r="Q97" s="10">
        <v>4.0042285030000002</v>
      </c>
      <c r="R97" s="10">
        <v>114.25</v>
      </c>
      <c r="S97" s="10">
        <v>115.25</v>
      </c>
      <c r="T97" s="10">
        <v>114.25</v>
      </c>
      <c r="U97" s="10">
        <v>115.25</v>
      </c>
      <c r="V97" s="53" t="s">
        <v>146</v>
      </c>
      <c r="W97" s="53" t="s">
        <v>418</v>
      </c>
      <c r="Y97" s="10">
        <f t="shared" si="10"/>
        <v>4.3845448421255213E-2</v>
      </c>
      <c r="Z97" s="10">
        <f t="shared" si="11"/>
        <v>2.1952070819795028E-2</v>
      </c>
      <c r="AA97" s="10">
        <f t="shared" si="12"/>
        <v>0.93814661813929856</v>
      </c>
      <c r="AB97" s="10">
        <f t="shared" si="13"/>
        <v>0.49715710053080608</v>
      </c>
      <c r="AE97" s="10">
        <f t="shared" ref="AE97:AE160" si="14">G97*R97</f>
        <v>4.5025199700124832</v>
      </c>
      <c r="AF97" s="10">
        <f t="shared" ref="AF97:AF160" si="15">G97*S97</f>
        <v>4.5419293351767065</v>
      </c>
    </row>
    <row r="98" spans="1:32" x14ac:dyDescent="0.25">
      <c r="A98" t="s">
        <v>419</v>
      </c>
      <c r="B98" s="39">
        <v>40847</v>
      </c>
      <c r="C98" s="53" t="s">
        <v>420</v>
      </c>
      <c r="D98" s="4" t="str">
        <f>VLOOKUP(LEFT(C98,2),Sort!$A$1:$B$58,2,FALSE)</f>
        <v>Indonesia</v>
      </c>
      <c r="E98" s="72">
        <v>1131578947</v>
      </c>
      <c r="F98" s="72">
        <v>1559111471</v>
      </c>
      <c r="G98" s="58">
        <f t="shared" si="9"/>
        <v>9.4835617943108672E-2</v>
      </c>
      <c r="H98" s="10">
        <v>26.205556000000001</v>
      </c>
      <c r="I98" s="10">
        <v>13.272872</v>
      </c>
      <c r="J98" s="10">
        <v>5.1585450000000002</v>
      </c>
      <c r="K98" s="10">
        <v>5.1585450000000002</v>
      </c>
      <c r="L98" s="10">
        <v>220.13030000000001</v>
      </c>
      <c r="M98" s="10">
        <v>234.8031</v>
      </c>
      <c r="N98" s="10">
        <v>12.355532999999999</v>
      </c>
      <c r="O98" s="10">
        <v>1.5599999999999999E-2</v>
      </c>
      <c r="P98" s="10">
        <v>8.5502625139999999</v>
      </c>
      <c r="Q98" s="10">
        <v>16.859962830000001</v>
      </c>
      <c r="R98" s="10">
        <v>135.5</v>
      </c>
      <c r="S98" s="10">
        <v>137</v>
      </c>
      <c r="T98" s="10">
        <v>135.5</v>
      </c>
      <c r="U98" s="10">
        <v>137</v>
      </c>
      <c r="V98" s="53" t="s">
        <v>146</v>
      </c>
      <c r="W98" s="53" t="s">
        <v>421</v>
      </c>
      <c r="Y98" s="10">
        <f t="shared" si="10"/>
        <v>0.37872900763915585</v>
      </c>
      <c r="Z98" s="10">
        <f t="shared" si="11"/>
        <v>6.2345236068480615E-2</v>
      </c>
      <c r="AA98" s="10">
        <f t="shared" si="12"/>
        <v>2.5001452854409112</v>
      </c>
      <c r="AB98" s="10">
        <f t="shared" si="13"/>
        <v>4.3071454951886157</v>
      </c>
      <c r="AE98" s="10">
        <f t="shared" si="14"/>
        <v>12.850226231291225</v>
      </c>
      <c r="AF98" s="10">
        <f t="shared" si="15"/>
        <v>12.992479658205887</v>
      </c>
    </row>
    <row r="99" spans="1:32" x14ac:dyDescent="0.25">
      <c r="A99" t="s">
        <v>422</v>
      </c>
      <c r="B99" s="39">
        <v>40847</v>
      </c>
      <c r="C99" s="53" t="s">
        <v>423</v>
      </c>
      <c r="D99" s="4" t="str">
        <f>VLOOKUP(LEFT(C99,2),Sort!$A$1:$B$58,2,FALSE)</f>
        <v>Indonesia</v>
      </c>
      <c r="E99" s="72">
        <v>905263157.89999998</v>
      </c>
      <c r="F99" s="72">
        <v>1314857015</v>
      </c>
      <c r="G99" s="58">
        <f t="shared" si="9"/>
        <v>7.997842350834472E-2</v>
      </c>
      <c r="H99" s="10">
        <v>23.941666999999999</v>
      </c>
      <c r="I99" s="10">
        <v>12.647624</v>
      </c>
      <c r="J99" s="10">
        <v>5.138306</v>
      </c>
      <c r="K99" s="10">
        <v>5.138306</v>
      </c>
      <c r="L99" s="10">
        <v>229.6069</v>
      </c>
      <c r="M99" s="10">
        <v>240.15350000000001</v>
      </c>
      <c r="N99" s="10">
        <v>11.819993</v>
      </c>
      <c r="O99" s="10">
        <v>-0.15559999999999999</v>
      </c>
      <c r="P99" s="10">
        <v>8.1059915730000007</v>
      </c>
      <c r="Q99" s="10">
        <v>15.31851397</v>
      </c>
      <c r="R99" s="10">
        <v>144.75</v>
      </c>
      <c r="S99" s="10">
        <v>146</v>
      </c>
      <c r="T99" s="10">
        <v>144.75</v>
      </c>
      <c r="U99" s="10">
        <v>146</v>
      </c>
      <c r="V99" s="53" t="s">
        <v>146</v>
      </c>
      <c r="W99" s="53" t="s">
        <v>424</v>
      </c>
      <c r="Y99" s="10">
        <f t="shared" si="10"/>
        <v>0.30435046572029717</v>
      </c>
      <c r="Z99" s="10">
        <f t="shared" si="11"/>
        <v>5.2371784882027317E-2</v>
      </c>
      <c r="AA99" s="10">
        <f t="shared" si="12"/>
        <v>2.1565111181816667</v>
      </c>
      <c r="AB99" s="10">
        <f t="shared" si="13"/>
        <v>7.0155605625119577</v>
      </c>
      <c r="AE99" s="10">
        <f t="shared" si="14"/>
        <v>11.576876802832897</v>
      </c>
      <c r="AF99" s="10">
        <f t="shared" si="15"/>
        <v>11.676849832218329</v>
      </c>
    </row>
    <row r="100" spans="1:32" x14ac:dyDescent="0.25">
      <c r="A100" t="s">
        <v>425</v>
      </c>
      <c r="B100" s="39">
        <v>40847</v>
      </c>
      <c r="C100" s="53" t="s">
        <v>426</v>
      </c>
      <c r="D100" s="4" t="str">
        <f>VLOOKUP(LEFT(C100,2),Sort!$A$1:$B$58,2,FALSE)</f>
        <v>Iraq</v>
      </c>
      <c r="E100" s="72">
        <v>2700000000</v>
      </c>
      <c r="F100" s="72">
        <v>2335230000</v>
      </c>
      <c r="G100" s="58">
        <f t="shared" si="9"/>
        <v>1</v>
      </c>
      <c r="H100" s="10">
        <v>12.450694</v>
      </c>
      <c r="I100" s="10">
        <v>8.3259589999999992</v>
      </c>
      <c r="J100" s="10">
        <v>7.571796</v>
      </c>
      <c r="K100" s="10">
        <v>7.571796</v>
      </c>
      <c r="L100" s="10">
        <v>531.33010000000002</v>
      </c>
      <c r="M100" s="10">
        <v>537.39959999999996</v>
      </c>
      <c r="N100" s="10">
        <v>7.9754360000000002</v>
      </c>
      <c r="O100" s="10">
        <v>1.8599999999999998E-2</v>
      </c>
      <c r="P100" s="10">
        <v>7.0567992540000004</v>
      </c>
      <c r="Q100" s="10">
        <v>-1.994817566</v>
      </c>
      <c r="R100" s="10">
        <v>84.75</v>
      </c>
      <c r="S100" s="10">
        <v>86</v>
      </c>
      <c r="T100" s="10">
        <v>84.75</v>
      </c>
      <c r="U100" s="10">
        <v>86</v>
      </c>
      <c r="V100" s="53" t="s">
        <v>146</v>
      </c>
      <c r="W100" s="53" t="s">
        <v>427</v>
      </c>
      <c r="Y100" s="10">
        <f t="shared" si="10"/>
        <v>0.67359391457636397</v>
      </c>
      <c r="Z100" s="10">
        <f t="shared" si="11"/>
        <v>0.65237859297460821</v>
      </c>
      <c r="AA100" s="10">
        <f t="shared" si="12"/>
        <v>41.421090450859971</v>
      </c>
      <c r="AB100" s="10">
        <f t="shared" si="13"/>
        <v>6.6858643651787508</v>
      </c>
      <c r="AE100" s="10">
        <f t="shared" si="14"/>
        <v>84.75</v>
      </c>
      <c r="AF100" s="10">
        <f t="shared" si="15"/>
        <v>86</v>
      </c>
    </row>
    <row r="101" spans="1:32" x14ac:dyDescent="0.25">
      <c r="A101" t="s">
        <v>230</v>
      </c>
      <c r="B101" s="39">
        <v>40847</v>
      </c>
      <c r="C101" s="53" t="s">
        <v>231</v>
      </c>
      <c r="D101" s="4" t="str">
        <f>VLOOKUP(LEFT(C101,2),Sort!$A$1:$B$58,2,FALSE)</f>
        <v>Ivory Coast</v>
      </c>
      <c r="E101" s="72">
        <v>2332293000</v>
      </c>
      <c r="F101" s="72">
        <v>1265268953</v>
      </c>
      <c r="G101" s="58">
        <f t="shared" si="9"/>
        <v>1</v>
      </c>
      <c r="H101" s="10">
        <v>14.209333000000001</v>
      </c>
      <c r="I101" s="10">
        <v>7.4272799999999997</v>
      </c>
      <c r="J101" s="10">
        <v>12.531169999999999</v>
      </c>
      <c r="K101" s="10">
        <v>12.531169999999999</v>
      </c>
      <c r="L101" s="10">
        <v>1018.3336</v>
      </c>
      <c r="M101" s="10">
        <v>1041.4661000000001</v>
      </c>
      <c r="N101" s="10">
        <v>7.1192330000000004</v>
      </c>
      <c r="O101" s="10">
        <v>0</v>
      </c>
      <c r="P101" s="10">
        <v>11.855671490000001</v>
      </c>
      <c r="Q101" s="10">
        <v>25.026847650000001</v>
      </c>
      <c r="R101" s="10">
        <v>54.25</v>
      </c>
      <c r="S101" s="10">
        <v>55.75</v>
      </c>
      <c r="T101" s="10">
        <v>54.25</v>
      </c>
      <c r="U101" s="10">
        <v>55.75</v>
      </c>
      <c r="V101" s="53" t="s">
        <v>146</v>
      </c>
      <c r="W101" s="53" t="s">
        <v>232</v>
      </c>
      <c r="Y101" s="10">
        <f t="shared" si="10"/>
        <v>0.11382807887437003</v>
      </c>
      <c r="Z101" s="10">
        <f t="shared" si="11"/>
        <v>0.71884515820787243</v>
      </c>
      <c r="AA101" s="10">
        <f t="shared" si="12"/>
        <v>86.443089012627098</v>
      </c>
      <c r="AB101" s="10">
        <f t="shared" si="13"/>
        <v>5.19573914042157</v>
      </c>
      <c r="AE101" s="10">
        <f t="shared" si="14"/>
        <v>54.25</v>
      </c>
      <c r="AF101" s="10">
        <f t="shared" si="15"/>
        <v>55.75</v>
      </c>
    </row>
    <row r="102" spans="1:32" x14ac:dyDescent="0.25">
      <c r="A102" t="s">
        <v>428</v>
      </c>
      <c r="B102" s="39">
        <v>40847</v>
      </c>
      <c r="C102" s="53" t="s">
        <v>429</v>
      </c>
      <c r="D102" s="4" t="str">
        <f>VLOOKUP(LEFT(C102,2),Sort!$A$1:$B$58,2,FALSE)</f>
        <v>Jamaica</v>
      </c>
      <c r="E102" s="72">
        <v>750000000</v>
      </c>
      <c r="F102" s="72">
        <v>786500002.5</v>
      </c>
      <c r="G102" s="58">
        <f t="shared" si="9"/>
        <v>0.61597702644570873</v>
      </c>
      <c r="H102" s="10">
        <v>6.644444</v>
      </c>
      <c r="I102" s="10">
        <v>5.0417360000000002</v>
      </c>
      <c r="J102" s="10">
        <v>7.2261519999999999</v>
      </c>
      <c r="K102" s="10">
        <v>7.2261519999999999</v>
      </c>
      <c r="L102" s="10">
        <v>575.88630000000001</v>
      </c>
      <c r="M102" s="10">
        <v>588.00850000000003</v>
      </c>
      <c r="N102" s="10">
        <v>4.9476430000000002</v>
      </c>
      <c r="O102" s="10">
        <v>2.12E-2</v>
      </c>
      <c r="P102" s="10">
        <v>5.6650252410000004</v>
      </c>
      <c r="Q102" s="10">
        <v>6.4078354790000001</v>
      </c>
      <c r="R102" s="10">
        <v>102</v>
      </c>
      <c r="S102" s="10">
        <v>104</v>
      </c>
      <c r="T102" s="10">
        <v>102</v>
      </c>
      <c r="U102" s="10">
        <v>104</v>
      </c>
      <c r="V102" s="53" t="s">
        <v>146</v>
      </c>
      <c r="W102" s="53" t="s">
        <v>430</v>
      </c>
      <c r="Y102" s="10">
        <f t="shared" si="10"/>
        <v>7.9506645002778278E-2</v>
      </c>
      <c r="Z102" s="10">
        <f t="shared" si="11"/>
        <v>0.20968963163106014</v>
      </c>
      <c r="AA102" s="10">
        <f t="shared" si="12"/>
        <v>15.264298851646883</v>
      </c>
      <c r="AB102" s="10">
        <f t="shared" si="13"/>
        <v>0.54460252760698447</v>
      </c>
      <c r="AE102" s="10">
        <f t="shared" si="14"/>
        <v>62.829656697462291</v>
      </c>
      <c r="AF102" s="10">
        <f t="shared" si="15"/>
        <v>64.061610750353708</v>
      </c>
    </row>
    <row r="103" spans="1:32" x14ac:dyDescent="0.25">
      <c r="A103" t="s">
        <v>431</v>
      </c>
      <c r="B103" s="39">
        <v>40847</v>
      </c>
      <c r="C103" s="53" t="s">
        <v>432</v>
      </c>
      <c r="D103" s="4" t="str">
        <f>VLOOKUP(LEFT(C103,2),Sort!$A$1:$B$58,2,FALSE)</f>
        <v>Jamaica</v>
      </c>
      <c r="E103" s="72">
        <v>500000000</v>
      </c>
      <c r="F103" s="72">
        <v>490333335</v>
      </c>
      <c r="G103" s="58">
        <f t="shared" si="9"/>
        <v>0.38402297355429132</v>
      </c>
      <c r="H103" s="10">
        <v>26.366667</v>
      </c>
      <c r="I103" s="10">
        <v>10.800447999999999</v>
      </c>
      <c r="J103" s="10">
        <v>8.0909119999999994</v>
      </c>
      <c r="K103" s="10">
        <v>8.0909119999999994</v>
      </c>
      <c r="L103" s="10">
        <v>512.54849999999999</v>
      </c>
      <c r="M103" s="10">
        <v>544.78369999999995</v>
      </c>
      <c r="N103" s="10">
        <v>10.123991</v>
      </c>
      <c r="O103" s="10">
        <v>2.2700000000000001E-2</v>
      </c>
      <c r="P103" s="10">
        <v>1.682028544</v>
      </c>
      <c r="Q103" s="10">
        <v>7.8720308259999996</v>
      </c>
      <c r="R103" s="10">
        <v>97</v>
      </c>
      <c r="S103" s="10">
        <v>99</v>
      </c>
      <c r="T103" s="10">
        <v>97</v>
      </c>
      <c r="U103" s="10">
        <v>99</v>
      </c>
      <c r="V103" s="53" t="s">
        <v>146</v>
      </c>
      <c r="W103" s="53" t="s">
        <v>433</v>
      </c>
      <c r="Y103" s="10">
        <f t="shared" si="10"/>
        <v>9.6921401762389794E-2</v>
      </c>
      <c r="Z103" s="10">
        <f t="shared" si="11"/>
        <v>0.4715119460740283</v>
      </c>
      <c r="AA103" s="10">
        <f t="shared" si="12"/>
        <v>8.816780975169948</v>
      </c>
      <c r="AB103" s="10">
        <f t="shared" si="13"/>
        <v>1.6160547254597384</v>
      </c>
      <c r="AE103" s="10">
        <f t="shared" si="14"/>
        <v>37.250228434766257</v>
      </c>
      <c r="AF103" s="10">
        <f t="shared" si="15"/>
        <v>38.018274381874839</v>
      </c>
    </row>
    <row r="104" spans="1:32" x14ac:dyDescent="0.25">
      <c r="A104" t="s">
        <v>434</v>
      </c>
      <c r="B104" s="39">
        <v>40847</v>
      </c>
      <c r="C104" s="53" t="s">
        <v>435</v>
      </c>
      <c r="D104" s="4" t="str">
        <f>VLOOKUP(LEFT(C104,2),Sort!$A$1:$B$58,2,FALSE)</f>
        <v>Jordan</v>
      </c>
      <c r="E104" s="72">
        <v>750000000</v>
      </c>
      <c r="F104" s="72">
        <v>728502607.5</v>
      </c>
      <c r="G104" s="58">
        <f t="shared" si="9"/>
        <v>1</v>
      </c>
      <c r="H104" s="10">
        <v>4.0250000000000004</v>
      </c>
      <c r="I104" s="10">
        <v>3.6127509999999998</v>
      </c>
      <c r="J104" s="10">
        <v>4.9700680000000004</v>
      </c>
      <c r="K104" s="10">
        <v>4.9700680000000004</v>
      </c>
      <c r="L104" s="10">
        <v>427.17680000000001</v>
      </c>
      <c r="M104" s="10">
        <v>430.5061</v>
      </c>
      <c r="N104" s="10">
        <v>3.5931999999999999</v>
      </c>
      <c r="O104" s="10">
        <v>1.11E-2</v>
      </c>
      <c r="P104" s="10">
        <v>3.8068744429999999</v>
      </c>
      <c r="Q104" s="10">
        <v>1.818640678</v>
      </c>
      <c r="R104" s="10">
        <v>95.25</v>
      </c>
      <c r="S104" s="10">
        <v>96.25</v>
      </c>
      <c r="T104" s="10">
        <v>95.25</v>
      </c>
      <c r="U104" s="10">
        <v>96.25</v>
      </c>
      <c r="V104" s="53" t="s">
        <v>146</v>
      </c>
      <c r="W104" s="53" t="s">
        <v>436</v>
      </c>
      <c r="Y104" s="10">
        <f t="shared" si="10"/>
        <v>5.7230911065166562E-2</v>
      </c>
      <c r="Z104" s="10">
        <f t="shared" si="11"/>
        <v>2.8066762830657611E-2</v>
      </c>
      <c r="AA104" s="10">
        <f t="shared" si="12"/>
        <v>10.351539600861926</v>
      </c>
      <c r="AB104" s="10">
        <f t="shared" si="13"/>
        <v>2.3343248757956365</v>
      </c>
      <c r="AE104" s="10">
        <f t="shared" si="14"/>
        <v>95.25</v>
      </c>
      <c r="AF104" s="10">
        <f t="shared" si="15"/>
        <v>96.25</v>
      </c>
    </row>
    <row r="105" spans="1:32" x14ac:dyDescent="0.25">
      <c r="A105" t="s">
        <v>437</v>
      </c>
      <c r="B105" s="39">
        <v>40847</v>
      </c>
      <c r="C105" s="53" t="s">
        <v>438</v>
      </c>
      <c r="D105" s="4" t="str">
        <f>VLOOKUP(LEFT(C105,2),Sort!$A$1:$B$58,2,FALSE)</f>
        <v>Kazakhstan</v>
      </c>
      <c r="E105" s="72">
        <v>682191998.60000002</v>
      </c>
      <c r="F105" s="72">
        <v>709697598</v>
      </c>
      <c r="G105" s="58">
        <f t="shared" si="9"/>
        <v>7.263795087541669E-2</v>
      </c>
      <c r="H105" s="10">
        <v>4.1333330000000004</v>
      </c>
      <c r="I105" s="10">
        <v>3.626455</v>
      </c>
      <c r="J105" s="10">
        <v>4.4281370000000004</v>
      </c>
      <c r="K105" s="10">
        <v>4.4281370000000004</v>
      </c>
      <c r="L105" s="10">
        <v>369.82040000000001</v>
      </c>
      <c r="M105" s="10">
        <v>374.21609999999998</v>
      </c>
      <c r="N105" s="10">
        <v>3.6068910000000001</v>
      </c>
      <c r="O105" s="10">
        <v>1.47E-2</v>
      </c>
      <c r="P105" s="10">
        <v>8.8152827620000007</v>
      </c>
      <c r="Q105" s="10">
        <v>5.4349106989999996</v>
      </c>
      <c r="R105" s="10">
        <v>102</v>
      </c>
      <c r="S105" s="10">
        <v>104</v>
      </c>
      <c r="T105" s="10">
        <v>102</v>
      </c>
      <c r="U105" s="10">
        <v>104</v>
      </c>
      <c r="V105" s="53" t="s">
        <v>146</v>
      </c>
      <c r="W105" s="53" t="s">
        <v>439</v>
      </c>
      <c r="Y105" s="10">
        <f t="shared" si="10"/>
        <v>5.5965082352770527E-2</v>
      </c>
      <c r="Z105" s="10">
        <f t="shared" si="11"/>
        <v>2.4360896557909458E-2</v>
      </c>
      <c r="AA105" s="10">
        <f t="shared" si="12"/>
        <v>1.8137609904136283</v>
      </c>
      <c r="AB105" s="10">
        <f t="shared" si="13"/>
        <v>0.49142162044354926</v>
      </c>
      <c r="AE105" s="10">
        <f t="shared" si="14"/>
        <v>7.409070989292502</v>
      </c>
      <c r="AF105" s="10">
        <f t="shared" si="15"/>
        <v>7.5543468910433358</v>
      </c>
    </row>
    <row r="106" spans="1:32" x14ac:dyDescent="0.25">
      <c r="A106" t="s">
        <v>440</v>
      </c>
      <c r="B106" s="39">
        <v>40847</v>
      </c>
      <c r="C106" s="53" t="s">
        <v>441</v>
      </c>
      <c r="D106" s="4" t="str">
        <f>VLOOKUP(LEFT(C106,2),Sort!$A$1:$B$58,2,FALSE)</f>
        <v>Kazakhstan</v>
      </c>
      <c r="E106" s="72">
        <v>474110269.30000001</v>
      </c>
      <c r="F106" s="72">
        <v>520301448.39999998</v>
      </c>
      <c r="G106" s="58">
        <f t="shared" si="9"/>
        <v>5.3253147757289364E-2</v>
      </c>
      <c r="H106" s="10">
        <v>5.5333329999999998</v>
      </c>
      <c r="I106" s="10">
        <v>4.5928420000000001</v>
      </c>
      <c r="J106" s="10">
        <v>4.7640130000000003</v>
      </c>
      <c r="K106" s="10">
        <v>4.7640130000000003</v>
      </c>
      <c r="L106" s="10">
        <v>362.39460000000003</v>
      </c>
      <c r="M106" s="10">
        <v>368.6395</v>
      </c>
      <c r="N106" s="10">
        <v>4.5344800000000003</v>
      </c>
      <c r="O106" s="10">
        <v>1.61E-2</v>
      </c>
      <c r="P106" s="10">
        <v>7.3311125989999999</v>
      </c>
      <c r="Q106" s="10">
        <v>7.2469643169999998</v>
      </c>
      <c r="R106" s="10">
        <v>106.75</v>
      </c>
      <c r="S106" s="10">
        <v>107.75</v>
      </c>
      <c r="T106" s="10">
        <v>106.75</v>
      </c>
      <c r="U106" s="10">
        <v>107.75</v>
      </c>
      <c r="V106" s="53" t="s">
        <v>146</v>
      </c>
      <c r="W106" s="53" t="s">
        <v>442</v>
      </c>
      <c r="Y106" s="10">
        <f t="shared" si="10"/>
        <v>4.7913857675147969E-2</v>
      </c>
      <c r="Z106" s="10">
        <f t="shared" si="11"/>
        <v>1.9214401273363057E-2</v>
      </c>
      <c r="AA106" s="10">
        <f t="shared" si="12"/>
        <v>1.3099090921043666</v>
      </c>
      <c r="AB106" s="10">
        <f t="shared" si="13"/>
        <v>0.37326725995064153</v>
      </c>
      <c r="AE106" s="10">
        <f t="shared" si="14"/>
        <v>5.68477352309064</v>
      </c>
      <c r="AF106" s="10">
        <f t="shared" si="15"/>
        <v>5.7380266708479288</v>
      </c>
    </row>
    <row r="107" spans="1:32" x14ac:dyDescent="0.25">
      <c r="A107" t="s">
        <v>443</v>
      </c>
      <c r="B107" s="39">
        <v>40847</v>
      </c>
      <c r="C107" s="53" t="s">
        <v>444</v>
      </c>
      <c r="D107" s="4" t="str">
        <f>VLOOKUP(LEFT(C107,2),Sort!$A$1:$B$58,2,FALSE)</f>
        <v>Kazakhstan</v>
      </c>
      <c r="E107" s="72">
        <v>438990990.10000002</v>
      </c>
      <c r="F107" s="72">
        <v>473363374.39999998</v>
      </c>
      <c r="G107" s="58">
        <f t="shared" si="9"/>
        <v>4.8449009314370933E-2</v>
      </c>
      <c r="H107" s="10">
        <v>3.5472220000000001</v>
      </c>
      <c r="I107" s="10">
        <v>3.102106</v>
      </c>
      <c r="J107" s="10">
        <v>4.4035760000000002</v>
      </c>
      <c r="K107" s="10">
        <v>4.4035760000000002</v>
      </c>
      <c r="L107" s="10">
        <v>384.4787</v>
      </c>
      <c r="M107" s="10">
        <v>388.40429999999998</v>
      </c>
      <c r="N107" s="10">
        <v>3.093569</v>
      </c>
      <c r="O107" s="10">
        <v>1.61E-2</v>
      </c>
      <c r="P107" s="10">
        <v>4.8482390569999998</v>
      </c>
      <c r="Q107" s="10">
        <v>3.9381726819999998</v>
      </c>
      <c r="R107" s="10">
        <v>105</v>
      </c>
      <c r="S107" s="10">
        <v>106</v>
      </c>
      <c r="T107" s="10">
        <v>105</v>
      </c>
      <c r="U107" s="10">
        <v>106</v>
      </c>
      <c r="V107" s="53" t="s">
        <v>146</v>
      </c>
      <c r="W107" s="53" t="s">
        <v>445</v>
      </c>
      <c r="Y107" s="10">
        <f t="shared" si="10"/>
        <v>3.1931020967350954E-2</v>
      </c>
      <c r="Z107" s="10">
        <f t="shared" si="11"/>
        <v>1.615842518473214E-2</v>
      </c>
      <c r="AA107" s="10">
        <f t="shared" si="12"/>
        <v>1.2556336179480818</v>
      </c>
      <c r="AB107" s="10">
        <f t="shared" si="13"/>
        <v>0.33407817340297413</v>
      </c>
      <c r="AE107" s="10">
        <f t="shared" si="14"/>
        <v>5.0871459780089481</v>
      </c>
      <c r="AF107" s="10">
        <f t="shared" si="15"/>
        <v>5.1355949873233193</v>
      </c>
    </row>
    <row r="108" spans="1:32" x14ac:dyDescent="0.25">
      <c r="A108" t="s">
        <v>446</v>
      </c>
      <c r="B108" s="39">
        <v>40847</v>
      </c>
      <c r="C108" s="53" t="s">
        <v>447</v>
      </c>
      <c r="D108" s="4" t="str">
        <f>VLOOKUP(LEFT(C108,2),Sort!$A$1:$B$58,2,FALSE)</f>
        <v>Kazakhstan</v>
      </c>
      <c r="E108" s="72">
        <v>1316972970</v>
      </c>
      <c r="F108" s="72">
        <v>1648045343</v>
      </c>
      <c r="G108" s="58">
        <f t="shared" si="9"/>
        <v>0.16867837372234315</v>
      </c>
      <c r="H108" s="10">
        <v>3.2222219999999999</v>
      </c>
      <c r="I108" s="10">
        <v>2.705184</v>
      </c>
      <c r="J108" s="10">
        <v>4.0949590000000002</v>
      </c>
      <c r="K108" s="10">
        <v>4.0949590000000002</v>
      </c>
      <c r="L108" s="10">
        <v>363.10700000000003</v>
      </c>
      <c r="M108" s="10">
        <v>366.9622</v>
      </c>
      <c r="N108" s="10">
        <v>2.6970700000000001</v>
      </c>
      <c r="O108" s="10">
        <v>-0.27279999999999999</v>
      </c>
      <c r="P108" s="10">
        <v>6.4106195149999996</v>
      </c>
      <c r="Q108" s="10">
        <v>6.0359160510000001</v>
      </c>
      <c r="R108" s="10">
        <v>121.875</v>
      </c>
      <c r="S108" s="10">
        <v>122.875</v>
      </c>
      <c r="T108" s="10">
        <v>121.875</v>
      </c>
      <c r="U108" s="10">
        <v>122.875</v>
      </c>
      <c r="V108" s="53" t="s">
        <v>146</v>
      </c>
      <c r="W108" s="53" t="s">
        <v>448</v>
      </c>
      <c r="Y108" s="10">
        <f t="shared" si="10"/>
        <v>9.6945462195412918E-2</v>
      </c>
      <c r="Z108" s="10">
        <f t="shared" si="11"/>
        <v>5.2313960202366068E-2</v>
      </c>
      <c r="AA108" s="10">
        <f t="shared" si="12"/>
        <v>4.1302347897943985</v>
      </c>
      <c r="AB108" s="10">
        <f t="shared" si="13"/>
        <v>4.0834241756800296</v>
      </c>
      <c r="AE108" s="10">
        <f t="shared" si="14"/>
        <v>20.557676797410572</v>
      </c>
      <c r="AF108" s="10">
        <f t="shared" si="15"/>
        <v>20.726355171132916</v>
      </c>
    </row>
    <row r="109" spans="1:32" x14ac:dyDescent="0.25">
      <c r="A109" t="s">
        <v>449</v>
      </c>
      <c r="B109" s="39">
        <v>40847</v>
      </c>
      <c r="C109" s="53" t="s">
        <v>450</v>
      </c>
      <c r="D109" s="4" t="str">
        <f>VLOOKUP(LEFT(C109,2),Sort!$A$1:$B$58,2,FALSE)</f>
        <v>Kazakhstan</v>
      </c>
      <c r="E109" s="72">
        <v>1097477475</v>
      </c>
      <c r="F109" s="72">
        <v>1176221484</v>
      </c>
      <c r="G109" s="58">
        <f t="shared" si="9"/>
        <v>0.12038693468059578</v>
      </c>
      <c r="H109" s="10">
        <v>9.4333329999999993</v>
      </c>
      <c r="I109" s="10">
        <v>7.275264</v>
      </c>
      <c r="J109" s="10">
        <v>5.3188649999999997</v>
      </c>
      <c r="K109" s="10">
        <v>5.3188649999999997</v>
      </c>
      <c r="L109" s="10">
        <v>329.10210000000001</v>
      </c>
      <c r="M109" s="10">
        <v>341.38619999999997</v>
      </c>
      <c r="N109" s="10">
        <v>7.0443360000000004</v>
      </c>
      <c r="O109" s="10">
        <v>1.6500000000000001E-2</v>
      </c>
      <c r="P109" s="10">
        <v>10.05356862</v>
      </c>
      <c r="Q109" s="10">
        <v>13.411604329999999</v>
      </c>
      <c r="R109" s="10">
        <v>106.75</v>
      </c>
      <c r="S109" s="10">
        <v>107.75</v>
      </c>
      <c r="T109" s="10">
        <v>106.75</v>
      </c>
      <c r="U109" s="10">
        <v>107.75</v>
      </c>
      <c r="V109" s="53" t="s">
        <v>146</v>
      </c>
      <c r="W109" s="53" t="s">
        <v>451</v>
      </c>
      <c r="Y109" s="10">
        <f t="shared" si="10"/>
        <v>0.10365126886987379</v>
      </c>
      <c r="Z109" s="10">
        <f t="shared" si="11"/>
        <v>4.8496116085404273E-2</v>
      </c>
      <c r="AA109" s="10">
        <f t="shared" si="12"/>
        <v>2.742327523312468</v>
      </c>
      <c r="AB109" s="10">
        <f t="shared" si="13"/>
        <v>0.84382807654655256</v>
      </c>
      <c r="AE109" s="10">
        <f t="shared" si="14"/>
        <v>12.8513052771536</v>
      </c>
      <c r="AF109" s="10">
        <f t="shared" si="15"/>
        <v>12.971692211834196</v>
      </c>
    </row>
    <row r="110" spans="1:32" x14ac:dyDescent="0.25">
      <c r="A110" t="s">
        <v>452</v>
      </c>
      <c r="B110" s="39">
        <v>40847</v>
      </c>
      <c r="C110" s="53" t="s">
        <v>453</v>
      </c>
      <c r="D110" s="4" t="str">
        <f>VLOOKUP(LEFT(C110,2),Sort!$A$1:$B$58,2,FALSE)</f>
        <v>Kazakhstan</v>
      </c>
      <c r="E110" s="72">
        <v>1316972970</v>
      </c>
      <c r="F110" s="72">
        <v>1494252163</v>
      </c>
      <c r="G110" s="58">
        <f t="shared" si="9"/>
        <v>0.15293755469562562</v>
      </c>
      <c r="H110" s="10">
        <v>8.5055560000000003</v>
      </c>
      <c r="I110" s="10">
        <v>6.4250939999999996</v>
      </c>
      <c r="J110" s="10">
        <v>5.3717860000000002</v>
      </c>
      <c r="K110" s="10">
        <v>5.3717860000000002</v>
      </c>
      <c r="L110" s="10">
        <v>351.77449999999999</v>
      </c>
      <c r="M110" s="10">
        <v>362.7903</v>
      </c>
      <c r="N110" s="10">
        <v>6.247185</v>
      </c>
      <c r="O110" s="10">
        <v>0.34889999999999999</v>
      </c>
      <c r="P110" s="10">
        <v>9.1847076170000008</v>
      </c>
      <c r="Q110" s="10">
        <v>11.37521707</v>
      </c>
      <c r="R110" s="10">
        <v>110</v>
      </c>
      <c r="S110" s="10">
        <v>111</v>
      </c>
      <c r="T110" s="10">
        <v>110</v>
      </c>
      <c r="U110" s="10">
        <v>111</v>
      </c>
      <c r="V110" s="53" t="s">
        <v>146</v>
      </c>
      <c r="W110" s="53" t="s">
        <v>454</v>
      </c>
      <c r="Y110" s="10">
        <f t="shared" si="10"/>
        <v>0.11628940193718769</v>
      </c>
      <c r="Z110" s="10">
        <f t="shared" si="11"/>
        <v>6.2221643706028028E-2</v>
      </c>
      <c r="AA110" s="10">
        <f t="shared" si="12"/>
        <v>3.702233559716277</v>
      </c>
      <c r="AB110" s="10">
        <f t="shared" si="13"/>
        <v>1.1043187778308172</v>
      </c>
      <c r="AE110" s="10">
        <f t="shared" si="14"/>
        <v>16.823131016518818</v>
      </c>
      <c r="AF110" s="10">
        <f t="shared" si="15"/>
        <v>16.976068571214444</v>
      </c>
    </row>
    <row r="111" spans="1:32" x14ac:dyDescent="0.25">
      <c r="A111" t="s">
        <v>455</v>
      </c>
      <c r="B111" s="39">
        <v>40847</v>
      </c>
      <c r="C111" s="53" t="s">
        <v>456</v>
      </c>
      <c r="D111" s="4" t="str">
        <f>VLOOKUP(LEFT(C111,2),Sort!$A$1:$B$58,2,FALSE)</f>
        <v>Kazakhstan</v>
      </c>
      <c r="E111" s="72">
        <v>1229174772</v>
      </c>
      <c r="F111" s="72">
        <v>1343671554</v>
      </c>
      <c r="G111" s="58">
        <f t="shared" si="9"/>
        <v>0.13752554412921489</v>
      </c>
      <c r="H111" s="10">
        <v>1.663889</v>
      </c>
      <c r="I111" s="10">
        <v>1.5275380000000001</v>
      </c>
      <c r="J111" s="10">
        <v>3.6814140000000002</v>
      </c>
      <c r="K111" s="10">
        <v>3.6814140000000002</v>
      </c>
      <c r="L111" s="10">
        <v>348.51670000000001</v>
      </c>
      <c r="M111" s="10">
        <v>349.13780000000003</v>
      </c>
      <c r="N111" s="10">
        <v>1.523933</v>
      </c>
      <c r="O111" s="10">
        <v>-0.43419999999999997</v>
      </c>
      <c r="P111" s="10">
        <v>3.45567395</v>
      </c>
      <c r="Q111" s="10">
        <v>3.2443995750000001</v>
      </c>
      <c r="R111" s="10">
        <v>106.5</v>
      </c>
      <c r="S111" s="10">
        <v>107.5</v>
      </c>
      <c r="T111" s="10">
        <v>106.5</v>
      </c>
      <c r="U111" s="10">
        <v>107.5</v>
      </c>
      <c r="V111" s="53" t="s">
        <v>146</v>
      </c>
      <c r="W111" s="53" t="s">
        <v>457</v>
      </c>
      <c r="Y111" s="10">
        <f t="shared" si="10"/>
        <v>0.19223941769055575</v>
      </c>
      <c r="Z111" s="10">
        <f t="shared" si="11"/>
        <v>6.4073227876077762E-2</v>
      </c>
      <c r="AA111" s="10">
        <f t="shared" si="12"/>
        <v>3.2038652903024634</v>
      </c>
      <c r="AB111" s="10">
        <f t="shared" si="13"/>
        <v>0.96172116170128119</v>
      </c>
      <c r="AE111" s="10">
        <f t="shared" si="14"/>
        <v>14.646470449761386</v>
      </c>
      <c r="AF111" s="10">
        <f t="shared" si="15"/>
        <v>14.783995993890601</v>
      </c>
    </row>
    <row r="112" spans="1:32" x14ac:dyDescent="0.25">
      <c r="A112" t="s">
        <v>458</v>
      </c>
      <c r="B112" s="39">
        <v>40847</v>
      </c>
      <c r="C112" s="53" t="s">
        <v>459</v>
      </c>
      <c r="D112" s="4" t="str">
        <f>VLOOKUP(LEFT(C112,2),Sort!$A$1:$B$58,2,FALSE)</f>
        <v>Kazakhstan</v>
      </c>
      <c r="E112" s="72">
        <v>1404771168</v>
      </c>
      <c r="F112" s="72">
        <v>1753393425</v>
      </c>
      <c r="G112" s="58">
        <f t="shared" si="9"/>
        <v>0.17946080954670021</v>
      </c>
      <c r="H112" s="10">
        <v>6.6638890000000002</v>
      </c>
      <c r="I112" s="10">
        <v>5.1219970000000004</v>
      </c>
      <c r="J112" s="10">
        <v>5.0585589999999998</v>
      </c>
      <c r="K112" s="10">
        <v>5.0585589999999998</v>
      </c>
      <c r="L112" s="10">
        <v>358.55439999999999</v>
      </c>
      <c r="M112" s="10">
        <v>371.30799999999999</v>
      </c>
      <c r="N112" s="10">
        <v>5.0270349999999997</v>
      </c>
      <c r="O112" s="10">
        <v>-0.1797</v>
      </c>
      <c r="P112" s="10">
        <v>8.2003682609999995</v>
      </c>
      <c r="Q112" s="10">
        <v>10.58020866</v>
      </c>
      <c r="R112" s="10">
        <v>121.75</v>
      </c>
      <c r="S112" s="10">
        <v>122.75</v>
      </c>
      <c r="T112" s="10">
        <v>121.75</v>
      </c>
      <c r="U112" s="10">
        <v>122.75</v>
      </c>
      <c r="V112" s="53" t="s">
        <v>146</v>
      </c>
      <c r="W112" s="53" t="s">
        <v>460</v>
      </c>
      <c r="Y112" s="10">
        <f t="shared" si="10"/>
        <v>0.18007079904216114</v>
      </c>
      <c r="Z112" s="10">
        <f t="shared" si="11"/>
        <v>6.8755125139953202E-2</v>
      </c>
      <c r="AA112" s="10">
        <f t="shared" si="12"/>
        <v>4.4462915172504793</v>
      </c>
      <c r="AB112" s="10">
        <f t="shared" si="13"/>
        <v>4.340029514349653</v>
      </c>
      <c r="AE112" s="10">
        <f t="shared" si="14"/>
        <v>21.84935356231075</v>
      </c>
      <c r="AF112" s="10">
        <f t="shared" si="15"/>
        <v>22.02881437185745</v>
      </c>
    </row>
    <row r="113" spans="1:32" x14ac:dyDescent="0.25">
      <c r="A113" t="s">
        <v>461</v>
      </c>
      <c r="B113" s="39">
        <v>40847</v>
      </c>
      <c r="C113" s="53" t="s">
        <v>462</v>
      </c>
      <c r="D113" s="4" t="str">
        <f>VLOOKUP(LEFT(C113,2),Sort!$A$1:$B$58,2,FALSE)</f>
        <v>Kazakhstan</v>
      </c>
      <c r="E113" s="72">
        <v>614587386.10000002</v>
      </c>
      <c r="F113" s="72">
        <v>651395276.60000002</v>
      </c>
      <c r="G113" s="58">
        <f t="shared" si="9"/>
        <v>6.6670675278443406E-2</v>
      </c>
      <c r="H113" s="10">
        <v>8.9250000000000007</v>
      </c>
      <c r="I113" s="10">
        <v>6.951308</v>
      </c>
      <c r="J113" s="10">
        <v>5.4437740000000003</v>
      </c>
      <c r="K113" s="10">
        <v>5.4437740000000003</v>
      </c>
      <c r="L113" s="10">
        <v>351.1157</v>
      </c>
      <c r="M113" s="10">
        <v>361.62759999999997</v>
      </c>
      <c r="N113" s="10">
        <v>6.7437610000000001</v>
      </c>
      <c r="O113" s="10">
        <v>-0.21890000000000001</v>
      </c>
      <c r="P113" s="10">
        <v>9.0230367979999997</v>
      </c>
      <c r="Q113" s="10">
        <v>6.4820497359999996</v>
      </c>
      <c r="R113" s="10">
        <v>105.5</v>
      </c>
      <c r="S113" s="10">
        <v>106.5</v>
      </c>
      <c r="T113" s="10">
        <v>105.5</v>
      </c>
      <c r="U113" s="10">
        <v>106.5</v>
      </c>
      <c r="V113" s="53" t="s">
        <v>146</v>
      </c>
      <c r="W113" s="53" t="s">
        <v>463</v>
      </c>
      <c r="Y113" s="10">
        <f t="shared" si="10"/>
        <v>5.4846370718029849E-2</v>
      </c>
      <c r="Z113" s="10">
        <f t="shared" si="11"/>
        <v>2.7488027433948369E-2</v>
      </c>
      <c r="AA113" s="10">
        <f t="shared" si="12"/>
        <v>1.6087569183466517</v>
      </c>
      <c r="AB113" s="10">
        <f t="shared" si="13"/>
        <v>0.46189344384038644</v>
      </c>
      <c r="AE113" s="10">
        <f t="shared" si="14"/>
        <v>7.0337562418757793</v>
      </c>
      <c r="AF113" s="10">
        <f t="shared" si="15"/>
        <v>7.1004269171542225</v>
      </c>
    </row>
    <row r="114" spans="1:32" x14ac:dyDescent="0.25">
      <c r="A114" t="s">
        <v>464</v>
      </c>
      <c r="B114" s="39">
        <v>40847</v>
      </c>
      <c r="C114" s="53" t="s">
        <v>465</v>
      </c>
      <c r="D114" s="4" t="str">
        <f>VLOOKUP(LEFT(C114,2),Sort!$A$1:$B$58,2,FALSE)</f>
        <v>Lebanon</v>
      </c>
      <c r="E114" s="72">
        <v>405793330.80000001</v>
      </c>
      <c r="F114" s="72">
        <v>410665667</v>
      </c>
      <c r="G114" s="58">
        <f t="shared" si="9"/>
        <v>3.8176369657658762E-2</v>
      </c>
      <c r="H114" s="10">
        <v>4.9972219999999998</v>
      </c>
      <c r="I114" s="10">
        <v>4.3955919999999997</v>
      </c>
      <c r="J114" s="10">
        <v>4.6367200000000004</v>
      </c>
      <c r="K114" s="10">
        <v>4.6367200000000004</v>
      </c>
      <c r="L114" s="10">
        <v>365.45310000000001</v>
      </c>
      <c r="M114" s="10">
        <v>369.45760000000001</v>
      </c>
      <c r="N114" s="10">
        <v>4.3492319999999998</v>
      </c>
      <c r="O114" s="10">
        <v>1.2999999999999999E-2</v>
      </c>
      <c r="P114" s="10">
        <v>0.51593001299999997</v>
      </c>
      <c r="Q114" s="10">
        <v>0.65756499999999996</v>
      </c>
      <c r="R114" s="10">
        <v>100</v>
      </c>
      <c r="S114" s="10">
        <v>100.5</v>
      </c>
      <c r="T114" s="10">
        <v>100</v>
      </c>
      <c r="U114" s="10">
        <v>100.5</v>
      </c>
      <c r="V114" s="53" t="s">
        <v>146</v>
      </c>
      <c r="W114" s="53" t="s">
        <v>466</v>
      </c>
      <c r="Y114" s="10">
        <f t="shared" si="10"/>
        <v>3.619348216633185E-2</v>
      </c>
      <c r="Z114" s="10">
        <f t="shared" si="11"/>
        <v>1.4760400791839743E-2</v>
      </c>
      <c r="AA114" s="10">
        <f t="shared" si="12"/>
        <v>1.0361848877311886</v>
      </c>
      <c r="AB114" s="10">
        <f t="shared" si="13"/>
        <v>0.27479070778082104</v>
      </c>
      <c r="AE114" s="10">
        <f t="shared" si="14"/>
        <v>3.8176369657658764</v>
      </c>
      <c r="AF114" s="10">
        <f t="shared" si="15"/>
        <v>3.8367251505947055</v>
      </c>
    </row>
    <row r="115" spans="1:32" x14ac:dyDescent="0.25">
      <c r="A115" t="s">
        <v>467</v>
      </c>
      <c r="B115" s="39">
        <v>40847</v>
      </c>
      <c r="C115" s="53" t="s">
        <v>468</v>
      </c>
      <c r="D115" s="4" t="str">
        <f>VLOOKUP(LEFT(C115,2),Sort!$A$1:$B$58,2,FALSE)</f>
        <v>Lebanon</v>
      </c>
      <c r="E115" s="72">
        <v>838511049.29999995</v>
      </c>
      <c r="F115" s="72">
        <v>839489307.89999998</v>
      </c>
      <c r="G115" s="58">
        <f t="shared" si="9"/>
        <v>7.8040743888245515E-2</v>
      </c>
      <c r="H115" s="10">
        <v>3.1606839999999998</v>
      </c>
      <c r="I115" s="10">
        <v>2.8366500000000001</v>
      </c>
      <c r="J115" s="10">
        <v>4.2604509999999998</v>
      </c>
      <c r="K115" s="10">
        <v>4.2604509999999998</v>
      </c>
      <c r="L115" s="10">
        <v>381.45310000000001</v>
      </c>
      <c r="M115" s="10">
        <v>350.08269999999999</v>
      </c>
      <c r="N115" s="10">
        <v>2.811744</v>
      </c>
      <c r="O115" s="10">
        <v>1.11E-2</v>
      </c>
      <c r="P115" s="10">
        <v>1.73883689</v>
      </c>
      <c r="Q115" s="10">
        <v>4.605931869</v>
      </c>
      <c r="R115" s="10">
        <v>98.75</v>
      </c>
      <c r="S115" s="10">
        <v>99.25</v>
      </c>
      <c r="T115" s="10">
        <v>64.1875</v>
      </c>
      <c r="U115" s="10">
        <v>64.512500000000003</v>
      </c>
      <c r="V115" s="53" t="s">
        <v>146</v>
      </c>
      <c r="W115" s="53" t="s">
        <v>469</v>
      </c>
      <c r="Y115" s="10">
        <f t="shared" si="10"/>
        <v>5.1782431804524728E-2</v>
      </c>
      <c r="Z115" s="10">
        <f t="shared" si="11"/>
        <v>2.7724876956351688E-2</v>
      </c>
      <c r="AA115" s="10">
        <f t="shared" si="12"/>
        <v>2.0071049052228251</v>
      </c>
      <c r="AB115" s="10">
        <f t="shared" si="13"/>
        <v>2.7737999370772615</v>
      </c>
      <c r="AE115" s="10">
        <f t="shared" si="14"/>
        <v>7.7065234589642442</v>
      </c>
      <c r="AF115" s="10">
        <f t="shared" si="15"/>
        <v>7.7455438309083675</v>
      </c>
    </row>
    <row r="116" spans="1:32" x14ac:dyDescent="0.25">
      <c r="A116" t="s">
        <v>470</v>
      </c>
      <c r="B116" s="39">
        <v>40847</v>
      </c>
      <c r="C116" s="53" t="s">
        <v>471</v>
      </c>
      <c r="D116" s="4" t="str">
        <f>VLOOKUP(LEFT(C116,2),Sort!$A$1:$B$58,2,FALSE)</f>
        <v>Lebanon</v>
      </c>
      <c r="E116" s="72">
        <v>405793330.80000001</v>
      </c>
      <c r="F116" s="72">
        <v>412169358.5</v>
      </c>
      <c r="G116" s="58">
        <f t="shared" si="9"/>
        <v>3.8316156075584661E-2</v>
      </c>
      <c r="H116" s="10">
        <v>7.0277779999999996</v>
      </c>
      <c r="I116" s="10">
        <v>5.7952060000000003</v>
      </c>
      <c r="J116" s="10">
        <v>5.2138970000000002</v>
      </c>
      <c r="K116" s="10">
        <v>5.2138970000000002</v>
      </c>
      <c r="L116" s="10">
        <v>363.66930000000002</v>
      </c>
      <c r="M116" s="10">
        <v>372.0147</v>
      </c>
      <c r="N116" s="10">
        <v>5.6681970000000002</v>
      </c>
      <c r="O116" s="10">
        <v>1.41E-2</v>
      </c>
      <c r="P116" s="10">
        <v>0.76943327500000003</v>
      </c>
      <c r="Q116" s="10">
        <v>5.0751330860000001</v>
      </c>
      <c r="R116" s="10">
        <v>99.125</v>
      </c>
      <c r="S116" s="10">
        <v>99.625</v>
      </c>
      <c r="T116" s="10">
        <v>99.125</v>
      </c>
      <c r="U116" s="10">
        <v>99.625</v>
      </c>
      <c r="V116" s="53" t="s">
        <v>146</v>
      </c>
      <c r="W116" s="53" t="s">
        <v>472</v>
      </c>
      <c r="Y116" s="10">
        <f t="shared" si="10"/>
        <v>4.7892684267014478E-2</v>
      </c>
      <c r="Z116" s="10">
        <f t="shared" si="11"/>
        <v>1.6658543731624186E-2</v>
      </c>
      <c r="AA116" s="10">
        <f t="shared" si="12"/>
        <v>1.047176908319853</v>
      </c>
      <c r="AB116" s="10">
        <f t="shared" si="13"/>
        <v>1.3670156486825229</v>
      </c>
      <c r="AE116" s="10">
        <f t="shared" si="14"/>
        <v>3.7980889709923296</v>
      </c>
      <c r="AF116" s="10">
        <f t="shared" si="15"/>
        <v>3.8172470490301218</v>
      </c>
    </row>
    <row r="117" spans="1:32" x14ac:dyDescent="0.25">
      <c r="A117" t="s">
        <v>473</v>
      </c>
      <c r="B117" s="39">
        <v>40847</v>
      </c>
      <c r="C117" s="53" t="s">
        <v>474</v>
      </c>
      <c r="D117" s="4" t="str">
        <f>VLOOKUP(LEFT(C117,2),Sort!$A$1:$B$58,2,FALSE)</f>
        <v>Lebanon</v>
      </c>
      <c r="E117" s="72">
        <v>973903993.89999998</v>
      </c>
      <c r="F117" s="72">
        <v>1031912151</v>
      </c>
      <c r="G117" s="58">
        <f t="shared" si="9"/>
        <v>9.5928788054263595E-2</v>
      </c>
      <c r="H117" s="10">
        <v>8.35</v>
      </c>
      <c r="I117" s="10">
        <v>6.5545710000000001</v>
      </c>
      <c r="J117" s="10">
        <v>5.5418960000000004</v>
      </c>
      <c r="K117" s="10">
        <v>5.5418960000000004</v>
      </c>
      <c r="L117" s="10">
        <v>371.69959999999998</v>
      </c>
      <c r="M117" s="10">
        <v>381.30739999999997</v>
      </c>
      <c r="N117" s="10">
        <v>6.3761749999999999</v>
      </c>
      <c r="O117" s="10">
        <v>1.67E-2</v>
      </c>
      <c r="P117" s="10">
        <v>0.70889440500000001</v>
      </c>
      <c r="Q117" s="10">
        <v>5.0552783459999997</v>
      </c>
      <c r="R117" s="10">
        <v>105</v>
      </c>
      <c r="S117" s="10">
        <v>105.5</v>
      </c>
      <c r="T117" s="10">
        <v>105</v>
      </c>
      <c r="U117" s="10">
        <v>105.5</v>
      </c>
      <c r="V117" s="53" t="s">
        <v>146</v>
      </c>
      <c r="W117" s="53" t="s">
        <v>475</v>
      </c>
      <c r="Y117" s="10">
        <f t="shared" si="10"/>
        <v>8.1926378304789521E-2</v>
      </c>
      <c r="Z117" s="10">
        <f t="shared" si="11"/>
        <v>4.4330229673142589E-2</v>
      </c>
      <c r="AA117" s="10">
        <f t="shared" si="12"/>
        <v>2.6872137524058703</v>
      </c>
      <c r="AB117" s="10">
        <f t="shared" si="13"/>
        <v>0.72484103370829411</v>
      </c>
      <c r="AE117" s="10">
        <f t="shared" si="14"/>
        <v>10.072522745697677</v>
      </c>
      <c r="AF117" s="10">
        <f t="shared" si="15"/>
        <v>10.120487139724808</v>
      </c>
    </row>
    <row r="118" spans="1:32" x14ac:dyDescent="0.25">
      <c r="A118" t="s">
        <v>476</v>
      </c>
      <c r="B118" s="39">
        <v>40847</v>
      </c>
      <c r="C118" s="53" t="s">
        <v>477</v>
      </c>
      <c r="D118" s="4" t="str">
        <f>VLOOKUP(LEFT(C118,2),Sort!$A$1:$B$58,2,FALSE)</f>
        <v>Lebanon</v>
      </c>
      <c r="E118" s="72">
        <v>527531330</v>
      </c>
      <c r="F118" s="72">
        <v>557688539.5</v>
      </c>
      <c r="G118" s="58">
        <f t="shared" si="9"/>
        <v>5.1843934247836287E-2</v>
      </c>
      <c r="H118" s="10">
        <v>7.5472219999999997</v>
      </c>
      <c r="I118" s="10">
        <v>6.0009009999999998</v>
      </c>
      <c r="J118" s="10">
        <v>5.4279109999999999</v>
      </c>
      <c r="K118" s="10">
        <v>5.4279109999999999</v>
      </c>
      <c r="L118" s="10">
        <v>375.33980000000003</v>
      </c>
      <c r="M118" s="10">
        <v>384.35539999999997</v>
      </c>
      <c r="N118" s="10">
        <v>5.8590390000000001</v>
      </c>
      <c r="O118" s="10">
        <v>1.5800000000000002E-2</v>
      </c>
      <c r="P118" s="10">
        <v>0.443385853</v>
      </c>
      <c r="Q118" s="10">
        <v>5.6286290000000001</v>
      </c>
      <c r="R118" s="10">
        <v>103</v>
      </c>
      <c r="S118" s="10">
        <v>103.5</v>
      </c>
      <c r="T118" s="10">
        <v>103</v>
      </c>
      <c r="U118" s="10">
        <v>103.5</v>
      </c>
      <c r="V118" s="53" t="s">
        <v>146</v>
      </c>
      <c r="W118" s="53" t="s">
        <v>478</v>
      </c>
      <c r="Y118" s="10">
        <f t="shared" si="10"/>
        <v>4.0536377886915574E-2</v>
      </c>
      <c r="Z118" s="10">
        <f t="shared" si="11"/>
        <v>2.3465149274731426E-2</v>
      </c>
      <c r="AA118" s="10">
        <f t="shared" si="12"/>
        <v>1.463891739916956</v>
      </c>
      <c r="AB118" s="10">
        <f t="shared" si="13"/>
        <v>0.38430820311258057</v>
      </c>
      <c r="AE118" s="10">
        <f t="shared" si="14"/>
        <v>5.3399252275271376</v>
      </c>
      <c r="AF118" s="10">
        <f t="shared" si="15"/>
        <v>5.3658471946510558</v>
      </c>
    </row>
    <row r="119" spans="1:32" x14ac:dyDescent="0.25">
      <c r="A119" t="s">
        <v>479</v>
      </c>
      <c r="B119" s="39">
        <v>40847</v>
      </c>
      <c r="C119" s="53" t="s">
        <v>480</v>
      </c>
      <c r="D119" s="4" t="str">
        <f>VLOOKUP(LEFT(C119,2),Sort!$A$1:$B$58,2,FALSE)</f>
        <v>Lebanon</v>
      </c>
      <c r="E119" s="72">
        <v>1249843459</v>
      </c>
      <c r="F119" s="72">
        <v>1300118412</v>
      </c>
      <c r="G119" s="58">
        <f t="shared" si="9"/>
        <v>0.12086182284929189</v>
      </c>
      <c r="H119" s="10">
        <v>10.919444</v>
      </c>
      <c r="I119" s="10">
        <v>7.9047669999999997</v>
      </c>
      <c r="J119" s="10">
        <v>5.8958199999999996</v>
      </c>
      <c r="K119" s="10">
        <v>5.8958199999999996</v>
      </c>
      <c r="L119" s="10">
        <v>371.51119999999997</v>
      </c>
      <c r="M119" s="10">
        <v>380.75760000000002</v>
      </c>
      <c r="N119" s="10">
        <v>7.6082340000000004</v>
      </c>
      <c r="O119" s="10">
        <v>1.6299999999999999E-2</v>
      </c>
      <c r="P119" s="10">
        <v>1.710561131</v>
      </c>
      <c r="Q119" s="10">
        <v>7.5415885610000002</v>
      </c>
      <c r="R119" s="10">
        <v>101.125</v>
      </c>
      <c r="S119" s="10">
        <v>101.625</v>
      </c>
      <c r="T119" s="10">
        <v>101.125</v>
      </c>
      <c r="U119" s="10">
        <v>101.625</v>
      </c>
      <c r="V119" s="53" t="s">
        <v>146</v>
      </c>
      <c r="W119" s="53" t="s">
        <v>481</v>
      </c>
      <c r="Y119" s="10">
        <f t="shared" si="10"/>
        <v>0.12448262560899326</v>
      </c>
      <c r="Z119" s="10">
        <f t="shared" si="11"/>
        <v>5.9419091624023125E-2</v>
      </c>
      <c r="AA119" s="10">
        <f t="shared" si="12"/>
        <v>3.3807709097612748</v>
      </c>
      <c r="AB119" s="10">
        <f t="shared" si="13"/>
        <v>0.87969283020384303</v>
      </c>
      <c r="AE119" s="10">
        <f t="shared" si="14"/>
        <v>12.222151835634643</v>
      </c>
      <c r="AF119" s="10">
        <f t="shared" si="15"/>
        <v>12.282582747059289</v>
      </c>
    </row>
    <row r="120" spans="1:32" x14ac:dyDescent="0.25">
      <c r="A120" t="s">
        <v>482</v>
      </c>
      <c r="B120" s="39">
        <v>40847</v>
      </c>
      <c r="C120" s="53" t="s">
        <v>483</v>
      </c>
      <c r="D120" s="4" t="str">
        <f>VLOOKUP(LEFT(C120,2),Sort!$A$1:$B$58,2,FALSE)</f>
        <v>Lebanon</v>
      </c>
      <c r="E120" s="72">
        <v>549444169.89999998</v>
      </c>
      <c r="F120" s="72">
        <v>596911948.39999998</v>
      </c>
      <c r="G120" s="58">
        <f t="shared" si="9"/>
        <v>5.5490227273349672E-2</v>
      </c>
      <c r="H120" s="10">
        <v>2.447222</v>
      </c>
      <c r="I120" s="10">
        <v>2.2426940000000002</v>
      </c>
      <c r="J120" s="10">
        <v>3.6059830000000002</v>
      </c>
      <c r="K120" s="10">
        <v>3.6059830000000002</v>
      </c>
      <c r="L120" s="10">
        <v>329.10050000000001</v>
      </c>
      <c r="M120" s="10">
        <v>331.16969999999998</v>
      </c>
      <c r="N120" s="10">
        <v>2.2431939999999999</v>
      </c>
      <c r="O120" s="10">
        <v>1.89E-2</v>
      </c>
      <c r="P120" s="10">
        <v>0.29315553300000002</v>
      </c>
      <c r="Q120" s="10">
        <v>4.1774607330000002</v>
      </c>
      <c r="R120" s="10">
        <v>108.25</v>
      </c>
      <c r="S120" s="10">
        <v>108.75</v>
      </c>
      <c r="T120" s="10">
        <v>108.25</v>
      </c>
      <c r="U120" s="10">
        <v>108.75</v>
      </c>
      <c r="V120" s="53" t="s">
        <v>146</v>
      </c>
      <c r="W120" s="53" t="s">
        <v>484</v>
      </c>
      <c r="Y120" s="10">
        <f t="shared" si="10"/>
        <v>2.9109973661358524E-2</v>
      </c>
      <c r="Z120" s="10">
        <f t="shared" si="11"/>
        <v>2.7880641874374057E-2</v>
      </c>
      <c r="AA120" s="10">
        <f t="shared" si="12"/>
        <v>1.3500352873420447</v>
      </c>
      <c r="AB120" s="10">
        <f t="shared" si="13"/>
        <v>0.43220234897947407</v>
      </c>
      <c r="AE120" s="10">
        <f t="shared" si="14"/>
        <v>6.0068171023401025</v>
      </c>
      <c r="AF120" s="10">
        <f t="shared" si="15"/>
        <v>6.0345622159767771</v>
      </c>
    </row>
    <row r="121" spans="1:32" x14ac:dyDescent="0.25">
      <c r="A121" t="s">
        <v>485</v>
      </c>
      <c r="B121" s="39">
        <v>40847</v>
      </c>
      <c r="C121" s="53" t="s">
        <v>486</v>
      </c>
      <c r="D121" s="4" t="str">
        <f>VLOOKUP(LEFT(C121,2),Sort!$A$1:$B$58,2,FALSE)</f>
        <v>Lebanon</v>
      </c>
      <c r="E121" s="72">
        <v>405793330.80000001</v>
      </c>
      <c r="F121" s="72">
        <v>474490761.39999998</v>
      </c>
      <c r="G121" s="58">
        <f t="shared" si="9"/>
        <v>4.4109688639616333E-2</v>
      </c>
      <c r="H121" s="10">
        <v>3.7583329999999999</v>
      </c>
      <c r="I121" s="10">
        <v>3.2228829999999999</v>
      </c>
      <c r="J121" s="10">
        <v>4.045941</v>
      </c>
      <c r="K121" s="10">
        <v>4.045941</v>
      </c>
      <c r="L121" s="10">
        <v>342.55079999999998</v>
      </c>
      <c r="M121" s="10">
        <v>347.714</v>
      </c>
      <c r="N121" s="10">
        <v>3.20933</v>
      </c>
      <c r="O121" s="10">
        <v>2.0199999999999999E-2</v>
      </c>
      <c r="P121" s="10">
        <v>0.24528739299999999</v>
      </c>
      <c r="Q121" s="10">
        <v>5.3469432819999998</v>
      </c>
      <c r="R121" s="10">
        <v>114.875</v>
      </c>
      <c r="S121" s="10">
        <v>115.375</v>
      </c>
      <c r="T121" s="10">
        <v>114.875</v>
      </c>
      <c r="U121" s="10">
        <v>115.375</v>
      </c>
      <c r="V121" s="53" t="s">
        <v>146</v>
      </c>
      <c r="W121" s="53" t="s">
        <v>487</v>
      </c>
      <c r="Y121" s="10">
        <f t="shared" si="10"/>
        <v>3.3253228729560276E-2</v>
      </c>
      <c r="Z121" s="10">
        <f t="shared" si="11"/>
        <v>1.4881482217764431E-2</v>
      </c>
      <c r="AA121" s="10">
        <f t="shared" si="12"/>
        <v>1.1267671870753153</v>
      </c>
      <c r="AB121" s="10">
        <f t="shared" si="13"/>
        <v>0.36449121043762295</v>
      </c>
      <c r="AE121" s="10">
        <f t="shared" si="14"/>
        <v>5.0671004824759267</v>
      </c>
      <c r="AF121" s="10">
        <f t="shared" si="15"/>
        <v>5.0891553267957343</v>
      </c>
    </row>
    <row r="122" spans="1:32" x14ac:dyDescent="0.25">
      <c r="A122" t="s">
        <v>488</v>
      </c>
      <c r="B122" s="39">
        <v>40847</v>
      </c>
      <c r="C122" s="53" t="s">
        <v>489</v>
      </c>
      <c r="D122" s="4" t="str">
        <f>VLOOKUP(LEFT(C122,2),Sort!$A$1:$B$58,2,FALSE)</f>
        <v>Lebanon</v>
      </c>
      <c r="E122" s="72">
        <v>608689996.20000005</v>
      </c>
      <c r="F122" s="72">
        <v>715701081.79999995</v>
      </c>
      <c r="G122" s="58">
        <f t="shared" si="9"/>
        <v>6.6533122339596684E-2</v>
      </c>
      <c r="H122" s="10">
        <v>4.2111109999999998</v>
      </c>
      <c r="I122" s="10">
        <v>3.5424359999999999</v>
      </c>
      <c r="J122" s="10">
        <v>4.3323879999999999</v>
      </c>
      <c r="K122" s="10">
        <v>4.3323879999999999</v>
      </c>
      <c r="L122" s="10">
        <v>357.9744</v>
      </c>
      <c r="M122" s="10">
        <v>363.96120000000002</v>
      </c>
      <c r="N122" s="10">
        <v>3.5214210000000001</v>
      </c>
      <c r="O122" s="10">
        <v>2.01E-2</v>
      </c>
      <c r="P122" s="10">
        <v>0.243925791</v>
      </c>
      <c r="Q122" s="10">
        <v>5.6964997970000004</v>
      </c>
      <c r="R122" s="10">
        <v>115.125</v>
      </c>
      <c r="S122" s="10">
        <v>115.875</v>
      </c>
      <c r="T122" s="10">
        <v>115.125</v>
      </c>
      <c r="U122" s="10">
        <v>115.875</v>
      </c>
      <c r="V122" s="53" t="s">
        <v>146</v>
      </c>
      <c r="W122" s="53" t="s">
        <v>490</v>
      </c>
      <c r="Y122" s="10">
        <f t="shared" si="10"/>
        <v>5.5130915634969246E-2</v>
      </c>
      <c r="Z122" s="10">
        <f t="shared" si="11"/>
        <v>2.4035762352029505E-2</v>
      </c>
      <c r="AA122" s="10">
        <f t="shared" si="12"/>
        <v>1.7789797938765066</v>
      </c>
      <c r="AB122" s="10">
        <f t="shared" si="13"/>
        <v>0.55216516682539218</v>
      </c>
      <c r="AE122" s="10">
        <f t="shared" si="14"/>
        <v>7.6596257093460682</v>
      </c>
      <c r="AF122" s="10">
        <f t="shared" si="15"/>
        <v>7.7095255511007661</v>
      </c>
    </row>
    <row r="123" spans="1:32" x14ac:dyDescent="0.25">
      <c r="A123" t="s">
        <v>491</v>
      </c>
      <c r="B123" s="39">
        <v>40847</v>
      </c>
      <c r="C123" s="53" t="s">
        <v>492</v>
      </c>
      <c r="D123" s="4" t="str">
        <f>VLOOKUP(LEFT(C123,2),Sort!$A$1:$B$58,2,FALSE)</f>
        <v>Lebanon</v>
      </c>
      <c r="E123" s="72">
        <v>1347233858</v>
      </c>
      <c r="F123" s="72">
        <v>1591167388</v>
      </c>
      <c r="G123" s="58">
        <f t="shared" si="9"/>
        <v>0.14791836589421864</v>
      </c>
      <c r="H123" s="10">
        <v>9.4416670000000007</v>
      </c>
      <c r="I123" s="10">
        <v>6.8997789999999997</v>
      </c>
      <c r="J123" s="10">
        <v>5.7362000000000002</v>
      </c>
      <c r="K123" s="10">
        <v>5.7362000000000002</v>
      </c>
      <c r="L123" s="10">
        <v>370.67939999999999</v>
      </c>
      <c r="M123" s="10">
        <v>387.84249999999997</v>
      </c>
      <c r="N123" s="10">
        <v>6.6878000000000002</v>
      </c>
      <c r="O123" s="10">
        <v>1.9400000000000001E-2</v>
      </c>
      <c r="P123" s="10">
        <v>1.52872097</v>
      </c>
      <c r="Q123" s="10">
        <v>7.0350417719999996</v>
      </c>
      <c r="R123" s="10">
        <v>117.625</v>
      </c>
      <c r="S123" s="10">
        <v>118.125</v>
      </c>
      <c r="T123" s="10">
        <v>117.625</v>
      </c>
      <c r="U123" s="10">
        <v>118.125</v>
      </c>
      <c r="V123" s="53" t="s">
        <v>146</v>
      </c>
      <c r="W123" s="53" t="s">
        <v>493</v>
      </c>
      <c r="Y123" s="10">
        <f t="shared" si="10"/>
        <v>0.13298045285016113</v>
      </c>
      <c r="Z123" s="10">
        <f t="shared" si="11"/>
        <v>7.0752051610762298E-2</v>
      </c>
      <c r="AA123" s="10">
        <f t="shared" si="12"/>
        <v>4.2145918210137223</v>
      </c>
      <c r="AB123" s="10">
        <f t="shared" si="13"/>
        <v>1.251426293421062</v>
      </c>
      <c r="AE123" s="10">
        <f t="shared" si="14"/>
        <v>17.398897788307469</v>
      </c>
      <c r="AF123" s="10">
        <f t="shared" si="15"/>
        <v>17.472856971254576</v>
      </c>
    </row>
    <row r="124" spans="1:32" x14ac:dyDescent="0.25">
      <c r="A124" t="s">
        <v>494</v>
      </c>
      <c r="B124" s="39">
        <v>40847</v>
      </c>
      <c r="C124" s="53" t="s">
        <v>495</v>
      </c>
      <c r="D124" s="4" t="str">
        <f>VLOOKUP(LEFT(C124,2),Sort!$A$1:$B$58,2,FALSE)</f>
        <v>Lebanon</v>
      </c>
      <c r="E124" s="72">
        <v>527531330</v>
      </c>
      <c r="F124" s="72">
        <v>589181057.29999995</v>
      </c>
      <c r="G124" s="58">
        <f t="shared" si="9"/>
        <v>5.4771546896261548E-2</v>
      </c>
      <c r="H124" s="10">
        <v>1.6305559999999999</v>
      </c>
      <c r="I124" s="10">
        <v>1.5018199999999999</v>
      </c>
      <c r="J124" s="10">
        <v>2.6312199999999999</v>
      </c>
      <c r="K124" s="10">
        <v>2.6312199999999999</v>
      </c>
      <c r="L124" s="10">
        <v>244.00059999999999</v>
      </c>
      <c r="M124" s="10">
        <v>244.5968</v>
      </c>
      <c r="N124" s="10">
        <v>1.497366</v>
      </c>
      <c r="O124" s="10">
        <v>2.1499999999999998E-2</v>
      </c>
      <c r="P124" s="10">
        <v>0.60426911100000003</v>
      </c>
      <c r="Q124" s="10">
        <v>3.0999353649999999</v>
      </c>
      <c r="R124" s="10">
        <v>108.5</v>
      </c>
      <c r="S124" s="10">
        <v>109.5</v>
      </c>
      <c r="T124" s="10">
        <v>108.5</v>
      </c>
      <c r="U124" s="10">
        <v>109.5</v>
      </c>
      <c r="V124" s="53" t="s">
        <v>146</v>
      </c>
      <c r="W124" s="53" t="s">
        <v>496</v>
      </c>
      <c r="Y124" s="10">
        <f t="shared" si="10"/>
        <v>8.2875078999744611E-2</v>
      </c>
      <c r="Z124" s="10">
        <f t="shared" si="11"/>
        <v>2.0080510880265388E-2</v>
      </c>
      <c r="AA124" s="10">
        <f t="shared" si="12"/>
        <v>0.98420099503218783</v>
      </c>
      <c r="AB124" s="10">
        <f t="shared" si="13"/>
        <v>0.4295467917064022</v>
      </c>
      <c r="AE124" s="10">
        <f t="shared" si="14"/>
        <v>5.9427128382443781</v>
      </c>
      <c r="AF124" s="10">
        <f t="shared" si="15"/>
        <v>5.9974843851406394</v>
      </c>
    </row>
    <row r="125" spans="1:32" x14ac:dyDescent="0.25">
      <c r="A125" t="s">
        <v>497</v>
      </c>
      <c r="B125" s="39">
        <v>40847</v>
      </c>
      <c r="C125" s="53" t="s">
        <v>498</v>
      </c>
      <c r="D125" s="4" t="str">
        <f>VLOOKUP(LEFT(C125,2),Sort!$A$1:$B$58,2,FALSE)</f>
        <v>Lebanon</v>
      </c>
      <c r="E125" s="72">
        <v>710138328.89999998</v>
      </c>
      <c r="F125" s="72">
        <v>777017083.10000002</v>
      </c>
      <c r="G125" s="58">
        <f t="shared" si="9"/>
        <v>7.2233190593800872E-2</v>
      </c>
      <c r="H125" s="10">
        <v>1.358333</v>
      </c>
      <c r="I125" s="10">
        <v>1.28813</v>
      </c>
      <c r="J125" s="10">
        <v>2.6158640000000002</v>
      </c>
      <c r="K125" s="10">
        <v>2.6158640000000002</v>
      </c>
      <c r="L125" s="10">
        <v>246.57560000000001</v>
      </c>
      <c r="M125" s="10">
        <v>247.0532</v>
      </c>
      <c r="N125" s="10">
        <v>1.280141</v>
      </c>
      <c r="O125" s="10">
        <v>2.3199999999999998E-2</v>
      </c>
      <c r="P125" s="10">
        <v>0.53726561299999998</v>
      </c>
      <c r="Q125" s="10">
        <v>2.9783809589999999</v>
      </c>
      <c r="R125" s="10">
        <v>108.125</v>
      </c>
      <c r="S125" s="10">
        <v>108.625</v>
      </c>
      <c r="T125" s="10">
        <v>108.125</v>
      </c>
      <c r="U125" s="10">
        <v>108.625</v>
      </c>
      <c r="V125" s="53" t="s">
        <v>146</v>
      </c>
      <c r="W125" s="53" t="s">
        <v>499</v>
      </c>
      <c r="Y125" s="10">
        <f t="shared" si="10"/>
        <v>9.3744880180754442E-2</v>
      </c>
      <c r="Z125" s="10">
        <f t="shared" si="11"/>
        <v>2.6327798710333042E-2</v>
      </c>
      <c r="AA125" s="10">
        <f t="shared" si="12"/>
        <v>1.3110078857302798</v>
      </c>
      <c r="AB125" s="10">
        <f t="shared" si="13"/>
        <v>0.56196328372601345</v>
      </c>
      <c r="AE125" s="10">
        <f t="shared" si="14"/>
        <v>7.8102137329547192</v>
      </c>
      <c r="AF125" s="10">
        <f t="shared" si="15"/>
        <v>7.8463303282516197</v>
      </c>
    </row>
    <row r="126" spans="1:32" x14ac:dyDescent="0.25">
      <c r="A126" t="s">
        <v>500</v>
      </c>
      <c r="B126" s="39">
        <v>40847</v>
      </c>
      <c r="C126" s="53" t="s">
        <v>501</v>
      </c>
      <c r="D126" s="4" t="str">
        <f>VLOOKUP(LEFT(C126,2),Sort!$A$1:$B$58,2,FALSE)</f>
        <v>Lebanon</v>
      </c>
      <c r="E126" s="72">
        <v>1217379992</v>
      </c>
      <c r="F126" s="72">
        <v>1460551645</v>
      </c>
      <c r="G126" s="58">
        <f t="shared" si="9"/>
        <v>0.13577604359027559</v>
      </c>
      <c r="H126" s="10">
        <v>5.3805560000000003</v>
      </c>
      <c r="I126" s="10">
        <v>4.373329</v>
      </c>
      <c r="J126" s="10">
        <v>4.8620239999999999</v>
      </c>
      <c r="K126" s="10">
        <v>4.8620239999999999</v>
      </c>
      <c r="L126" s="10">
        <v>376.69499999999999</v>
      </c>
      <c r="M126" s="10">
        <v>385.48349999999999</v>
      </c>
      <c r="N126" s="10">
        <v>4.3238839999999996</v>
      </c>
      <c r="O126" s="10">
        <v>2.0799999999999999E-2</v>
      </c>
      <c r="P126" s="10">
        <v>0.166977603</v>
      </c>
      <c r="Q126" s="10">
        <v>4.4040010780000003</v>
      </c>
      <c r="R126" s="10">
        <v>118.875</v>
      </c>
      <c r="S126" s="10">
        <v>119.375</v>
      </c>
      <c r="T126" s="10">
        <v>118.875</v>
      </c>
      <c r="U126" s="10">
        <v>119.375</v>
      </c>
      <c r="V126" s="53" t="s">
        <v>146</v>
      </c>
      <c r="W126" s="53" t="s">
        <v>502</v>
      </c>
      <c r="Y126" s="10">
        <f t="shared" si="10"/>
        <v>0.12807184513654751</v>
      </c>
      <c r="Z126" s="10">
        <f t="shared" si="11"/>
        <v>5.5046904249529939E-2</v>
      </c>
      <c r="AA126" s="10">
        <f t="shared" si="12"/>
        <v>3.845094033000338</v>
      </c>
      <c r="AB126" s="10">
        <f t="shared" si="13"/>
        <v>1.1608547634701298</v>
      </c>
      <c r="AE126" s="10">
        <f t="shared" si="14"/>
        <v>16.140377181794012</v>
      </c>
      <c r="AF126" s="10">
        <f t="shared" si="15"/>
        <v>16.20826520358915</v>
      </c>
    </row>
    <row r="127" spans="1:32" x14ac:dyDescent="0.25">
      <c r="A127" t="s">
        <v>512</v>
      </c>
      <c r="B127" s="39">
        <v>40847</v>
      </c>
      <c r="C127" s="53" t="s">
        <v>513</v>
      </c>
      <c r="D127" s="4" t="str">
        <f>VLOOKUP(LEFT(C127,2),Sort!$A$1:$B$58,2,FALSE)</f>
        <v>Lithuania</v>
      </c>
      <c r="E127" s="72">
        <v>750000000</v>
      </c>
      <c r="F127" s="72">
        <v>762731767.5</v>
      </c>
      <c r="G127" s="58">
        <f t="shared" si="9"/>
        <v>0.138635157954444</v>
      </c>
      <c r="H127" s="10">
        <v>5.8638890000000004</v>
      </c>
      <c r="I127" s="10">
        <v>5.0630410000000001</v>
      </c>
      <c r="J127" s="10">
        <v>4.7292940000000003</v>
      </c>
      <c r="K127" s="10">
        <v>4.7292940000000003</v>
      </c>
      <c r="L127" s="10">
        <v>349.18790000000001</v>
      </c>
      <c r="M127" s="10">
        <v>353.69380000000001</v>
      </c>
      <c r="N127" s="10">
        <v>4.9848369999999997</v>
      </c>
      <c r="O127" s="10">
        <v>1.4E-2</v>
      </c>
      <c r="P127" s="10">
        <v>3.9863518619999998</v>
      </c>
      <c r="Q127" s="10">
        <v>6.8687219940000004</v>
      </c>
      <c r="R127" s="10">
        <v>101</v>
      </c>
      <c r="S127" s="10">
        <v>102</v>
      </c>
      <c r="T127" s="10">
        <v>101</v>
      </c>
      <c r="U127" s="10">
        <v>102</v>
      </c>
      <c r="V127" s="53" t="s">
        <v>146</v>
      </c>
      <c r="W127" s="53" t="s">
        <v>514</v>
      </c>
      <c r="Y127" s="10">
        <f t="shared" si="10"/>
        <v>7.7429753649526534E-2</v>
      </c>
      <c r="Z127" s="10">
        <f t="shared" si="11"/>
        <v>2.7961922748494013E-2</v>
      </c>
      <c r="AA127" s="10">
        <f t="shared" si="12"/>
        <v>1.8423983471675389</v>
      </c>
      <c r="AB127" s="10">
        <f t="shared" si="13"/>
        <v>0.51798787237665311</v>
      </c>
      <c r="AE127" s="10">
        <f t="shared" si="14"/>
        <v>14.002150953398845</v>
      </c>
      <c r="AF127" s="10">
        <f t="shared" si="15"/>
        <v>14.140786111353288</v>
      </c>
    </row>
    <row r="128" spans="1:32" x14ac:dyDescent="0.25">
      <c r="A128" t="s">
        <v>515</v>
      </c>
      <c r="B128" s="39">
        <v>40847</v>
      </c>
      <c r="C128" s="53" t="s">
        <v>516</v>
      </c>
      <c r="D128" s="4" t="str">
        <f>VLOOKUP(LEFT(C128,2),Sort!$A$1:$B$58,2,FALSE)</f>
        <v>Lithuania</v>
      </c>
      <c r="E128" s="72">
        <v>750000000</v>
      </c>
      <c r="F128" s="72">
        <v>779390625</v>
      </c>
      <c r="G128" s="58">
        <f t="shared" si="9"/>
        <v>0.1416630944312777</v>
      </c>
      <c r="H128" s="10">
        <v>9.35</v>
      </c>
      <c r="I128" s="10">
        <v>7.2170820000000004</v>
      </c>
      <c r="J128" s="10">
        <v>5.501709</v>
      </c>
      <c r="K128" s="10">
        <v>5.501709</v>
      </c>
      <c r="L128" s="10">
        <v>348.94760000000002</v>
      </c>
      <c r="M128" s="10">
        <v>360.46730000000002</v>
      </c>
      <c r="N128" s="10">
        <v>6.9906379999999997</v>
      </c>
      <c r="O128" s="10">
        <v>-0.46260000000000001</v>
      </c>
      <c r="P128" s="10">
        <v>6.1019448350000003</v>
      </c>
      <c r="Q128" s="10">
        <v>6.802206</v>
      </c>
      <c r="R128" s="10">
        <v>103</v>
      </c>
      <c r="S128" s="10">
        <v>104.5</v>
      </c>
      <c r="T128" s="10">
        <v>103</v>
      </c>
      <c r="U128" s="10">
        <v>104.5</v>
      </c>
      <c r="V128" s="53" t="s">
        <v>146</v>
      </c>
      <c r="W128" s="53" t="s">
        <v>517</v>
      </c>
      <c r="Y128" s="10">
        <f t="shared" si="10"/>
        <v>6.8132382398472968E-2</v>
      </c>
      <c r="Z128" s="10">
        <f t="shared" si="11"/>
        <v>3.323928526268765E-2</v>
      </c>
      <c r="AA128" s="10">
        <f t="shared" si="12"/>
        <v>1.9186921753482893</v>
      </c>
      <c r="AB128" s="10">
        <f t="shared" si="13"/>
        <v>0.54227433817649096</v>
      </c>
      <c r="AE128" s="10">
        <f t="shared" si="14"/>
        <v>14.591298726421602</v>
      </c>
      <c r="AF128" s="10">
        <f t="shared" si="15"/>
        <v>14.803793368068519</v>
      </c>
    </row>
    <row r="129" spans="1:32" x14ac:dyDescent="0.25">
      <c r="A129" t="s">
        <v>518</v>
      </c>
      <c r="B129" s="39">
        <v>40847</v>
      </c>
      <c r="C129" s="53" t="s">
        <v>519</v>
      </c>
      <c r="D129" s="4" t="str">
        <f>VLOOKUP(LEFT(C129,2),Sort!$A$1:$B$58,2,FALSE)</f>
        <v>Lithuania</v>
      </c>
      <c r="E129" s="72">
        <v>1500000000</v>
      </c>
      <c r="F129" s="72">
        <v>1701000000</v>
      </c>
      <c r="G129" s="58">
        <f t="shared" si="9"/>
        <v>0.30917606126915287</v>
      </c>
      <c r="H129" s="10">
        <v>3.2</v>
      </c>
      <c r="I129" s="10">
        <v>2.81982</v>
      </c>
      <c r="J129" s="10">
        <v>3.3652069999999998</v>
      </c>
      <c r="K129" s="10">
        <v>3.3652069999999998</v>
      </c>
      <c r="L129" s="10">
        <v>290.78070000000002</v>
      </c>
      <c r="M129" s="10">
        <v>293.197</v>
      </c>
      <c r="N129" s="10">
        <v>2.8109090000000001</v>
      </c>
      <c r="O129" s="10">
        <v>-0.31319999999999998</v>
      </c>
      <c r="P129" s="10">
        <v>3.2081913860000002</v>
      </c>
      <c r="Q129" s="10">
        <v>5.1686238680000001</v>
      </c>
      <c r="R129" s="10">
        <v>108</v>
      </c>
      <c r="S129" s="10">
        <v>110</v>
      </c>
      <c r="T129" s="10">
        <v>108</v>
      </c>
      <c r="U129" s="10">
        <v>110</v>
      </c>
      <c r="V129" s="53" t="s">
        <v>146</v>
      </c>
      <c r="W129" s="53" t="s">
        <v>520</v>
      </c>
      <c r="Y129" s="10">
        <f t="shared" si="10"/>
        <v>0.10430069904987031</v>
      </c>
      <c r="Z129" s="10">
        <f t="shared" si="11"/>
        <v>7.4145520451803337E-2</v>
      </c>
      <c r="AA129" s="10">
        <f t="shared" si="12"/>
        <v>3.406027022821104</v>
      </c>
      <c r="AB129" s="10">
        <f t="shared" si="13"/>
        <v>1.2457892637370733</v>
      </c>
      <c r="AE129" s="10">
        <f t="shared" si="14"/>
        <v>33.391014617068507</v>
      </c>
      <c r="AF129" s="10">
        <f t="shared" si="15"/>
        <v>34.009366739606818</v>
      </c>
    </row>
    <row r="130" spans="1:32" x14ac:dyDescent="0.25">
      <c r="A130" t="s">
        <v>521</v>
      </c>
      <c r="B130" s="39">
        <v>40847</v>
      </c>
      <c r="C130" s="53" t="s">
        <v>522</v>
      </c>
      <c r="D130" s="4" t="str">
        <f>VLOOKUP(LEFT(C130,2),Sort!$A$1:$B$58,2,FALSE)</f>
        <v>Lithuania</v>
      </c>
      <c r="E130" s="72">
        <v>2000000000</v>
      </c>
      <c r="F130" s="72">
        <v>2258597220</v>
      </c>
      <c r="G130" s="58">
        <f t="shared" si="9"/>
        <v>0.41052568634512543</v>
      </c>
      <c r="H130" s="10">
        <v>8.2722219999999993</v>
      </c>
      <c r="I130" s="10">
        <v>6.3305800000000003</v>
      </c>
      <c r="J130" s="10">
        <v>5.4386900000000002</v>
      </c>
      <c r="K130" s="10">
        <v>5.4386900000000002</v>
      </c>
      <c r="L130" s="10">
        <v>362.83600000000001</v>
      </c>
      <c r="M130" s="10">
        <v>374.3125</v>
      </c>
      <c r="N130" s="10">
        <v>6.1598439999999997</v>
      </c>
      <c r="O130" s="10">
        <v>-1.077</v>
      </c>
      <c r="P130" s="10">
        <v>3.5044829559999999</v>
      </c>
      <c r="Q130" s="10">
        <v>6.144901204</v>
      </c>
      <c r="R130" s="10">
        <v>111.25</v>
      </c>
      <c r="S130" s="10">
        <v>112.75</v>
      </c>
      <c r="T130" s="10">
        <v>111.25</v>
      </c>
      <c r="U130" s="10">
        <v>112.75</v>
      </c>
      <c r="V130" s="53" t="s">
        <v>146</v>
      </c>
      <c r="W130" s="53" t="s">
        <v>523</v>
      </c>
      <c r="Y130" s="10">
        <f t="shared" si="10"/>
        <v>0.17318849913952469</v>
      </c>
      <c r="Z130" s="10">
        <f t="shared" si="11"/>
        <v>9.5220833326487772E-2</v>
      </c>
      <c r="AA130" s="10">
        <f t="shared" si="12"/>
        <v>5.7737419939161834</v>
      </c>
      <c r="AB130" s="10">
        <f t="shared" si="13"/>
        <v>1.6955200305567082</v>
      </c>
      <c r="AE130" s="10">
        <f t="shared" si="14"/>
        <v>45.670982605895205</v>
      </c>
      <c r="AF130" s="10">
        <f t="shared" si="15"/>
        <v>46.286771135412891</v>
      </c>
    </row>
    <row r="131" spans="1:32" x14ac:dyDescent="0.25">
      <c r="A131" t="s">
        <v>601</v>
      </c>
      <c r="B131" s="39">
        <v>40847</v>
      </c>
      <c r="C131" s="53" t="s">
        <v>602</v>
      </c>
      <c r="D131" s="4" t="str">
        <f>VLOOKUP(LEFT(C131,2),Sort!$A$1:$B$58,2,FALSE)</f>
        <v>Malaysia</v>
      </c>
      <c r="E131" s="72">
        <v>954081632.70000005</v>
      </c>
      <c r="F131" s="72">
        <v>1072006123</v>
      </c>
      <c r="G131" s="58">
        <f t="shared" si="9"/>
        <v>0.15232908492882533</v>
      </c>
      <c r="H131" s="10">
        <v>4.3666669999999996</v>
      </c>
      <c r="I131" s="10">
        <v>3.905446</v>
      </c>
      <c r="J131" s="10">
        <v>2.6608849999999999</v>
      </c>
      <c r="K131" s="10">
        <v>2.6608849999999999</v>
      </c>
      <c r="L131" s="10">
        <v>186.2818</v>
      </c>
      <c r="M131" s="10">
        <v>190.69579999999999</v>
      </c>
      <c r="N131" s="10">
        <v>3.8812000000000002</v>
      </c>
      <c r="O131" s="10">
        <v>0.40720000000000001</v>
      </c>
      <c r="P131" s="10">
        <v>1.341630866</v>
      </c>
      <c r="Q131" s="10">
        <v>4.5830722819999998</v>
      </c>
      <c r="R131" s="10">
        <v>111.61</v>
      </c>
      <c r="S131" s="10">
        <v>112.14</v>
      </c>
      <c r="T131" s="10">
        <v>111.61</v>
      </c>
      <c r="U131" s="10">
        <v>112.14</v>
      </c>
      <c r="V131" s="53" t="s">
        <v>146</v>
      </c>
      <c r="W131" s="53" t="s">
        <v>603</v>
      </c>
      <c r="Y131" s="10">
        <f t="shared" si="10"/>
        <v>9.1039407429004057E-2</v>
      </c>
      <c r="Z131" s="10">
        <f t="shared" si="11"/>
        <v>3.6948106944000109E-2</v>
      </c>
      <c r="AA131" s="10">
        <f t="shared" si="12"/>
        <v>3.1395935372432242</v>
      </c>
      <c r="AB131" s="10">
        <f t="shared" si="13"/>
        <v>0.80039690884679182</v>
      </c>
      <c r="AE131" s="10">
        <f t="shared" si="14"/>
        <v>17.001449168906195</v>
      </c>
      <c r="AF131" s="10">
        <f t="shared" si="15"/>
        <v>17.082183583918471</v>
      </c>
    </row>
    <row r="132" spans="1:32" x14ac:dyDescent="0.25">
      <c r="A132" t="s">
        <v>604</v>
      </c>
      <c r="B132" s="39">
        <v>40847</v>
      </c>
      <c r="C132" s="53" t="s">
        <v>605</v>
      </c>
      <c r="D132" s="4" t="str">
        <f>VLOOKUP(LEFT(C132,2),Sort!$A$1:$B$58,2,FALSE)</f>
        <v>Malaysia</v>
      </c>
      <c r="E132" s="72">
        <v>2862244898</v>
      </c>
      <c r="F132" s="72">
        <v>3259181879</v>
      </c>
      <c r="G132" s="58">
        <f t="shared" si="9"/>
        <v>0.46312066936270618</v>
      </c>
      <c r="H132" s="10">
        <v>7.7750000000000004</v>
      </c>
      <c r="I132" s="10">
        <v>6.5502840000000004</v>
      </c>
      <c r="J132" s="10">
        <v>3.1800009999999999</v>
      </c>
      <c r="K132" s="10">
        <v>3.1800009999999999</v>
      </c>
      <c r="L132" s="10">
        <v>146.2818</v>
      </c>
      <c r="M132" s="10">
        <v>152.2028</v>
      </c>
      <c r="N132" s="10">
        <v>6.3832129999999996</v>
      </c>
      <c r="O132" s="10">
        <v>1.099</v>
      </c>
      <c r="P132" s="10">
        <v>4.2837305060000004</v>
      </c>
      <c r="Q132" s="10">
        <v>9.3600119910000004</v>
      </c>
      <c r="R132" s="10">
        <v>112.68678</v>
      </c>
      <c r="S132" s="10">
        <v>114.15486</v>
      </c>
      <c r="T132" s="10">
        <v>112.68678</v>
      </c>
      <c r="U132" s="10">
        <v>114.15486</v>
      </c>
      <c r="V132" s="53" t="s">
        <v>146</v>
      </c>
      <c r="W132" s="53" t="s">
        <v>606</v>
      </c>
      <c r="Y132" s="10">
        <f t="shared" si="10"/>
        <v>0.25858628391204042</v>
      </c>
      <c r="Z132" s="10">
        <f t="shared" si="11"/>
        <v>0.13424702625454737</v>
      </c>
      <c r="AA132" s="10">
        <f t="shared" si="12"/>
        <v>7.6184438585212257</v>
      </c>
      <c r="AB132" s="10">
        <f t="shared" si="13"/>
        <v>2.4771402028371363</v>
      </c>
      <c r="AE132" s="10">
        <f t="shared" si="14"/>
        <v>52.187576981928011</v>
      </c>
      <c r="AF132" s="10">
        <f t="shared" si="15"/>
        <v>52.867475174206014</v>
      </c>
    </row>
    <row r="133" spans="1:32" x14ac:dyDescent="0.25">
      <c r="A133" t="s">
        <v>607</v>
      </c>
      <c r="B133" s="39">
        <v>40847</v>
      </c>
      <c r="C133" s="53" t="s">
        <v>608</v>
      </c>
      <c r="D133" s="4" t="str">
        <f>VLOOKUP(LEFT(C133,2),Sort!$A$1:$B$58,2,FALSE)</f>
        <v>Malaysia</v>
      </c>
      <c r="E133" s="72">
        <v>596301020.39999998</v>
      </c>
      <c r="F133" s="72">
        <v>724262252.20000005</v>
      </c>
      <c r="G133" s="58">
        <f t="shared" ref="G133:G196" si="16">F133/SUMIF($D$4:$D$284,TEXT(D133,"general"),$F$4:$F$284)</f>
        <v>0.10291564922910065</v>
      </c>
      <c r="H133" s="10">
        <v>3.7888890000000002</v>
      </c>
      <c r="I133" s="10">
        <v>3.330174</v>
      </c>
      <c r="J133" s="10">
        <v>2.0114580000000002</v>
      </c>
      <c r="K133" s="10">
        <v>2.0114580000000002</v>
      </c>
      <c r="L133" s="10">
        <v>138.21019999999999</v>
      </c>
      <c r="M133" s="10">
        <v>143.1969</v>
      </c>
      <c r="N133" s="10">
        <v>3.316303</v>
      </c>
      <c r="O133" s="10">
        <v>9.4999999999999998E-3</v>
      </c>
      <c r="P133" s="10">
        <v>2.232857777</v>
      </c>
      <c r="Q133" s="10">
        <v>4.7592193360000001</v>
      </c>
      <c r="R133" s="10">
        <v>119.78</v>
      </c>
      <c r="S133" s="10">
        <v>120.8</v>
      </c>
      <c r="T133" s="10">
        <v>119.78</v>
      </c>
      <c r="U133" s="10">
        <v>120.8</v>
      </c>
      <c r="V133" s="53" t="s">
        <v>146</v>
      </c>
      <c r="W133" s="53" t="s">
        <v>609</v>
      </c>
      <c r="Y133" s="10">
        <f t="shared" ref="Y133:Y196" si="17">IF(I133&lt;1.99,($F133/$F$303)*I133,IF(AND(I133&gt;1.99,I133&lt;3.99),($F133/$F$304)*I133,IF(AND(I133&gt;3.99,I133&lt;5.99),($F133/$F$305)*I133,IF(AND(I133&gt;5.99,I133&lt;7.99),($F133/$F$306)*I133,IF(AND(I133&gt;7.99,I133&lt;9.99),($F133/$F$307)*I133,IF(I133&gt;9.99,($F133/$F$308)*I133))))))</f>
        <v>5.244744010347626E-2</v>
      </c>
      <c r="Z133" s="10">
        <f t="shared" ref="Z133:Z196" si="18">IF(K133&lt;1.99,($F133/$F$287)*K133,IF(AND(K133&gt;1.99,K133&lt;3.99),($F133/$F$288)*K133,IF(AND(K133&gt;3.99,K133&lt;5.99),($F133/$F$289)*K133,IF(AND(K133&gt;5.99,K133&lt;7.99),($F133/$F$290)*K133,IF(AND(K133&gt;7.99,K133&lt;9.99),($F133/$F$291)*K133,IF(K133&gt;9.99,($F133/$F$292)*K133))))))</f>
        <v>1.8870162509899892E-2</v>
      </c>
      <c r="AA133" s="10">
        <f t="shared" ref="AA133:AA196" si="19">IF(M133&lt;199.99,($F133/$F$295)*M133,IF(AND(M133&gt;199.99,M133&lt;399.99),($F133/$F$296)*M133,IF(AND(M133&gt;399.99,M133&lt;599.99),($F133/$F$297)*M133,IF(AND(M133&gt;599.99,M133&lt;799.99),($F133/$F$298)*M133,IF(AND(M133&gt;799.99,M133&lt;999.99),($F133/$F$299)*M133,IF(M133&gt;999.99,($F133/$F$300)*M133))))))</f>
        <v>1.5928119289471154</v>
      </c>
      <c r="AB133" s="10">
        <f t="shared" ref="AB133:AB196" si="20">IF(S133&lt;49.99,($F133/$F$311)*S133,IF(AND(S133&gt;49.99,S133&lt;79.99),($F133/$F$312)*S133,IF(AND(S133&gt;79.99,S133&lt;99.99),($F133/$F$313)*S133,IF(AND(S133&gt;99.99,S133&lt;119.99),($F133/$F$314)*S133,IF(AND(S133&gt;119.99,S133&lt;139.99),($F133/$F$315)*S133,IF(S133&gt;139.99,($F133/$F$316)*S133))))))</f>
        <v>1.7642275251168944</v>
      </c>
      <c r="AE133" s="10">
        <f t="shared" si="14"/>
        <v>12.327236464661677</v>
      </c>
      <c r="AF133" s="10">
        <f t="shared" si="15"/>
        <v>12.432210426875358</v>
      </c>
    </row>
    <row r="134" spans="1:32" x14ac:dyDescent="0.25">
      <c r="A134" t="s">
        <v>610</v>
      </c>
      <c r="B134" s="39">
        <v>40847</v>
      </c>
      <c r="C134" s="53" t="s">
        <v>611</v>
      </c>
      <c r="D134" s="4" t="str">
        <f>VLOOKUP(LEFT(C134,2),Sort!$A$1:$B$58,2,FALSE)</f>
        <v>Malaysia</v>
      </c>
      <c r="E134" s="72">
        <v>477040816.30000001</v>
      </c>
      <c r="F134" s="72">
        <v>653027136.39999998</v>
      </c>
      <c r="G134" s="58">
        <f t="shared" si="16"/>
        <v>9.2793337637963477E-2</v>
      </c>
      <c r="H134" s="10">
        <v>14.95</v>
      </c>
      <c r="I134" s="10">
        <v>10.201421</v>
      </c>
      <c r="J134" s="10">
        <v>3.9893260000000001</v>
      </c>
      <c r="K134" s="10">
        <v>3.9893260000000001</v>
      </c>
      <c r="L134" s="10">
        <v>160.38659999999999</v>
      </c>
      <c r="M134" s="10">
        <v>157.95599999999999</v>
      </c>
      <c r="N134" s="10">
        <v>9.695449</v>
      </c>
      <c r="O134" s="10">
        <v>0.39689999999999998</v>
      </c>
      <c r="P134" s="10">
        <v>7.3894450049999998</v>
      </c>
      <c r="Q134" s="10">
        <v>11.881191510000001</v>
      </c>
      <c r="R134" s="10">
        <v>136.51</v>
      </c>
      <c r="S134" s="10">
        <v>140.63999999999999</v>
      </c>
      <c r="T134" s="10">
        <v>136.51</v>
      </c>
      <c r="U134" s="10">
        <v>140.63999999999999</v>
      </c>
      <c r="V134" s="53" t="s">
        <v>146</v>
      </c>
      <c r="W134" s="53" t="s">
        <v>612</v>
      </c>
      <c r="Y134" s="10">
        <f t="shared" si="17"/>
        <v>0.12192096635912861</v>
      </c>
      <c r="Z134" s="10">
        <f t="shared" si="18"/>
        <v>3.3744234220966438E-2</v>
      </c>
      <c r="AA134" s="10">
        <f t="shared" si="19"/>
        <v>1.5841722027580436</v>
      </c>
      <c r="AB134" s="10">
        <f t="shared" si="20"/>
        <v>3.3563796628399665</v>
      </c>
      <c r="AE134" s="10">
        <f t="shared" si="14"/>
        <v>12.667218520958393</v>
      </c>
      <c r="AF134" s="10">
        <f t="shared" si="15"/>
        <v>13.050455005403181</v>
      </c>
    </row>
    <row r="135" spans="1:32" x14ac:dyDescent="0.25">
      <c r="A135" t="s">
        <v>613</v>
      </c>
      <c r="B135" s="39">
        <v>40847</v>
      </c>
      <c r="C135" s="53" t="s">
        <v>614</v>
      </c>
      <c r="D135" s="4" t="str">
        <f>VLOOKUP(LEFT(C135,2),Sort!$A$1:$B$58,2,FALSE)</f>
        <v>Malaysia</v>
      </c>
      <c r="E135" s="72">
        <v>954081632.70000005</v>
      </c>
      <c r="F135" s="72">
        <v>1328958195</v>
      </c>
      <c r="G135" s="58">
        <f t="shared" si="16"/>
        <v>0.18884125884140443</v>
      </c>
      <c r="H135" s="10">
        <v>10.555555999999999</v>
      </c>
      <c r="I135" s="10">
        <v>7.7466739999999996</v>
      </c>
      <c r="J135" s="10">
        <v>3.4890140000000001</v>
      </c>
      <c r="K135" s="10">
        <v>3.4890140000000001</v>
      </c>
      <c r="L135" s="10">
        <v>132.67920000000001</v>
      </c>
      <c r="M135" s="10">
        <v>145.83850000000001</v>
      </c>
      <c r="N135" s="10">
        <v>7.471832</v>
      </c>
      <c r="O135" s="10">
        <v>1.0606</v>
      </c>
      <c r="P135" s="10">
        <v>6.5416409179999997</v>
      </c>
      <c r="Q135" s="10">
        <v>10.823928090000001</v>
      </c>
      <c r="R135" s="10">
        <v>135.77000000000001</v>
      </c>
      <c r="S135" s="10">
        <v>138.44</v>
      </c>
      <c r="T135" s="10">
        <v>135.77000000000001</v>
      </c>
      <c r="U135" s="10">
        <v>138.44</v>
      </c>
      <c r="V135" s="53" t="s">
        <v>146</v>
      </c>
      <c r="W135" s="53" t="s">
        <v>615</v>
      </c>
      <c r="Y135" s="10">
        <f t="shared" si="17"/>
        <v>0.12469911110012975</v>
      </c>
      <c r="Z135" s="10">
        <f t="shared" si="18"/>
        <v>6.0059657663022376E-2</v>
      </c>
      <c r="AA135" s="10">
        <f t="shared" si="19"/>
        <v>2.9765867272215973</v>
      </c>
      <c r="AB135" s="10">
        <f t="shared" si="20"/>
        <v>3.7099214862873104</v>
      </c>
      <c r="AE135" s="10">
        <f t="shared" si="14"/>
        <v>25.638977712897482</v>
      </c>
      <c r="AF135" s="10">
        <f t="shared" si="15"/>
        <v>26.143183874004031</v>
      </c>
    </row>
    <row r="136" spans="1:32" x14ac:dyDescent="0.25">
      <c r="A136" t="s">
        <v>524</v>
      </c>
      <c r="B136" s="39">
        <v>40847</v>
      </c>
      <c r="C136" s="53" t="s">
        <v>525</v>
      </c>
      <c r="D136" s="4" t="str">
        <f>VLOOKUP(LEFT(C136,2),Sort!$A$1:$B$58,2,FALSE)</f>
        <v>Mexico</v>
      </c>
      <c r="E136" s="72">
        <v>297477823.69999999</v>
      </c>
      <c r="F136" s="72">
        <v>309751883.60000002</v>
      </c>
      <c r="G136" s="58">
        <f t="shared" si="16"/>
        <v>1.7838630129458875E-2</v>
      </c>
      <c r="H136" s="10">
        <v>9.5638889999999996</v>
      </c>
      <c r="I136" s="10">
        <v>7.6771839999999996</v>
      </c>
      <c r="J136" s="10">
        <v>4.3586919999999996</v>
      </c>
      <c r="K136" s="10">
        <v>4.3586919999999996</v>
      </c>
      <c r="L136" s="10">
        <v>230.63900000000001</v>
      </c>
      <c r="M136" s="10">
        <v>238.7235</v>
      </c>
      <c r="N136" s="10">
        <v>7.4229459999999996</v>
      </c>
      <c r="O136" s="10">
        <v>1.2999999999999999E-2</v>
      </c>
      <c r="P136" s="10">
        <v>3.3541167629999999</v>
      </c>
      <c r="Q136" s="10">
        <v>4.841367</v>
      </c>
      <c r="R136" s="10">
        <v>102</v>
      </c>
      <c r="S136" s="10">
        <v>104</v>
      </c>
      <c r="T136" s="10">
        <v>102</v>
      </c>
      <c r="U136" s="10">
        <v>104</v>
      </c>
      <c r="V136" s="53" t="s">
        <v>146</v>
      </c>
      <c r="W136" s="53" t="s">
        <v>526</v>
      </c>
      <c r="Y136" s="10">
        <f t="shared" si="17"/>
        <v>2.8803990798556459E-2</v>
      </c>
      <c r="Z136" s="10">
        <f t="shared" si="18"/>
        <v>1.0465717817018277E-2</v>
      </c>
      <c r="AA136" s="10">
        <f t="shared" si="19"/>
        <v>0.50500233074747969</v>
      </c>
      <c r="AB136" s="10">
        <f t="shared" si="20"/>
        <v>0.21448399008693511</v>
      </c>
      <c r="AE136" s="10">
        <f t="shared" si="14"/>
        <v>1.8195402732048054</v>
      </c>
      <c r="AF136" s="10">
        <f t="shared" si="15"/>
        <v>1.8552175334637231</v>
      </c>
    </row>
    <row r="137" spans="1:32" x14ac:dyDescent="0.25">
      <c r="A137" t="s">
        <v>527</v>
      </c>
      <c r="B137" s="39">
        <v>40847</v>
      </c>
      <c r="C137" s="53" t="s">
        <v>528</v>
      </c>
      <c r="D137" s="4" t="str">
        <f>VLOOKUP(LEFT(C137,2),Sort!$A$1:$B$58,2,FALSE)</f>
        <v>Mexico</v>
      </c>
      <c r="E137" s="72">
        <v>446216735.5</v>
      </c>
      <c r="F137" s="72">
        <v>480352315.80000001</v>
      </c>
      <c r="G137" s="58">
        <f t="shared" si="16"/>
        <v>2.7663519568619094E-2</v>
      </c>
      <c r="H137" s="10">
        <v>3.3694440000000001</v>
      </c>
      <c r="I137" s="10">
        <v>3.1063779999999999</v>
      </c>
      <c r="J137" s="10">
        <v>2.3869820000000002</v>
      </c>
      <c r="K137" s="10">
        <v>2.3869820000000002</v>
      </c>
      <c r="L137" s="10">
        <v>188.0104</v>
      </c>
      <c r="M137" s="10">
        <v>191.0145</v>
      </c>
      <c r="N137" s="10">
        <v>3.0999249999999998</v>
      </c>
      <c r="O137" s="10">
        <v>1.26E-2</v>
      </c>
      <c r="P137" s="10">
        <v>2.017768507</v>
      </c>
      <c r="Q137" s="10">
        <v>5.264768546</v>
      </c>
      <c r="R137" s="10">
        <v>107</v>
      </c>
      <c r="S137" s="10">
        <v>108</v>
      </c>
      <c r="T137" s="10">
        <v>107</v>
      </c>
      <c r="U137" s="10">
        <v>108</v>
      </c>
      <c r="V137" s="53" t="s">
        <v>146</v>
      </c>
      <c r="W137" s="53" t="s">
        <v>529</v>
      </c>
      <c r="Y137" s="10">
        <f t="shared" si="17"/>
        <v>3.2447086730253108E-2</v>
      </c>
      <c r="Z137" s="10">
        <f t="shared" si="18"/>
        <v>1.4851757641956601E-2</v>
      </c>
      <c r="AA137" s="10">
        <f t="shared" si="19"/>
        <v>1.4091630836932632</v>
      </c>
      <c r="AB137" s="10">
        <f t="shared" si="20"/>
        <v>0.34540707522936803</v>
      </c>
      <c r="AE137" s="10">
        <f t="shared" si="14"/>
        <v>2.9599965938422432</v>
      </c>
      <c r="AF137" s="10">
        <f t="shared" si="15"/>
        <v>2.987660113410862</v>
      </c>
    </row>
    <row r="138" spans="1:32" x14ac:dyDescent="0.25">
      <c r="A138" t="s">
        <v>530</v>
      </c>
      <c r="B138" s="39">
        <v>40847</v>
      </c>
      <c r="C138" s="53" t="s">
        <v>531</v>
      </c>
      <c r="D138" s="4" t="str">
        <f>VLOOKUP(LEFT(C138,2),Sort!$A$1:$B$58,2,FALSE)</f>
        <v>Mexico</v>
      </c>
      <c r="E138" s="72">
        <v>892433471.10000002</v>
      </c>
      <c r="F138" s="72">
        <v>968810899.39999998</v>
      </c>
      <c r="G138" s="58">
        <f t="shared" si="16"/>
        <v>5.5793879601076263E-2</v>
      </c>
      <c r="H138" s="10">
        <v>9.2166669999999993</v>
      </c>
      <c r="I138" s="10">
        <v>7.3507550000000004</v>
      </c>
      <c r="J138" s="10">
        <v>4.4322410000000003</v>
      </c>
      <c r="K138" s="10">
        <v>4.4322410000000003</v>
      </c>
      <c r="L138" s="10">
        <v>244.49850000000001</v>
      </c>
      <c r="M138" s="10">
        <v>252.88669999999999</v>
      </c>
      <c r="N138" s="10">
        <v>7.1172789999999999</v>
      </c>
      <c r="O138" s="10">
        <v>1.41E-2</v>
      </c>
      <c r="P138" s="10">
        <v>2.2875376730000001</v>
      </c>
      <c r="Q138" s="10">
        <v>10.26608175</v>
      </c>
      <c r="R138" s="10">
        <v>107</v>
      </c>
      <c r="S138" s="10">
        <v>108</v>
      </c>
      <c r="T138" s="10">
        <v>107</v>
      </c>
      <c r="U138" s="10">
        <v>108</v>
      </c>
      <c r="V138" s="53" t="s">
        <v>146</v>
      </c>
      <c r="W138" s="53" t="s">
        <v>532</v>
      </c>
      <c r="Y138" s="10">
        <f t="shared" si="17"/>
        <v>8.6259656044523153E-2</v>
      </c>
      <c r="Z138" s="10">
        <f t="shared" si="18"/>
        <v>3.3285973753426581E-2</v>
      </c>
      <c r="AA138" s="10">
        <f t="shared" si="19"/>
        <v>1.6732054044502205</v>
      </c>
      <c r="AB138" s="10">
        <f t="shared" si="20"/>
        <v>0.69664312673245476</v>
      </c>
      <c r="AE138" s="10">
        <f t="shared" si="14"/>
        <v>5.9699451173151603</v>
      </c>
      <c r="AF138" s="10">
        <f t="shared" si="15"/>
        <v>6.0257389969162363</v>
      </c>
    </row>
    <row r="139" spans="1:32" x14ac:dyDescent="0.25">
      <c r="A139" t="s">
        <v>533</v>
      </c>
      <c r="B139" s="39">
        <v>40847</v>
      </c>
      <c r="C139" s="53" t="s">
        <v>534</v>
      </c>
      <c r="D139" s="4" t="str">
        <f>VLOOKUP(LEFT(C139,2),Sort!$A$1:$B$58,2,FALSE)</f>
        <v>Mexico</v>
      </c>
      <c r="E139" s="72">
        <v>738931344.29999995</v>
      </c>
      <c r="F139" s="72">
        <v>821989281.60000002</v>
      </c>
      <c r="G139" s="58">
        <f t="shared" si="16"/>
        <v>4.7338413553531057E-2</v>
      </c>
      <c r="H139" s="10">
        <v>6.3277780000000003</v>
      </c>
      <c r="I139" s="10">
        <v>5.3840329999999996</v>
      </c>
      <c r="J139" s="10">
        <v>3.7361409999999999</v>
      </c>
      <c r="K139" s="10">
        <v>3.7361409999999999</v>
      </c>
      <c r="L139" s="10">
        <v>236.21100000000001</v>
      </c>
      <c r="M139" s="10">
        <v>242.11250000000001</v>
      </c>
      <c r="N139" s="10">
        <v>5.2898680000000002</v>
      </c>
      <c r="O139" s="10">
        <v>1.44E-2</v>
      </c>
      <c r="P139" s="10">
        <v>1.781652217</v>
      </c>
      <c r="Q139" s="10">
        <v>8.6079079380000003</v>
      </c>
      <c r="R139" s="10">
        <v>110.25</v>
      </c>
      <c r="S139" s="10">
        <v>111.25</v>
      </c>
      <c r="T139" s="10">
        <v>110.25</v>
      </c>
      <c r="U139" s="10">
        <v>111.25</v>
      </c>
      <c r="V139" s="53" t="s">
        <v>146</v>
      </c>
      <c r="W139" s="53" t="s">
        <v>535</v>
      </c>
      <c r="Y139" s="10">
        <f t="shared" si="17"/>
        <v>8.8735717636094266E-2</v>
      </c>
      <c r="Z139" s="10">
        <f t="shared" si="18"/>
        <v>3.977940045075757E-2</v>
      </c>
      <c r="AA139" s="10">
        <f t="shared" si="19"/>
        <v>1.359150721754534</v>
      </c>
      <c r="AB139" s="10">
        <f t="shared" si="20"/>
        <v>0.60885483506531224</v>
      </c>
      <c r="AE139" s="10">
        <f t="shared" si="14"/>
        <v>5.2190600942767986</v>
      </c>
      <c r="AF139" s="10">
        <f t="shared" si="15"/>
        <v>5.2663985078303304</v>
      </c>
    </row>
    <row r="140" spans="1:32" x14ac:dyDescent="0.25">
      <c r="A140" t="s">
        <v>536</v>
      </c>
      <c r="B140" s="39">
        <v>40847</v>
      </c>
      <c r="C140" s="53" t="s">
        <v>537</v>
      </c>
      <c r="D140" s="4" t="str">
        <f>VLOOKUP(LEFT(C140,2),Sort!$A$1:$B$58,2,FALSE)</f>
        <v>Mexico</v>
      </c>
      <c r="E140" s="72">
        <v>371847279.60000002</v>
      </c>
      <c r="F140" s="72">
        <v>409873828.89999998</v>
      </c>
      <c r="G140" s="58">
        <f t="shared" si="16"/>
        <v>2.3604659150141198E-2</v>
      </c>
      <c r="H140" s="10">
        <v>29.580556000000001</v>
      </c>
      <c r="I140" s="10">
        <v>13.557352</v>
      </c>
      <c r="J140" s="10">
        <v>5.8893469999999999</v>
      </c>
      <c r="K140" s="10">
        <v>5.8893469999999999</v>
      </c>
      <c r="L140" s="10">
        <v>276.06549999999999</v>
      </c>
      <c r="M140" s="10">
        <v>302.17169999999999</v>
      </c>
      <c r="N140" s="10">
        <v>12.576831</v>
      </c>
      <c r="O140" s="10">
        <v>0.70169999999999999</v>
      </c>
      <c r="P140" s="10">
        <v>2.5640027280000002</v>
      </c>
      <c r="Q140" s="10">
        <v>8.5009189999999997</v>
      </c>
      <c r="R140" s="10">
        <v>107.5</v>
      </c>
      <c r="S140" s="10">
        <v>108.5</v>
      </c>
      <c r="T140" s="10">
        <v>107.5</v>
      </c>
      <c r="U140" s="10">
        <v>108.5</v>
      </c>
      <c r="V140" s="53" t="s">
        <v>146</v>
      </c>
      <c r="W140" s="53" t="s">
        <v>4655</v>
      </c>
      <c r="Y140" s="10">
        <f t="shared" si="17"/>
        <v>0.10169779994233324</v>
      </c>
      <c r="Z140" s="10">
        <f t="shared" si="18"/>
        <v>1.8711827965381345E-2</v>
      </c>
      <c r="AA140" s="10">
        <f t="shared" si="19"/>
        <v>0.84584002117314239</v>
      </c>
      <c r="AB140" s="10">
        <f t="shared" si="20"/>
        <v>0.29609257166934549</v>
      </c>
      <c r="AE140" s="10">
        <f t="shared" si="14"/>
        <v>2.5375008586401786</v>
      </c>
      <c r="AF140" s="10">
        <f t="shared" si="15"/>
        <v>2.5611055177903199</v>
      </c>
    </row>
    <row r="141" spans="1:32" x14ac:dyDescent="0.25">
      <c r="A141" t="s">
        <v>538</v>
      </c>
      <c r="B141" s="39">
        <v>40847</v>
      </c>
      <c r="C141" s="53" t="s">
        <v>539</v>
      </c>
      <c r="D141" s="4" t="str">
        <f>VLOOKUP(LEFT(C141,2),Sort!$A$1:$B$58,2,FALSE)</f>
        <v>Mexico</v>
      </c>
      <c r="E141" s="72">
        <v>297477823.69999999</v>
      </c>
      <c r="F141" s="72">
        <v>297162785.80000001</v>
      </c>
      <c r="G141" s="58">
        <f t="shared" si="16"/>
        <v>1.7113623208733296E-2</v>
      </c>
      <c r="H141" s="10">
        <v>37.902777999999998</v>
      </c>
      <c r="I141" s="10">
        <v>13.552898000000001</v>
      </c>
      <c r="J141" s="10">
        <v>6.6613090000000001</v>
      </c>
      <c r="K141" s="10">
        <v>6.6613090000000001</v>
      </c>
      <c r="L141" s="10">
        <v>310.98480000000001</v>
      </c>
      <c r="M141" s="10">
        <v>380.8297</v>
      </c>
      <c r="N141" s="10">
        <v>12.581092999999999</v>
      </c>
      <c r="O141" s="10">
        <v>1.84E-2</v>
      </c>
      <c r="P141" s="10">
        <v>0.77200358700000005</v>
      </c>
      <c r="Q141" s="10">
        <v>5.6267890549999997</v>
      </c>
      <c r="R141" s="10">
        <v>99.25</v>
      </c>
      <c r="S141" s="10">
        <v>100.25</v>
      </c>
      <c r="T141" s="10">
        <v>99.25</v>
      </c>
      <c r="U141" s="10">
        <v>100.25</v>
      </c>
      <c r="V141" s="53" t="s">
        <v>146</v>
      </c>
      <c r="W141" s="53" t="s">
        <v>540</v>
      </c>
      <c r="Y141" s="10">
        <f t="shared" si="17"/>
        <v>7.3707738732007436E-2</v>
      </c>
      <c r="Z141" s="10">
        <f t="shared" si="18"/>
        <v>7.3034008337838768E-2</v>
      </c>
      <c r="AA141" s="10">
        <f t="shared" si="19"/>
        <v>0.77287540137589616</v>
      </c>
      <c r="AB141" s="10">
        <f t="shared" si="20"/>
        <v>0.19834734308811355</v>
      </c>
      <c r="AE141" s="10">
        <f t="shared" si="14"/>
        <v>1.6985271034667797</v>
      </c>
      <c r="AF141" s="10">
        <f t="shared" si="15"/>
        <v>1.7156407266755129</v>
      </c>
    </row>
    <row r="142" spans="1:32" x14ac:dyDescent="0.25">
      <c r="A142" t="s">
        <v>541</v>
      </c>
      <c r="B142" s="39">
        <v>40847</v>
      </c>
      <c r="C142" s="53" t="s">
        <v>542</v>
      </c>
      <c r="D142" s="4" t="str">
        <f>VLOOKUP(LEFT(C142,2),Sort!$A$1:$B$58,2,FALSE)</f>
        <v>Mexico</v>
      </c>
      <c r="E142" s="72">
        <v>952523991.39999998</v>
      </c>
      <c r="F142" s="72">
        <v>1064822598</v>
      </c>
      <c r="G142" s="58">
        <f t="shared" si="16"/>
        <v>6.1323199260156086E-2</v>
      </c>
      <c r="H142" s="10">
        <v>23.616667</v>
      </c>
      <c r="I142" s="10">
        <v>12.435561</v>
      </c>
      <c r="J142" s="10">
        <v>5.8203509999999996</v>
      </c>
      <c r="K142" s="10">
        <v>5.8203509999999996</v>
      </c>
      <c r="L142" s="10">
        <v>299.4624</v>
      </c>
      <c r="M142" s="10">
        <v>307.43810000000002</v>
      </c>
      <c r="N142" s="10">
        <v>11.616199</v>
      </c>
      <c r="O142" s="10">
        <v>0.2407</v>
      </c>
      <c r="P142" s="10">
        <v>2.5363861349999999</v>
      </c>
      <c r="Q142" s="10">
        <v>14.35750283</v>
      </c>
      <c r="R142" s="10">
        <v>109.25</v>
      </c>
      <c r="S142" s="10">
        <v>110.25</v>
      </c>
      <c r="T142" s="10">
        <v>109.25</v>
      </c>
      <c r="U142" s="10">
        <v>110.25</v>
      </c>
      <c r="V142" s="53" t="s">
        <v>146</v>
      </c>
      <c r="W142" s="53" t="s">
        <v>543</v>
      </c>
      <c r="Y142" s="10">
        <f t="shared" si="17"/>
        <v>0.24234225146969834</v>
      </c>
      <c r="Z142" s="10">
        <f t="shared" si="18"/>
        <v>4.8042469004680025E-2</v>
      </c>
      <c r="AA142" s="10">
        <f t="shared" si="19"/>
        <v>2.2357292058563951</v>
      </c>
      <c r="AB142" s="10">
        <f t="shared" si="20"/>
        <v>0.78163400021979157</v>
      </c>
      <c r="AE142" s="10">
        <f t="shared" si="14"/>
        <v>6.6995595191720527</v>
      </c>
      <c r="AF142" s="10">
        <f t="shared" si="15"/>
        <v>6.7608827184322084</v>
      </c>
    </row>
    <row r="143" spans="1:32" x14ac:dyDescent="0.25">
      <c r="A143" t="s">
        <v>544</v>
      </c>
      <c r="B143" s="39">
        <v>40847</v>
      </c>
      <c r="C143" s="53" t="s">
        <v>545</v>
      </c>
      <c r="D143" s="4" t="str">
        <f>VLOOKUP(LEFT(C143,2),Sort!$A$1:$B$58,2,FALSE)</f>
        <v>Mexico</v>
      </c>
      <c r="E143" s="72">
        <v>148738911.80000001</v>
      </c>
      <c r="F143" s="72">
        <v>166274609.30000001</v>
      </c>
      <c r="G143" s="58">
        <f t="shared" si="16"/>
        <v>9.5757650308699628E-3</v>
      </c>
      <c r="H143" s="10">
        <v>26.616667</v>
      </c>
      <c r="I143" s="10">
        <v>13.046891</v>
      </c>
      <c r="J143" s="10">
        <v>5.8592969999999998</v>
      </c>
      <c r="K143" s="10">
        <v>5.8592969999999998</v>
      </c>
      <c r="L143" s="10">
        <v>288.11700000000002</v>
      </c>
      <c r="M143" s="10">
        <v>304.63830000000002</v>
      </c>
      <c r="N143" s="10">
        <v>12.141118000000001</v>
      </c>
      <c r="O143" s="10">
        <v>0.2407</v>
      </c>
      <c r="P143" s="10">
        <v>2.5363856249999999</v>
      </c>
      <c r="Q143" s="10">
        <v>16.083773950000001</v>
      </c>
      <c r="R143" s="10">
        <v>109.25</v>
      </c>
      <c r="S143" s="10">
        <v>110.25</v>
      </c>
      <c r="T143" s="10">
        <v>109.25</v>
      </c>
      <c r="U143" s="10">
        <v>110.25</v>
      </c>
      <c r="V143" s="53" t="s">
        <v>146</v>
      </c>
      <c r="W143" s="53" t="s">
        <v>546</v>
      </c>
      <c r="Y143" s="10">
        <f t="shared" si="17"/>
        <v>3.9702647420736696E-2</v>
      </c>
      <c r="Z143" s="10">
        <f t="shared" si="18"/>
        <v>7.5521452109556303E-3</v>
      </c>
      <c r="AA143" s="10">
        <f t="shared" si="19"/>
        <v>0.3459351501996783</v>
      </c>
      <c r="AB143" s="10">
        <f t="shared" si="20"/>
        <v>0.12205402876145756</v>
      </c>
      <c r="AE143" s="10">
        <f t="shared" si="14"/>
        <v>1.0461523296225435</v>
      </c>
      <c r="AF143" s="10">
        <f t="shared" si="15"/>
        <v>1.0557280946534133</v>
      </c>
    </row>
    <row r="144" spans="1:32" x14ac:dyDescent="0.25">
      <c r="A144" t="s">
        <v>547</v>
      </c>
      <c r="B144" s="39">
        <v>40847</v>
      </c>
      <c r="C144" s="53" t="s">
        <v>548</v>
      </c>
      <c r="D144" s="4" t="str">
        <f>VLOOKUP(LEFT(C144,2),Sort!$A$1:$B$58,2,FALSE)</f>
        <v>Mexico</v>
      </c>
      <c r="E144" s="72">
        <v>297477823.69999999</v>
      </c>
      <c r="F144" s="72">
        <v>333076004.30000001</v>
      </c>
      <c r="G144" s="58">
        <f t="shared" si="16"/>
        <v>1.9181867682775744E-2</v>
      </c>
      <c r="H144" s="10">
        <v>8.338889</v>
      </c>
      <c r="I144" s="10">
        <v>6.7349160000000001</v>
      </c>
      <c r="J144" s="10">
        <v>4.2732169999999998</v>
      </c>
      <c r="K144" s="10">
        <v>4.2732169999999998</v>
      </c>
      <c r="L144" s="10">
        <v>245.03980000000001</v>
      </c>
      <c r="M144" s="10">
        <v>252.9477</v>
      </c>
      <c r="N144" s="10">
        <v>6.5495660000000004</v>
      </c>
      <c r="O144" s="10">
        <v>1.49E-2</v>
      </c>
      <c r="P144" s="10">
        <v>2.0197402320000002</v>
      </c>
      <c r="Q144" s="10">
        <v>9.7294212959999999</v>
      </c>
      <c r="R144" s="10">
        <v>111</v>
      </c>
      <c r="S144" s="10">
        <v>112</v>
      </c>
      <c r="T144" s="10">
        <v>111</v>
      </c>
      <c r="U144" s="10">
        <v>112</v>
      </c>
      <c r="V144" s="53" t="s">
        <v>146</v>
      </c>
      <c r="W144" s="53" t="s">
        <v>549</v>
      </c>
      <c r="Y144" s="10">
        <f t="shared" si="17"/>
        <v>2.7171416991104466E-2</v>
      </c>
      <c r="Z144" s="10">
        <f t="shared" si="18"/>
        <v>1.1033090410302641E-2</v>
      </c>
      <c r="AA144" s="10">
        <f t="shared" si="19"/>
        <v>0.57538473288301195</v>
      </c>
      <c r="AB144" s="10">
        <f t="shared" si="20"/>
        <v>0.2483756140159421</v>
      </c>
      <c r="AE144" s="10">
        <f t="shared" si="14"/>
        <v>2.1291873127881074</v>
      </c>
      <c r="AF144" s="10">
        <f t="shared" si="15"/>
        <v>2.1483691804708833</v>
      </c>
    </row>
    <row r="145" spans="1:32" x14ac:dyDescent="0.25">
      <c r="A145" t="s">
        <v>550</v>
      </c>
      <c r="B145" s="39">
        <v>40847</v>
      </c>
      <c r="C145" s="53" t="s">
        <v>551</v>
      </c>
      <c r="D145" s="4" t="str">
        <f>VLOOKUP(LEFT(C145,2),Sort!$A$1:$B$58,2,FALSE)</f>
        <v>Mexico</v>
      </c>
      <c r="E145" s="72">
        <v>594955647.39999998</v>
      </c>
      <c r="F145" s="72">
        <v>742207170.10000002</v>
      </c>
      <c r="G145" s="58">
        <f t="shared" si="16"/>
        <v>4.2743756819066746E-2</v>
      </c>
      <c r="H145" s="10">
        <v>7.5</v>
      </c>
      <c r="I145" s="10">
        <v>5.9798929999999997</v>
      </c>
      <c r="J145" s="10">
        <v>3.9930330000000001</v>
      </c>
      <c r="K145" s="10">
        <v>3.9930330000000001</v>
      </c>
      <c r="L145" s="10">
        <v>232.73660000000001</v>
      </c>
      <c r="M145" s="10">
        <v>244.71100000000001</v>
      </c>
      <c r="N145" s="10">
        <v>5.842854</v>
      </c>
      <c r="O145" s="10">
        <v>1.7299999999999999E-2</v>
      </c>
      <c r="P145" s="10">
        <v>2.2817555569999999</v>
      </c>
      <c r="Q145" s="10">
        <v>9.5949043360000008</v>
      </c>
      <c r="R145" s="10">
        <v>124.75</v>
      </c>
      <c r="S145" s="10">
        <v>125.75</v>
      </c>
      <c r="T145" s="10">
        <v>124.75</v>
      </c>
      <c r="U145" s="10">
        <v>125.75</v>
      </c>
      <c r="V145" s="53" t="s">
        <v>146</v>
      </c>
      <c r="W145" s="53" t="s">
        <v>552</v>
      </c>
      <c r="Y145" s="10">
        <f t="shared" si="17"/>
        <v>8.8990399597240394E-2</v>
      </c>
      <c r="Z145" s="10">
        <f t="shared" si="18"/>
        <v>2.2973487497265584E-2</v>
      </c>
      <c r="AA145" s="10">
        <f t="shared" si="19"/>
        <v>1.2404032362641746</v>
      </c>
      <c r="AB145" s="10">
        <f t="shared" si="20"/>
        <v>1.8820230916531233</v>
      </c>
      <c r="AE145" s="10">
        <f t="shared" si="14"/>
        <v>5.3322836631785764</v>
      </c>
      <c r="AF145" s="10">
        <f t="shared" si="15"/>
        <v>5.3750274199976431</v>
      </c>
    </row>
    <row r="146" spans="1:32" x14ac:dyDescent="0.25">
      <c r="A146" t="s">
        <v>553</v>
      </c>
      <c r="B146" s="39">
        <v>40847</v>
      </c>
      <c r="C146" s="53" t="s">
        <v>554</v>
      </c>
      <c r="D146" s="4" t="str">
        <f>VLOOKUP(LEFT(C146,2),Sort!$A$1:$B$58,2,FALSE)</f>
        <v>Mexico</v>
      </c>
      <c r="E146" s="72">
        <v>204409209.19999999</v>
      </c>
      <c r="F146" s="72">
        <v>202262387.19999999</v>
      </c>
      <c r="G146" s="58">
        <f t="shared" si="16"/>
        <v>1.1648303385368652E-2</v>
      </c>
      <c r="H146" s="10">
        <v>1.0833330000000001</v>
      </c>
      <c r="I146" s="10">
        <v>8.7857000000000005E-2</v>
      </c>
      <c r="J146" s="10">
        <v>1.7446969999999999</v>
      </c>
      <c r="K146" s="10">
        <v>1.7446969999999999</v>
      </c>
      <c r="L146" s="10">
        <v>163.6114</v>
      </c>
      <c r="M146" s="10">
        <v>163.55119999999999</v>
      </c>
      <c r="N146" s="10">
        <v>1.066316</v>
      </c>
      <c r="O146" s="10">
        <v>2.5999999999999999E-3</v>
      </c>
      <c r="P146" s="10">
        <v>-2.5389826000000001E-2</v>
      </c>
      <c r="Q146" s="10">
        <v>0.299924466</v>
      </c>
      <c r="R146" s="10">
        <v>98.8</v>
      </c>
      <c r="S146" s="10">
        <v>99.8</v>
      </c>
      <c r="T146" s="10">
        <v>98.8</v>
      </c>
      <c r="U146" s="10">
        <v>99.8</v>
      </c>
      <c r="V146" s="53" t="s">
        <v>146</v>
      </c>
      <c r="W146" s="53" t="s">
        <v>555</v>
      </c>
      <c r="Y146" s="10">
        <f t="shared" si="17"/>
        <v>1.6643658439496028E-3</v>
      </c>
      <c r="Z146" s="10">
        <f t="shared" si="18"/>
        <v>4.0000731637086832E-2</v>
      </c>
      <c r="AA146" s="10">
        <f t="shared" si="19"/>
        <v>0.50804700578625284</v>
      </c>
      <c r="AB146" s="10">
        <f t="shared" si="20"/>
        <v>0.67200904627912927</v>
      </c>
      <c r="AE146" s="10">
        <f t="shared" si="14"/>
        <v>1.1508523744744228</v>
      </c>
      <c r="AF146" s="10">
        <f t="shared" si="15"/>
        <v>1.1625006778597915</v>
      </c>
    </row>
    <row r="147" spans="1:32" x14ac:dyDescent="0.25">
      <c r="A147" t="s">
        <v>556</v>
      </c>
      <c r="B147" s="39">
        <v>40847</v>
      </c>
      <c r="C147" s="53" t="s">
        <v>557</v>
      </c>
      <c r="D147" s="4" t="str">
        <f>VLOOKUP(LEFT(C147,2),Sort!$A$1:$B$58,2,FALSE)</f>
        <v>Mexico</v>
      </c>
      <c r="E147" s="72">
        <v>503034999.80000001</v>
      </c>
      <c r="F147" s="72">
        <v>720681478.10000002</v>
      </c>
      <c r="G147" s="58">
        <f t="shared" si="16"/>
        <v>4.150409088578539E-2</v>
      </c>
      <c r="H147" s="10">
        <v>4.8666669999999996</v>
      </c>
      <c r="I147" s="10">
        <v>3.995266</v>
      </c>
      <c r="J147" s="10">
        <v>2.1332369999999998</v>
      </c>
      <c r="K147" s="10">
        <v>2.1332369999999998</v>
      </c>
      <c r="L147" s="10">
        <v>118.917</v>
      </c>
      <c r="M147" s="10">
        <v>127.58669999999999</v>
      </c>
      <c r="N147" s="10">
        <v>3.959613</v>
      </c>
      <c r="O147" s="10">
        <v>2.2100000000000002E-2</v>
      </c>
      <c r="P147" s="10">
        <v>0.79835877700000002</v>
      </c>
      <c r="Q147" s="10">
        <v>7.1023243999999996</v>
      </c>
      <c r="R147" s="10">
        <v>141.75</v>
      </c>
      <c r="S147" s="10">
        <v>142.5</v>
      </c>
      <c r="T147" s="10">
        <v>141.75</v>
      </c>
      <c r="U147" s="10">
        <v>142.5</v>
      </c>
      <c r="V147" s="53" t="s">
        <v>146</v>
      </c>
      <c r="W147" s="53" t="s">
        <v>558</v>
      </c>
      <c r="Y147" s="10">
        <f t="shared" si="17"/>
        <v>5.7731608558793696E-2</v>
      </c>
      <c r="Z147" s="10">
        <f t="shared" si="18"/>
        <v>1.9913669226535979E-2</v>
      </c>
      <c r="AA147" s="10">
        <f t="shared" si="19"/>
        <v>1.4121596488272781</v>
      </c>
      <c r="AB147" s="10">
        <f t="shared" si="20"/>
        <v>3.7530920779812824</v>
      </c>
      <c r="AE147" s="10">
        <f t="shared" si="14"/>
        <v>5.8832048830600794</v>
      </c>
      <c r="AF147" s="10">
        <f t="shared" si="15"/>
        <v>5.9143329512244183</v>
      </c>
    </row>
    <row r="148" spans="1:32" x14ac:dyDescent="0.25">
      <c r="A148" t="s">
        <v>559</v>
      </c>
      <c r="B148" s="39">
        <v>40847</v>
      </c>
      <c r="C148" s="53" t="s">
        <v>560</v>
      </c>
      <c r="D148" s="4" t="str">
        <f>VLOOKUP(LEFT(C148,2),Sort!$A$1:$B$58,2,FALSE)</f>
        <v>Mexico</v>
      </c>
      <c r="E148" s="72">
        <v>892433471.10000002</v>
      </c>
      <c r="F148" s="72">
        <v>1006553401</v>
      </c>
      <c r="G148" s="58">
        <f t="shared" si="16"/>
        <v>5.7967472601958052E-2</v>
      </c>
      <c r="H148" s="10">
        <v>8.1999999999999993</v>
      </c>
      <c r="I148" s="10">
        <v>6.8312290000000004</v>
      </c>
      <c r="J148" s="10">
        <v>3.479006</v>
      </c>
      <c r="K148" s="10">
        <v>3.479006</v>
      </c>
      <c r="L148" s="10">
        <v>168.22059999999999</v>
      </c>
      <c r="M148" s="10">
        <v>173.58240000000001</v>
      </c>
      <c r="N148" s="10">
        <v>6.6425979999999996</v>
      </c>
      <c r="O148" s="10">
        <v>-0.16439999999999999</v>
      </c>
      <c r="P148" s="10">
        <v>2.8718026939999999</v>
      </c>
      <c r="Q148" s="10">
        <v>10.844600890000001</v>
      </c>
      <c r="R148" s="10">
        <v>111.25</v>
      </c>
      <c r="S148" s="10">
        <v>111.65</v>
      </c>
      <c r="T148" s="10">
        <v>111.25</v>
      </c>
      <c r="U148" s="10">
        <v>111.65</v>
      </c>
      <c r="V148" s="53" t="s">
        <v>146</v>
      </c>
      <c r="W148" s="53" t="s">
        <v>561</v>
      </c>
      <c r="Y148" s="10">
        <f t="shared" si="17"/>
        <v>8.3286080202357948E-2</v>
      </c>
      <c r="Z148" s="10">
        <f t="shared" si="18"/>
        <v>4.535872298738327E-2</v>
      </c>
      <c r="AA148" s="10">
        <f t="shared" si="19"/>
        <v>2.6833513515382541</v>
      </c>
      <c r="AB148" s="10">
        <f t="shared" si="20"/>
        <v>0.74824381049323618</v>
      </c>
      <c r="AE148" s="10">
        <f t="shared" si="14"/>
        <v>6.4488813269678333</v>
      </c>
      <c r="AF148" s="10">
        <f t="shared" si="15"/>
        <v>6.4720683160086168</v>
      </c>
    </row>
    <row r="149" spans="1:32" x14ac:dyDescent="0.25">
      <c r="A149" t="s">
        <v>562</v>
      </c>
      <c r="B149" s="39">
        <v>40847</v>
      </c>
      <c r="C149" s="53" t="s">
        <v>563</v>
      </c>
      <c r="D149" s="4" t="str">
        <f>VLOOKUP(LEFT(C149,2),Sort!$A$1:$B$58,2,FALSE)</f>
        <v>Mexico</v>
      </c>
      <c r="E149" s="72">
        <v>594955647.39999998</v>
      </c>
      <c r="F149" s="72">
        <v>604388175.39999998</v>
      </c>
      <c r="G149" s="58">
        <f t="shared" si="16"/>
        <v>3.4806752392511082E-2</v>
      </c>
      <c r="H149" s="10">
        <v>98.941666999999995</v>
      </c>
      <c r="I149" s="10">
        <v>17.303046999999999</v>
      </c>
      <c r="J149" s="10">
        <v>5.6365740000000004</v>
      </c>
      <c r="K149" s="10">
        <v>5.6365740000000004</v>
      </c>
      <c r="L149" s="10">
        <v>-101.5663</v>
      </c>
      <c r="M149" s="10">
        <v>263.58159999999998</v>
      </c>
      <c r="N149" s="10">
        <v>15.953741000000001</v>
      </c>
      <c r="O149" s="10">
        <v>0.75970000000000004</v>
      </c>
      <c r="P149" s="10">
        <v>4.2389667109999998</v>
      </c>
      <c r="Q149" s="10">
        <v>21.142500640000002</v>
      </c>
      <c r="R149" s="10">
        <v>101.25</v>
      </c>
      <c r="S149" s="10">
        <v>102</v>
      </c>
      <c r="T149" s="10">
        <v>101.25</v>
      </c>
      <c r="U149" s="10">
        <v>102</v>
      </c>
      <c r="V149" s="53" t="s">
        <v>146</v>
      </c>
      <c r="W149" s="53" t="s">
        <v>564</v>
      </c>
      <c r="Y149" s="10">
        <f t="shared" si="17"/>
        <v>0.19139255640777803</v>
      </c>
      <c r="Z149" s="10">
        <f t="shared" si="18"/>
        <v>2.6407668249662588E-2</v>
      </c>
      <c r="AA149" s="10">
        <f t="shared" si="19"/>
        <v>1.0879659468970977</v>
      </c>
      <c r="AB149" s="10">
        <f t="shared" si="20"/>
        <v>0.41045326601668441</v>
      </c>
      <c r="AE149" s="10">
        <f t="shared" si="14"/>
        <v>3.5241836797417472</v>
      </c>
      <c r="AF149" s="10">
        <f t="shared" si="15"/>
        <v>3.5502887440361306</v>
      </c>
    </row>
    <row r="150" spans="1:32" x14ac:dyDescent="0.25">
      <c r="A150" t="s">
        <v>565</v>
      </c>
      <c r="B150" s="39">
        <v>40847</v>
      </c>
      <c r="C150" s="53" t="s">
        <v>566</v>
      </c>
      <c r="D150" s="4" t="str">
        <f>VLOOKUP(LEFT(C150,2),Sort!$A$1:$B$58,2,FALSE)</f>
        <v>Mexico</v>
      </c>
      <c r="E150" s="72">
        <v>1041172383</v>
      </c>
      <c r="F150" s="72">
        <v>1204506301</v>
      </c>
      <c r="G150" s="58">
        <f t="shared" si="16"/>
        <v>6.936759235300953E-2</v>
      </c>
      <c r="H150" s="10">
        <v>5.2027780000000003</v>
      </c>
      <c r="I150" s="10">
        <v>4.5503049999999998</v>
      </c>
      <c r="J150" s="10">
        <v>2.6229269999999998</v>
      </c>
      <c r="K150" s="10">
        <v>2.6229269999999998</v>
      </c>
      <c r="L150" s="10">
        <v>158.02090000000001</v>
      </c>
      <c r="M150" s="10">
        <v>162.8622</v>
      </c>
      <c r="N150" s="10">
        <v>4.4972709999999996</v>
      </c>
      <c r="O150" s="10">
        <v>1.35E-2</v>
      </c>
      <c r="P150" s="10">
        <v>2.833333493</v>
      </c>
      <c r="Q150" s="10">
        <v>7.8837927329999999</v>
      </c>
      <c r="R150" s="10">
        <v>114</v>
      </c>
      <c r="S150" s="10">
        <v>114.5</v>
      </c>
      <c r="T150" s="10">
        <v>114</v>
      </c>
      <c r="U150" s="10">
        <v>114.5</v>
      </c>
      <c r="V150" s="53" t="s">
        <v>146</v>
      </c>
      <c r="W150" s="53" t="s">
        <v>567</v>
      </c>
      <c r="Y150" s="10">
        <f t="shared" si="17"/>
        <v>0.1098940508060491</v>
      </c>
      <c r="Z150" s="10">
        <f t="shared" si="18"/>
        <v>4.0922683110950653E-2</v>
      </c>
      <c r="AA150" s="10">
        <f t="shared" si="19"/>
        <v>3.0127590925169314</v>
      </c>
      <c r="AB150" s="10">
        <f t="shared" si="20"/>
        <v>0.91825256024981372</v>
      </c>
      <c r="AE150" s="10">
        <f t="shared" si="14"/>
        <v>7.9079055282430861</v>
      </c>
      <c r="AF150" s="10">
        <f t="shared" si="15"/>
        <v>7.9425893244195915</v>
      </c>
    </row>
    <row r="151" spans="1:32" x14ac:dyDescent="0.25">
      <c r="A151" t="s">
        <v>568</v>
      </c>
      <c r="B151" s="39">
        <v>40847</v>
      </c>
      <c r="C151" s="53" t="s">
        <v>569</v>
      </c>
      <c r="D151" s="4" t="str">
        <f>VLOOKUP(LEFT(C151,2),Sort!$A$1:$B$58,2,FALSE)</f>
        <v>Mexico</v>
      </c>
      <c r="E151" s="72">
        <v>446216735.5</v>
      </c>
      <c r="F151" s="72">
        <v>493026111.5</v>
      </c>
      <c r="G151" s="58">
        <f t="shared" si="16"/>
        <v>2.8393404246642814E-2</v>
      </c>
      <c r="H151" s="10">
        <v>2.2916669999999999</v>
      </c>
      <c r="I151" s="10">
        <v>2.1438440000000001</v>
      </c>
      <c r="J151" s="10">
        <v>1.628509</v>
      </c>
      <c r="K151" s="10">
        <v>1.628509</v>
      </c>
      <c r="L151" s="10">
        <v>133.7176</v>
      </c>
      <c r="M151" s="10">
        <v>134.99719999999999</v>
      </c>
      <c r="N151" s="10">
        <v>2.1403490000000001</v>
      </c>
      <c r="O151" s="10">
        <v>0.24160000000000001</v>
      </c>
      <c r="P151" s="10">
        <v>1.80308314</v>
      </c>
      <c r="Q151" s="10">
        <v>3.0692362179999999</v>
      </c>
      <c r="R151" s="10">
        <v>109.25</v>
      </c>
      <c r="S151" s="10">
        <v>109.5</v>
      </c>
      <c r="T151" s="10">
        <v>109.25</v>
      </c>
      <c r="U151" s="10">
        <v>109.5</v>
      </c>
      <c r="V151" s="53" t="s">
        <v>146</v>
      </c>
      <c r="W151" s="53" t="s">
        <v>570</v>
      </c>
      <c r="Y151" s="10">
        <f t="shared" si="17"/>
        <v>2.2983947449353104E-2</v>
      </c>
      <c r="Z151" s="10">
        <f t="shared" si="18"/>
        <v>9.1010788246595253E-2</v>
      </c>
      <c r="AA151" s="10">
        <f t="shared" si="19"/>
        <v>1.0221854955620198</v>
      </c>
      <c r="AB151" s="10">
        <f t="shared" si="20"/>
        <v>0.35944431987139502</v>
      </c>
      <c r="AE151" s="10">
        <f t="shared" si="14"/>
        <v>3.1019794139457275</v>
      </c>
      <c r="AF151" s="10">
        <f t="shared" si="15"/>
        <v>3.1090777650073882</v>
      </c>
    </row>
    <row r="152" spans="1:32" x14ac:dyDescent="0.25">
      <c r="A152" t="s">
        <v>571</v>
      </c>
      <c r="B152" s="39">
        <v>40847</v>
      </c>
      <c r="C152" s="53" t="s">
        <v>572</v>
      </c>
      <c r="D152" s="4" t="str">
        <f>VLOOKUP(LEFT(C152,2),Sort!$A$1:$B$58,2,FALSE)</f>
        <v>Mexico</v>
      </c>
      <c r="E152" s="72">
        <v>384043870.39999998</v>
      </c>
      <c r="F152" s="72">
        <v>424224460.30000001</v>
      </c>
      <c r="G152" s="58">
        <f t="shared" si="16"/>
        <v>2.4431112899811952E-2</v>
      </c>
      <c r="H152" s="10">
        <v>2.2000000000000002</v>
      </c>
      <c r="I152" s="10">
        <v>2.0534490000000001</v>
      </c>
      <c r="J152" s="10">
        <v>1.6889890000000001</v>
      </c>
      <c r="K152" s="10">
        <v>1.6889890000000001</v>
      </c>
      <c r="L152" s="10">
        <v>141.15889999999999</v>
      </c>
      <c r="M152" s="10">
        <v>142.119</v>
      </c>
      <c r="N152" s="10">
        <v>2.0514770000000002</v>
      </c>
      <c r="O152" s="10">
        <v>-3.0499999999999999E-2</v>
      </c>
      <c r="P152" s="10">
        <v>1.3830809509999999</v>
      </c>
      <c r="Q152" s="10">
        <v>2.5319344789999998</v>
      </c>
      <c r="R152" s="10">
        <v>108.7</v>
      </c>
      <c r="S152" s="10">
        <v>109</v>
      </c>
      <c r="T152" s="10">
        <v>108.7</v>
      </c>
      <c r="U152" s="10">
        <v>109</v>
      </c>
      <c r="V152" s="53" t="s">
        <v>146</v>
      </c>
      <c r="W152" s="53" t="s">
        <v>573</v>
      </c>
      <c r="Y152" s="10">
        <f t="shared" si="17"/>
        <v>1.8942667927042665E-2</v>
      </c>
      <c r="Z152" s="10">
        <f t="shared" si="18"/>
        <v>8.121856629308917E-2</v>
      </c>
      <c r="AA152" s="10">
        <f t="shared" si="19"/>
        <v>0.92594007585415317</v>
      </c>
      <c r="AB152" s="10">
        <f t="shared" si="20"/>
        <v>0.30787171347414344</v>
      </c>
      <c r="AE152" s="10">
        <f t="shared" si="14"/>
        <v>2.6556619722095594</v>
      </c>
      <c r="AF152" s="10">
        <f t="shared" si="15"/>
        <v>2.662991306079503</v>
      </c>
    </row>
    <row r="153" spans="1:32" x14ac:dyDescent="0.25">
      <c r="A153" t="s">
        <v>574</v>
      </c>
      <c r="B153" s="39">
        <v>40847</v>
      </c>
      <c r="C153" s="53" t="s">
        <v>575</v>
      </c>
      <c r="D153" s="4" t="str">
        <f>VLOOKUP(LEFT(C153,2),Sort!$A$1:$B$58,2,FALSE)</f>
        <v>Mexico</v>
      </c>
      <c r="E153" s="72">
        <v>892433471.10000002</v>
      </c>
      <c r="F153" s="72">
        <v>1050637134</v>
      </c>
      <c r="G153" s="58">
        <f t="shared" si="16"/>
        <v>6.0506257511264157E-2</v>
      </c>
      <c r="H153" s="10">
        <v>7.3777780000000002</v>
      </c>
      <c r="I153" s="10">
        <v>6.174798</v>
      </c>
      <c r="J153" s="10">
        <v>3.2613349999999999</v>
      </c>
      <c r="K153" s="10">
        <v>3.2613349999999999</v>
      </c>
      <c r="L153" s="10">
        <v>161.85650000000001</v>
      </c>
      <c r="M153" s="10">
        <v>170.08949999999999</v>
      </c>
      <c r="N153" s="10">
        <v>6.0333360000000003</v>
      </c>
      <c r="O153" s="10">
        <v>-7.0900000000000005E-2</v>
      </c>
      <c r="P153" s="10">
        <v>3.0304941350000001</v>
      </c>
      <c r="Q153" s="10">
        <v>9.6750342939999996</v>
      </c>
      <c r="R153" s="10">
        <v>117</v>
      </c>
      <c r="S153" s="10">
        <v>117.5</v>
      </c>
      <c r="T153" s="10">
        <v>117</v>
      </c>
      <c r="U153" s="10">
        <v>117.5</v>
      </c>
      <c r="V153" s="53" t="s">
        <v>146</v>
      </c>
      <c r="W153" s="53" t="s">
        <v>576</v>
      </c>
      <c r="Y153" s="10">
        <f t="shared" si="17"/>
        <v>7.8580042501449149E-2</v>
      </c>
      <c r="Z153" s="10">
        <f t="shared" si="18"/>
        <v>4.438303313230179E-2</v>
      </c>
      <c r="AA153" s="10">
        <f t="shared" si="19"/>
        <v>2.7445129450103227</v>
      </c>
      <c r="AB153" s="10">
        <f t="shared" si="20"/>
        <v>0.82193637026578448</v>
      </c>
      <c r="AE153" s="10">
        <f t="shared" si="14"/>
        <v>7.0792321288179068</v>
      </c>
      <c r="AF153" s="10">
        <f t="shared" si="15"/>
        <v>7.1094852575735388</v>
      </c>
    </row>
    <row r="154" spans="1:32" x14ac:dyDescent="0.25">
      <c r="A154" t="s">
        <v>577</v>
      </c>
      <c r="B154" s="39">
        <v>40847</v>
      </c>
      <c r="C154" s="53" t="s">
        <v>578</v>
      </c>
      <c r="D154" s="4" t="str">
        <f>VLOOKUP(LEFT(C154,2),Sort!$A$1:$B$58,2,FALSE)</f>
        <v>Mexico</v>
      </c>
      <c r="E154" s="72">
        <v>1214899432</v>
      </c>
      <c r="F154" s="72">
        <v>1532899358</v>
      </c>
      <c r="G154" s="58">
        <f t="shared" si="16"/>
        <v>8.8279768811216894E-2</v>
      </c>
      <c r="H154" s="10">
        <v>22.9</v>
      </c>
      <c r="I154" s="10">
        <v>13.167479</v>
      </c>
      <c r="J154" s="10">
        <v>4.8250219999999997</v>
      </c>
      <c r="K154" s="10">
        <v>4.8250219999999997</v>
      </c>
      <c r="L154" s="10">
        <v>203.5702</v>
      </c>
      <c r="M154" s="10">
        <v>206.03270000000001</v>
      </c>
      <c r="N154" s="10">
        <v>12.295248000000001</v>
      </c>
      <c r="O154" s="10">
        <v>-0.38</v>
      </c>
      <c r="P154" s="10">
        <v>2.6647684040000001</v>
      </c>
      <c r="Q154" s="10">
        <v>16.50079453</v>
      </c>
      <c r="R154" s="10">
        <v>125.5</v>
      </c>
      <c r="S154" s="10">
        <v>126.5</v>
      </c>
      <c r="T154" s="10">
        <v>125.5</v>
      </c>
      <c r="U154" s="10">
        <v>126.5</v>
      </c>
      <c r="V154" s="53" t="s">
        <v>146</v>
      </c>
      <c r="W154" s="53" t="s">
        <v>579</v>
      </c>
      <c r="Y154" s="10">
        <f t="shared" si="17"/>
        <v>0.36940500354883393</v>
      </c>
      <c r="Z154" s="10">
        <f t="shared" si="18"/>
        <v>5.7333944763030775E-2</v>
      </c>
      <c r="AA154" s="10">
        <f t="shared" si="19"/>
        <v>2.1569200601952856</v>
      </c>
      <c r="AB154" s="10">
        <f t="shared" si="20"/>
        <v>3.9101730338178728</v>
      </c>
      <c r="AE154" s="10">
        <f t="shared" si="14"/>
        <v>11.07911098580772</v>
      </c>
      <c r="AF154" s="10">
        <f t="shared" si="15"/>
        <v>11.167390754618937</v>
      </c>
    </row>
    <row r="155" spans="1:32" x14ac:dyDescent="0.25">
      <c r="A155" t="s">
        <v>580</v>
      </c>
      <c r="B155" s="39">
        <v>40847</v>
      </c>
      <c r="C155" s="53" t="s">
        <v>581</v>
      </c>
      <c r="D155" s="4" t="str">
        <f>VLOOKUP(LEFT(C155,2),Sort!$A$1:$B$58,2,FALSE)</f>
        <v>Mexico</v>
      </c>
      <c r="E155" s="72">
        <v>354414781.69999999</v>
      </c>
      <c r="F155" s="72">
        <v>381686262</v>
      </c>
      <c r="G155" s="58">
        <f t="shared" si="16"/>
        <v>2.1981335429444127E-2</v>
      </c>
      <c r="H155" s="10">
        <v>1.2027779999999999</v>
      </c>
      <c r="I155" s="10">
        <v>1.167567</v>
      </c>
      <c r="J155" s="10">
        <v>1.0067060000000001</v>
      </c>
      <c r="K155" s="10">
        <v>1.0067060000000001</v>
      </c>
      <c r="L155" s="10">
        <v>88.008700000000005</v>
      </c>
      <c r="M155" s="10">
        <v>88.154499999999999</v>
      </c>
      <c r="N155" s="10">
        <v>1.1529739999999999</v>
      </c>
      <c r="O155" s="10">
        <v>-0.16900000000000001</v>
      </c>
      <c r="P155" s="10">
        <v>0.368905908</v>
      </c>
      <c r="Q155" s="10">
        <v>1.6407622239999999</v>
      </c>
      <c r="R155" s="10">
        <v>105.8</v>
      </c>
      <c r="S155" s="10">
        <v>106.4</v>
      </c>
      <c r="T155" s="10">
        <v>105.8</v>
      </c>
      <c r="U155" s="10">
        <v>106.4</v>
      </c>
      <c r="V155" s="53" t="s">
        <v>146</v>
      </c>
      <c r="W155" s="53" t="s">
        <v>582</v>
      </c>
      <c r="Y155" s="10">
        <f t="shared" si="17"/>
        <v>4.1739345685673911E-2</v>
      </c>
      <c r="Z155" s="10">
        <f t="shared" si="18"/>
        <v>4.3555397103610019E-2</v>
      </c>
      <c r="AA155" s="10">
        <f t="shared" si="19"/>
        <v>0.5167566185706598</v>
      </c>
      <c r="AB155" s="10">
        <f t="shared" si="20"/>
        <v>0.27039318515511196</v>
      </c>
      <c r="AE155" s="10">
        <f t="shared" si="14"/>
        <v>2.3256252884351887</v>
      </c>
      <c r="AF155" s="10">
        <f t="shared" si="15"/>
        <v>2.3388140896928551</v>
      </c>
    </row>
    <row r="156" spans="1:32" x14ac:dyDescent="0.25">
      <c r="A156" t="s">
        <v>583</v>
      </c>
      <c r="B156" s="39">
        <v>40847</v>
      </c>
      <c r="C156" s="53" t="s">
        <v>584</v>
      </c>
      <c r="D156" s="4" t="str">
        <f>VLOOKUP(LEFT(C156,2),Sort!$A$1:$B$58,2,FALSE)</f>
        <v>Mexico</v>
      </c>
      <c r="E156" s="72">
        <v>399810195</v>
      </c>
      <c r="F156" s="72">
        <v>460198194.5</v>
      </c>
      <c r="G156" s="58">
        <f t="shared" si="16"/>
        <v>2.6502842476759277E-2</v>
      </c>
      <c r="H156" s="10">
        <v>3.3333330000000001</v>
      </c>
      <c r="I156" s="10">
        <v>3.0165820000000001</v>
      </c>
      <c r="J156" s="10">
        <v>1.9538219999999999</v>
      </c>
      <c r="K156" s="10">
        <v>1.9538219999999999</v>
      </c>
      <c r="L156" s="10">
        <v>145.74889999999999</v>
      </c>
      <c r="M156" s="10">
        <v>149.0189</v>
      </c>
      <c r="N156" s="10">
        <v>3.0101339999999999</v>
      </c>
      <c r="O156" s="10">
        <v>-0.20080000000000001</v>
      </c>
      <c r="P156" s="10">
        <v>1.3340019350000001</v>
      </c>
      <c r="Q156" s="10">
        <v>3.9136766230000002</v>
      </c>
      <c r="R156" s="10">
        <v>114</v>
      </c>
      <c r="S156" s="10">
        <v>115</v>
      </c>
      <c r="T156" s="10">
        <v>114</v>
      </c>
      <c r="U156" s="10">
        <v>115</v>
      </c>
      <c r="V156" s="53" t="s">
        <v>146</v>
      </c>
      <c r="W156" s="53" t="s">
        <v>585</v>
      </c>
      <c r="Y156" s="10">
        <f t="shared" si="17"/>
        <v>3.0187111912016069E-2</v>
      </c>
      <c r="Z156" s="10">
        <f t="shared" si="18"/>
        <v>0.10192077041492528</v>
      </c>
      <c r="AA156" s="10">
        <f t="shared" si="19"/>
        <v>1.0532253322830432</v>
      </c>
      <c r="AB156" s="10">
        <f t="shared" si="20"/>
        <v>0.35236302997390745</v>
      </c>
      <c r="AE156" s="10">
        <f t="shared" si="14"/>
        <v>3.0213240423505576</v>
      </c>
      <c r="AF156" s="10">
        <f t="shared" si="15"/>
        <v>3.0478268848273169</v>
      </c>
    </row>
    <row r="157" spans="1:32" x14ac:dyDescent="0.25">
      <c r="A157" t="s">
        <v>586</v>
      </c>
      <c r="B157" s="39">
        <v>40847</v>
      </c>
      <c r="C157" s="53" t="s">
        <v>587</v>
      </c>
      <c r="D157" s="4" t="str">
        <f>VLOOKUP(LEFT(C157,2),Sort!$A$1:$B$58,2,FALSE)</f>
        <v>Mexico</v>
      </c>
      <c r="E157" s="72">
        <v>1264280751</v>
      </c>
      <c r="F157" s="72">
        <v>1506165751</v>
      </c>
      <c r="G157" s="58">
        <f t="shared" si="16"/>
        <v>8.6740178731063738E-2</v>
      </c>
      <c r="H157" s="10">
        <v>28.188889</v>
      </c>
      <c r="I157" s="10">
        <v>14.743402</v>
      </c>
      <c r="J157" s="10">
        <v>4.8688269999999996</v>
      </c>
      <c r="K157" s="10">
        <v>4.8688269999999996</v>
      </c>
      <c r="L157" s="10">
        <v>181.0831</v>
      </c>
      <c r="M157" s="10">
        <v>195.44499999999999</v>
      </c>
      <c r="N157" s="10">
        <v>13.65226</v>
      </c>
      <c r="O157" s="10">
        <v>0.43569999999999998</v>
      </c>
      <c r="P157" s="10">
        <v>3.672869596</v>
      </c>
      <c r="Q157" s="10">
        <v>19.863028610000001</v>
      </c>
      <c r="R157" s="10">
        <v>117.25</v>
      </c>
      <c r="S157" s="10">
        <v>118</v>
      </c>
      <c r="T157" s="10">
        <v>117.25</v>
      </c>
      <c r="U157" s="10">
        <v>118</v>
      </c>
      <c r="V157" s="53" t="s">
        <v>146</v>
      </c>
      <c r="W157" s="53" t="s">
        <v>588</v>
      </c>
      <c r="Y157" s="10">
        <f t="shared" si="17"/>
        <v>0.40640306263581416</v>
      </c>
      <c r="Z157" s="10">
        <f t="shared" si="18"/>
        <v>5.6845487427668664E-2</v>
      </c>
      <c r="AA157" s="10">
        <f t="shared" si="19"/>
        <v>4.5209777003609677</v>
      </c>
      <c r="AB157" s="10">
        <f t="shared" si="20"/>
        <v>1.1833204232617485</v>
      </c>
      <c r="AE157" s="10">
        <f t="shared" si="14"/>
        <v>10.170285956217223</v>
      </c>
      <c r="AF157" s="10">
        <f t="shared" si="15"/>
        <v>10.235341090265521</v>
      </c>
    </row>
    <row r="158" spans="1:32" x14ac:dyDescent="0.25">
      <c r="A158" t="s">
        <v>589</v>
      </c>
      <c r="B158" s="39">
        <v>40847</v>
      </c>
      <c r="C158" s="53" t="s">
        <v>590</v>
      </c>
      <c r="D158" s="4" t="str">
        <f>VLOOKUP(LEFT(C158,2),Sort!$A$1:$B$58,2,FALSE)</f>
        <v>Mexico</v>
      </c>
      <c r="E158" s="72">
        <v>377499358.30000001</v>
      </c>
      <c r="F158" s="72">
        <v>511590274.89999998</v>
      </c>
      <c r="G158" s="58">
        <f t="shared" si="16"/>
        <v>2.9462515564729522E-2</v>
      </c>
      <c r="H158" s="10">
        <v>21.430555999999999</v>
      </c>
      <c r="I158" s="10">
        <v>12.454665</v>
      </c>
      <c r="J158" s="10">
        <v>4.7933700000000004</v>
      </c>
      <c r="K158" s="10">
        <v>4.7933700000000004</v>
      </c>
      <c r="L158" s="10">
        <v>207.8698</v>
      </c>
      <c r="M158" s="10">
        <v>209.55629999999999</v>
      </c>
      <c r="N158" s="10">
        <v>11.668896</v>
      </c>
      <c r="O158" s="10">
        <v>0.20019999999999999</v>
      </c>
      <c r="P158" s="10">
        <v>2.5243480140000001</v>
      </c>
      <c r="Q158" s="10">
        <v>15.34013461</v>
      </c>
      <c r="R158" s="10">
        <v>135</v>
      </c>
      <c r="S158" s="10">
        <v>136</v>
      </c>
      <c r="T158" s="10">
        <v>135</v>
      </c>
      <c r="U158" s="10">
        <v>136</v>
      </c>
      <c r="V158" s="53" t="s">
        <v>146</v>
      </c>
      <c r="W158" s="53" t="s">
        <v>591</v>
      </c>
      <c r="Y158" s="10">
        <f t="shared" si="17"/>
        <v>0.11661135118839276</v>
      </c>
      <c r="Z158" s="10">
        <f t="shared" si="18"/>
        <v>1.9009124586493245E-2</v>
      </c>
      <c r="AA158" s="10">
        <f t="shared" si="19"/>
        <v>0.73216211888514304</v>
      </c>
      <c r="AB158" s="10">
        <f t="shared" si="20"/>
        <v>1.4029849004604218</v>
      </c>
      <c r="AE158" s="10">
        <f t="shared" si="14"/>
        <v>3.9774396012384856</v>
      </c>
      <c r="AF158" s="10">
        <f t="shared" si="15"/>
        <v>4.0069021168032153</v>
      </c>
    </row>
    <row r="159" spans="1:32" x14ac:dyDescent="0.25">
      <c r="A159" t="s">
        <v>592</v>
      </c>
      <c r="B159" s="39">
        <v>40847</v>
      </c>
      <c r="C159" s="53" t="s">
        <v>593</v>
      </c>
      <c r="D159" s="4" t="str">
        <f>VLOOKUP(LEFT(C159,2),Sort!$A$1:$B$58,2,FALSE)</f>
        <v>Mexico</v>
      </c>
      <c r="E159" s="72">
        <v>402190017.60000002</v>
      </c>
      <c r="F159" s="72">
        <v>602384289.70000005</v>
      </c>
      <c r="G159" s="58">
        <f t="shared" si="16"/>
        <v>3.469134849114152E-2</v>
      </c>
      <c r="H159" s="10">
        <v>8.1583330000000007</v>
      </c>
      <c r="I159" s="10">
        <v>6.490621</v>
      </c>
      <c r="J159" s="10">
        <v>1.6738930000000001</v>
      </c>
      <c r="K159" s="10">
        <v>1.6738930000000001</v>
      </c>
      <c r="L159" s="10">
        <v>-11.5101</v>
      </c>
      <c r="M159" s="10">
        <v>-1.1579999999999999</v>
      </c>
      <c r="N159" s="10">
        <v>6.3207839999999997</v>
      </c>
      <c r="O159" s="10">
        <v>1.5100000000000001E-2</v>
      </c>
      <c r="P159" s="10">
        <v>9.2107103680000009</v>
      </c>
      <c r="Q159" s="10">
        <v>21.034898420000001</v>
      </c>
      <c r="R159" s="10">
        <v>147</v>
      </c>
      <c r="S159" s="10">
        <v>149</v>
      </c>
      <c r="T159" s="10">
        <v>147</v>
      </c>
      <c r="U159" s="10">
        <v>149</v>
      </c>
      <c r="V159" s="53" t="s">
        <v>146</v>
      </c>
      <c r="W159" s="53" t="s">
        <v>594</v>
      </c>
      <c r="Y159" s="10">
        <f t="shared" si="17"/>
        <v>4.7358359005449796E-2</v>
      </c>
      <c r="Z159" s="10">
        <f t="shared" si="18"/>
        <v>0.11429681328347234</v>
      </c>
      <c r="AA159" s="10">
        <f t="shared" si="19"/>
        <v>-1.0713151061605836E-2</v>
      </c>
      <c r="AB159" s="10">
        <f t="shared" si="20"/>
        <v>3.2801288182931656</v>
      </c>
      <c r="AE159" s="10">
        <f t="shared" si="14"/>
        <v>5.0996282281978038</v>
      </c>
      <c r="AF159" s="10">
        <f t="shared" si="15"/>
        <v>5.1690109251800864</v>
      </c>
    </row>
    <row r="160" spans="1:32" x14ac:dyDescent="0.25">
      <c r="A160" t="s">
        <v>595</v>
      </c>
      <c r="B160" s="39">
        <v>40847</v>
      </c>
      <c r="C160" s="53" t="s">
        <v>596</v>
      </c>
      <c r="D160" s="4" t="str">
        <f>VLOOKUP(LEFT(C160,2),Sort!$A$1:$B$58,2,FALSE)</f>
        <v>Mexico</v>
      </c>
      <c r="E160" s="72">
        <v>212399166.09999999</v>
      </c>
      <c r="F160" s="72">
        <v>293889646.89999998</v>
      </c>
      <c r="G160" s="58">
        <f t="shared" si="16"/>
        <v>1.6925122937093803E-2</v>
      </c>
      <c r="H160" s="10">
        <v>10.897221999999999</v>
      </c>
      <c r="I160" s="10">
        <v>8.0535669999999993</v>
      </c>
      <c r="J160" s="10">
        <v>3.5863809999999998</v>
      </c>
      <c r="K160" s="10">
        <v>3.5863809999999998</v>
      </c>
      <c r="L160" s="10">
        <v>140.68020000000001</v>
      </c>
      <c r="M160" s="10">
        <v>152.0975</v>
      </c>
      <c r="N160" s="10">
        <v>7.7570699999999997</v>
      </c>
      <c r="O160" s="10">
        <v>-0.34410000000000002</v>
      </c>
      <c r="P160" s="10">
        <v>-0.27228294199999997</v>
      </c>
      <c r="Q160" s="10">
        <v>12.965112550000001</v>
      </c>
      <c r="R160" s="10">
        <v>137.5</v>
      </c>
      <c r="S160" s="10">
        <v>139.5</v>
      </c>
      <c r="T160" s="10">
        <v>137.5</v>
      </c>
      <c r="U160" s="10">
        <v>139.5</v>
      </c>
      <c r="V160" s="53" t="s">
        <v>146</v>
      </c>
      <c r="W160" s="53" t="s">
        <v>597</v>
      </c>
      <c r="Y160" s="10">
        <f t="shared" si="17"/>
        <v>8.1998666343824009E-2</v>
      </c>
      <c r="Z160" s="10">
        <f t="shared" si="18"/>
        <v>1.3652416621492244E-2</v>
      </c>
      <c r="AA160" s="10">
        <f t="shared" si="19"/>
        <v>0.68650134948123498</v>
      </c>
      <c r="AB160" s="10">
        <f t="shared" si="20"/>
        <v>0.82670450292113951</v>
      </c>
      <c r="AE160" s="10">
        <f t="shared" si="14"/>
        <v>2.3272044038503981</v>
      </c>
      <c r="AF160" s="10">
        <f t="shared" si="15"/>
        <v>2.3610546497245855</v>
      </c>
    </row>
    <row r="161" spans="1:32" x14ac:dyDescent="0.25">
      <c r="A161" t="s">
        <v>598</v>
      </c>
      <c r="B161" s="39">
        <v>40847</v>
      </c>
      <c r="C161" s="53" t="s">
        <v>599</v>
      </c>
      <c r="D161" s="4" t="str">
        <f>VLOOKUP(LEFT(C161,2),Sort!$A$1:$B$58,2,FALSE)</f>
        <v>Mexico</v>
      </c>
      <c r="E161" s="72">
        <v>527725659.19999999</v>
      </c>
      <c r="F161" s="72">
        <v>774692470.5</v>
      </c>
      <c r="G161" s="58">
        <f t="shared" si="16"/>
        <v>4.4614587277771213E-2</v>
      </c>
      <c r="H161" s="10">
        <v>19.783332999999999</v>
      </c>
      <c r="I161" s="10">
        <v>11.598234</v>
      </c>
      <c r="J161" s="10">
        <v>4.7018180000000003</v>
      </c>
      <c r="K161" s="10">
        <v>4.7018180000000003</v>
      </c>
      <c r="L161" s="10">
        <v>207.08250000000001</v>
      </c>
      <c r="M161" s="10">
        <v>208.1859</v>
      </c>
      <c r="N161" s="10">
        <v>10.907608</v>
      </c>
      <c r="O161" s="10">
        <v>0.52939999999999998</v>
      </c>
      <c r="P161" s="10">
        <v>2.1896934990000001</v>
      </c>
      <c r="Q161" s="10">
        <v>14.86885197</v>
      </c>
      <c r="R161" s="10">
        <v>145</v>
      </c>
      <c r="S161" s="10">
        <v>146</v>
      </c>
      <c r="T161" s="10">
        <v>145</v>
      </c>
      <c r="U161" s="10">
        <v>146</v>
      </c>
      <c r="V161" s="53" t="s">
        <v>146</v>
      </c>
      <c r="W161" s="53" t="s">
        <v>600</v>
      </c>
      <c r="Y161" s="10">
        <f t="shared" si="17"/>
        <v>0.16444008720336326</v>
      </c>
      <c r="Z161" s="10">
        <f t="shared" si="18"/>
        <v>2.8235405725497011E-2</v>
      </c>
      <c r="AA161" s="10">
        <f t="shared" si="19"/>
        <v>1.1014502874450782</v>
      </c>
      <c r="AB161" s="10">
        <f t="shared" si="20"/>
        <v>4.1334547271018351</v>
      </c>
      <c r="AE161" s="10">
        <f t="shared" ref="AE161:AE224" si="21">G161*R161</f>
        <v>6.4691151552768256</v>
      </c>
      <c r="AF161" s="10">
        <f t="shared" ref="AF161:AF224" si="22">G161*S161</f>
        <v>6.513729742554597</v>
      </c>
    </row>
    <row r="162" spans="1:32" x14ac:dyDescent="0.25">
      <c r="A162" t="s">
        <v>616</v>
      </c>
      <c r="B162" s="39">
        <v>40847</v>
      </c>
      <c r="C162" s="53" t="s">
        <v>617</v>
      </c>
      <c r="D162" s="4" t="str">
        <f>VLOOKUP(LEFT(C162,2),Sort!$A$1:$B$58,2,FALSE)</f>
        <v>Nigeria</v>
      </c>
      <c r="E162" s="72">
        <v>500000000</v>
      </c>
      <c r="F162" s="72">
        <v>533281250</v>
      </c>
      <c r="G162" s="58">
        <f t="shared" si="16"/>
        <v>1</v>
      </c>
      <c r="H162" s="10">
        <v>9.2361109999999993</v>
      </c>
      <c r="I162" s="10">
        <v>6.9377129999999996</v>
      </c>
      <c r="J162" s="10">
        <v>5.8452549999999999</v>
      </c>
      <c r="K162" s="10">
        <v>5.8452549999999999</v>
      </c>
      <c r="L162" s="10">
        <v>385.4357</v>
      </c>
      <c r="M162" s="10">
        <v>398.26119999999997</v>
      </c>
      <c r="N162" s="10">
        <v>6.72349</v>
      </c>
      <c r="O162" s="10">
        <v>0.3705</v>
      </c>
      <c r="P162" s="10">
        <v>7.9994938749999998</v>
      </c>
      <c r="Q162" s="10">
        <v>11.07962</v>
      </c>
      <c r="R162" s="10">
        <v>104.875</v>
      </c>
      <c r="S162" s="10">
        <v>106.375</v>
      </c>
      <c r="T162" s="10">
        <v>104.875</v>
      </c>
      <c r="U162" s="10">
        <v>106.375</v>
      </c>
      <c r="V162" s="53" t="s">
        <v>146</v>
      </c>
      <c r="W162" s="53" t="s">
        <v>618</v>
      </c>
      <c r="Y162" s="10">
        <f t="shared" si="17"/>
        <v>4.4813555510077159E-2</v>
      </c>
      <c r="Z162" s="10">
        <f t="shared" si="18"/>
        <v>2.4163434305744677E-2</v>
      </c>
      <c r="AA162" s="10">
        <f t="shared" si="19"/>
        <v>1.4504693818041809</v>
      </c>
      <c r="AB162" s="10">
        <f t="shared" si="20"/>
        <v>0.37769694530473086</v>
      </c>
      <c r="AE162" s="10">
        <f t="shared" si="21"/>
        <v>104.875</v>
      </c>
      <c r="AF162" s="10">
        <f t="shared" si="22"/>
        <v>106.375</v>
      </c>
    </row>
    <row r="163" spans="1:32" x14ac:dyDescent="0.25">
      <c r="A163" t="s">
        <v>712</v>
      </c>
      <c r="B163" s="39">
        <v>40847</v>
      </c>
      <c r="C163" s="53" t="s">
        <v>713</v>
      </c>
      <c r="D163" s="4" t="str">
        <f>VLOOKUP(LEFT(C163,2),Sort!$A$1:$B$58,2,FALSE)</f>
        <v>Pakistan</v>
      </c>
      <c r="E163" s="72">
        <v>750000000</v>
      </c>
      <c r="F163" s="72">
        <v>588020835</v>
      </c>
      <c r="G163" s="58">
        <f t="shared" si="16"/>
        <v>0.596953370639702</v>
      </c>
      <c r="H163" s="10">
        <v>5.5777780000000003</v>
      </c>
      <c r="I163" s="10">
        <v>4.2194409999999998</v>
      </c>
      <c r="J163" s="10">
        <v>12.313253</v>
      </c>
      <c r="K163" s="10">
        <v>12.313253</v>
      </c>
      <c r="L163" s="10">
        <v>1116.0097000000001</v>
      </c>
      <c r="M163" s="10">
        <v>1124.4819</v>
      </c>
      <c r="N163" s="10">
        <v>4.1643929999999996</v>
      </c>
      <c r="O163" s="10">
        <v>2.4400000000000002E-2</v>
      </c>
      <c r="P163" s="10">
        <v>1.3374039010000001</v>
      </c>
      <c r="Q163" s="10">
        <v>-7.9499724220000001</v>
      </c>
      <c r="R163" s="10">
        <v>75.5</v>
      </c>
      <c r="S163" s="10">
        <v>78.5</v>
      </c>
      <c r="T163" s="10">
        <v>75.5</v>
      </c>
      <c r="U163" s="10">
        <v>78.5</v>
      </c>
      <c r="V163" s="53" t="s">
        <v>146</v>
      </c>
      <c r="W163" s="53" t="s">
        <v>714</v>
      </c>
      <c r="Y163" s="10">
        <f t="shared" si="17"/>
        <v>4.9747611180212571E-2</v>
      </c>
      <c r="Z163" s="10">
        <f t="shared" si="18"/>
        <v>0.32826637254988461</v>
      </c>
      <c r="AA163" s="10">
        <f t="shared" si="19"/>
        <v>43.375797423197135</v>
      </c>
      <c r="AB163" s="10">
        <f t="shared" si="20"/>
        <v>3.4000240304900733</v>
      </c>
      <c r="AE163" s="10">
        <f t="shared" si="21"/>
        <v>45.069979483297502</v>
      </c>
      <c r="AF163" s="10">
        <f t="shared" si="22"/>
        <v>46.860839595216603</v>
      </c>
    </row>
    <row r="164" spans="1:32" x14ac:dyDescent="0.25">
      <c r="A164" t="s">
        <v>715</v>
      </c>
      <c r="B164" s="39">
        <v>40847</v>
      </c>
      <c r="C164" s="53" t="s">
        <v>716</v>
      </c>
      <c r="D164" s="4" t="str">
        <f>VLOOKUP(LEFT(C164,2),Sort!$A$1:$B$58,2,FALSE)</f>
        <v>Pakistan</v>
      </c>
      <c r="E164" s="72">
        <v>500000000</v>
      </c>
      <c r="F164" s="72">
        <v>397015625</v>
      </c>
      <c r="G164" s="58">
        <f t="shared" si="16"/>
        <v>0.403046629360298</v>
      </c>
      <c r="H164" s="10">
        <v>4.4083329999999998</v>
      </c>
      <c r="I164" s="10">
        <v>3.5581140000000002</v>
      </c>
      <c r="J164" s="10">
        <v>12.647042000000001</v>
      </c>
      <c r="K164" s="10">
        <v>12.647042000000001</v>
      </c>
      <c r="L164" s="10">
        <v>1183.6809000000001</v>
      </c>
      <c r="M164" s="10">
        <v>1190.0126</v>
      </c>
      <c r="N164" s="10">
        <v>3.534475</v>
      </c>
      <c r="O164" s="10">
        <v>2.4899999999999999E-2</v>
      </c>
      <c r="P164" s="10">
        <v>-0.86871675500000001</v>
      </c>
      <c r="Q164" s="10">
        <v>-6.1838531330000004</v>
      </c>
      <c r="R164" s="10">
        <v>78.75</v>
      </c>
      <c r="S164" s="10">
        <v>81.75</v>
      </c>
      <c r="T164" s="10">
        <v>78.75</v>
      </c>
      <c r="U164" s="10">
        <v>81.75</v>
      </c>
      <c r="V164" s="53" t="s">
        <v>146</v>
      </c>
      <c r="W164" s="53" t="s">
        <v>717</v>
      </c>
      <c r="Y164" s="10">
        <f t="shared" si="17"/>
        <v>3.0717719962689103E-2</v>
      </c>
      <c r="Z164" s="10">
        <f t="shared" si="18"/>
        <v>0.22764464504116688</v>
      </c>
      <c r="AA164" s="10">
        <f t="shared" si="19"/>
        <v>30.992845211046813</v>
      </c>
      <c r="AB164" s="10">
        <f t="shared" si="20"/>
        <v>1.0805000964142133</v>
      </c>
      <c r="AE164" s="10">
        <f t="shared" si="21"/>
        <v>31.739922062123469</v>
      </c>
      <c r="AF164" s="10">
        <f t="shared" si="22"/>
        <v>32.94906195020436</v>
      </c>
    </row>
    <row r="165" spans="1:32" x14ac:dyDescent="0.25">
      <c r="A165" t="s">
        <v>619</v>
      </c>
      <c r="B165" s="39">
        <v>40847</v>
      </c>
      <c r="C165" s="53" t="s">
        <v>620</v>
      </c>
      <c r="D165" s="4" t="str">
        <f>VLOOKUP(LEFT(C165,2),Sort!$A$1:$B$58,2,FALSE)</f>
        <v>Panama</v>
      </c>
      <c r="E165" s="72">
        <v>923842297.20000005</v>
      </c>
      <c r="F165" s="72">
        <v>1037875228</v>
      </c>
      <c r="G165" s="58">
        <f t="shared" si="16"/>
        <v>0.12050676425146221</v>
      </c>
      <c r="H165" s="10">
        <v>8.2416669999999996</v>
      </c>
      <c r="I165" s="10">
        <v>6.8560930000000004</v>
      </c>
      <c r="J165" s="10">
        <v>3.5098099999999999</v>
      </c>
      <c r="K165" s="10">
        <v>3.5098099999999999</v>
      </c>
      <c r="L165" s="10">
        <v>170.5204</v>
      </c>
      <c r="M165" s="10">
        <v>176.0934</v>
      </c>
      <c r="N165" s="10">
        <v>6.6663800000000002</v>
      </c>
      <c r="O165" s="10">
        <v>1.29E-2</v>
      </c>
      <c r="P165" s="10">
        <v>1.9552294100000001</v>
      </c>
      <c r="Q165" s="10">
        <v>8.8290468700000009</v>
      </c>
      <c r="R165" s="10">
        <v>111</v>
      </c>
      <c r="S165" s="10">
        <v>112</v>
      </c>
      <c r="T165" s="10">
        <v>111</v>
      </c>
      <c r="U165" s="10">
        <v>112</v>
      </c>
      <c r="V165" s="53" t="s">
        <v>146</v>
      </c>
      <c r="W165" s="53" t="s">
        <v>621</v>
      </c>
      <c r="Y165" s="10">
        <f t="shared" si="17"/>
        <v>8.6190342065089062E-2</v>
      </c>
      <c r="Z165" s="10">
        <f t="shared" si="18"/>
        <v>4.7184306259397575E-2</v>
      </c>
      <c r="AA165" s="10">
        <f t="shared" si="19"/>
        <v>2.806876197664371</v>
      </c>
      <c r="AB165" s="10">
        <f t="shared" si="20"/>
        <v>0.7739461675367405</v>
      </c>
      <c r="AE165" s="10">
        <f t="shared" si="21"/>
        <v>13.376250831912305</v>
      </c>
      <c r="AF165" s="10">
        <f t="shared" si="22"/>
        <v>13.496757596163768</v>
      </c>
    </row>
    <row r="166" spans="1:32" x14ac:dyDescent="0.25">
      <c r="A166" t="s">
        <v>622</v>
      </c>
      <c r="B166" s="39">
        <v>40847</v>
      </c>
      <c r="C166" s="53" t="s">
        <v>623</v>
      </c>
      <c r="D166" s="4" t="str">
        <f>VLOOKUP(LEFT(C166,2),Sort!$A$1:$B$58,2,FALSE)</f>
        <v>Panama</v>
      </c>
      <c r="E166" s="72">
        <v>1674926085</v>
      </c>
      <c r="F166" s="72">
        <v>2123894678</v>
      </c>
      <c r="G166" s="58">
        <f t="shared" si="16"/>
        <v>0.24660351105005973</v>
      </c>
      <c r="H166" s="10">
        <v>24.230556</v>
      </c>
      <c r="I166" s="10">
        <v>13.439075000000001</v>
      </c>
      <c r="J166" s="10">
        <v>4.8613910000000002</v>
      </c>
      <c r="K166" s="10">
        <v>4.8613910000000002</v>
      </c>
      <c r="L166" s="10">
        <v>200.4479</v>
      </c>
      <c r="M166" s="10">
        <v>205.8597</v>
      </c>
      <c r="N166" s="10">
        <v>12.521779</v>
      </c>
      <c r="O166" s="10">
        <v>1.47E-2</v>
      </c>
      <c r="P166" s="10">
        <v>4.5522122090000003</v>
      </c>
      <c r="Q166" s="10">
        <v>17.309951590000001</v>
      </c>
      <c r="R166" s="10">
        <v>125</v>
      </c>
      <c r="S166" s="10">
        <v>126</v>
      </c>
      <c r="T166" s="10">
        <v>125</v>
      </c>
      <c r="U166" s="10">
        <v>126</v>
      </c>
      <c r="V166" s="53" t="s">
        <v>146</v>
      </c>
      <c r="W166" s="53" t="s">
        <v>624</v>
      </c>
      <c r="Y166" s="10">
        <f t="shared" si="17"/>
        <v>0.52238277869391259</v>
      </c>
      <c r="Z166" s="10">
        <f t="shared" si="18"/>
        <v>8.0037296900871288E-2</v>
      </c>
      <c r="AA166" s="10">
        <f t="shared" si="19"/>
        <v>2.9859914894547916</v>
      </c>
      <c r="AB166" s="10">
        <f t="shared" si="20"/>
        <v>5.3962906135888362</v>
      </c>
      <c r="AE166" s="10">
        <f t="shared" si="21"/>
        <v>30.825438881257465</v>
      </c>
      <c r="AF166" s="10">
        <f t="shared" si="22"/>
        <v>31.072042392307527</v>
      </c>
    </row>
    <row r="167" spans="1:32" x14ac:dyDescent="0.25">
      <c r="A167" t="s">
        <v>625</v>
      </c>
      <c r="B167" s="39">
        <v>40847</v>
      </c>
      <c r="C167" s="53" t="s">
        <v>626</v>
      </c>
      <c r="D167" s="4" t="str">
        <f>VLOOKUP(LEFT(C167,2),Sort!$A$1:$B$58,2,FALSE)</f>
        <v>Panama</v>
      </c>
      <c r="E167" s="72">
        <v>1358972019</v>
      </c>
      <c r="F167" s="72">
        <v>1582749416</v>
      </c>
      <c r="G167" s="58">
        <f t="shared" si="16"/>
        <v>0.18377161878176315</v>
      </c>
      <c r="H167" s="10">
        <v>3.3694440000000001</v>
      </c>
      <c r="I167" s="10">
        <v>3.0237820000000002</v>
      </c>
      <c r="J167" s="10">
        <v>2.142744</v>
      </c>
      <c r="K167" s="10">
        <v>2.142744</v>
      </c>
      <c r="L167" s="10">
        <v>163.5866</v>
      </c>
      <c r="M167" s="10">
        <v>167.26079999999999</v>
      </c>
      <c r="N167" s="10">
        <v>3.0174280000000002</v>
      </c>
      <c r="O167" s="10">
        <v>1.7299999999999999E-2</v>
      </c>
      <c r="P167" s="10">
        <v>1.5820717419999999</v>
      </c>
      <c r="Q167" s="10">
        <v>5.205933945</v>
      </c>
      <c r="R167" s="10">
        <v>115.5</v>
      </c>
      <c r="S167" s="10">
        <v>116.5</v>
      </c>
      <c r="T167" s="10">
        <v>115.5</v>
      </c>
      <c r="U167" s="10">
        <v>116.5</v>
      </c>
      <c r="V167" s="53" t="s">
        <v>146</v>
      </c>
      <c r="W167" s="53" t="s">
        <v>627</v>
      </c>
      <c r="Y167" s="10">
        <f t="shared" si="17"/>
        <v>0.10406966544989142</v>
      </c>
      <c r="Z167" s="10">
        <f t="shared" si="18"/>
        <v>4.3928995274829172E-2</v>
      </c>
      <c r="AA167" s="10">
        <f t="shared" si="19"/>
        <v>4.0657564918991893</v>
      </c>
      <c r="AB167" s="10">
        <f t="shared" si="20"/>
        <v>1.2276813893054059</v>
      </c>
      <c r="AE167" s="10">
        <f t="shared" si="21"/>
        <v>21.225621969293645</v>
      </c>
      <c r="AF167" s="10">
        <f t="shared" si="22"/>
        <v>21.409393588075407</v>
      </c>
    </row>
    <row r="168" spans="1:32" x14ac:dyDescent="0.25">
      <c r="A168" t="s">
        <v>628</v>
      </c>
      <c r="B168" s="39">
        <v>40847</v>
      </c>
      <c r="C168" s="53" t="s">
        <v>629</v>
      </c>
      <c r="D168" s="4" t="str">
        <f>VLOOKUP(LEFT(C168,2),Sort!$A$1:$B$58,2,FALSE)</f>
        <v>Panama</v>
      </c>
      <c r="E168" s="72">
        <v>905365451.29999995</v>
      </c>
      <c r="F168" s="72">
        <v>1175711350</v>
      </c>
      <c r="G168" s="58">
        <f t="shared" si="16"/>
        <v>0.13651079307022287</v>
      </c>
      <c r="H168" s="10">
        <v>14.238889</v>
      </c>
      <c r="I168" s="10">
        <v>9.7900690000000008</v>
      </c>
      <c r="J168" s="10">
        <v>4.2872630000000003</v>
      </c>
      <c r="K168" s="10">
        <v>4.2872630000000003</v>
      </c>
      <c r="L168" s="10">
        <v>193.7927</v>
      </c>
      <c r="M168" s="10">
        <v>191.8339</v>
      </c>
      <c r="N168" s="10">
        <v>9.3207590000000007</v>
      </c>
      <c r="O168" s="10">
        <v>1.52E-2</v>
      </c>
      <c r="P168" s="10">
        <v>2.8139260020000001</v>
      </c>
      <c r="Q168" s="10">
        <v>11.52235402</v>
      </c>
      <c r="R168" s="10">
        <v>128</v>
      </c>
      <c r="S168" s="10">
        <v>130</v>
      </c>
      <c r="T168" s="10">
        <v>128</v>
      </c>
      <c r="U168" s="10">
        <v>130</v>
      </c>
      <c r="V168" s="53" t="s">
        <v>146</v>
      </c>
      <c r="W168" s="53" t="s">
        <v>630</v>
      </c>
      <c r="Y168" s="10">
        <f t="shared" si="17"/>
        <v>0.39876835729125509</v>
      </c>
      <c r="Z168" s="10">
        <f t="shared" si="18"/>
        <v>3.9073266561065467E-2</v>
      </c>
      <c r="AA168" s="10">
        <f t="shared" si="19"/>
        <v>3.4638661314078147</v>
      </c>
      <c r="AB168" s="10">
        <f t="shared" si="20"/>
        <v>3.0820229729250719</v>
      </c>
      <c r="AE168" s="10">
        <f t="shared" si="21"/>
        <v>17.473381512988528</v>
      </c>
      <c r="AF168" s="10">
        <f t="shared" si="22"/>
        <v>17.746403099128973</v>
      </c>
    </row>
    <row r="169" spans="1:32" x14ac:dyDescent="0.25">
      <c r="A169" t="s">
        <v>631</v>
      </c>
      <c r="B169" s="39">
        <v>40847</v>
      </c>
      <c r="C169" s="53" t="s">
        <v>632</v>
      </c>
      <c r="D169" s="4" t="str">
        <f>VLOOKUP(LEFT(C169,2),Sort!$A$1:$B$58,2,FALSE)</f>
        <v>Panama</v>
      </c>
      <c r="E169" s="72">
        <v>900746239.79999995</v>
      </c>
      <c r="F169" s="72">
        <v>1331424921</v>
      </c>
      <c r="G169" s="58">
        <f t="shared" si="16"/>
        <v>0.15459055649940678</v>
      </c>
      <c r="H169" s="10">
        <v>15.908333000000001</v>
      </c>
      <c r="I169" s="10">
        <v>10.107392000000001</v>
      </c>
      <c r="J169" s="10">
        <v>4.521509</v>
      </c>
      <c r="K169" s="10">
        <v>4.521509</v>
      </c>
      <c r="L169" s="10">
        <v>208.73660000000001</v>
      </c>
      <c r="M169" s="10">
        <v>209.6044</v>
      </c>
      <c r="N169" s="10">
        <v>9.5950430000000004</v>
      </c>
      <c r="O169" s="10">
        <v>1.67E-2</v>
      </c>
      <c r="P169" s="10">
        <v>3.277089771</v>
      </c>
      <c r="Q169" s="10">
        <v>12.97722926</v>
      </c>
      <c r="R169" s="10">
        <v>147</v>
      </c>
      <c r="S169" s="10">
        <v>149</v>
      </c>
      <c r="T169" s="10">
        <v>147</v>
      </c>
      <c r="U169" s="10">
        <v>149</v>
      </c>
      <c r="V169" s="53" t="s">
        <v>146</v>
      </c>
      <c r="W169" s="53" t="s">
        <v>633</v>
      </c>
      <c r="Y169" s="10">
        <f t="shared" si="17"/>
        <v>0.24628745329113591</v>
      </c>
      <c r="Z169" s="10">
        <f t="shared" si="18"/>
        <v>4.6665826789183629E-2</v>
      </c>
      <c r="AA169" s="10">
        <f t="shared" si="19"/>
        <v>1.9059053540257125</v>
      </c>
      <c r="AB169" s="10">
        <f t="shared" si="20"/>
        <v>7.2499321901983542</v>
      </c>
      <c r="AE169" s="10">
        <f t="shared" si="21"/>
        <v>22.724811805412799</v>
      </c>
      <c r="AF169" s="10">
        <f t="shared" si="22"/>
        <v>23.033992918411609</v>
      </c>
    </row>
    <row r="170" spans="1:32" x14ac:dyDescent="0.25">
      <c r="A170" t="s">
        <v>634</v>
      </c>
      <c r="B170" s="39">
        <v>40847</v>
      </c>
      <c r="C170" s="53" t="s">
        <v>635</v>
      </c>
      <c r="D170" s="4" t="str">
        <f>VLOOKUP(LEFT(C170,2),Sort!$A$1:$B$58,2,FALSE)</f>
        <v>Panama</v>
      </c>
      <c r="E170" s="72">
        <v>878966657.60000002</v>
      </c>
      <c r="F170" s="72">
        <v>1360933372</v>
      </c>
      <c r="G170" s="58">
        <f t="shared" si="16"/>
        <v>0.15801675634708523</v>
      </c>
      <c r="H170" s="10">
        <v>17.413889000000001</v>
      </c>
      <c r="I170" s="10">
        <v>10.551565999999999</v>
      </c>
      <c r="J170" s="10">
        <v>4.6477250000000003</v>
      </c>
      <c r="K170" s="10">
        <v>4.6477250000000003</v>
      </c>
      <c r="L170" s="10">
        <v>213.7099</v>
      </c>
      <c r="M170" s="10">
        <v>215.60640000000001</v>
      </c>
      <c r="N170" s="10">
        <v>9.9838039999999992</v>
      </c>
      <c r="O170" s="10">
        <v>1.6799999999999999E-2</v>
      </c>
      <c r="P170" s="10">
        <v>3.842392952</v>
      </c>
      <c r="Q170" s="10">
        <v>15.637225539999999</v>
      </c>
      <c r="R170" s="10">
        <v>154</v>
      </c>
      <c r="S170" s="10">
        <v>156</v>
      </c>
      <c r="T170" s="10">
        <v>154</v>
      </c>
      <c r="U170" s="10">
        <v>156</v>
      </c>
      <c r="V170" s="53" t="s">
        <v>146</v>
      </c>
      <c r="W170" s="53" t="s">
        <v>636</v>
      </c>
      <c r="Y170" s="10">
        <f t="shared" si="17"/>
        <v>0.26280902823783536</v>
      </c>
      <c r="Z170" s="10">
        <f t="shared" si="18"/>
        <v>4.903161188837403E-2</v>
      </c>
      <c r="AA170" s="10">
        <f t="shared" si="19"/>
        <v>2.0039310072954115</v>
      </c>
      <c r="AB170" s="10">
        <f t="shared" si="20"/>
        <v>7.7587624737201759</v>
      </c>
      <c r="AE170" s="10">
        <f t="shared" si="21"/>
        <v>24.334580477451127</v>
      </c>
      <c r="AF170" s="10">
        <f t="shared" si="22"/>
        <v>24.650613990145295</v>
      </c>
    </row>
    <row r="171" spans="1:32" x14ac:dyDescent="0.25">
      <c r="A171" t="s">
        <v>637</v>
      </c>
      <c r="B171" s="39">
        <v>40847</v>
      </c>
      <c r="C171" s="53" t="s">
        <v>638</v>
      </c>
      <c r="D171" s="4" t="str">
        <f>VLOOKUP(LEFT(C171,2),Sort!$A$1:$B$58,2,FALSE)</f>
        <v>Peru</v>
      </c>
      <c r="E171" s="72">
        <v>900985585.60000002</v>
      </c>
      <c r="F171" s="72">
        <v>1000797895</v>
      </c>
      <c r="G171" s="58">
        <f t="shared" si="16"/>
        <v>0.10064793216406201</v>
      </c>
      <c r="H171" s="10">
        <v>39.041666999999997</v>
      </c>
      <c r="I171" s="10">
        <v>16.486197000000001</v>
      </c>
      <c r="J171" s="10">
        <v>5.0641769999999999</v>
      </c>
      <c r="K171" s="10">
        <v>5.0641769999999999</v>
      </c>
      <c r="L171" s="10">
        <v>145.48599999999999</v>
      </c>
      <c r="M171" s="10">
        <v>206.7277</v>
      </c>
      <c r="N171" s="10">
        <v>15.200991999999999</v>
      </c>
      <c r="O171" s="10">
        <v>0.2397</v>
      </c>
      <c r="P171" s="10">
        <v>9.2851632899999998</v>
      </c>
      <c r="Q171" s="10">
        <v>22.722306830000001</v>
      </c>
      <c r="R171" s="10">
        <v>108.5</v>
      </c>
      <c r="S171" s="10">
        <v>109.5</v>
      </c>
      <c r="T171" s="10">
        <v>108.5</v>
      </c>
      <c r="U171" s="10">
        <v>109.5</v>
      </c>
      <c r="V171" s="53" t="s">
        <v>146</v>
      </c>
      <c r="W171" s="53" t="s">
        <v>639</v>
      </c>
      <c r="Y171" s="10">
        <f t="shared" si="17"/>
        <v>0.30196274536072543</v>
      </c>
      <c r="Z171" s="10">
        <f t="shared" si="18"/>
        <v>3.9287477306881681E-2</v>
      </c>
      <c r="AA171" s="10">
        <f t="shared" si="19"/>
        <v>1.4129581845051489</v>
      </c>
      <c r="AB171" s="10">
        <f t="shared" si="20"/>
        <v>0.72963908058041838</v>
      </c>
      <c r="AE171" s="10">
        <f t="shared" si="21"/>
        <v>10.920300639800727</v>
      </c>
      <c r="AF171" s="10">
        <f t="shared" si="22"/>
        <v>11.020948571964791</v>
      </c>
    </row>
    <row r="172" spans="1:32" x14ac:dyDescent="0.25">
      <c r="A172" t="s">
        <v>640</v>
      </c>
      <c r="B172" s="39">
        <v>40847</v>
      </c>
      <c r="C172" s="53" t="s">
        <v>641</v>
      </c>
      <c r="D172" s="4" t="str">
        <f>VLOOKUP(LEFT(C172,2),Sort!$A$1:$B$58,2,FALSE)</f>
        <v>Peru</v>
      </c>
      <c r="E172" s="72">
        <v>1082984674</v>
      </c>
      <c r="F172" s="72">
        <v>1355263569</v>
      </c>
      <c r="G172" s="58">
        <f t="shared" si="16"/>
        <v>0.13629572607877696</v>
      </c>
      <c r="H172" s="10">
        <v>24.363889</v>
      </c>
      <c r="I172" s="10">
        <v>13.698626000000001</v>
      </c>
      <c r="J172" s="10">
        <v>4.7828910000000002</v>
      </c>
      <c r="K172" s="10">
        <v>4.7828910000000002</v>
      </c>
      <c r="L172" s="10">
        <v>191.9205</v>
      </c>
      <c r="M172" s="10">
        <v>196.91139999999999</v>
      </c>
      <c r="N172" s="10">
        <v>12.757743</v>
      </c>
      <c r="O172" s="10">
        <v>0.21479999999999999</v>
      </c>
      <c r="P172" s="10">
        <v>7.0664758489999997</v>
      </c>
      <c r="Q172" s="10">
        <v>18.596536329999999</v>
      </c>
      <c r="R172" s="10">
        <v>124.25</v>
      </c>
      <c r="S172" s="10">
        <v>125.25</v>
      </c>
      <c r="T172" s="10">
        <v>124.25</v>
      </c>
      <c r="U172" s="10">
        <v>125.25</v>
      </c>
      <c r="V172" s="53" t="s">
        <v>146</v>
      </c>
      <c r="W172" s="53" t="s">
        <v>642</v>
      </c>
      <c r="Y172" s="10">
        <f t="shared" si="17"/>
        <v>0.33977175214180605</v>
      </c>
      <c r="Z172" s="10">
        <f t="shared" si="18"/>
        <v>5.0247346395502622E-2</v>
      </c>
      <c r="AA172" s="10">
        <f t="shared" si="19"/>
        <v>4.0985445170267205</v>
      </c>
      <c r="AB172" s="10">
        <f t="shared" si="20"/>
        <v>3.4228928732367301</v>
      </c>
      <c r="AE172" s="10">
        <f t="shared" si="21"/>
        <v>16.934743965288039</v>
      </c>
      <c r="AF172" s="10">
        <f t="shared" si="22"/>
        <v>17.071039691366813</v>
      </c>
    </row>
    <row r="173" spans="1:32" x14ac:dyDescent="0.25">
      <c r="A173" t="s">
        <v>643</v>
      </c>
      <c r="B173" s="39">
        <v>40847</v>
      </c>
      <c r="C173" s="53" t="s">
        <v>644</v>
      </c>
      <c r="D173" s="4" t="str">
        <f>VLOOKUP(LEFT(C173,2),Sort!$A$1:$B$58,2,FALSE)</f>
        <v>Peru</v>
      </c>
      <c r="E173" s="72">
        <v>900985585.60000002</v>
      </c>
      <c r="F173" s="72">
        <v>1123106688</v>
      </c>
      <c r="G173" s="58">
        <f t="shared" si="16"/>
        <v>0.11294824490695832</v>
      </c>
      <c r="H173" s="10">
        <v>7.411111</v>
      </c>
      <c r="I173" s="10">
        <v>6.0464029999999998</v>
      </c>
      <c r="J173" s="10">
        <v>3.2937349999999999</v>
      </c>
      <c r="K173" s="10">
        <v>3.2937349999999999</v>
      </c>
      <c r="L173" s="10">
        <v>164.47200000000001</v>
      </c>
      <c r="M173" s="10">
        <v>174.8527</v>
      </c>
      <c r="N173" s="10">
        <v>5.9098470000000001</v>
      </c>
      <c r="O173" s="10">
        <v>0.21690000000000001</v>
      </c>
      <c r="P173" s="10">
        <v>3.3616930119999999</v>
      </c>
      <c r="Q173" s="10">
        <v>8.930988224</v>
      </c>
      <c r="R173" s="10">
        <v>124</v>
      </c>
      <c r="S173" s="10">
        <v>125</v>
      </c>
      <c r="T173" s="10">
        <v>124</v>
      </c>
      <c r="U173" s="10">
        <v>125</v>
      </c>
      <c r="V173" s="53" t="s">
        <v>146</v>
      </c>
      <c r="W173" s="53" t="s">
        <v>645</v>
      </c>
      <c r="Y173" s="10">
        <f t="shared" si="17"/>
        <v>8.2253589894900364E-2</v>
      </c>
      <c r="Z173" s="10">
        <f t="shared" si="18"/>
        <v>4.7915771911956062E-2</v>
      </c>
      <c r="AA173" s="10">
        <f t="shared" si="19"/>
        <v>3.015979524874199</v>
      </c>
      <c r="AB173" s="10">
        <f t="shared" si="20"/>
        <v>2.8308889611168584</v>
      </c>
      <c r="AE173" s="10">
        <f t="shared" si="21"/>
        <v>14.005582368462832</v>
      </c>
      <c r="AF173" s="10">
        <f t="shared" si="22"/>
        <v>14.11853061336979</v>
      </c>
    </row>
    <row r="174" spans="1:32" x14ac:dyDescent="0.25">
      <c r="A174" t="s">
        <v>646</v>
      </c>
      <c r="B174" s="39">
        <v>40847</v>
      </c>
      <c r="C174" s="53" t="s">
        <v>647</v>
      </c>
      <c r="D174" s="4" t="str">
        <f>VLOOKUP(LEFT(C174,2),Sort!$A$1:$B$58,2,FALSE)</f>
        <v>Peru</v>
      </c>
      <c r="E174" s="72">
        <v>2027217568</v>
      </c>
      <c r="F174" s="72">
        <v>2687735732</v>
      </c>
      <c r="G174" s="58">
        <f t="shared" si="16"/>
        <v>0.2702993731109532</v>
      </c>
      <c r="H174" s="10">
        <v>13.716666999999999</v>
      </c>
      <c r="I174" s="10">
        <v>9.4594869999999993</v>
      </c>
      <c r="J174" s="10">
        <v>4.2876349999999999</v>
      </c>
      <c r="K174" s="10">
        <v>4.2876349999999999</v>
      </c>
      <c r="L174" s="10">
        <v>196.4828</v>
      </c>
      <c r="M174" s="10">
        <v>196.2894</v>
      </c>
      <c r="N174" s="10">
        <v>9.0232399999999995</v>
      </c>
      <c r="O174" s="10">
        <v>0.39410000000000001</v>
      </c>
      <c r="P174" s="10">
        <v>5.6343087010000001</v>
      </c>
      <c r="Q174" s="10">
        <v>12.609088</v>
      </c>
      <c r="R174" s="10">
        <v>130.5</v>
      </c>
      <c r="S174" s="10">
        <v>131.5</v>
      </c>
      <c r="T174" s="10">
        <v>130.5</v>
      </c>
      <c r="U174" s="10">
        <v>131.5</v>
      </c>
      <c r="V174" s="53" t="s">
        <v>146</v>
      </c>
      <c r="W174" s="53" t="s">
        <v>648</v>
      </c>
      <c r="Y174" s="10">
        <f t="shared" si="17"/>
        <v>0.88082245067515319</v>
      </c>
      <c r="Z174" s="10">
        <f t="shared" si="18"/>
        <v>8.9331218096178791E-2</v>
      </c>
      <c r="AA174" s="10">
        <f t="shared" si="19"/>
        <v>8.1024889062634635</v>
      </c>
      <c r="AB174" s="10">
        <f t="shared" si="20"/>
        <v>7.1269568004320201</v>
      </c>
      <c r="AE174" s="10">
        <f t="shared" si="21"/>
        <v>35.274068190979392</v>
      </c>
      <c r="AF174" s="10">
        <f t="shared" si="22"/>
        <v>35.544367564090344</v>
      </c>
    </row>
    <row r="175" spans="1:32" x14ac:dyDescent="0.25">
      <c r="A175" t="s">
        <v>649</v>
      </c>
      <c r="B175" s="39">
        <v>40847</v>
      </c>
      <c r="C175" s="53" t="s">
        <v>650</v>
      </c>
      <c r="D175" s="4" t="str">
        <f>VLOOKUP(LEFT(C175,2),Sort!$A$1:$B$58,2,FALSE)</f>
        <v>Peru</v>
      </c>
      <c r="E175" s="72">
        <v>2023462260</v>
      </c>
      <c r="F175" s="72">
        <v>3130043183</v>
      </c>
      <c r="G175" s="58">
        <f t="shared" si="16"/>
        <v>0.31478121159834049</v>
      </c>
      <c r="H175" s="10">
        <v>22.05</v>
      </c>
      <c r="I175" s="10">
        <v>11.940109</v>
      </c>
      <c r="J175" s="10">
        <v>4.8887669999999996</v>
      </c>
      <c r="K175" s="10">
        <v>4.8887669999999996</v>
      </c>
      <c r="L175" s="10">
        <v>214.2627</v>
      </c>
      <c r="M175" s="10">
        <v>220.38489999999999</v>
      </c>
      <c r="N175" s="10">
        <v>11.190293</v>
      </c>
      <c r="O175" s="10">
        <v>0.17760000000000001</v>
      </c>
      <c r="P175" s="10">
        <v>6.3093603700000003</v>
      </c>
      <c r="Q175" s="10">
        <v>15.436439829999999</v>
      </c>
      <c r="R175" s="10">
        <v>150.75</v>
      </c>
      <c r="S175" s="10">
        <v>151.75</v>
      </c>
      <c r="T175" s="10">
        <v>150.75</v>
      </c>
      <c r="U175" s="10">
        <v>151.75</v>
      </c>
      <c r="V175" s="53" t="s">
        <v>146</v>
      </c>
      <c r="W175" s="53" t="s">
        <v>651</v>
      </c>
      <c r="Y175" s="10">
        <f t="shared" si="17"/>
        <v>0.68398270052505594</v>
      </c>
      <c r="Z175" s="10">
        <f t="shared" si="18"/>
        <v>0.11861744137083474</v>
      </c>
      <c r="AA175" s="10">
        <f t="shared" si="19"/>
        <v>4.711035940384023</v>
      </c>
      <c r="AB175" s="10">
        <f t="shared" si="20"/>
        <v>17.358413256565449</v>
      </c>
      <c r="AE175" s="10">
        <f t="shared" si="21"/>
        <v>47.453267648449831</v>
      </c>
      <c r="AF175" s="10">
        <f t="shared" si="22"/>
        <v>47.768048860048168</v>
      </c>
    </row>
    <row r="176" spans="1:32" x14ac:dyDescent="0.25">
      <c r="A176" t="s">
        <v>652</v>
      </c>
      <c r="B176" s="39">
        <v>40847</v>
      </c>
      <c r="C176" s="53" t="s">
        <v>653</v>
      </c>
      <c r="D176" s="4" t="str">
        <f>VLOOKUP(LEFT(C176,2),Sort!$A$1:$B$58,2,FALSE)</f>
        <v>Peru</v>
      </c>
      <c r="E176" s="72">
        <v>523566327.69999999</v>
      </c>
      <c r="F176" s="72">
        <v>646604414.70000005</v>
      </c>
      <c r="G176" s="58">
        <f t="shared" si="16"/>
        <v>6.5027512140908961E-2</v>
      </c>
      <c r="H176" s="10">
        <v>4.5</v>
      </c>
      <c r="I176" s="10">
        <v>3.892128</v>
      </c>
      <c r="J176" s="10">
        <v>2.5742039999999999</v>
      </c>
      <c r="K176" s="10">
        <v>2.5742039999999999</v>
      </c>
      <c r="L176" s="10">
        <v>173.72040000000001</v>
      </c>
      <c r="M176" s="10">
        <v>179.8972</v>
      </c>
      <c r="N176" s="10">
        <v>3.8653810000000002</v>
      </c>
      <c r="O176" s="10">
        <v>1.8200000000000001E-2</v>
      </c>
      <c r="P176" s="10">
        <v>2.1204989240000001</v>
      </c>
      <c r="Q176" s="10">
        <v>5.7783015579999999</v>
      </c>
      <c r="R176" s="10">
        <v>123.5</v>
      </c>
      <c r="S176" s="10">
        <v>124.5</v>
      </c>
      <c r="T176" s="10">
        <v>123.5</v>
      </c>
      <c r="U176" s="10">
        <v>124.5</v>
      </c>
      <c r="V176" s="53" t="s">
        <v>146</v>
      </c>
      <c r="W176" s="53" t="s">
        <v>654</v>
      </c>
      <c r="Y176" s="10">
        <f t="shared" si="17"/>
        <v>5.4725192629032055E-2</v>
      </c>
      <c r="Z176" s="10">
        <f t="shared" si="18"/>
        <v>2.1560083921986415E-2</v>
      </c>
      <c r="AA176" s="10">
        <f t="shared" si="19"/>
        <v>1.7864797665234018</v>
      </c>
      <c r="AB176" s="10">
        <f t="shared" si="20"/>
        <v>1.6233038749249464</v>
      </c>
      <c r="AE176" s="10">
        <f t="shared" si="21"/>
        <v>8.0308977494022571</v>
      </c>
      <c r="AF176" s="10">
        <f t="shared" si="22"/>
        <v>8.0959252615431652</v>
      </c>
    </row>
    <row r="177" spans="1:32" x14ac:dyDescent="0.25">
      <c r="A177" t="s">
        <v>655</v>
      </c>
      <c r="B177" s="39">
        <v>40847</v>
      </c>
      <c r="C177" s="53" t="s">
        <v>656</v>
      </c>
      <c r="D177" s="4" t="str">
        <f>VLOOKUP(LEFT(C177,2),Sort!$A$1:$B$58,2,FALSE)</f>
        <v>Philippines</v>
      </c>
      <c r="E177" s="72">
        <v>281441158.10000002</v>
      </c>
      <c r="F177" s="72">
        <v>320896667.10000002</v>
      </c>
      <c r="G177" s="58">
        <f t="shared" si="16"/>
        <v>1.884372853490824E-2</v>
      </c>
      <c r="H177" s="10">
        <v>4.9972219999999998</v>
      </c>
      <c r="I177" s="10">
        <v>4.3280849999999997</v>
      </c>
      <c r="J177" s="10">
        <v>3.570872</v>
      </c>
      <c r="K177" s="10">
        <v>3.570872</v>
      </c>
      <c r="L177" s="10">
        <v>258.86829999999998</v>
      </c>
      <c r="M177" s="10">
        <v>264.65800000000002</v>
      </c>
      <c r="N177" s="10">
        <v>4.2835590000000003</v>
      </c>
      <c r="O177" s="10">
        <v>1.6799999999999999E-2</v>
      </c>
      <c r="P177" s="10">
        <v>1.324424424</v>
      </c>
      <c r="Q177" s="10">
        <v>5.0242137329999998</v>
      </c>
      <c r="R177" s="10">
        <v>114</v>
      </c>
      <c r="S177" s="10">
        <v>115</v>
      </c>
      <c r="T177" s="10">
        <v>114</v>
      </c>
      <c r="U177" s="10">
        <v>115</v>
      </c>
      <c r="V177" s="53" t="s">
        <v>146</v>
      </c>
      <c r="W177" s="53" t="s">
        <v>657</v>
      </c>
      <c r="Y177" s="10">
        <f t="shared" si="17"/>
        <v>2.784745982559152E-2</v>
      </c>
      <c r="Z177" s="10">
        <f t="shared" si="18"/>
        <v>1.4842542806492569E-2</v>
      </c>
      <c r="AA177" s="10">
        <f t="shared" si="19"/>
        <v>0.58000867078472473</v>
      </c>
      <c r="AB177" s="10">
        <f t="shared" si="20"/>
        <v>0.24570309766368351</v>
      </c>
      <c r="AE177" s="10">
        <f t="shared" si="21"/>
        <v>2.1481850529795392</v>
      </c>
      <c r="AF177" s="10">
        <f t="shared" si="22"/>
        <v>2.1670287815144476</v>
      </c>
    </row>
    <row r="178" spans="1:32" x14ac:dyDescent="0.25">
      <c r="A178" t="s">
        <v>658</v>
      </c>
      <c r="B178" s="39">
        <v>40847</v>
      </c>
      <c r="C178" s="53" t="s">
        <v>659</v>
      </c>
      <c r="D178" s="4" t="str">
        <f>VLOOKUP(LEFT(C178,2),Sort!$A$1:$B$58,2,FALSE)</f>
        <v>Philippines</v>
      </c>
      <c r="E178" s="72">
        <v>574694964.39999998</v>
      </c>
      <c r="F178" s="72">
        <v>704815484.5</v>
      </c>
      <c r="G178" s="58">
        <f t="shared" si="16"/>
        <v>4.1388250545397527E-2</v>
      </c>
      <c r="H178" s="10">
        <v>7.5694439999999998</v>
      </c>
      <c r="I178" s="10">
        <v>5.9528549999999996</v>
      </c>
      <c r="J178" s="10">
        <v>4.0738219999999998</v>
      </c>
      <c r="K178" s="10">
        <v>4.0738219999999998</v>
      </c>
      <c r="L178" s="10">
        <v>239.5146</v>
      </c>
      <c r="M178" s="10">
        <v>250.24889999999999</v>
      </c>
      <c r="N178" s="10">
        <v>5.8141309999999997</v>
      </c>
      <c r="O178" s="10">
        <v>0.4259</v>
      </c>
      <c r="P178" s="10">
        <v>5.201581247</v>
      </c>
      <c r="Q178" s="10">
        <v>8.3008369470000005</v>
      </c>
      <c r="R178" s="10">
        <v>119.5</v>
      </c>
      <c r="S178" s="10">
        <v>120.5</v>
      </c>
      <c r="T178" s="10">
        <v>119.5</v>
      </c>
      <c r="U178" s="10">
        <v>120.5</v>
      </c>
      <c r="V178" s="53" t="s">
        <v>146</v>
      </c>
      <c r="W178" s="53" t="s">
        <v>660</v>
      </c>
      <c r="Y178" s="10">
        <f t="shared" si="17"/>
        <v>8.4125050735507759E-2</v>
      </c>
      <c r="Z178" s="10">
        <f t="shared" si="18"/>
        <v>2.2257499353640582E-2</v>
      </c>
      <c r="AA178" s="10">
        <f t="shared" si="19"/>
        <v>1.204569513237931</v>
      </c>
      <c r="AB178" s="10">
        <f t="shared" si="20"/>
        <v>1.7125935031438884</v>
      </c>
      <c r="AE178" s="10">
        <f t="shared" si="21"/>
        <v>4.9458959401750047</v>
      </c>
      <c r="AF178" s="10">
        <f t="shared" si="22"/>
        <v>4.987284190720402</v>
      </c>
    </row>
    <row r="179" spans="1:32" x14ac:dyDescent="0.25">
      <c r="A179" t="s">
        <v>661</v>
      </c>
      <c r="B179" s="39">
        <v>40847</v>
      </c>
      <c r="C179" s="53" t="s">
        <v>662</v>
      </c>
      <c r="D179" s="4" t="str">
        <f>VLOOKUP(LEFT(C179,2),Sort!$A$1:$B$58,2,FALSE)</f>
        <v>Philippines</v>
      </c>
      <c r="E179" s="72">
        <v>663646131.10000002</v>
      </c>
      <c r="F179" s="72">
        <v>819435029.60000002</v>
      </c>
      <c r="G179" s="58">
        <f t="shared" si="16"/>
        <v>4.8118951777598243E-2</v>
      </c>
      <c r="H179" s="10">
        <v>13.080556</v>
      </c>
      <c r="I179" s="10">
        <v>8.8425779999999996</v>
      </c>
      <c r="J179" s="10">
        <v>5.126455</v>
      </c>
      <c r="K179" s="10">
        <v>5.126455</v>
      </c>
      <c r="L179" s="10">
        <v>283.59629999999999</v>
      </c>
      <c r="M179" s="10">
        <v>286.58550000000002</v>
      </c>
      <c r="N179" s="10">
        <v>8.4534140000000004</v>
      </c>
      <c r="O179" s="10">
        <v>0.52549999999999997</v>
      </c>
      <c r="P179" s="10">
        <v>5.1744325680000003</v>
      </c>
      <c r="Q179" s="10">
        <v>8.7271987469999992</v>
      </c>
      <c r="R179" s="10">
        <v>120.375</v>
      </c>
      <c r="S179" s="10">
        <v>121.375</v>
      </c>
      <c r="T179" s="10">
        <v>120.375</v>
      </c>
      <c r="U179" s="10">
        <v>121.375</v>
      </c>
      <c r="V179" s="53" t="s">
        <v>146</v>
      </c>
      <c r="W179" s="53" t="s">
        <v>663</v>
      </c>
      <c r="Y179" s="10">
        <f t="shared" si="17"/>
        <v>0.25103117021744092</v>
      </c>
      <c r="Z179" s="10">
        <f t="shared" si="18"/>
        <v>3.2563461063718782E-2</v>
      </c>
      <c r="AA179" s="10">
        <f t="shared" si="19"/>
        <v>1.6038102767511042</v>
      </c>
      <c r="AB179" s="10">
        <f t="shared" si="20"/>
        <v>2.0055596194947958</v>
      </c>
      <c r="AE179" s="10">
        <f t="shared" si="21"/>
        <v>5.7923188202283882</v>
      </c>
      <c r="AF179" s="10">
        <f t="shared" si="22"/>
        <v>5.8404377720059868</v>
      </c>
    </row>
    <row r="180" spans="1:32" x14ac:dyDescent="0.25">
      <c r="A180" t="s">
        <v>664</v>
      </c>
      <c r="B180" s="39">
        <v>40847</v>
      </c>
      <c r="C180" s="53" t="s">
        <v>665</v>
      </c>
      <c r="D180" s="4" t="str">
        <f>VLOOKUP(LEFT(C180,2),Sort!$A$1:$B$58,2,FALSE)</f>
        <v>Philippines</v>
      </c>
      <c r="E180" s="72">
        <v>874093194.10000002</v>
      </c>
      <c r="F180" s="72">
        <v>1386636558</v>
      </c>
      <c r="G180" s="58">
        <f t="shared" si="16"/>
        <v>8.1426220819516698E-2</v>
      </c>
      <c r="H180" s="10">
        <v>13.372222000000001</v>
      </c>
      <c r="I180" s="10">
        <v>8.5877750000000006</v>
      </c>
      <c r="J180" s="10">
        <v>4.7045349999999999</v>
      </c>
      <c r="K180" s="10">
        <v>4.7045349999999999</v>
      </c>
      <c r="L180" s="10">
        <v>239.92259999999999</v>
      </c>
      <c r="M180" s="10">
        <v>248.81870000000001</v>
      </c>
      <c r="N180" s="10">
        <v>8.2208640000000006</v>
      </c>
      <c r="O180" s="10">
        <v>-0.13880000000000001</v>
      </c>
      <c r="P180" s="10">
        <v>4.4966435169999999</v>
      </c>
      <c r="Q180" s="10">
        <v>8.1226619790000001</v>
      </c>
      <c r="R180" s="10">
        <v>157.25</v>
      </c>
      <c r="S180" s="10">
        <v>158.25</v>
      </c>
      <c r="T180" s="10">
        <v>157.25</v>
      </c>
      <c r="U180" s="10">
        <v>158.25</v>
      </c>
      <c r="V180" s="53" t="s">
        <v>146</v>
      </c>
      <c r="W180" s="53" t="s">
        <v>666</v>
      </c>
      <c r="Y180" s="10">
        <f t="shared" si="17"/>
        <v>0.41255089073893608</v>
      </c>
      <c r="Z180" s="10">
        <f t="shared" si="18"/>
        <v>5.056828597089176E-2</v>
      </c>
      <c r="AA180" s="10">
        <f t="shared" si="19"/>
        <v>2.3562963800167434</v>
      </c>
      <c r="AB180" s="10">
        <f t="shared" si="20"/>
        <v>8.0193165922718705</v>
      </c>
      <c r="AE180" s="10">
        <f t="shared" si="21"/>
        <v>12.804273223869</v>
      </c>
      <c r="AF180" s="10">
        <f t="shared" si="22"/>
        <v>12.885699444688518</v>
      </c>
    </row>
    <row r="181" spans="1:32" x14ac:dyDescent="0.25">
      <c r="A181" t="s">
        <v>667</v>
      </c>
      <c r="B181" s="39">
        <v>40847</v>
      </c>
      <c r="C181" s="53" t="s">
        <v>668</v>
      </c>
      <c r="D181" s="4" t="str">
        <f>VLOOKUP(LEFT(C181,2),Sort!$A$1:$B$58,2,FALSE)</f>
        <v>Philippines</v>
      </c>
      <c r="E181" s="72">
        <v>1168471639</v>
      </c>
      <c r="F181" s="72">
        <v>1204402142</v>
      </c>
      <c r="G181" s="58">
        <f t="shared" si="16"/>
        <v>7.0725031879615929E-2</v>
      </c>
      <c r="H181" s="10">
        <v>9.1999999999999993</v>
      </c>
      <c r="I181" s="10">
        <v>7.7876919999999998</v>
      </c>
      <c r="J181" s="10">
        <v>3.692599</v>
      </c>
      <c r="K181" s="10">
        <v>3.692599</v>
      </c>
      <c r="L181" s="10">
        <v>170.8466</v>
      </c>
      <c r="M181" s="10">
        <v>174.5515</v>
      </c>
      <c r="N181" s="10">
        <v>7.5329129999999997</v>
      </c>
      <c r="O181" s="10">
        <v>-0.1104</v>
      </c>
      <c r="P181" s="10">
        <v>3.189654263</v>
      </c>
      <c r="Q181" s="10">
        <v>9.1069539810000002</v>
      </c>
      <c r="R181" s="10">
        <v>101.875</v>
      </c>
      <c r="S181" s="10">
        <v>102.375</v>
      </c>
      <c r="T181" s="10">
        <v>101.875</v>
      </c>
      <c r="U181" s="10">
        <v>102.375</v>
      </c>
      <c r="V181" s="53" t="s">
        <v>146</v>
      </c>
      <c r="W181" s="53" t="s">
        <v>669</v>
      </c>
      <c r="Y181" s="10">
        <f t="shared" si="17"/>
        <v>0.11361012671687766</v>
      </c>
      <c r="Z181" s="10">
        <f t="shared" si="18"/>
        <v>5.7606632395646944E-2</v>
      </c>
      <c r="AA181" s="10">
        <f t="shared" si="19"/>
        <v>3.2287181643279541</v>
      </c>
      <c r="AB181" s="10">
        <f t="shared" si="20"/>
        <v>0.82094302821683263</v>
      </c>
      <c r="AE181" s="10">
        <f t="shared" si="21"/>
        <v>7.2051126227358724</v>
      </c>
      <c r="AF181" s="10">
        <f t="shared" si="22"/>
        <v>7.2404751386756807</v>
      </c>
    </row>
    <row r="182" spans="1:32" x14ac:dyDescent="0.25">
      <c r="A182" t="s">
        <v>670</v>
      </c>
      <c r="B182" s="39">
        <v>40847</v>
      </c>
      <c r="C182" s="53" t="s">
        <v>671</v>
      </c>
      <c r="D182" s="4" t="str">
        <f>VLOOKUP(LEFT(C182,2),Sort!$A$1:$B$58,2,FALSE)</f>
        <v>Philippines</v>
      </c>
      <c r="E182" s="72">
        <v>844323474.20000005</v>
      </c>
      <c r="F182" s="72">
        <v>926680195.89999998</v>
      </c>
      <c r="G182" s="58">
        <f t="shared" si="16"/>
        <v>5.4416613946238097E-2</v>
      </c>
      <c r="H182" s="10">
        <v>14.408333000000001</v>
      </c>
      <c r="I182" s="10">
        <v>10.414678</v>
      </c>
      <c r="J182" s="10">
        <v>4.55722</v>
      </c>
      <c r="K182" s="10">
        <v>4.55722</v>
      </c>
      <c r="L182" s="10">
        <v>219.92769999999999</v>
      </c>
      <c r="M182" s="10">
        <v>213.34979999999999</v>
      </c>
      <c r="N182" s="10">
        <v>9.8993020000000005</v>
      </c>
      <c r="O182" s="10">
        <v>0.24229999999999999</v>
      </c>
      <c r="P182" s="10">
        <v>5.0767892349999997</v>
      </c>
      <c r="Q182" s="10">
        <v>14.1491606</v>
      </c>
      <c r="R182" s="10">
        <v>109.25</v>
      </c>
      <c r="S182" s="10">
        <v>109.875</v>
      </c>
      <c r="T182" s="10">
        <v>109.25</v>
      </c>
      <c r="U182" s="10">
        <v>109.875</v>
      </c>
      <c r="V182" s="53" t="s">
        <v>146</v>
      </c>
      <c r="W182" s="53" t="s">
        <v>672</v>
      </c>
      <c r="Y182" s="10">
        <f t="shared" si="17"/>
        <v>0.1766290876677864</v>
      </c>
      <c r="Z182" s="10">
        <f t="shared" si="18"/>
        <v>3.2736237283195836E-2</v>
      </c>
      <c r="AA182" s="10">
        <f t="shared" si="19"/>
        <v>1.3502257162181626</v>
      </c>
      <c r="AB182" s="10">
        <f t="shared" si="20"/>
        <v>0.67791673484489023</v>
      </c>
      <c r="AE182" s="10">
        <f t="shared" si="21"/>
        <v>5.9450150736265117</v>
      </c>
      <c r="AF182" s="10">
        <f t="shared" si="22"/>
        <v>5.9790254573429111</v>
      </c>
    </row>
    <row r="183" spans="1:32" x14ac:dyDescent="0.25">
      <c r="A183" t="s">
        <v>673</v>
      </c>
      <c r="B183" s="39">
        <v>40847</v>
      </c>
      <c r="C183" s="53" t="s">
        <v>674</v>
      </c>
      <c r="D183" s="4" t="str">
        <f>VLOOKUP(LEFT(C183,2),Sort!$A$1:$B$58,2,FALSE)</f>
        <v>Philippines</v>
      </c>
      <c r="E183" s="72">
        <v>755895788.10000002</v>
      </c>
      <c r="F183" s="72">
        <v>913573548.10000002</v>
      </c>
      <c r="G183" s="58">
        <f t="shared" si="16"/>
        <v>5.3646963967078652E-2</v>
      </c>
      <c r="H183" s="10">
        <v>8.2166669999999993</v>
      </c>
      <c r="I183" s="10">
        <v>6.5809759999999997</v>
      </c>
      <c r="J183" s="10">
        <v>3.705768</v>
      </c>
      <c r="K183" s="10">
        <v>3.705768</v>
      </c>
      <c r="L183" s="10">
        <v>190.58459999999999</v>
      </c>
      <c r="M183" s="10">
        <v>199.15369999999999</v>
      </c>
      <c r="N183" s="10">
        <v>6.4032270000000002</v>
      </c>
      <c r="O183" s="10">
        <v>0.2223</v>
      </c>
      <c r="P183" s="10">
        <v>3.207021583</v>
      </c>
      <c r="Q183" s="10">
        <v>7.7929736060000003</v>
      </c>
      <c r="R183" s="10">
        <v>119</v>
      </c>
      <c r="S183" s="10">
        <v>119.625</v>
      </c>
      <c r="T183" s="10">
        <v>119</v>
      </c>
      <c r="U183" s="10">
        <v>119.625</v>
      </c>
      <c r="V183" s="53" t="s">
        <v>146</v>
      </c>
      <c r="W183" s="53" t="s">
        <v>675</v>
      </c>
      <c r="Y183" s="10">
        <f t="shared" si="17"/>
        <v>7.2823337928148837E-2</v>
      </c>
      <c r="Z183" s="10">
        <f t="shared" si="18"/>
        <v>4.385211697467678E-2</v>
      </c>
      <c r="AA183" s="10">
        <f t="shared" si="19"/>
        <v>2.7942607364427063</v>
      </c>
      <c r="AB183" s="10">
        <f t="shared" si="20"/>
        <v>0.72763411415030377</v>
      </c>
      <c r="AE183" s="10">
        <f t="shared" si="21"/>
        <v>6.3839887120823597</v>
      </c>
      <c r="AF183" s="10">
        <f t="shared" si="22"/>
        <v>6.4175180645617838</v>
      </c>
    </row>
    <row r="184" spans="1:32" x14ac:dyDescent="0.25">
      <c r="A184" t="s">
        <v>676</v>
      </c>
      <c r="B184" s="39">
        <v>40847</v>
      </c>
      <c r="C184" s="53" t="s">
        <v>677</v>
      </c>
      <c r="D184" s="4" t="str">
        <f>VLOOKUP(LEFT(C184,2),Sort!$A$1:$B$58,2,FALSE)</f>
        <v>Philippines</v>
      </c>
      <c r="E184" s="72">
        <v>799169617.70000005</v>
      </c>
      <c r="F184" s="72">
        <v>948314647.60000002</v>
      </c>
      <c r="G184" s="58">
        <f t="shared" si="16"/>
        <v>5.5687034541505122E-2</v>
      </c>
      <c r="H184" s="10">
        <v>20.2</v>
      </c>
      <c r="I184" s="10">
        <v>12.190987</v>
      </c>
      <c r="J184" s="10">
        <v>4.9981819999999999</v>
      </c>
      <c r="K184" s="10">
        <v>4.9981819999999999</v>
      </c>
      <c r="L184" s="10">
        <v>234.60220000000001</v>
      </c>
      <c r="M184" s="10">
        <v>231.9314</v>
      </c>
      <c r="N184" s="10">
        <v>11.435772999999999</v>
      </c>
      <c r="O184" s="10">
        <v>-0.61329999999999996</v>
      </c>
      <c r="P184" s="10">
        <v>3.7108513840000001</v>
      </c>
      <c r="Q184" s="10">
        <v>15.292165750000001</v>
      </c>
      <c r="R184" s="10">
        <v>116.75</v>
      </c>
      <c r="S184" s="10">
        <v>117.375</v>
      </c>
      <c r="T184" s="10">
        <v>116.75</v>
      </c>
      <c r="U184" s="10">
        <v>117.375</v>
      </c>
      <c r="V184" s="53" t="s">
        <v>146</v>
      </c>
      <c r="W184" s="53" t="s">
        <v>678</v>
      </c>
      <c r="Y184" s="10">
        <f t="shared" si="17"/>
        <v>0.21158156431142852</v>
      </c>
      <c r="Z184" s="10">
        <f t="shared" si="18"/>
        <v>3.6742052070872805E-2</v>
      </c>
      <c r="AA184" s="10">
        <f t="shared" si="19"/>
        <v>1.5020910608280242</v>
      </c>
      <c r="AB184" s="10">
        <f t="shared" si="20"/>
        <v>0.74109801321453972</v>
      </c>
      <c r="AE184" s="10">
        <f t="shared" si="21"/>
        <v>6.5014612827207232</v>
      </c>
      <c r="AF184" s="10">
        <f t="shared" si="22"/>
        <v>6.5362656793091638</v>
      </c>
    </row>
    <row r="185" spans="1:32" x14ac:dyDescent="0.25">
      <c r="A185" t="s">
        <v>679</v>
      </c>
      <c r="B185" s="39">
        <v>40847</v>
      </c>
      <c r="C185" s="53" t="s">
        <v>680</v>
      </c>
      <c r="D185" s="4" t="str">
        <f>VLOOKUP(LEFT(C185,2),Sort!$A$1:$B$58,2,FALSE)</f>
        <v>Philippines</v>
      </c>
      <c r="E185" s="72">
        <v>1575853775</v>
      </c>
      <c r="F185" s="72">
        <v>1874116927</v>
      </c>
      <c r="G185" s="58">
        <f t="shared" si="16"/>
        <v>0.11005209538078259</v>
      </c>
      <c r="H185" s="10">
        <v>22.972221999999999</v>
      </c>
      <c r="I185" s="10">
        <v>13.305501</v>
      </c>
      <c r="J185" s="10">
        <v>4.9531520000000002</v>
      </c>
      <c r="K185" s="10">
        <v>4.9531520000000002</v>
      </c>
      <c r="L185" s="10">
        <v>216.0163</v>
      </c>
      <c r="M185" s="10">
        <v>218.00190000000001</v>
      </c>
      <c r="N185" s="10">
        <v>12.418908999999999</v>
      </c>
      <c r="O185" s="10">
        <v>-0.19489999999999999</v>
      </c>
      <c r="P185" s="10">
        <v>4.5213642040000002</v>
      </c>
      <c r="Q185" s="10">
        <v>17.40453514</v>
      </c>
      <c r="R185" s="10">
        <v>118.75</v>
      </c>
      <c r="S185" s="10">
        <v>119.375</v>
      </c>
      <c r="T185" s="10">
        <v>118.75</v>
      </c>
      <c r="U185" s="10">
        <v>119.375</v>
      </c>
      <c r="V185" s="53" t="s">
        <v>146</v>
      </c>
      <c r="W185" s="53" t="s">
        <v>681</v>
      </c>
      <c r="Y185" s="10">
        <f t="shared" si="17"/>
        <v>0.45636718820672317</v>
      </c>
      <c r="Z185" s="10">
        <f t="shared" si="18"/>
        <v>7.1957691528280437E-2</v>
      </c>
      <c r="AA185" s="10">
        <f t="shared" si="19"/>
        <v>2.7902377833454732</v>
      </c>
      <c r="AB185" s="10">
        <f t="shared" si="20"/>
        <v>1.4895588043433763</v>
      </c>
      <c r="AE185" s="10">
        <f t="shared" si="21"/>
        <v>13.068686326467933</v>
      </c>
      <c r="AF185" s="10">
        <f t="shared" si="22"/>
        <v>13.137468886080921</v>
      </c>
    </row>
    <row r="186" spans="1:32" x14ac:dyDescent="0.25">
      <c r="A186" t="s">
        <v>682</v>
      </c>
      <c r="B186" s="39">
        <v>40847</v>
      </c>
      <c r="C186" s="53" t="s">
        <v>683</v>
      </c>
      <c r="D186" s="4" t="str">
        <f>VLOOKUP(LEFT(C186,2),Sort!$A$1:$B$58,2,FALSE)</f>
        <v>Philippines</v>
      </c>
      <c r="E186" s="72">
        <v>286819498.60000002</v>
      </c>
      <c r="F186" s="72">
        <v>363663223.60000002</v>
      </c>
      <c r="G186" s="58">
        <f t="shared" si="16"/>
        <v>2.1355070856851649E-2</v>
      </c>
      <c r="H186" s="10">
        <v>11.895371000000001</v>
      </c>
      <c r="I186" s="10">
        <v>8.5184189999999997</v>
      </c>
      <c r="J186" s="10">
        <v>4.5344949999999997</v>
      </c>
      <c r="K186" s="10">
        <v>4.5344949999999997</v>
      </c>
      <c r="L186" s="10">
        <v>230.42099999999999</v>
      </c>
      <c r="M186" s="10">
        <v>236.90280000000001</v>
      </c>
      <c r="N186" s="10">
        <v>8.1747530000000008</v>
      </c>
      <c r="O186" s="10">
        <v>1.6400000000000001E-2</v>
      </c>
      <c r="P186" s="10">
        <v>5.2576989999999997</v>
      </c>
      <c r="Q186" s="10">
        <v>7.0388605499999999</v>
      </c>
      <c r="R186" s="10">
        <v>126</v>
      </c>
      <c r="S186" s="10">
        <v>127</v>
      </c>
      <c r="T186" s="10">
        <v>126</v>
      </c>
      <c r="U186" s="10">
        <v>127</v>
      </c>
      <c r="V186" s="53" t="s">
        <v>146</v>
      </c>
      <c r="W186" s="53" t="s">
        <v>684</v>
      </c>
      <c r="Y186" s="10">
        <f t="shared" si="17"/>
        <v>0.10732295156784953</v>
      </c>
      <c r="Z186" s="10">
        <f t="shared" si="18"/>
        <v>1.2782835348009378E-2</v>
      </c>
      <c r="AA186" s="10">
        <f t="shared" si="19"/>
        <v>0.58837448507134094</v>
      </c>
      <c r="AB186" s="10">
        <f t="shared" si="20"/>
        <v>0.93131138805707692</v>
      </c>
      <c r="AE186" s="10">
        <f t="shared" si="21"/>
        <v>2.6907389279633076</v>
      </c>
      <c r="AF186" s="10">
        <f t="shared" si="22"/>
        <v>2.7120939988201593</v>
      </c>
    </row>
    <row r="187" spans="1:32" x14ac:dyDescent="0.25">
      <c r="A187" t="s">
        <v>685</v>
      </c>
      <c r="B187" s="39">
        <v>40847</v>
      </c>
      <c r="C187" s="53" t="s">
        <v>686</v>
      </c>
      <c r="D187" s="4" t="str">
        <f>VLOOKUP(LEFT(C187,2),Sort!$A$1:$B$58,2,FALSE)</f>
        <v>Philippines</v>
      </c>
      <c r="E187" s="72">
        <v>1319432173</v>
      </c>
      <c r="F187" s="72">
        <v>1794052087</v>
      </c>
      <c r="G187" s="58">
        <f t="shared" si="16"/>
        <v>0.1053505192510414</v>
      </c>
      <c r="H187" s="10">
        <v>19.197222</v>
      </c>
      <c r="I187" s="10">
        <v>11.365826</v>
      </c>
      <c r="J187" s="10">
        <v>4.9453259999999997</v>
      </c>
      <c r="K187" s="10">
        <v>4.9453259999999997</v>
      </c>
      <c r="L187" s="10">
        <v>234.41069999999999</v>
      </c>
      <c r="M187" s="10">
        <v>234.3629</v>
      </c>
      <c r="N187" s="10">
        <v>10.699434</v>
      </c>
      <c r="O187" s="10">
        <v>-0.25929999999999997</v>
      </c>
      <c r="P187" s="10">
        <v>4.5985121619999996</v>
      </c>
      <c r="Q187" s="10">
        <v>13.83738645</v>
      </c>
      <c r="R187" s="10">
        <v>133.625</v>
      </c>
      <c r="S187" s="10">
        <v>134.5</v>
      </c>
      <c r="T187" s="10">
        <v>133.625</v>
      </c>
      <c r="U187" s="10">
        <v>134.5</v>
      </c>
      <c r="V187" s="53" t="s">
        <v>146</v>
      </c>
      <c r="W187" s="53" t="s">
        <v>687</v>
      </c>
      <c r="Y187" s="10">
        <f t="shared" si="17"/>
        <v>0.37318359822614144</v>
      </c>
      <c r="Z187" s="10">
        <f t="shared" si="18"/>
        <v>6.8774724164897549E-2</v>
      </c>
      <c r="AA187" s="10">
        <f t="shared" si="19"/>
        <v>2.8714956619328356</v>
      </c>
      <c r="AB187" s="10">
        <f t="shared" si="20"/>
        <v>4.86574270997707</v>
      </c>
      <c r="AE187" s="10">
        <f t="shared" si="21"/>
        <v>14.077463134920407</v>
      </c>
      <c r="AF187" s="10">
        <f t="shared" si="22"/>
        <v>14.169644839265068</v>
      </c>
    </row>
    <row r="188" spans="1:32" x14ac:dyDescent="0.25">
      <c r="A188" t="s">
        <v>688</v>
      </c>
      <c r="B188" s="39">
        <v>40847</v>
      </c>
      <c r="C188" s="53" t="s">
        <v>689</v>
      </c>
      <c r="D188" s="4" t="str">
        <f>VLOOKUP(LEFT(C188,2),Sort!$A$1:$B$58,2,FALSE)</f>
        <v>Philippines</v>
      </c>
      <c r="E188" s="72">
        <v>647959726.70000005</v>
      </c>
      <c r="F188" s="72">
        <v>746611595.10000002</v>
      </c>
      <c r="G188" s="58">
        <f t="shared" si="16"/>
        <v>4.3842606239020129E-2</v>
      </c>
      <c r="H188" s="10">
        <v>2.2000000000000002</v>
      </c>
      <c r="I188" s="10">
        <v>2.0069949999999999</v>
      </c>
      <c r="J188" s="10">
        <v>1.9490479999999999</v>
      </c>
      <c r="K188" s="10">
        <v>1.9490479999999999</v>
      </c>
      <c r="L188" s="10">
        <v>167.16480000000001</v>
      </c>
      <c r="M188" s="10">
        <v>168.35810000000001</v>
      </c>
      <c r="N188" s="10">
        <v>2.004826</v>
      </c>
      <c r="O188" s="10">
        <v>1.9900000000000001E-2</v>
      </c>
      <c r="P188" s="10">
        <v>1.00073056</v>
      </c>
      <c r="Q188" s="10">
        <v>2.2068057319999999</v>
      </c>
      <c r="R188" s="10">
        <v>112.75</v>
      </c>
      <c r="S188" s="10">
        <v>113.5</v>
      </c>
      <c r="T188" s="10">
        <v>112.75</v>
      </c>
      <c r="U188" s="10">
        <v>113.5</v>
      </c>
      <c r="V188" s="53" t="s">
        <v>146</v>
      </c>
      <c r="W188" s="53" t="s">
        <v>690</v>
      </c>
      <c r="Y188" s="10">
        <f t="shared" si="17"/>
        <v>3.2583860666077415E-2</v>
      </c>
      <c r="Z188" s="10">
        <f t="shared" si="18"/>
        <v>0.16494914056169063</v>
      </c>
      <c r="AA188" s="10">
        <f t="shared" si="19"/>
        <v>1.9304732084500782</v>
      </c>
      <c r="AB188" s="10">
        <f t="shared" si="20"/>
        <v>0.56420661916541703</v>
      </c>
      <c r="AE188" s="10">
        <f t="shared" si="21"/>
        <v>4.9432538534495194</v>
      </c>
      <c r="AF188" s="10">
        <f t="shared" si="22"/>
        <v>4.9761358081287845</v>
      </c>
    </row>
    <row r="189" spans="1:32" x14ac:dyDescent="0.25">
      <c r="A189" t="s">
        <v>691</v>
      </c>
      <c r="B189" s="39">
        <v>40847</v>
      </c>
      <c r="C189" s="53" t="s">
        <v>692</v>
      </c>
      <c r="D189" s="4" t="str">
        <f>VLOOKUP(LEFT(C189,2),Sort!$A$1:$B$58,2,FALSE)</f>
        <v>Philippines</v>
      </c>
      <c r="E189" s="72">
        <v>665517714.79999995</v>
      </c>
      <c r="F189" s="72">
        <v>887893065.29999995</v>
      </c>
      <c r="G189" s="58">
        <f t="shared" si="16"/>
        <v>5.21389518992008E-2</v>
      </c>
      <c r="H189" s="10">
        <v>7.6222219999999998</v>
      </c>
      <c r="I189" s="10">
        <v>5.9055220000000004</v>
      </c>
      <c r="J189" s="10">
        <v>3.6417869999999999</v>
      </c>
      <c r="K189" s="10">
        <v>3.6417869999999999</v>
      </c>
      <c r="L189" s="10">
        <v>195.32239999999999</v>
      </c>
      <c r="M189" s="10">
        <v>207.595</v>
      </c>
      <c r="N189" s="10">
        <v>5.7669589999999999</v>
      </c>
      <c r="O189" s="10">
        <v>0.1113</v>
      </c>
      <c r="P189" s="10">
        <v>3.2115961190000002</v>
      </c>
      <c r="Q189" s="10">
        <v>6.2476434769999996</v>
      </c>
      <c r="R189" s="10">
        <v>130.25</v>
      </c>
      <c r="S189" s="10">
        <v>131.25</v>
      </c>
      <c r="T189" s="10">
        <v>130.25</v>
      </c>
      <c r="U189" s="10">
        <v>131.25</v>
      </c>
      <c r="V189" s="53" t="s">
        <v>146</v>
      </c>
      <c r="W189" s="53" t="s">
        <v>693</v>
      </c>
      <c r="Y189" s="10">
        <f t="shared" si="17"/>
        <v>0.10513408856499705</v>
      </c>
      <c r="Z189" s="10">
        <f t="shared" si="18"/>
        <v>4.1883602195214191E-2</v>
      </c>
      <c r="AA189" s="10">
        <f t="shared" si="19"/>
        <v>1.2588147021910556</v>
      </c>
      <c r="AB189" s="10">
        <f t="shared" si="20"/>
        <v>2.3499130040533416</v>
      </c>
      <c r="AE189" s="10">
        <f t="shared" si="21"/>
        <v>6.7910984848709042</v>
      </c>
      <c r="AF189" s="10">
        <f t="shared" si="22"/>
        <v>6.8432374367701048</v>
      </c>
    </row>
    <row r="190" spans="1:32" x14ac:dyDescent="0.25">
      <c r="A190" t="s">
        <v>694</v>
      </c>
      <c r="B190" s="39">
        <v>40847</v>
      </c>
      <c r="C190" s="53" t="s">
        <v>695</v>
      </c>
      <c r="D190" s="4" t="str">
        <f>VLOOKUP(LEFT(C190,2),Sort!$A$1:$B$58,2,FALSE)</f>
        <v>Philippines</v>
      </c>
      <c r="E190" s="72">
        <v>362340293.19999999</v>
      </c>
      <c r="F190" s="72">
        <v>441634944.39999998</v>
      </c>
      <c r="G190" s="58">
        <f t="shared" si="16"/>
        <v>2.5933734616226223E-2</v>
      </c>
      <c r="H190" s="10">
        <v>3.3722219999999998</v>
      </c>
      <c r="I190" s="10">
        <v>2.9757950000000002</v>
      </c>
      <c r="J190" s="10">
        <v>2.1523270000000001</v>
      </c>
      <c r="K190" s="10">
        <v>2.1523270000000001</v>
      </c>
      <c r="L190" s="10">
        <v>164.46379999999999</v>
      </c>
      <c r="M190" s="10">
        <v>168.51490000000001</v>
      </c>
      <c r="N190" s="10">
        <v>2.9695209999999999</v>
      </c>
      <c r="O190" s="10">
        <v>0.1229</v>
      </c>
      <c r="P190" s="10">
        <v>1.1958092330000001</v>
      </c>
      <c r="Q190" s="10">
        <v>4.1423949709999999</v>
      </c>
      <c r="R190" s="10">
        <v>120.75</v>
      </c>
      <c r="S190" s="10">
        <v>121.75</v>
      </c>
      <c r="T190" s="10">
        <v>120.75</v>
      </c>
      <c r="U190" s="10">
        <v>121.75</v>
      </c>
      <c r="V190" s="53" t="s">
        <v>146</v>
      </c>
      <c r="W190" s="53" t="s">
        <v>696</v>
      </c>
      <c r="Y190" s="10">
        <f t="shared" si="17"/>
        <v>2.8577745116189632E-2</v>
      </c>
      <c r="Z190" s="10">
        <f t="shared" si="18"/>
        <v>1.231233728746995E-2</v>
      </c>
      <c r="AA190" s="10">
        <f t="shared" si="19"/>
        <v>1.1429750997142085</v>
      </c>
      <c r="AB190" s="10">
        <f t="shared" si="20"/>
        <v>1.0842369609616613</v>
      </c>
      <c r="AE190" s="10">
        <f t="shared" si="21"/>
        <v>3.1314984549093166</v>
      </c>
      <c r="AF190" s="10">
        <f t="shared" si="22"/>
        <v>3.1574321895255428</v>
      </c>
    </row>
    <row r="191" spans="1:32" x14ac:dyDescent="0.25">
      <c r="A191" t="s">
        <v>697</v>
      </c>
      <c r="B191" s="39">
        <v>40847</v>
      </c>
      <c r="C191" s="53" t="s">
        <v>698</v>
      </c>
      <c r="D191" s="4" t="str">
        <f>VLOOKUP(LEFT(C191,2),Sort!$A$1:$B$58,2,FALSE)</f>
        <v>Philippines</v>
      </c>
      <c r="E191" s="72">
        <v>364767441.69999999</v>
      </c>
      <c r="F191" s="72">
        <v>451034941.69999999</v>
      </c>
      <c r="G191" s="58">
        <f t="shared" si="16"/>
        <v>2.6485722266801827E-2</v>
      </c>
      <c r="H191" s="10">
        <v>4.2</v>
      </c>
      <c r="I191" s="10">
        <v>3.613442</v>
      </c>
      <c r="J191" s="10">
        <v>2.4817930000000001</v>
      </c>
      <c r="K191" s="10">
        <v>2.4817930000000001</v>
      </c>
      <c r="L191" s="10">
        <v>173.23929999999999</v>
      </c>
      <c r="M191" s="10">
        <v>178.7681</v>
      </c>
      <c r="N191" s="10">
        <v>3.5918990000000002</v>
      </c>
      <c r="O191" s="10">
        <v>1.7999999999999999E-2</v>
      </c>
      <c r="P191" s="10">
        <v>1.956024236</v>
      </c>
      <c r="Q191" s="10">
        <v>4.0019842219999999</v>
      </c>
      <c r="R191" s="10">
        <v>121.25</v>
      </c>
      <c r="S191" s="10">
        <v>121.875</v>
      </c>
      <c r="T191" s="10">
        <v>121.25</v>
      </c>
      <c r="U191" s="10">
        <v>121.875</v>
      </c>
      <c r="V191" s="53" t="s">
        <v>146</v>
      </c>
      <c r="W191" s="53" t="s">
        <v>699</v>
      </c>
      <c r="Y191" s="10">
        <f t="shared" si="17"/>
        <v>3.5439925089574977E-2</v>
      </c>
      <c r="Z191" s="10">
        <f t="shared" si="18"/>
        <v>1.4499217478265115E-2</v>
      </c>
      <c r="AA191" s="10">
        <f t="shared" si="19"/>
        <v>1.2383267224283057</v>
      </c>
      <c r="AB191" s="10">
        <f t="shared" si="20"/>
        <v>1.108451320697774</v>
      </c>
      <c r="AE191" s="10">
        <f t="shared" si="21"/>
        <v>3.2113938248497216</v>
      </c>
      <c r="AF191" s="10">
        <f t="shared" si="22"/>
        <v>3.2279474012664728</v>
      </c>
    </row>
    <row r="192" spans="1:32" x14ac:dyDescent="0.25">
      <c r="A192" t="s">
        <v>700</v>
      </c>
      <c r="B192" s="39">
        <v>40847</v>
      </c>
      <c r="C192" s="53" t="s">
        <v>701</v>
      </c>
      <c r="D192" s="4" t="str">
        <f>VLOOKUP(LEFT(C192,2),Sort!$A$1:$B$58,2,FALSE)</f>
        <v>Philippines</v>
      </c>
      <c r="E192" s="72">
        <v>1084182264</v>
      </c>
      <c r="F192" s="72">
        <v>1676702931</v>
      </c>
      <c r="G192" s="58">
        <f t="shared" si="16"/>
        <v>9.8459529514536917E-2</v>
      </c>
      <c r="H192" s="10">
        <v>18.247222000000001</v>
      </c>
      <c r="I192" s="10">
        <v>10.560755</v>
      </c>
      <c r="J192" s="10">
        <v>5.0193789999999998</v>
      </c>
      <c r="K192" s="10">
        <v>5.0193789999999998</v>
      </c>
      <c r="L192" s="10">
        <v>246.642</v>
      </c>
      <c r="M192" s="10">
        <v>250.167</v>
      </c>
      <c r="N192" s="10">
        <v>9.9759550000000008</v>
      </c>
      <c r="O192" s="10">
        <v>-0.30530000000000002</v>
      </c>
      <c r="P192" s="10">
        <v>4.5559970740000004</v>
      </c>
      <c r="Q192" s="10">
        <v>11.41383592</v>
      </c>
      <c r="R192" s="10">
        <v>152.25</v>
      </c>
      <c r="S192" s="10">
        <v>153.125</v>
      </c>
      <c r="T192" s="10">
        <v>152.25</v>
      </c>
      <c r="U192" s="10">
        <v>153.125</v>
      </c>
      <c r="V192" s="53" t="s">
        <v>146</v>
      </c>
      <c r="W192" s="53" t="s">
        <v>702</v>
      </c>
      <c r="Y192" s="10">
        <f t="shared" si="17"/>
        <v>0.32406907379649286</v>
      </c>
      <c r="Z192" s="10">
        <f t="shared" si="18"/>
        <v>6.5238654632907359E-2</v>
      </c>
      <c r="AA192" s="10">
        <f t="shared" si="19"/>
        <v>2.8646422794273398</v>
      </c>
      <c r="AB192" s="10">
        <f t="shared" si="20"/>
        <v>9.3828164321157868</v>
      </c>
      <c r="AE192" s="10">
        <f t="shared" si="21"/>
        <v>14.990463368588246</v>
      </c>
      <c r="AF192" s="10">
        <f t="shared" si="22"/>
        <v>15.076615456913466</v>
      </c>
    </row>
    <row r="193" spans="1:32" x14ac:dyDescent="0.25">
      <c r="A193" t="s">
        <v>703</v>
      </c>
      <c r="B193" s="39">
        <v>40847</v>
      </c>
      <c r="C193" s="53" t="s">
        <v>704</v>
      </c>
      <c r="D193" s="4" t="str">
        <f>VLOOKUP(LEFT(C193,2),Sort!$A$1:$B$58,2,FALSE)</f>
        <v>Philippines</v>
      </c>
      <c r="E193" s="72">
        <v>368123346.10000002</v>
      </c>
      <c r="F193" s="72">
        <v>488626222.69999999</v>
      </c>
      <c r="G193" s="58">
        <f t="shared" si="16"/>
        <v>2.869316150524898E-2</v>
      </c>
      <c r="H193" s="10">
        <v>5.2083329999999997</v>
      </c>
      <c r="I193" s="10">
        <v>4.2665420000000003</v>
      </c>
      <c r="J193" s="10">
        <v>2.9369809999999998</v>
      </c>
      <c r="K193" s="10">
        <v>2.9369809999999998</v>
      </c>
      <c r="L193" s="10">
        <v>189.2627</v>
      </c>
      <c r="M193" s="10">
        <v>197.46260000000001</v>
      </c>
      <c r="N193" s="10">
        <v>4.2188569999999999</v>
      </c>
      <c r="O193" s="10">
        <v>1.9599999999999999E-2</v>
      </c>
      <c r="P193" s="10">
        <v>3.4923854479999998</v>
      </c>
      <c r="Q193" s="10">
        <v>5.2681016170000001</v>
      </c>
      <c r="R193" s="10">
        <v>130</v>
      </c>
      <c r="S193" s="10">
        <v>130.875</v>
      </c>
      <c r="T193" s="10">
        <v>130</v>
      </c>
      <c r="U193" s="10">
        <v>130.875</v>
      </c>
      <c r="V193" s="53" t="s">
        <v>146</v>
      </c>
      <c r="W193" s="53" t="s">
        <v>705</v>
      </c>
      <c r="Y193" s="10">
        <f t="shared" si="17"/>
        <v>4.1800107016428729E-2</v>
      </c>
      <c r="Z193" s="10">
        <f t="shared" si="18"/>
        <v>1.8588601959874915E-2</v>
      </c>
      <c r="AA193" s="10">
        <f t="shared" si="19"/>
        <v>1.481824100118458</v>
      </c>
      <c r="AB193" s="10">
        <f t="shared" si="20"/>
        <v>1.2895116596540823</v>
      </c>
      <c r="AE193" s="10">
        <f t="shared" si="21"/>
        <v>3.7301109956823675</v>
      </c>
      <c r="AF193" s="10">
        <f t="shared" si="22"/>
        <v>3.7552175119994602</v>
      </c>
    </row>
    <row r="194" spans="1:32" x14ac:dyDescent="0.25">
      <c r="A194" t="s">
        <v>706</v>
      </c>
      <c r="B194" s="39">
        <v>40847</v>
      </c>
      <c r="C194" s="53" t="s">
        <v>707</v>
      </c>
      <c r="D194" s="4" t="str">
        <f>VLOOKUP(LEFT(C194,2),Sort!$A$1:$B$58,2,FALSE)</f>
        <v>Philippines</v>
      </c>
      <c r="E194" s="72">
        <v>446030761.69999999</v>
      </c>
      <c r="F194" s="72">
        <v>626505958.70000005</v>
      </c>
      <c r="G194" s="58">
        <f t="shared" si="16"/>
        <v>3.6789750164548322E-2</v>
      </c>
      <c r="H194" s="10">
        <v>7.2</v>
      </c>
      <c r="I194" s="10">
        <v>5.5004189999999999</v>
      </c>
      <c r="J194" s="10">
        <v>3.7597930000000002</v>
      </c>
      <c r="K194" s="10">
        <v>3.7597930000000002</v>
      </c>
      <c r="L194" s="10">
        <v>215.0326</v>
      </c>
      <c r="M194" s="10">
        <v>230.16130000000001</v>
      </c>
      <c r="N194" s="10">
        <v>5.3826200000000002</v>
      </c>
      <c r="O194" s="10">
        <v>1.95E-2</v>
      </c>
      <c r="P194" s="10">
        <v>2.9448294650000002</v>
      </c>
      <c r="Q194" s="10">
        <v>4.8980343570000002</v>
      </c>
      <c r="R194" s="10">
        <v>137.5</v>
      </c>
      <c r="S194" s="10">
        <v>138.25</v>
      </c>
      <c r="T194" s="10">
        <v>137.5</v>
      </c>
      <c r="U194" s="10">
        <v>138.25</v>
      </c>
      <c r="V194" s="53" t="s">
        <v>146</v>
      </c>
      <c r="W194" s="53" t="s">
        <v>708</v>
      </c>
      <c r="Y194" s="10">
        <f t="shared" si="17"/>
        <v>6.9094833999066893E-2</v>
      </c>
      <c r="Z194" s="10">
        <f t="shared" si="18"/>
        <v>3.0511106768153974E-2</v>
      </c>
      <c r="AA194" s="10">
        <f t="shared" si="19"/>
        <v>0.98478576248730421</v>
      </c>
      <c r="AB194" s="10">
        <f t="shared" si="20"/>
        <v>1.7465545496145132</v>
      </c>
      <c r="AE194" s="10">
        <f t="shared" si="21"/>
        <v>5.0585906476253939</v>
      </c>
      <c r="AF194" s="10">
        <f t="shared" si="22"/>
        <v>5.0861829602488058</v>
      </c>
    </row>
    <row r="195" spans="1:32" x14ac:dyDescent="0.25">
      <c r="A195" t="s">
        <v>709</v>
      </c>
      <c r="B195" s="39">
        <v>40847</v>
      </c>
      <c r="C195" s="53" t="s">
        <v>710</v>
      </c>
      <c r="D195" s="4" t="str">
        <f>VLOOKUP(LEFT(C195,2),Sort!$A$1:$B$58,2,FALSE)</f>
        <v>Philippines</v>
      </c>
      <c r="E195" s="72">
        <v>409905537.5</v>
      </c>
      <c r="F195" s="72">
        <v>453765430</v>
      </c>
      <c r="G195" s="58">
        <f t="shared" si="16"/>
        <v>2.6646062293882597E-2</v>
      </c>
      <c r="H195" s="10">
        <v>1.2833330000000001</v>
      </c>
      <c r="I195" s="10">
        <v>1.2291209999999999</v>
      </c>
      <c r="J195" s="10">
        <v>1.4952639999999999</v>
      </c>
      <c r="K195" s="10">
        <v>1.4952639999999999</v>
      </c>
      <c r="L195" s="10">
        <v>135.6481</v>
      </c>
      <c r="M195" s="10">
        <v>135.9007</v>
      </c>
      <c r="N195" s="10">
        <v>1.214072</v>
      </c>
      <c r="O195" s="10">
        <v>2.2599999999999999E-2</v>
      </c>
      <c r="P195" s="10">
        <v>0.63636492300000003</v>
      </c>
      <c r="Q195" s="10">
        <v>1.8950642200000001</v>
      </c>
      <c r="R195" s="10">
        <v>108.75</v>
      </c>
      <c r="S195" s="10">
        <v>109.5</v>
      </c>
      <c r="T195" s="10">
        <v>108.75</v>
      </c>
      <c r="U195" s="10">
        <v>109.5</v>
      </c>
      <c r="V195" s="53" t="s">
        <v>146</v>
      </c>
      <c r="W195" s="53" t="s">
        <v>711</v>
      </c>
      <c r="Y195" s="10">
        <f t="shared" si="17"/>
        <v>5.2237615136392523E-2</v>
      </c>
      <c r="Z195" s="10">
        <f t="shared" si="18"/>
        <v>7.6909869680214848E-2</v>
      </c>
      <c r="AA195" s="10">
        <f t="shared" si="19"/>
        <v>0.94708319901523774</v>
      </c>
      <c r="AB195" s="10">
        <f t="shared" si="20"/>
        <v>0.33082103069808932</v>
      </c>
      <c r="AE195" s="10">
        <f t="shared" si="21"/>
        <v>2.8977592744597325</v>
      </c>
      <c r="AF195" s="10">
        <f t="shared" si="22"/>
        <v>2.9177438211801445</v>
      </c>
    </row>
    <row r="196" spans="1:32" x14ac:dyDescent="0.25">
      <c r="A196" t="s">
        <v>718</v>
      </c>
      <c r="B196" s="39">
        <v>40847</v>
      </c>
      <c r="C196" s="53" t="s">
        <v>719</v>
      </c>
      <c r="D196" s="4" t="str">
        <f>VLOOKUP(LEFT(C196,2),Sort!$A$1:$B$58,2,FALSE)</f>
        <v>Poland</v>
      </c>
      <c r="E196" s="72">
        <v>1333333333</v>
      </c>
      <c r="F196" s="72">
        <v>1382023146</v>
      </c>
      <c r="G196" s="58">
        <f t="shared" si="16"/>
        <v>0.16001277168597092</v>
      </c>
      <c r="H196" s="10">
        <v>3.7027779999999999</v>
      </c>
      <c r="I196" s="10">
        <v>3.4148830000000001</v>
      </c>
      <c r="J196" s="10">
        <v>2.8358460000000001</v>
      </c>
      <c r="K196" s="10">
        <v>2.8358460000000001</v>
      </c>
      <c r="L196" s="10">
        <v>223.1635</v>
      </c>
      <c r="M196" s="10">
        <v>226.39599999999999</v>
      </c>
      <c r="N196" s="10">
        <v>3.4031579999999999</v>
      </c>
      <c r="O196" s="10">
        <v>-8.5999999999999993E-2</v>
      </c>
      <c r="P196" s="10">
        <v>1.768665478</v>
      </c>
      <c r="Q196" s="10">
        <v>4.047830094</v>
      </c>
      <c r="R196" s="10">
        <v>102.5</v>
      </c>
      <c r="S196" s="10">
        <v>103.625</v>
      </c>
      <c r="T196" s="10">
        <v>102.5</v>
      </c>
      <c r="U196" s="10">
        <v>103.625</v>
      </c>
      <c r="V196" s="53" t="s">
        <v>146</v>
      </c>
      <c r="W196" s="53" t="s">
        <v>720</v>
      </c>
      <c r="Y196" s="10">
        <f t="shared" si="17"/>
        <v>0.1026248804613764</v>
      </c>
      <c r="Z196" s="10">
        <f t="shared" si="18"/>
        <v>5.0765279338505144E-2</v>
      </c>
      <c r="AA196" s="10">
        <f t="shared" si="19"/>
        <v>2.136821867177344</v>
      </c>
      <c r="AB196" s="10">
        <f t="shared" si="20"/>
        <v>0.95351481504630442</v>
      </c>
      <c r="AE196" s="10">
        <f t="shared" si="21"/>
        <v>16.401309097812018</v>
      </c>
      <c r="AF196" s="10">
        <f t="shared" si="22"/>
        <v>16.581323465958736</v>
      </c>
    </row>
    <row r="197" spans="1:32" x14ac:dyDescent="0.25">
      <c r="A197" t="s">
        <v>721</v>
      </c>
      <c r="B197" s="39">
        <v>40847</v>
      </c>
      <c r="C197" s="53" t="s">
        <v>722</v>
      </c>
      <c r="D197" s="4" t="str">
        <f>VLOOKUP(LEFT(C197,2),Sort!$A$1:$B$58,2,FALSE)</f>
        <v>Poland</v>
      </c>
      <c r="E197" s="72">
        <v>888888888.89999998</v>
      </c>
      <c r="F197" s="72">
        <v>951777777.79999995</v>
      </c>
      <c r="G197" s="58">
        <f t="shared" ref="G197:G260" si="23">F197/SUMIF($D$4:$D$284,TEXT(D197,"general"),$F$4:$F$284)</f>
        <v>0.1101982992800702</v>
      </c>
      <c r="H197" s="10">
        <v>2.2000000000000002</v>
      </c>
      <c r="I197" s="10">
        <v>2.0581680000000002</v>
      </c>
      <c r="J197" s="10">
        <v>2.3179110000000001</v>
      </c>
      <c r="K197" s="10">
        <v>2.3179110000000001</v>
      </c>
      <c r="L197" s="10">
        <v>204.05109999999999</v>
      </c>
      <c r="M197" s="10">
        <v>204.95189999999999</v>
      </c>
      <c r="N197" s="10">
        <v>2.056254</v>
      </c>
      <c r="O197" s="10">
        <v>1.3599999999999999E-2</v>
      </c>
      <c r="P197" s="10">
        <v>1.8145808059999999</v>
      </c>
      <c r="Q197" s="10">
        <v>2.955461246</v>
      </c>
      <c r="R197" s="10">
        <v>105.5</v>
      </c>
      <c r="S197" s="10">
        <v>106.25</v>
      </c>
      <c r="T197" s="10">
        <v>105.5</v>
      </c>
      <c r="U197" s="10">
        <v>106.25</v>
      </c>
      <c r="V197" s="53" t="s">
        <v>146</v>
      </c>
      <c r="W197" s="53" t="s">
        <v>723</v>
      </c>
      <c r="Y197" s="10">
        <f t="shared" ref="Y197:Y260" si="24">IF(I197&lt;1.99,($F197/$F$303)*I197,IF(AND(I197&gt;1.99,I197&lt;3.99),($F197/$F$304)*I197,IF(AND(I197&gt;3.99,I197&lt;5.99),($F197/$F$305)*I197,IF(AND(I197&gt;5.99,I197&lt;7.99),($F197/$F$306)*I197,IF(AND(I197&gt;7.99,I197&lt;9.99),($F197/$F$307)*I197,IF(I197&gt;9.99,($F197/$F$308)*I197))))))</f>
        <v>4.2596890870796274E-2</v>
      </c>
      <c r="Z197" s="10">
        <f t="shared" ref="Z197:Z260" si="25">IF(K197&lt;1.99,($F197/$F$287)*K197,IF(AND(K197&gt;1.99,K197&lt;3.99),($F197/$F$288)*K197,IF(AND(K197&gt;3.99,K197&lt;5.99),($F197/$F$289)*K197,IF(AND(K197&gt;5.99,K197&lt;7.99),($F197/$F$290)*K197,IF(AND(K197&gt;7.99,K197&lt;9.99),($F197/$F$291)*K197,IF(K197&gt;9.99,($F197/$F$292)*K197))))))</f>
        <v>2.8575980304253477E-2</v>
      </c>
      <c r="AA197" s="10">
        <f t="shared" ref="AA197:AA260" si="26">IF(M197&lt;199.99,($F197/$F$295)*M197,IF(AND(M197&gt;199.99,M197&lt;399.99),($F197/$F$296)*M197,IF(AND(M197&gt;399.99,M197&lt;599.99),($F197/$F$297)*M197,IF(AND(M197&gt;599.99,M197&lt;799.99),($F197/$F$298)*M197,IF(AND(M197&gt;799.99,M197&lt;999.99),($F197/$F$299)*M197,IF(M197&gt;999.99,($F197/$F$300)*M197))))))</f>
        <v>1.3322071579176629</v>
      </c>
      <c r="AB197" s="10">
        <f t="shared" ref="AB197:AB260" si="27">IF(S197&lt;49.99,($F197/$F$311)*S197,IF(AND(S197&gt;49.99,S197&lt;79.99),($F197/$F$312)*S197,IF(AND(S197&gt;79.99,S197&lt;99.99),($F197/$F$313)*S197,IF(AND(S197&gt;99.99,S197&lt;119.99),($F197/$F$314)*S197,IF(AND(S197&gt;119.99,S197&lt;139.99),($F197/$F$315)*S197,IF(S197&gt;139.99,($F197/$F$316)*S197))))))</f>
        <v>0.67330537951589586</v>
      </c>
      <c r="AE197" s="10">
        <f t="shared" si="21"/>
        <v>11.625920574047406</v>
      </c>
      <c r="AF197" s="10">
        <f t="shared" si="22"/>
        <v>11.708569298507459</v>
      </c>
    </row>
    <row r="198" spans="1:32" x14ac:dyDescent="0.25">
      <c r="A198" t="s">
        <v>724</v>
      </c>
      <c r="B198" s="39">
        <v>40847</v>
      </c>
      <c r="C198" s="53" t="s">
        <v>725</v>
      </c>
      <c r="D198" s="4" t="str">
        <f>VLOOKUP(LEFT(C198,2),Sort!$A$1:$B$58,2,FALSE)</f>
        <v>Poland</v>
      </c>
      <c r="E198" s="72">
        <v>1777777778</v>
      </c>
      <c r="F198" s="72">
        <v>1811925920</v>
      </c>
      <c r="G198" s="58">
        <f t="shared" si="23"/>
        <v>0.20978757800692641</v>
      </c>
      <c r="H198" s="10">
        <v>9.4666669999999993</v>
      </c>
      <c r="I198" s="10">
        <v>7.6405859999999999</v>
      </c>
      <c r="J198" s="10">
        <v>4.8258539999999996</v>
      </c>
      <c r="K198" s="10">
        <v>4.8258539999999996</v>
      </c>
      <c r="L198" s="10">
        <v>279.17649999999998</v>
      </c>
      <c r="M198" s="10">
        <v>287.86939999999998</v>
      </c>
      <c r="N198" s="10">
        <v>7.3914049999999998</v>
      </c>
      <c r="O198" s="10">
        <v>-0.1086</v>
      </c>
      <c r="P198" s="10">
        <v>2.8330370550000001</v>
      </c>
      <c r="Q198" s="10">
        <v>5.2144979999999999</v>
      </c>
      <c r="R198" s="10">
        <v>101.75</v>
      </c>
      <c r="S198" s="10">
        <v>102.25</v>
      </c>
      <c r="T198" s="10">
        <v>101.75</v>
      </c>
      <c r="U198" s="10">
        <v>102.25</v>
      </c>
      <c r="V198" s="53" t="s">
        <v>146</v>
      </c>
      <c r="W198" s="53" t="s">
        <v>726</v>
      </c>
      <c r="Y198" s="10">
        <f t="shared" si="24"/>
        <v>0.16768872555613451</v>
      </c>
      <c r="Z198" s="10">
        <f t="shared" si="25"/>
        <v>6.7781862780627408E-2</v>
      </c>
      <c r="AA198" s="10">
        <f t="shared" si="26"/>
        <v>3.562215538246035</v>
      </c>
      <c r="AB198" s="10">
        <f t="shared" si="27"/>
        <v>1.2335346104558467</v>
      </c>
      <c r="AE198" s="10">
        <f t="shared" si="21"/>
        <v>21.345886062204762</v>
      </c>
      <c r="AF198" s="10">
        <f t="shared" si="22"/>
        <v>21.450779851208225</v>
      </c>
    </row>
    <row r="199" spans="1:32" x14ac:dyDescent="0.25">
      <c r="A199" t="s">
        <v>727</v>
      </c>
      <c r="B199" s="39">
        <v>40847</v>
      </c>
      <c r="C199" s="53" t="s">
        <v>728</v>
      </c>
      <c r="D199" s="4" t="str">
        <f>VLOOKUP(LEFT(C199,2),Sort!$A$1:$B$58,2,FALSE)</f>
        <v>Poland</v>
      </c>
      <c r="E199" s="72">
        <v>888888888.89999998</v>
      </c>
      <c r="F199" s="72">
        <v>947283946.70000005</v>
      </c>
      <c r="G199" s="58">
        <f t="shared" si="23"/>
        <v>0.10967799658334562</v>
      </c>
      <c r="H199" s="10">
        <v>3.9611109999999998</v>
      </c>
      <c r="I199" s="10">
        <v>3.611488</v>
      </c>
      <c r="J199" s="10">
        <v>2.9783059999999999</v>
      </c>
      <c r="K199" s="10">
        <v>2.9783059999999999</v>
      </c>
      <c r="L199" s="10">
        <v>229.86619999999999</v>
      </c>
      <c r="M199" s="10">
        <v>233.7345</v>
      </c>
      <c r="N199" s="10">
        <v>3.5944690000000001</v>
      </c>
      <c r="O199" s="10">
        <v>0.1305</v>
      </c>
      <c r="P199" s="10">
        <v>2.1546235189999998</v>
      </c>
      <c r="Q199" s="10">
        <v>4.0852172280000003</v>
      </c>
      <c r="R199" s="10">
        <v>106.375</v>
      </c>
      <c r="S199" s="10">
        <v>107.5</v>
      </c>
      <c r="T199" s="10">
        <v>106.375</v>
      </c>
      <c r="U199" s="10">
        <v>107.5</v>
      </c>
      <c r="V199" s="53" t="s">
        <v>146</v>
      </c>
      <c r="W199" s="53" t="s">
        <v>729</v>
      </c>
      <c r="Y199" s="10">
        <f t="shared" si="24"/>
        <v>7.4392280587430665E-2</v>
      </c>
      <c r="Z199" s="10">
        <f t="shared" si="25"/>
        <v>3.6544187851907155E-2</v>
      </c>
      <c r="AA199" s="10">
        <f t="shared" si="26"/>
        <v>1.5121234599620557</v>
      </c>
      <c r="AB199" s="10">
        <f t="shared" si="27"/>
        <v>0.67801019897255232</v>
      </c>
      <c r="AE199" s="10">
        <f t="shared" si="21"/>
        <v>11.66699688655339</v>
      </c>
      <c r="AF199" s="10">
        <f t="shared" si="22"/>
        <v>11.790384632709655</v>
      </c>
    </row>
    <row r="200" spans="1:32" x14ac:dyDescent="0.25">
      <c r="A200" t="s">
        <v>730</v>
      </c>
      <c r="B200" s="39">
        <v>40847</v>
      </c>
      <c r="C200" s="53" t="s">
        <v>731</v>
      </c>
      <c r="D200" s="4" t="str">
        <f>VLOOKUP(LEFT(C200,2),Sort!$A$1:$B$58,2,FALSE)</f>
        <v>Poland</v>
      </c>
      <c r="E200" s="72">
        <v>3111111111</v>
      </c>
      <c r="F200" s="72">
        <v>3543944444</v>
      </c>
      <c r="G200" s="58">
        <f t="shared" si="23"/>
        <v>0.41032335444368684</v>
      </c>
      <c r="H200" s="10">
        <v>7.7</v>
      </c>
      <c r="I200" s="10">
        <v>6.1843019999999997</v>
      </c>
      <c r="J200" s="10">
        <v>4.4213089999999999</v>
      </c>
      <c r="K200" s="10">
        <v>4.4213089999999999</v>
      </c>
      <c r="L200" s="10">
        <v>271.81760000000003</v>
      </c>
      <c r="M200" s="10">
        <v>280.84989999999999</v>
      </c>
      <c r="N200" s="10">
        <v>6.0337449999999997</v>
      </c>
      <c r="O200" s="10">
        <v>-0.20349999999999999</v>
      </c>
      <c r="P200" s="10">
        <v>3.6353300339999999</v>
      </c>
      <c r="Q200" s="10">
        <v>4.746083295</v>
      </c>
      <c r="R200" s="10">
        <v>112</v>
      </c>
      <c r="S200" s="10">
        <v>112.625</v>
      </c>
      <c r="T200" s="10">
        <v>112</v>
      </c>
      <c r="U200" s="10">
        <v>112.625</v>
      </c>
      <c r="V200" s="53" t="s">
        <v>146</v>
      </c>
      <c r="W200" s="53" t="s">
        <v>732</v>
      </c>
      <c r="Y200" s="10">
        <f t="shared" si="24"/>
        <v>0.26546932930111294</v>
      </c>
      <c r="Z200" s="10">
        <f t="shared" si="25"/>
        <v>0.12146094532530897</v>
      </c>
      <c r="AA200" s="10">
        <f t="shared" si="26"/>
        <v>6.797440770826352</v>
      </c>
      <c r="AB200" s="10">
        <f t="shared" si="27"/>
        <v>2.6574756517515645</v>
      </c>
      <c r="AE200" s="10">
        <f t="shared" si="21"/>
        <v>45.956215697692926</v>
      </c>
      <c r="AF200" s="10">
        <f t="shared" si="22"/>
        <v>46.212667794220231</v>
      </c>
    </row>
    <row r="201" spans="1:32" x14ac:dyDescent="0.25">
      <c r="A201" t="s">
        <v>733</v>
      </c>
      <c r="B201" s="39">
        <v>40847</v>
      </c>
      <c r="C201" s="53" t="s">
        <v>734</v>
      </c>
      <c r="D201" s="4" t="str">
        <f>VLOOKUP(LEFT(C201,2),Sort!$A$1:$B$58,2,FALSE)</f>
        <v>Russia</v>
      </c>
      <c r="E201" s="72">
        <v>1308852999</v>
      </c>
      <c r="F201" s="72">
        <v>1871987002</v>
      </c>
      <c r="G201" s="58">
        <f t="shared" si="23"/>
        <v>0.10621827049159344</v>
      </c>
      <c r="H201" s="10">
        <v>6.7249999999999996</v>
      </c>
      <c r="I201" s="10">
        <v>5.1075390000000001</v>
      </c>
      <c r="J201" s="10">
        <v>3.849596</v>
      </c>
      <c r="K201" s="10">
        <v>3.849596</v>
      </c>
      <c r="L201" s="10">
        <v>235.85830000000001</v>
      </c>
      <c r="M201" s="10">
        <v>250.93899999999999</v>
      </c>
      <c r="N201" s="10">
        <v>5.013846</v>
      </c>
      <c r="O201" s="10">
        <v>-0.32719999999999999</v>
      </c>
      <c r="P201" s="10">
        <v>4.0791579999999996</v>
      </c>
      <c r="Q201" s="10">
        <v>6.5063622719999996</v>
      </c>
      <c r="R201" s="10">
        <v>140</v>
      </c>
      <c r="S201" s="10">
        <v>142</v>
      </c>
      <c r="T201" s="10">
        <v>140</v>
      </c>
      <c r="U201" s="10">
        <v>142</v>
      </c>
      <c r="V201" s="53" t="s">
        <v>146</v>
      </c>
      <c r="W201" s="53" t="s">
        <v>735</v>
      </c>
      <c r="Y201" s="10">
        <f t="shared" si="24"/>
        <v>0.19170750660261601</v>
      </c>
      <c r="Z201" s="10">
        <f t="shared" si="25"/>
        <v>9.3344085247296316E-2</v>
      </c>
      <c r="AA201" s="10">
        <f t="shared" si="26"/>
        <v>3.2081542796523488</v>
      </c>
      <c r="AB201" s="10">
        <f t="shared" si="27"/>
        <v>9.7145383670711407</v>
      </c>
      <c r="AE201" s="10">
        <f t="shared" si="21"/>
        <v>14.870557868823081</v>
      </c>
      <c r="AF201" s="10">
        <f t="shared" si="22"/>
        <v>15.082994409806268</v>
      </c>
    </row>
    <row r="202" spans="1:32" x14ac:dyDescent="0.25">
      <c r="A202" t="s">
        <v>736</v>
      </c>
      <c r="B202" s="39">
        <v>40847</v>
      </c>
      <c r="C202" s="53" t="s">
        <v>737</v>
      </c>
      <c r="D202" s="4" t="str">
        <f>VLOOKUP(LEFT(C202,2),Sort!$A$1:$B$58,2,FALSE)</f>
        <v>Russia</v>
      </c>
      <c r="E202" s="72">
        <v>943883194.10000002</v>
      </c>
      <c r="F202" s="72">
        <v>1685480421</v>
      </c>
      <c r="G202" s="58">
        <f t="shared" si="23"/>
        <v>9.5635714924725085E-2</v>
      </c>
      <c r="H202" s="10">
        <v>16.641667000000002</v>
      </c>
      <c r="I202" s="10">
        <v>9.0708289999999998</v>
      </c>
      <c r="J202" s="10">
        <v>5.7077790000000004</v>
      </c>
      <c r="K202" s="10">
        <v>5.7077790000000004</v>
      </c>
      <c r="L202" s="10">
        <v>323.63819999999998</v>
      </c>
      <c r="M202" s="10">
        <v>334.97519999999997</v>
      </c>
      <c r="N202" s="10">
        <v>8.6261919999999996</v>
      </c>
      <c r="O202" s="10">
        <v>-0.12</v>
      </c>
      <c r="P202" s="10">
        <v>4.8079629700000002</v>
      </c>
      <c r="Q202" s="10">
        <v>6.1527535520000001</v>
      </c>
      <c r="R202" s="10">
        <v>174</v>
      </c>
      <c r="S202" s="10">
        <v>175</v>
      </c>
      <c r="T202" s="10">
        <v>174</v>
      </c>
      <c r="U202" s="10">
        <v>175</v>
      </c>
      <c r="V202" s="53" t="s">
        <v>146</v>
      </c>
      <c r="W202" s="53" t="s">
        <v>738</v>
      </c>
      <c r="Y202" s="10">
        <f t="shared" si="24"/>
        <v>0.52966944145381523</v>
      </c>
      <c r="Z202" s="10">
        <f t="shared" si="25"/>
        <v>7.4574396032931131E-2</v>
      </c>
      <c r="AA202" s="10">
        <f t="shared" si="26"/>
        <v>3.8558543485932701</v>
      </c>
      <c r="AB202" s="10">
        <f t="shared" si="27"/>
        <v>10.779354511099982</v>
      </c>
      <c r="AE202" s="10">
        <f t="shared" si="21"/>
        <v>16.640614396902166</v>
      </c>
      <c r="AF202" s="10">
        <f t="shared" si="22"/>
        <v>16.736250111826891</v>
      </c>
    </row>
    <row r="203" spans="1:32" x14ac:dyDescent="0.25">
      <c r="A203" t="s">
        <v>739</v>
      </c>
      <c r="B203" s="39">
        <v>40847</v>
      </c>
      <c r="C203" s="53" t="s">
        <v>740</v>
      </c>
      <c r="D203" s="4" t="str">
        <f>VLOOKUP(LEFT(C203,2),Sort!$A$1:$B$58,2,FALSE)</f>
        <v>Russia</v>
      </c>
      <c r="E203" s="72">
        <v>755106555.29999995</v>
      </c>
      <c r="F203" s="72">
        <v>768625061.79999995</v>
      </c>
      <c r="G203" s="58">
        <f t="shared" si="23"/>
        <v>4.3612495510740791E-2</v>
      </c>
      <c r="H203" s="10">
        <v>3.4888889999999999</v>
      </c>
      <c r="I203" s="10">
        <v>3.2692939999999999</v>
      </c>
      <c r="J203" s="10">
        <v>2.986618</v>
      </c>
      <c r="K203" s="10">
        <v>2.986618</v>
      </c>
      <c r="L203" s="10">
        <v>244.4862</v>
      </c>
      <c r="M203" s="10">
        <v>247.2834</v>
      </c>
      <c r="N203" s="10">
        <v>3.2602850000000001</v>
      </c>
      <c r="O203" s="10">
        <v>-0.13730000000000001</v>
      </c>
      <c r="P203" s="10">
        <v>3.7982414840000001</v>
      </c>
      <c r="Q203" s="10">
        <v>4.7744125579999999</v>
      </c>
      <c r="R203" s="10">
        <v>101.75</v>
      </c>
      <c r="S203" s="10">
        <v>102.1</v>
      </c>
      <c r="T203" s="10">
        <v>101.75</v>
      </c>
      <c r="U203" s="10">
        <v>102.1</v>
      </c>
      <c r="V203" s="53" t="s">
        <v>146</v>
      </c>
      <c r="W203" s="53" t="s">
        <v>741</v>
      </c>
      <c r="Y203" s="10">
        <f t="shared" si="24"/>
        <v>5.4642434137010767E-2</v>
      </c>
      <c r="Z203" s="10">
        <f t="shared" si="25"/>
        <v>2.9734664312771157E-2</v>
      </c>
      <c r="AA203" s="10">
        <f t="shared" si="26"/>
        <v>1.2980569826514099</v>
      </c>
      <c r="AB203" s="10">
        <f t="shared" si="27"/>
        <v>0.52250189283101267</v>
      </c>
      <c r="AE203" s="10">
        <f t="shared" si="21"/>
        <v>4.4375714182178756</v>
      </c>
      <c r="AF203" s="10">
        <f t="shared" si="22"/>
        <v>4.4528357916466348</v>
      </c>
    </row>
    <row r="204" spans="1:32" x14ac:dyDescent="0.25">
      <c r="A204" t="s">
        <v>742</v>
      </c>
      <c r="B204" s="39">
        <v>40847</v>
      </c>
      <c r="C204" s="53" t="s">
        <v>743</v>
      </c>
      <c r="D204" s="4" t="str">
        <f>VLOOKUP(LEFT(C204,2),Sort!$A$1:$B$58,2,FALSE)</f>
        <v>Russia</v>
      </c>
      <c r="E204" s="72">
        <v>1321436472</v>
      </c>
      <c r="F204" s="72">
        <v>1378331659</v>
      </c>
      <c r="G204" s="58">
        <f t="shared" si="23"/>
        <v>7.8207810645251868E-2</v>
      </c>
      <c r="H204" s="10">
        <v>8.4888890000000004</v>
      </c>
      <c r="I204" s="10">
        <v>7.0676690000000004</v>
      </c>
      <c r="J204" s="10">
        <v>4.3461369999999997</v>
      </c>
      <c r="K204" s="10">
        <v>4.3461369999999997</v>
      </c>
      <c r="L204" s="10">
        <v>249.52180000000001</v>
      </c>
      <c r="M204" s="10">
        <v>255.17679999999999</v>
      </c>
      <c r="N204" s="10">
        <v>6.8650859999999998</v>
      </c>
      <c r="O204" s="10">
        <v>-3.4599999999999999E-2</v>
      </c>
      <c r="P204" s="10">
        <v>6.3814170519999998</v>
      </c>
      <c r="Q204" s="10">
        <v>8.3415943479999992</v>
      </c>
      <c r="R204" s="10">
        <v>104.25</v>
      </c>
      <c r="S204" s="10">
        <v>104.6</v>
      </c>
      <c r="T204" s="10">
        <v>104.25</v>
      </c>
      <c r="U204" s="10">
        <v>104.6</v>
      </c>
      <c r="V204" s="53" t="s">
        <v>146</v>
      </c>
      <c r="W204" s="53" t="s">
        <v>744</v>
      </c>
      <c r="Y204" s="10">
        <f t="shared" si="24"/>
        <v>0.11799583872120455</v>
      </c>
      <c r="Z204" s="10">
        <f t="shared" si="25"/>
        <v>4.6436130948503233E-2</v>
      </c>
      <c r="AA204" s="10">
        <f t="shared" si="26"/>
        <v>2.402034118948039</v>
      </c>
      <c r="AB204" s="10">
        <f t="shared" si="27"/>
        <v>0.95991549284007249</v>
      </c>
      <c r="AE204" s="10">
        <f t="shared" si="21"/>
        <v>8.1531642597675074</v>
      </c>
      <c r="AF204" s="10">
        <f t="shared" si="22"/>
        <v>8.1805369934933445</v>
      </c>
    </row>
    <row r="205" spans="1:32" x14ac:dyDescent="0.25">
      <c r="A205" t="s">
        <v>745</v>
      </c>
      <c r="B205" s="39">
        <v>40847</v>
      </c>
      <c r="C205" s="53" t="s">
        <v>746</v>
      </c>
      <c r="D205" s="4" t="str">
        <f>VLOOKUP(LEFT(C205,2),Sort!$A$1:$B$58,2,FALSE)</f>
        <v>Russia</v>
      </c>
      <c r="E205" s="72">
        <v>6399023267</v>
      </c>
      <c r="F205" s="72">
        <v>7636434353</v>
      </c>
      <c r="G205" s="58">
        <f t="shared" si="23"/>
        <v>0.43329833424679426</v>
      </c>
      <c r="H205" s="10">
        <v>7.0773289999999998</v>
      </c>
      <c r="I205" s="10">
        <v>5.5552140000000003</v>
      </c>
      <c r="J205" s="10">
        <v>4.2447169999999996</v>
      </c>
      <c r="K205" s="10">
        <v>4.2447169999999996</v>
      </c>
      <c r="L205" s="10">
        <v>265.82310000000001</v>
      </c>
      <c r="M205" s="10">
        <v>254.1541</v>
      </c>
      <c r="N205" s="10">
        <v>5.3931810000000002</v>
      </c>
      <c r="O205" s="10">
        <v>0.22750000000000001</v>
      </c>
      <c r="P205" s="10">
        <v>6.0738487890000004</v>
      </c>
      <c r="Q205" s="10">
        <v>7.287094336</v>
      </c>
      <c r="R205" s="10">
        <v>118.65</v>
      </c>
      <c r="S205" s="10">
        <v>118.85</v>
      </c>
      <c r="T205" s="10">
        <v>99.072749999999999</v>
      </c>
      <c r="U205" s="10">
        <v>99.239750000000001</v>
      </c>
      <c r="V205" s="53" t="s">
        <v>146</v>
      </c>
      <c r="W205" s="53" t="s">
        <v>747</v>
      </c>
      <c r="Y205" s="10">
        <f t="shared" si="24"/>
        <v>0.85058166048687212</v>
      </c>
      <c r="Z205" s="10">
        <f t="shared" si="25"/>
        <v>0.25126861550890384</v>
      </c>
      <c r="AA205" s="10">
        <f t="shared" si="26"/>
        <v>13.254763895924032</v>
      </c>
      <c r="AB205" s="10">
        <f t="shared" si="27"/>
        <v>6.0427884960948806</v>
      </c>
      <c r="AE205" s="10">
        <f t="shared" si="21"/>
        <v>51.410847358382142</v>
      </c>
      <c r="AF205" s="10">
        <f t="shared" si="22"/>
        <v>51.497507025231492</v>
      </c>
    </row>
    <row r="206" spans="1:32" x14ac:dyDescent="0.25">
      <c r="A206" t="s">
        <v>748</v>
      </c>
      <c r="B206" s="39">
        <v>40847</v>
      </c>
      <c r="C206" s="53" t="s">
        <v>749</v>
      </c>
      <c r="D206" s="4" t="str">
        <f>VLOOKUP(LEFT(C206,2),Sort!$A$1:$B$58,2,FALSE)</f>
        <v>Russia</v>
      </c>
      <c r="E206" s="72">
        <v>302042622.10000002</v>
      </c>
      <c r="F206" s="72">
        <v>297511982.80000001</v>
      </c>
      <c r="G206" s="58">
        <f t="shared" si="23"/>
        <v>1.6881104532124682E-2</v>
      </c>
      <c r="H206" s="10">
        <v>9.5833329999999997</v>
      </c>
      <c r="I206" s="10">
        <v>7.1440840000000003</v>
      </c>
      <c r="J206" s="10">
        <v>6.4231160000000003</v>
      </c>
      <c r="K206" s="10">
        <v>6.4231160000000003</v>
      </c>
      <c r="L206" s="10">
        <v>436.71719999999999</v>
      </c>
      <c r="M206" s="10">
        <v>449.7251</v>
      </c>
      <c r="N206" s="10">
        <v>6.9125199999999998</v>
      </c>
      <c r="O206" s="10">
        <v>-0.73899999999999999</v>
      </c>
      <c r="P206" s="10">
        <v>12.52856111</v>
      </c>
      <c r="Q206" s="10">
        <v>-2.07125</v>
      </c>
      <c r="R206" s="10">
        <v>96</v>
      </c>
      <c r="S206" s="10">
        <v>97</v>
      </c>
      <c r="T206" s="10">
        <v>96</v>
      </c>
      <c r="U206" s="10">
        <v>97</v>
      </c>
      <c r="V206" s="53" t="s">
        <v>146</v>
      </c>
      <c r="W206" s="53" t="s">
        <v>750</v>
      </c>
      <c r="Y206" s="10">
        <f t="shared" si="24"/>
        <v>2.5744696282305763E-2</v>
      </c>
      <c r="Z206" s="10">
        <f t="shared" si="25"/>
        <v>7.0505234848863979E-2</v>
      </c>
      <c r="AA206" s="10">
        <f t="shared" si="26"/>
        <v>4.41617339694651</v>
      </c>
      <c r="AB206" s="10">
        <f t="shared" si="27"/>
        <v>0.96073949844276452</v>
      </c>
      <c r="AE206" s="10">
        <f t="shared" si="21"/>
        <v>1.6205860350839694</v>
      </c>
      <c r="AF206" s="10">
        <f t="shared" si="22"/>
        <v>1.6374671396160942</v>
      </c>
    </row>
    <row r="207" spans="1:32" x14ac:dyDescent="0.25">
      <c r="A207" t="s">
        <v>751</v>
      </c>
      <c r="B207" s="39">
        <v>40847</v>
      </c>
      <c r="C207" s="53" t="s">
        <v>752</v>
      </c>
      <c r="D207" s="4" t="str">
        <f>VLOOKUP(LEFT(C207,2),Sort!$A$1:$B$58,2,FALSE)</f>
        <v>Russia</v>
      </c>
      <c r="E207" s="72">
        <v>425124990.60000002</v>
      </c>
      <c r="F207" s="72">
        <v>453032460.89999998</v>
      </c>
      <c r="G207" s="58">
        <f t="shared" si="23"/>
        <v>2.5705480017723128E-2</v>
      </c>
      <c r="H207" s="10">
        <v>5.5333329999999998</v>
      </c>
      <c r="I207" s="10">
        <v>4.573442</v>
      </c>
      <c r="J207" s="10">
        <v>5.3739160000000004</v>
      </c>
      <c r="K207" s="10">
        <v>5.3739160000000004</v>
      </c>
      <c r="L207" s="10">
        <v>423.38490000000002</v>
      </c>
      <c r="M207" s="10">
        <v>429.58960000000002</v>
      </c>
      <c r="N207" s="10">
        <v>4.5153020000000001</v>
      </c>
      <c r="O207" s="10">
        <v>-0.56679999999999997</v>
      </c>
      <c r="P207" s="10">
        <v>5.3013262680000004</v>
      </c>
      <c r="Q207" s="10">
        <v>8.5060130390000008</v>
      </c>
      <c r="R207" s="10">
        <v>103.625</v>
      </c>
      <c r="S207" s="10">
        <v>104.375</v>
      </c>
      <c r="T207" s="10">
        <v>103.625</v>
      </c>
      <c r="U207" s="10">
        <v>104.375</v>
      </c>
      <c r="V207" s="53" t="s">
        <v>146</v>
      </c>
      <c r="W207" s="53" t="s">
        <v>753</v>
      </c>
      <c r="Y207" s="10">
        <f t="shared" si="24"/>
        <v>4.1542927284641699E-2</v>
      </c>
      <c r="Z207" s="10">
        <f t="shared" si="25"/>
        <v>1.8872050001775765E-2</v>
      </c>
      <c r="AA207" s="10">
        <f t="shared" si="26"/>
        <v>6.4235869651032473</v>
      </c>
      <c r="AB207" s="10">
        <f t="shared" si="27"/>
        <v>0.31482803223228351</v>
      </c>
      <c r="AE207" s="10">
        <f t="shared" si="21"/>
        <v>2.6637303668365591</v>
      </c>
      <c r="AF207" s="10">
        <f t="shared" si="22"/>
        <v>2.6830094768498514</v>
      </c>
    </row>
    <row r="208" spans="1:32" x14ac:dyDescent="0.25">
      <c r="A208" t="s">
        <v>754</v>
      </c>
      <c r="B208" s="39">
        <v>40847</v>
      </c>
      <c r="C208" s="53" t="s">
        <v>755</v>
      </c>
      <c r="D208" s="4" t="str">
        <f>VLOOKUP(LEFT(C208,2),Sort!$A$1:$B$58,2,FALSE)</f>
        <v>Russia</v>
      </c>
      <c r="E208" s="72">
        <v>265042400.90000001</v>
      </c>
      <c r="F208" s="72">
        <v>284674865.5</v>
      </c>
      <c r="G208" s="58">
        <f t="shared" si="23"/>
        <v>1.6152714646806603E-2</v>
      </c>
      <c r="H208" s="10">
        <v>2.197222</v>
      </c>
      <c r="I208" s="10">
        <v>1.996964</v>
      </c>
      <c r="J208" s="10">
        <v>4.2322800000000003</v>
      </c>
      <c r="K208" s="10">
        <v>4.2322800000000003</v>
      </c>
      <c r="L208" s="10">
        <v>395.53019999999998</v>
      </c>
      <c r="M208" s="10">
        <v>396.62360000000001</v>
      </c>
      <c r="N208" s="10">
        <v>1.9948539999999999</v>
      </c>
      <c r="O208" s="10">
        <v>0.13500000000000001</v>
      </c>
      <c r="P208" s="10">
        <v>3.173936936</v>
      </c>
      <c r="Q208" s="10">
        <v>4.5539645149999997</v>
      </c>
      <c r="R208" s="10">
        <v>105.25</v>
      </c>
      <c r="S208" s="10">
        <v>106</v>
      </c>
      <c r="T208" s="10">
        <v>105.25</v>
      </c>
      <c r="U208" s="10">
        <v>106</v>
      </c>
      <c r="V208" s="53" t="s">
        <v>146</v>
      </c>
      <c r="W208" s="53" t="s">
        <v>756</v>
      </c>
      <c r="Y208" s="10">
        <f t="shared" si="24"/>
        <v>1.2361776261990597E-2</v>
      </c>
      <c r="Z208" s="10">
        <f t="shared" si="25"/>
        <v>9.3394736195446214E-3</v>
      </c>
      <c r="AA208" s="10">
        <f t="shared" si="26"/>
        <v>0.77110217770510892</v>
      </c>
      <c r="AB208" s="10">
        <f t="shared" si="27"/>
        <v>0.20091047221497357</v>
      </c>
      <c r="AE208" s="10">
        <f t="shared" si="21"/>
        <v>1.700073216576395</v>
      </c>
      <c r="AF208" s="10">
        <f t="shared" si="22"/>
        <v>1.7121877525614999</v>
      </c>
    </row>
    <row r="209" spans="1:32" x14ac:dyDescent="0.25">
      <c r="A209" t="s">
        <v>757</v>
      </c>
      <c r="B209" s="39">
        <v>40847</v>
      </c>
      <c r="C209" s="53" t="s">
        <v>758</v>
      </c>
      <c r="D209" s="4" t="str">
        <f>VLOOKUP(LEFT(C209,2),Sort!$A$1:$B$58,2,FALSE)</f>
        <v>Russia</v>
      </c>
      <c r="E209" s="72">
        <v>337532630.19999999</v>
      </c>
      <c r="F209" s="72">
        <v>383741785.60000002</v>
      </c>
      <c r="G209" s="58">
        <f t="shared" si="23"/>
        <v>2.1773863140203499E-2</v>
      </c>
      <c r="H209" s="10">
        <v>6.572222</v>
      </c>
      <c r="I209" s="10">
        <v>5.1263670000000001</v>
      </c>
      <c r="J209" s="10">
        <v>5.6525759999999998</v>
      </c>
      <c r="K209" s="10">
        <v>5.6525759999999998</v>
      </c>
      <c r="L209" s="10">
        <v>420.65570000000002</v>
      </c>
      <c r="M209" s="10">
        <v>431.20400000000001</v>
      </c>
      <c r="N209" s="10">
        <v>5.0336780000000001</v>
      </c>
      <c r="O209" s="10">
        <v>-0.52800000000000002</v>
      </c>
      <c r="P209" s="10">
        <v>5.5497541879999996</v>
      </c>
      <c r="Q209" s="10">
        <v>8.0630420239999996</v>
      </c>
      <c r="R209" s="10">
        <v>110.375</v>
      </c>
      <c r="S209" s="10">
        <v>111.375</v>
      </c>
      <c r="T209" s="10">
        <v>110.375</v>
      </c>
      <c r="U209" s="10">
        <v>111.375</v>
      </c>
      <c r="V209" s="53" t="s">
        <v>146</v>
      </c>
      <c r="W209" s="53" t="s">
        <v>759</v>
      </c>
      <c r="Y209" s="10">
        <f t="shared" si="24"/>
        <v>3.9443312890533218E-2</v>
      </c>
      <c r="Z209" s="10">
        <f t="shared" si="25"/>
        <v>1.6814516578577115E-2</v>
      </c>
      <c r="AA209" s="10">
        <f t="shared" si="26"/>
        <v>5.4615561219739748</v>
      </c>
      <c r="AB209" s="10">
        <f t="shared" si="27"/>
        <v>0.28456035508796063</v>
      </c>
      <c r="AE209" s="10">
        <f t="shared" si="21"/>
        <v>2.403290144099961</v>
      </c>
      <c r="AF209" s="10">
        <f t="shared" si="22"/>
        <v>2.4250640072401648</v>
      </c>
    </row>
    <row r="210" spans="1:32" x14ac:dyDescent="0.25">
      <c r="A210" t="s">
        <v>760</v>
      </c>
      <c r="B210" s="39">
        <v>40847</v>
      </c>
      <c r="C210" s="53" t="s">
        <v>761</v>
      </c>
      <c r="D210" s="4" t="str">
        <f>VLOOKUP(LEFT(C210,2),Sort!$A$1:$B$58,2,FALSE)</f>
        <v>Russia</v>
      </c>
      <c r="E210" s="72">
        <v>237858564.90000001</v>
      </c>
      <c r="F210" s="72">
        <v>257965708</v>
      </c>
      <c r="G210" s="58">
        <f t="shared" si="23"/>
        <v>1.4637212395505408E-2</v>
      </c>
      <c r="H210" s="10">
        <v>1.536111</v>
      </c>
      <c r="I210" s="10">
        <v>1.422029</v>
      </c>
      <c r="J210" s="10">
        <v>3.0615009999999998</v>
      </c>
      <c r="K210" s="10">
        <v>3.0615009999999998</v>
      </c>
      <c r="L210" s="10">
        <v>288.45479999999998</v>
      </c>
      <c r="M210" s="10">
        <v>288.952</v>
      </c>
      <c r="N210" s="10">
        <v>1.417144</v>
      </c>
      <c r="O210" s="10">
        <v>1.84E-2</v>
      </c>
      <c r="P210" s="10">
        <v>3.5153624209999998</v>
      </c>
      <c r="Q210" s="10">
        <v>4.4807259200000003</v>
      </c>
      <c r="R210" s="10">
        <v>105.125</v>
      </c>
      <c r="S210" s="10">
        <v>106.125</v>
      </c>
      <c r="T210" s="10">
        <v>105.125</v>
      </c>
      <c r="U210" s="10">
        <v>106.125</v>
      </c>
      <c r="V210" s="53" t="s">
        <v>146</v>
      </c>
      <c r="W210" s="53" t="s">
        <v>762</v>
      </c>
      <c r="Y210" s="10">
        <f t="shared" si="24"/>
        <v>3.4357988308997688E-2</v>
      </c>
      <c r="Z210" s="10">
        <f t="shared" si="25"/>
        <v>1.0229754335094562E-2</v>
      </c>
      <c r="AA210" s="10">
        <f t="shared" si="26"/>
        <v>0.5090634731052196</v>
      </c>
      <c r="AB210" s="10">
        <f t="shared" si="27"/>
        <v>0.18227506688143616</v>
      </c>
      <c r="AE210" s="10">
        <f t="shared" si="21"/>
        <v>1.5387369530775061</v>
      </c>
      <c r="AF210" s="10">
        <f t="shared" si="22"/>
        <v>1.5533741654730113</v>
      </c>
    </row>
    <row r="211" spans="1:32" x14ac:dyDescent="0.25">
      <c r="A211" t="s">
        <v>763</v>
      </c>
      <c r="B211" s="39">
        <v>40847</v>
      </c>
      <c r="C211" s="53" t="s">
        <v>764</v>
      </c>
      <c r="D211" s="4" t="str">
        <f>VLOOKUP(LEFT(C211,2),Sort!$A$1:$B$58,2,FALSE)</f>
        <v>Russia</v>
      </c>
      <c r="E211" s="72">
        <v>377553277.60000002</v>
      </c>
      <c r="F211" s="72">
        <v>430599513.10000002</v>
      </c>
      <c r="G211" s="58">
        <f t="shared" si="23"/>
        <v>2.4432613852093527E-2</v>
      </c>
      <c r="H211" s="10">
        <v>2.605556</v>
      </c>
      <c r="I211" s="10">
        <v>2.273374</v>
      </c>
      <c r="J211" s="10">
        <v>4.2850520000000003</v>
      </c>
      <c r="K211" s="10">
        <v>4.2850520000000003</v>
      </c>
      <c r="L211" s="10">
        <v>394.60079999999999</v>
      </c>
      <c r="M211" s="10">
        <v>397.2405</v>
      </c>
      <c r="N211" s="10">
        <v>2.2725040000000001</v>
      </c>
      <c r="O211" s="10">
        <v>-0.4148</v>
      </c>
      <c r="P211" s="10">
        <v>3.352967391</v>
      </c>
      <c r="Q211" s="10">
        <v>4.900100954</v>
      </c>
      <c r="R211" s="10">
        <v>110.5</v>
      </c>
      <c r="S211" s="10">
        <v>111.5</v>
      </c>
      <c r="T211" s="10">
        <v>110.5</v>
      </c>
      <c r="U211" s="10">
        <v>111.5</v>
      </c>
      <c r="V211" s="53" t="s">
        <v>146</v>
      </c>
      <c r="W211" s="53" t="s">
        <v>765</v>
      </c>
      <c r="Y211" s="10">
        <f t="shared" si="24"/>
        <v>2.1286582497570337E-2</v>
      </c>
      <c r="Z211" s="10">
        <f t="shared" si="25"/>
        <v>1.4303045310216599E-2</v>
      </c>
      <c r="AA211" s="10">
        <f t="shared" si="26"/>
        <v>1.1681841452285531</v>
      </c>
      <c r="AB211" s="10">
        <f t="shared" si="27"/>
        <v>0.31966566147468667</v>
      </c>
      <c r="AE211" s="10">
        <f t="shared" si="21"/>
        <v>2.6998038306563346</v>
      </c>
      <c r="AF211" s="10">
        <f t="shared" si="22"/>
        <v>2.7242364445084282</v>
      </c>
    </row>
    <row r="212" spans="1:32" x14ac:dyDescent="0.25">
      <c r="A212" t="s">
        <v>766</v>
      </c>
      <c r="B212" s="39">
        <v>40847</v>
      </c>
      <c r="C212" s="53" t="s">
        <v>767</v>
      </c>
      <c r="D212" s="4" t="str">
        <f>VLOOKUP(LEFT(C212,2),Sort!$A$1:$B$58,2,FALSE)</f>
        <v>Russia</v>
      </c>
      <c r="E212" s="72">
        <v>566329916.39999998</v>
      </c>
      <c r="F212" s="72">
        <v>595939060.29999995</v>
      </c>
      <c r="G212" s="58">
        <f t="shared" si="23"/>
        <v>3.3814132382235101E-2</v>
      </c>
      <c r="H212" s="10">
        <v>5.4166670000000003</v>
      </c>
      <c r="I212" s="10">
        <v>4.6790419999999999</v>
      </c>
      <c r="J212" s="10">
        <v>4.5290809999999997</v>
      </c>
      <c r="K212" s="10">
        <v>4.5290809999999997</v>
      </c>
      <c r="L212" s="10">
        <v>342.33730000000003</v>
      </c>
      <c r="M212" s="10">
        <v>347.66680000000002</v>
      </c>
      <c r="N212" s="10">
        <v>4.620997</v>
      </c>
      <c r="O212" s="10">
        <v>-0.45789999999999997</v>
      </c>
      <c r="P212" s="10">
        <v>6.7961426610000002</v>
      </c>
      <c r="Q212" s="10">
        <v>5.3849404730000003</v>
      </c>
      <c r="R212" s="10">
        <v>104.75</v>
      </c>
      <c r="S212" s="10">
        <v>105.75</v>
      </c>
      <c r="T212" s="10">
        <v>104.75</v>
      </c>
      <c r="U212" s="10">
        <v>105.75</v>
      </c>
      <c r="V212" s="53" t="s">
        <v>146</v>
      </c>
      <c r="W212" s="53" t="s">
        <v>768</v>
      </c>
      <c r="Y212" s="10">
        <f t="shared" si="24"/>
        <v>5.5909214878807352E-2</v>
      </c>
      <c r="Z212" s="10">
        <f t="shared" si="25"/>
        <v>2.0922367353587684E-2</v>
      </c>
      <c r="AA212" s="10">
        <f t="shared" si="26"/>
        <v>1.4149768202677235</v>
      </c>
      <c r="AB212" s="10">
        <f t="shared" si="27"/>
        <v>0.41959452511634338</v>
      </c>
      <c r="AE212" s="10">
        <f t="shared" si="21"/>
        <v>3.5420303670391267</v>
      </c>
      <c r="AF212" s="10">
        <f t="shared" si="22"/>
        <v>3.5758444994213621</v>
      </c>
    </row>
    <row r="213" spans="1:32" x14ac:dyDescent="0.25">
      <c r="A213" t="s">
        <v>769</v>
      </c>
      <c r="B213" s="39">
        <v>40847</v>
      </c>
      <c r="C213" s="53" t="s">
        <v>770</v>
      </c>
      <c r="D213" s="4" t="str">
        <f>VLOOKUP(LEFT(C213,2),Sort!$A$1:$B$58,2,FALSE)</f>
        <v>Russia</v>
      </c>
      <c r="E213" s="72">
        <v>302042622.10000002</v>
      </c>
      <c r="F213" s="72">
        <v>274374258.39999998</v>
      </c>
      <c r="G213" s="58">
        <f t="shared" si="23"/>
        <v>1.5568248691644254E-2</v>
      </c>
      <c r="H213" s="10">
        <v>5.983333</v>
      </c>
      <c r="I213" s="10">
        <v>5.0499239999999999</v>
      </c>
      <c r="J213" s="10">
        <v>6.8729909999999999</v>
      </c>
      <c r="K213" s="10">
        <v>6.8729909999999999</v>
      </c>
      <c r="L213" s="10">
        <v>560.03989999999999</v>
      </c>
      <c r="M213" s="10">
        <v>565.52080000000001</v>
      </c>
      <c r="N213" s="10">
        <v>4.9703939999999998</v>
      </c>
      <c r="O213" s="10">
        <v>-0.53110000000000002</v>
      </c>
      <c r="P213" s="10">
        <v>5.9117940320000004</v>
      </c>
      <c r="Q213" s="10">
        <v>-2.76541025</v>
      </c>
      <c r="R213" s="10">
        <v>90.75</v>
      </c>
      <c r="S213" s="10">
        <v>92.75</v>
      </c>
      <c r="T213" s="10">
        <v>90.75</v>
      </c>
      <c r="U213" s="10">
        <v>92.75</v>
      </c>
      <c r="V213" s="53" t="s">
        <v>146</v>
      </c>
      <c r="W213" s="53" t="s">
        <v>771</v>
      </c>
      <c r="Y213" s="10">
        <f t="shared" si="24"/>
        <v>2.7781315344940077E-2</v>
      </c>
      <c r="Z213" s="10">
        <f t="shared" si="25"/>
        <v>6.9576131002611827E-2</v>
      </c>
      <c r="AA213" s="10">
        <f t="shared" si="26"/>
        <v>5.1213737907211971</v>
      </c>
      <c r="AB213" s="10">
        <f t="shared" si="27"/>
        <v>0.84720153001182663</v>
      </c>
      <c r="AE213" s="10">
        <f t="shared" si="21"/>
        <v>1.4128185687667161</v>
      </c>
      <c r="AF213" s="10">
        <f t="shared" si="22"/>
        <v>1.4439550661500045</v>
      </c>
    </row>
    <row r="214" spans="1:32" x14ac:dyDescent="0.25">
      <c r="A214" t="s">
        <v>772</v>
      </c>
      <c r="B214" s="39">
        <v>40847</v>
      </c>
      <c r="C214" s="53" t="s">
        <v>773</v>
      </c>
      <c r="D214" s="4" t="str">
        <f>VLOOKUP(LEFT(C214,2),Sort!$A$1:$B$58,2,FALSE)</f>
        <v>Russia</v>
      </c>
      <c r="E214" s="72">
        <v>226531966.59999999</v>
      </c>
      <c r="F214" s="72">
        <v>235794176.90000001</v>
      </c>
      <c r="G214" s="58">
        <f t="shared" si="23"/>
        <v>1.3379179254742942E-2</v>
      </c>
      <c r="H214" s="10">
        <v>6.052778</v>
      </c>
      <c r="I214" s="10">
        <v>5.0696690000000002</v>
      </c>
      <c r="J214" s="10">
        <v>5.0364680000000002</v>
      </c>
      <c r="K214" s="10">
        <v>5.0364680000000002</v>
      </c>
      <c r="L214" s="10">
        <v>374.34249999999997</v>
      </c>
      <c r="M214" s="10">
        <v>379.47620000000001</v>
      </c>
      <c r="N214" s="10">
        <v>4.9862010000000003</v>
      </c>
      <c r="O214" s="10">
        <v>-0.5827</v>
      </c>
      <c r="P214" s="10">
        <v>6.7240487729999998</v>
      </c>
      <c r="Q214" s="10">
        <v>6.3603426650000001</v>
      </c>
      <c r="R214" s="10">
        <v>101.625</v>
      </c>
      <c r="S214" s="10">
        <v>102.125</v>
      </c>
      <c r="T214" s="10">
        <v>101.625</v>
      </c>
      <c r="U214" s="10">
        <v>102.125</v>
      </c>
      <c r="V214" s="53" t="s">
        <v>146</v>
      </c>
      <c r="W214" s="53" t="s">
        <v>774</v>
      </c>
      <c r="Y214" s="10">
        <f t="shared" si="24"/>
        <v>2.3968302599571441E-2</v>
      </c>
      <c r="Z214" s="10">
        <f t="shared" si="25"/>
        <v>9.2057258670815642E-3</v>
      </c>
      <c r="AA214" s="10">
        <f t="shared" si="26"/>
        <v>0.6110853498076998</v>
      </c>
      <c r="AB214" s="10">
        <f t="shared" si="27"/>
        <v>0.16032923864676243</v>
      </c>
      <c r="AE214" s="10">
        <f t="shared" si="21"/>
        <v>1.3596590917632514</v>
      </c>
      <c r="AF214" s="10">
        <f t="shared" si="22"/>
        <v>1.3663486813906229</v>
      </c>
    </row>
    <row r="215" spans="1:32" x14ac:dyDescent="0.25">
      <c r="A215" t="s">
        <v>775</v>
      </c>
      <c r="B215" s="39">
        <v>40847</v>
      </c>
      <c r="C215" s="53" t="s">
        <v>776</v>
      </c>
      <c r="D215" s="4" t="str">
        <f>VLOOKUP(LEFT(C215,2),Sort!$A$1:$B$58,2,FALSE)</f>
        <v>Russia</v>
      </c>
      <c r="E215" s="72">
        <v>377553277.60000002</v>
      </c>
      <c r="F215" s="72">
        <v>405205177.69999999</v>
      </c>
      <c r="G215" s="58">
        <f t="shared" si="23"/>
        <v>2.2991715820435372E-2</v>
      </c>
      <c r="H215" s="10">
        <v>14.052778</v>
      </c>
      <c r="I215" s="10">
        <v>9.0996950000000005</v>
      </c>
      <c r="J215" s="10">
        <v>6.2319959999999996</v>
      </c>
      <c r="K215" s="10">
        <v>6.2319959999999996</v>
      </c>
      <c r="L215" s="10">
        <v>389.2115</v>
      </c>
      <c r="M215" s="10">
        <v>390.57440000000003</v>
      </c>
      <c r="N215" s="10">
        <v>8.6753479999999996</v>
      </c>
      <c r="O215" s="10">
        <v>-0.21510000000000001</v>
      </c>
      <c r="P215" s="10">
        <v>11.177725430000001</v>
      </c>
      <c r="Q215" s="10">
        <v>10.72179588</v>
      </c>
      <c r="R215" s="10">
        <v>104.25</v>
      </c>
      <c r="S215" s="10">
        <v>105.25</v>
      </c>
      <c r="T215" s="10">
        <v>104.25</v>
      </c>
      <c r="U215" s="10">
        <v>105.25</v>
      </c>
      <c r="V215" s="53" t="s">
        <v>146</v>
      </c>
      <c r="W215" s="53" t="s">
        <v>777</v>
      </c>
      <c r="Y215" s="10">
        <f t="shared" si="24"/>
        <v>0.12774268725998059</v>
      </c>
      <c r="Z215" s="10">
        <f t="shared" si="25"/>
        <v>9.3169397678257451E-2</v>
      </c>
      <c r="AA215" s="10">
        <f t="shared" si="26"/>
        <v>1.0808439943488521</v>
      </c>
      <c r="AB215" s="10">
        <f t="shared" si="27"/>
        <v>0.28395183241877658</v>
      </c>
      <c r="AE215" s="10">
        <f t="shared" si="21"/>
        <v>2.3968863742803874</v>
      </c>
      <c r="AF215" s="10">
        <f t="shared" si="22"/>
        <v>2.419878090100823</v>
      </c>
    </row>
    <row r="216" spans="1:32" x14ac:dyDescent="0.25">
      <c r="A216" t="s">
        <v>778</v>
      </c>
      <c r="B216" s="39">
        <v>40847</v>
      </c>
      <c r="C216" s="53" t="s">
        <v>779</v>
      </c>
      <c r="D216" s="4" t="str">
        <f>VLOOKUP(LEFT(C216,2),Sort!$A$1:$B$58,2,FALSE)</f>
        <v>Russia</v>
      </c>
      <c r="E216" s="72">
        <v>604085244.20000005</v>
      </c>
      <c r="F216" s="72">
        <v>664266765.5</v>
      </c>
      <c r="G216" s="58">
        <f t="shared" si="23"/>
        <v>3.7691109447380057E-2</v>
      </c>
      <c r="H216" s="10">
        <v>8.6833329999999993</v>
      </c>
      <c r="I216" s="10">
        <v>6.5925409999999998</v>
      </c>
      <c r="J216" s="10">
        <v>5.6113059999999999</v>
      </c>
      <c r="K216" s="10">
        <v>5.6113059999999999</v>
      </c>
      <c r="L216" s="10">
        <v>372.39620000000002</v>
      </c>
      <c r="M216" s="10">
        <v>383.75850000000003</v>
      </c>
      <c r="N216" s="10">
        <v>6.4049759999999996</v>
      </c>
      <c r="O216" s="10">
        <v>-0.2097</v>
      </c>
      <c r="P216" s="10">
        <v>10.33309311</v>
      </c>
      <c r="Q216" s="10">
        <v>8.6618868659999997</v>
      </c>
      <c r="R216" s="10">
        <v>107.75</v>
      </c>
      <c r="S216" s="10">
        <v>108.75</v>
      </c>
      <c r="T216" s="10">
        <v>107.75</v>
      </c>
      <c r="U216" s="10">
        <v>108.75</v>
      </c>
      <c r="V216" s="53" t="s">
        <v>146</v>
      </c>
      <c r="W216" s="53" t="s">
        <v>780</v>
      </c>
      <c r="Y216" s="10">
        <f t="shared" si="24"/>
        <v>5.3043493794125283E-2</v>
      </c>
      <c r="Z216" s="10">
        <f t="shared" si="25"/>
        <v>2.889384645218545E-2</v>
      </c>
      <c r="AA216" s="10">
        <f t="shared" si="26"/>
        <v>1.740943936240273</v>
      </c>
      <c r="AB216" s="10">
        <f t="shared" si="27"/>
        <v>0.48097153552990846</v>
      </c>
      <c r="AE216" s="10">
        <f t="shared" si="21"/>
        <v>4.0612170429552013</v>
      </c>
      <c r="AF216" s="10">
        <f t="shared" si="22"/>
        <v>4.098908152402581</v>
      </c>
    </row>
    <row r="217" spans="1:32" x14ac:dyDescent="0.25">
      <c r="A217" t="s">
        <v>781</v>
      </c>
      <c r="B217" s="39">
        <v>40847</v>
      </c>
      <c r="C217" s="53" t="s">
        <v>782</v>
      </c>
      <c r="D217" s="4" t="str">
        <f>VLOOKUP(LEFT(C217,2),Sort!$A$1:$B$58,2,FALSE)</f>
        <v>Senegal</v>
      </c>
      <c r="E217" s="72">
        <v>500000000</v>
      </c>
      <c r="F217" s="72">
        <v>533784720</v>
      </c>
      <c r="G217" s="58">
        <f t="shared" si="23"/>
        <v>1</v>
      </c>
      <c r="H217" s="10">
        <v>9.5277779999999996</v>
      </c>
      <c r="I217" s="10">
        <v>6.3271610000000003</v>
      </c>
      <c r="J217" s="10">
        <v>8.1192019999999996</v>
      </c>
      <c r="K217" s="10">
        <v>8.1192019999999996</v>
      </c>
      <c r="L217" s="10">
        <v>607.36649999999997</v>
      </c>
      <c r="M217" s="10">
        <v>628.81460000000004</v>
      </c>
      <c r="N217" s="10">
        <v>6.1361850000000002</v>
      </c>
      <c r="O217" s="10">
        <v>-0.32740000000000002</v>
      </c>
      <c r="P217" s="10">
        <v>5.7508423640000004</v>
      </c>
      <c r="Q217" s="10">
        <v>1.5557350000000001</v>
      </c>
      <c r="R217" s="10">
        <v>102.625</v>
      </c>
      <c r="S217" s="10">
        <v>104.125</v>
      </c>
      <c r="T217" s="10">
        <v>102.625</v>
      </c>
      <c r="U217" s="10">
        <v>104.125</v>
      </c>
      <c r="V217" s="53" t="s">
        <v>146</v>
      </c>
      <c r="W217" s="53" t="s">
        <v>783</v>
      </c>
      <c r="Y217" s="10">
        <f t="shared" si="24"/>
        <v>4.0908332876384471E-2</v>
      </c>
      <c r="Z217" s="10">
        <f t="shared" si="25"/>
        <v>0.51509020019840768</v>
      </c>
      <c r="AA217" s="10">
        <f t="shared" si="26"/>
        <v>45.063197601972917</v>
      </c>
      <c r="AB217" s="10">
        <f t="shared" si="27"/>
        <v>0.370057096546133</v>
      </c>
      <c r="AE217" s="10">
        <f t="shared" si="21"/>
        <v>102.625</v>
      </c>
      <c r="AF217" s="10">
        <f t="shared" si="22"/>
        <v>104.125</v>
      </c>
    </row>
    <row r="218" spans="1:32" x14ac:dyDescent="0.25">
      <c r="A218" t="s">
        <v>317</v>
      </c>
      <c r="B218" s="39">
        <v>40847</v>
      </c>
      <c r="C218" s="53" t="s">
        <v>4653</v>
      </c>
      <c r="D218" s="4" t="str">
        <f>VLOOKUP(LEFT(C218,2),Sort!$A$1:$B$58,2,FALSE)</f>
        <v>Serbia</v>
      </c>
      <c r="E218" s="72">
        <v>1000000000</v>
      </c>
      <c r="F218" s="72">
        <v>1034548610</v>
      </c>
      <c r="G218" s="58">
        <f t="shared" si="23"/>
        <v>0.52710218920246532</v>
      </c>
      <c r="H218" s="10">
        <v>9.9027779999999996</v>
      </c>
      <c r="I218" s="10">
        <v>7.1611609999999999</v>
      </c>
      <c r="J218" s="10">
        <v>6.7239409999999999</v>
      </c>
      <c r="K218" s="10">
        <v>6.7239409999999999</v>
      </c>
      <c r="L218" s="10">
        <v>460.81540000000001</v>
      </c>
      <c r="M218" s="10">
        <v>479.27879999999999</v>
      </c>
      <c r="N218" s="10">
        <v>6.9262430000000004</v>
      </c>
      <c r="O218" s="10">
        <v>2.1173999999999999</v>
      </c>
      <c r="P218" s="10">
        <v>11.522424109999999</v>
      </c>
      <c r="Q218" s="10">
        <v>11.121472000000001</v>
      </c>
      <c r="R218" s="10">
        <v>102.75</v>
      </c>
      <c r="S218" s="10">
        <v>103.75</v>
      </c>
      <c r="T218" s="10">
        <v>102.75</v>
      </c>
      <c r="U218" s="10">
        <v>103.75</v>
      </c>
      <c r="V218" s="53" t="s">
        <v>146</v>
      </c>
      <c r="W218" s="53" t="s">
        <v>4654</v>
      </c>
      <c r="Y218" s="10">
        <f t="shared" si="24"/>
        <v>8.9736907185834422E-2</v>
      </c>
      <c r="Z218" s="10">
        <f t="shared" si="25"/>
        <v>0.25665275552770617</v>
      </c>
      <c r="AA218" s="10">
        <f t="shared" si="26"/>
        <v>16.365664680346583</v>
      </c>
      <c r="AB218" s="10">
        <f t="shared" si="27"/>
        <v>0.71463880034221405</v>
      </c>
      <c r="AE218" s="10">
        <f t="shared" si="21"/>
        <v>54.159749940553311</v>
      </c>
      <c r="AF218" s="10">
        <f t="shared" si="22"/>
        <v>54.686852129755778</v>
      </c>
    </row>
    <row r="219" spans="1:32" x14ac:dyDescent="0.25">
      <c r="A219" t="s">
        <v>964</v>
      </c>
      <c r="B219" s="39">
        <v>40847</v>
      </c>
      <c r="C219" s="53" t="s">
        <v>318</v>
      </c>
      <c r="D219" s="4" t="str">
        <f>VLOOKUP(LEFT(C219,2),Sort!$A$1:$B$58,2,FALSE)</f>
        <v>Serbia</v>
      </c>
      <c r="E219" s="72">
        <v>936000144</v>
      </c>
      <c r="F219" s="72">
        <v>928161147.60000002</v>
      </c>
      <c r="G219" s="58">
        <f t="shared" si="23"/>
        <v>0.47289781079753473</v>
      </c>
      <c r="H219" s="10">
        <v>6.7453060000000002</v>
      </c>
      <c r="I219" s="10">
        <v>5.0663869999999998</v>
      </c>
      <c r="J219" s="10">
        <v>6.7251560000000001</v>
      </c>
      <c r="K219" s="10">
        <v>6.7251560000000001</v>
      </c>
      <c r="L219" s="10">
        <v>522.81629999999996</v>
      </c>
      <c r="M219" s="10">
        <v>513.31989999999996</v>
      </c>
      <c r="N219" s="10">
        <v>4.9334410000000002</v>
      </c>
      <c r="O219" s="10">
        <v>0.1452</v>
      </c>
      <c r="P219" s="10">
        <v>6.4433531979999996</v>
      </c>
      <c r="Q219" s="10">
        <v>6.4676883509999996</v>
      </c>
      <c r="R219" s="10">
        <v>99.125</v>
      </c>
      <c r="S219" s="10">
        <v>100.125</v>
      </c>
      <c r="T219" s="10">
        <v>85.908347000000006</v>
      </c>
      <c r="U219" s="10">
        <v>86.775013000000001</v>
      </c>
      <c r="V219" s="53" t="s">
        <v>146</v>
      </c>
      <c r="W219" s="53" t="s">
        <v>319</v>
      </c>
      <c r="Y219" s="10">
        <f t="shared" si="24"/>
        <v>9.4285811652679227E-2</v>
      </c>
      <c r="Z219" s="10">
        <f t="shared" si="25"/>
        <v>0.23030156215184319</v>
      </c>
      <c r="AA219" s="10">
        <f t="shared" si="26"/>
        <v>15.725556159642004</v>
      </c>
      <c r="AB219" s="10">
        <f t="shared" si="27"/>
        <v>0.61874755982514751</v>
      </c>
      <c r="AE219" s="10">
        <f t="shared" si="21"/>
        <v>46.875995495305631</v>
      </c>
      <c r="AF219" s="10">
        <f t="shared" si="22"/>
        <v>47.348893306103164</v>
      </c>
    </row>
    <row r="220" spans="1:32" x14ac:dyDescent="0.25">
      <c r="A220" t="s">
        <v>967</v>
      </c>
      <c r="B220" s="39">
        <v>40847</v>
      </c>
      <c r="C220" s="53" t="s">
        <v>965</v>
      </c>
      <c r="D220" s="4" t="str">
        <f>VLOOKUP(LEFT(C220,2),Sort!$A$1:$B$58,2,FALSE)</f>
        <v>South Africa</v>
      </c>
      <c r="E220" s="72">
        <v>1548986486</v>
      </c>
      <c r="F220" s="72">
        <v>1662455044</v>
      </c>
      <c r="G220" s="58">
        <f t="shared" si="23"/>
        <v>0.17805077653799117</v>
      </c>
      <c r="H220" s="10">
        <v>9.230556</v>
      </c>
      <c r="I220" s="10">
        <v>7.2563829999999996</v>
      </c>
      <c r="J220" s="10">
        <v>4.8654679999999999</v>
      </c>
      <c r="K220" s="10">
        <v>4.8654679999999999</v>
      </c>
      <c r="L220" s="10">
        <v>287.56110000000001</v>
      </c>
      <c r="M220" s="10">
        <v>296.99279999999999</v>
      </c>
      <c r="N220" s="10">
        <v>7.0272040000000002</v>
      </c>
      <c r="O220" s="10">
        <v>-0.21779999999999999</v>
      </c>
      <c r="P220" s="10">
        <v>4.0796238359999997</v>
      </c>
      <c r="Q220" s="10">
        <v>10.737894000000001</v>
      </c>
      <c r="R220" s="10">
        <v>105.75</v>
      </c>
      <c r="S220" s="10">
        <v>106.5</v>
      </c>
      <c r="T220" s="10">
        <v>105.75</v>
      </c>
      <c r="U220" s="10">
        <v>106.5</v>
      </c>
      <c r="V220" s="53" t="s">
        <v>146</v>
      </c>
      <c r="W220" s="53" t="s">
        <v>966</v>
      </c>
      <c r="Y220" s="10">
        <f t="shared" si="24"/>
        <v>0.14611905848105658</v>
      </c>
      <c r="Z220" s="10">
        <f t="shared" si="25"/>
        <v>6.2700847929032882E-2</v>
      </c>
      <c r="AA220" s="10">
        <f t="shared" si="26"/>
        <v>3.3719419096083469</v>
      </c>
      <c r="AB220" s="10">
        <f t="shared" si="27"/>
        <v>1.1788189338905948</v>
      </c>
      <c r="AE220" s="10">
        <f t="shared" si="21"/>
        <v>18.828869618892565</v>
      </c>
      <c r="AF220" s="10">
        <f t="shared" si="22"/>
        <v>18.962407701296058</v>
      </c>
    </row>
    <row r="221" spans="1:32" x14ac:dyDescent="0.25">
      <c r="A221" t="s">
        <v>970</v>
      </c>
      <c r="B221" s="39">
        <v>40847</v>
      </c>
      <c r="C221" s="53" t="s">
        <v>968</v>
      </c>
      <c r="D221" s="4" t="str">
        <f>VLOOKUP(LEFT(C221,2),Sort!$A$1:$B$58,2,FALSE)</f>
        <v>South Africa</v>
      </c>
      <c r="E221" s="72">
        <v>1770270270</v>
      </c>
      <c r="F221" s="72">
        <v>1981817567</v>
      </c>
      <c r="G221" s="58">
        <f t="shared" si="23"/>
        <v>0.21225485647537445</v>
      </c>
      <c r="H221" s="10">
        <v>8.35</v>
      </c>
      <c r="I221" s="10">
        <v>6.8796929999999996</v>
      </c>
      <c r="J221" s="10">
        <v>3.8244880000000001</v>
      </c>
      <c r="K221" s="10">
        <v>3.8244880000000001</v>
      </c>
      <c r="L221" s="10">
        <v>199.9588</v>
      </c>
      <c r="M221" s="10">
        <v>206.46700000000001</v>
      </c>
      <c r="N221" s="10">
        <v>6.6882590000000004</v>
      </c>
      <c r="O221" s="10">
        <v>-0.32029999999999997</v>
      </c>
      <c r="P221" s="10">
        <v>2.9214995340000001</v>
      </c>
      <c r="Q221" s="10">
        <v>8.7898180030000006</v>
      </c>
      <c r="R221" s="10">
        <v>111.125</v>
      </c>
      <c r="S221" s="10">
        <v>111.875</v>
      </c>
      <c r="T221" s="10">
        <v>111.125</v>
      </c>
      <c r="U221" s="10">
        <v>111.875</v>
      </c>
      <c r="V221" s="53" t="s">
        <v>146</v>
      </c>
      <c r="W221" s="53" t="s">
        <v>969</v>
      </c>
      <c r="Y221" s="10">
        <f t="shared" si="24"/>
        <v>0.16514654426043257</v>
      </c>
      <c r="Z221" s="10">
        <f t="shared" si="25"/>
        <v>9.8176104766888886E-2</v>
      </c>
      <c r="AA221" s="10">
        <f t="shared" si="26"/>
        <v>2.7944643564392972</v>
      </c>
      <c r="AB221" s="10">
        <f t="shared" si="27"/>
        <v>1.4761969614467723</v>
      </c>
      <c r="AE221" s="10">
        <f t="shared" si="21"/>
        <v>23.586820925825986</v>
      </c>
      <c r="AF221" s="10">
        <f t="shared" si="22"/>
        <v>23.746012068182516</v>
      </c>
    </row>
    <row r="222" spans="1:32" x14ac:dyDescent="0.25">
      <c r="A222" t="s">
        <v>973</v>
      </c>
      <c r="B222" s="39">
        <v>40847</v>
      </c>
      <c r="C222" s="53" t="s">
        <v>971</v>
      </c>
      <c r="D222" s="4" t="str">
        <f>VLOOKUP(LEFT(C222,2),Sort!$A$1:$B$58,2,FALSE)</f>
        <v>South Africa</v>
      </c>
      <c r="E222" s="72">
        <v>885135135.10000002</v>
      </c>
      <c r="F222" s="72">
        <v>1032261191</v>
      </c>
      <c r="G222" s="58">
        <f t="shared" si="23"/>
        <v>0.1105563168826246</v>
      </c>
      <c r="H222" s="10">
        <v>10.574999999999999</v>
      </c>
      <c r="I222" s="10">
        <v>8.0981489999999994</v>
      </c>
      <c r="J222" s="10">
        <v>4.1246939999999999</v>
      </c>
      <c r="K222" s="10">
        <v>4.1246939999999999</v>
      </c>
      <c r="L222" s="10">
        <v>196.14840000000001</v>
      </c>
      <c r="M222" s="10">
        <v>204.90860000000001</v>
      </c>
      <c r="N222" s="10">
        <v>7.8023090000000002</v>
      </c>
      <c r="O222" s="10">
        <v>-0.73089999999999999</v>
      </c>
      <c r="P222" s="10">
        <v>2.6014558989999998</v>
      </c>
      <c r="Q222" s="10">
        <v>10.012143439999999</v>
      </c>
      <c r="R222" s="10">
        <v>114.125</v>
      </c>
      <c r="S222" s="10">
        <v>114.875</v>
      </c>
      <c r="T222" s="10">
        <v>114.125</v>
      </c>
      <c r="U222" s="10">
        <v>114.875</v>
      </c>
      <c r="V222" s="53" t="s">
        <v>146</v>
      </c>
      <c r="W222" s="53" t="s">
        <v>972</v>
      </c>
      <c r="Y222" s="10">
        <f t="shared" si="24"/>
        <v>0.28960735609695826</v>
      </c>
      <c r="Z222" s="10">
        <f t="shared" si="25"/>
        <v>3.3005036569079681E-2</v>
      </c>
      <c r="AA222" s="10">
        <f t="shared" si="26"/>
        <v>1.4445548586318315</v>
      </c>
      <c r="AB222" s="10">
        <f t="shared" si="27"/>
        <v>0.78951922430756272</v>
      </c>
      <c r="AE222" s="10">
        <f t="shared" si="21"/>
        <v>12.617239664229533</v>
      </c>
      <c r="AF222" s="10">
        <f t="shared" si="22"/>
        <v>12.700156901891502</v>
      </c>
    </row>
    <row r="223" spans="1:32" x14ac:dyDescent="0.25">
      <c r="A223" t="s">
        <v>976</v>
      </c>
      <c r="B223" s="39">
        <v>40847</v>
      </c>
      <c r="C223" s="53" t="s">
        <v>974</v>
      </c>
      <c r="D223" s="4" t="str">
        <f>VLOOKUP(LEFT(C223,2),Sort!$A$1:$B$58,2,FALSE)</f>
        <v>South Africa</v>
      </c>
      <c r="E223" s="72">
        <v>885135135.10000002</v>
      </c>
      <c r="F223" s="72">
        <v>1002206551</v>
      </c>
      <c r="G223" s="58">
        <f t="shared" si="23"/>
        <v>0.10733743165027916</v>
      </c>
      <c r="H223" s="10">
        <v>2.5805560000000001</v>
      </c>
      <c r="I223" s="10">
        <v>2.3468749999999998</v>
      </c>
      <c r="J223" s="10">
        <v>2.004095</v>
      </c>
      <c r="K223" s="10">
        <v>2.004095</v>
      </c>
      <c r="L223" s="10">
        <v>166.88509999999999</v>
      </c>
      <c r="M223" s="10">
        <v>169.13220000000001</v>
      </c>
      <c r="N223" s="10">
        <v>2.3460679999999998</v>
      </c>
      <c r="O223" s="10">
        <v>-9.4399999999999998E-2</v>
      </c>
      <c r="P223" s="10">
        <v>0.56001776800000003</v>
      </c>
      <c r="Q223" s="10">
        <v>3.0089521989999999</v>
      </c>
      <c r="R223" s="10">
        <v>110.5</v>
      </c>
      <c r="S223" s="10">
        <v>111.25</v>
      </c>
      <c r="T223" s="10">
        <v>110.5</v>
      </c>
      <c r="U223" s="10">
        <v>111.25</v>
      </c>
      <c r="V223" s="53" t="s">
        <v>146</v>
      </c>
      <c r="W223" s="53" t="s">
        <v>975</v>
      </c>
      <c r="Y223" s="10">
        <f t="shared" si="24"/>
        <v>5.1145651486485692E-2</v>
      </c>
      <c r="Z223" s="10">
        <f t="shared" si="25"/>
        <v>2.6016229946692129E-2</v>
      </c>
      <c r="AA223" s="10">
        <f t="shared" si="26"/>
        <v>2.6032661285783685</v>
      </c>
      <c r="AB223" s="10">
        <f t="shared" si="27"/>
        <v>0.74234338326496296</v>
      </c>
      <c r="AE223" s="10">
        <f t="shared" si="21"/>
        <v>11.860786197355848</v>
      </c>
      <c r="AF223" s="10">
        <f t="shared" si="22"/>
        <v>11.941289271093556</v>
      </c>
    </row>
    <row r="224" spans="1:32" x14ac:dyDescent="0.25">
      <c r="A224" t="s">
        <v>979</v>
      </c>
      <c r="B224" s="39">
        <v>40847</v>
      </c>
      <c r="C224" s="53" t="s">
        <v>977</v>
      </c>
      <c r="D224" s="4" t="str">
        <f>VLOOKUP(LEFT(C224,2),Sort!$A$1:$B$58,2,FALSE)</f>
        <v>South Africa</v>
      </c>
      <c r="E224" s="72">
        <v>663851351.39999998</v>
      </c>
      <c r="F224" s="72">
        <v>778895867.79999995</v>
      </c>
      <c r="G224" s="58">
        <f t="shared" si="23"/>
        <v>8.3420610141938065E-2</v>
      </c>
      <c r="H224" s="10">
        <v>29.347221999999999</v>
      </c>
      <c r="I224" s="10">
        <v>14.733972</v>
      </c>
      <c r="J224" s="10">
        <v>5.1159610000000004</v>
      </c>
      <c r="K224" s="10">
        <v>5.1159610000000004</v>
      </c>
      <c r="L224" s="10">
        <v>199.91220000000001</v>
      </c>
      <c r="M224" s="10">
        <v>219.97499999999999</v>
      </c>
      <c r="N224" s="10">
        <v>13.639901999999999</v>
      </c>
      <c r="O224" s="10">
        <v>-9.1700000000000004E-2</v>
      </c>
      <c r="P224" s="10">
        <v>4.9051558259999997</v>
      </c>
      <c r="Q224" s="10">
        <v>20.301196999999998</v>
      </c>
      <c r="R224" s="10">
        <v>116.375</v>
      </c>
      <c r="S224" s="10">
        <v>117.125</v>
      </c>
      <c r="T224" s="10">
        <v>116.375</v>
      </c>
      <c r="U224" s="10">
        <v>117.125</v>
      </c>
      <c r="V224" s="53" t="s">
        <v>146</v>
      </c>
      <c r="W224" s="53" t="s">
        <v>978</v>
      </c>
      <c r="Y224" s="10">
        <f t="shared" si="24"/>
        <v>0.21003213009725227</v>
      </c>
      <c r="Z224" s="10">
        <f t="shared" si="25"/>
        <v>3.0889118047111065E-2</v>
      </c>
      <c r="AA224" s="10">
        <f t="shared" si="26"/>
        <v>1.1701377207600283</v>
      </c>
      <c r="AB224" s="10">
        <f t="shared" si="27"/>
        <v>0.60740251908297449</v>
      </c>
      <c r="AE224" s="10">
        <f t="shared" si="21"/>
        <v>9.7080735052680431</v>
      </c>
      <c r="AF224" s="10">
        <f t="shared" si="22"/>
        <v>9.7706389628744965</v>
      </c>
    </row>
    <row r="225" spans="1:32" x14ac:dyDescent="0.25">
      <c r="A225" t="s">
        <v>982</v>
      </c>
      <c r="B225" s="39">
        <v>40847</v>
      </c>
      <c r="C225" s="53" t="s">
        <v>980</v>
      </c>
      <c r="D225" s="4" t="str">
        <f>VLOOKUP(LEFT(C225,2),Sort!$A$1:$B$58,2,FALSE)</f>
        <v>South Africa</v>
      </c>
      <c r="E225" s="72">
        <v>1770270270</v>
      </c>
      <c r="F225" s="72">
        <v>2183702145</v>
      </c>
      <c r="G225" s="58">
        <f t="shared" si="23"/>
        <v>0.23387691838536537</v>
      </c>
      <c r="H225" s="10">
        <v>7.5694439999999998</v>
      </c>
      <c r="I225" s="10">
        <v>6.0418810000000001</v>
      </c>
      <c r="J225" s="10">
        <v>3.6536590000000002</v>
      </c>
      <c r="K225" s="10">
        <v>3.6536590000000002</v>
      </c>
      <c r="L225" s="10">
        <v>197.4983</v>
      </c>
      <c r="M225" s="10">
        <v>207.3184</v>
      </c>
      <c r="N225" s="10">
        <v>5.9000529999999998</v>
      </c>
      <c r="O225" s="10">
        <v>-0.28770000000000001</v>
      </c>
      <c r="P225" s="10">
        <v>1.8871155900000001</v>
      </c>
      <c r="Q225" s="10">
        <v>7.6985089200000001</v>
      </c>
      <c r="R225" s="10">
        <v>120.375</v>
      </c>
      <c r="S225" s="10">
        <v>121.125</v>
      </c>
      <c r="T225" s="10">
        <v>120.375</v>
      </c>
      <c r="U225" s="10">
        <v>121.125</v>
      </c>
      <c r="V225" s="53" t="s">
        <v>146</v>
      </c>
      <c r="W225" s="53" t="s">
        <v>981</v>
      </c>
      <c r="Y225" s="10">
        <f t="shared" si="24"/>
        <v>0.15980940182211165</v>
      </c>
      <c r="Z225" s="10">
        <f t="shared" si="25"/>
        <v>0.10334518170121144</v>
      </c>
      <c r="AA225" s="10">
        <f t="shared" si="26"/>
        <v>3.0918292575553559</v>
      </c>
      <c r="AB225" s="10">
        <f t="shared" si="27"/>
        <v>5.3335822798088675</v>
      </c>
      <c r="AE225" s="10">
        <f t="shared" ref="AE225:AE284" si="28">G225*R225</f>
        <v>28.152934050638358</v>
      </c>
      <c r="AF225" s="10">
        <f t="shared" ref="AF225:AF284" si="29">G225*S225</f>
        <v>28.32834173942738</v>
      </c>
    </row>
    <row r="226" spans="1:32" x14ac:dyDescent="0.25">
      <c r="A226" t="s">
        <v>503</v>
      </c>
      <c r="B226" s="39">
        <v>40847</v>
      </c>
      <c r="C226" s="53" t="s">
        <v>983</v>
      </c>
      <c r="D226" s="4" t="str">
        <f>VLOOKUP(LEFT(C226,2),Sort!$A$1:$B$58,2,FALSE)</f>
        <v>South Africa</v>
      </c>
      <c r="E226" s="72">
        <v>663851351.39999998</v>
      </c>
      <c r="F226" s="72">
        <v>695633234.79999995</v>
      </c>
      <c r="G226" s="58">
        <f t="shared" si="23"/>
        <v>7.4503089926427346E-2</v>
      </c>
      <c r="H226" s="10">
        <v>4.269444</v>
      </c>
      <c r="I226" s="10">
        <v>3.8613590000000002</v>
      </c>
      <c r="J226" s="10">
        <v>3.420426</v>
      </c>
      <c r="K226" s="10">
        <v>3.420426</v>
      </c>
      <c r="L226" s="10">
        <v>265.07479999999998</v>
      </c>
      <c r="M226" s="10">
        <v>268.61020000000002</v>
      </c>
      <c r="N226" s="10">
        <v>3.8349199999999999</v>
      </c>
      <c r="O226" s="10">
        <v>-0.34470000000000001</v>
      </c>
      <c r="P226" s="10">
        <v>1.5505760099999999</v>
      </c>
      <c r="Q226" s="10">
        <v>7.0813230000000003</v>
      </c>
      <c r="R226" s="10">
        <v>103.75</v>
      </c>
      <c r="S226" s="10">
        <v>104.25</v>
      </c>
      <c r="T226" s="10">
        <v>103.75</v>
      </c>
      <c r="U226" s="10">
        <v>104.25</v>
      </c>
      <c r="V226" s="4" t="s">
        <v>146</v>
      </c>
      <c r="W226" s="4" t="s">
        <v>984</v>
      </c>
      <c r="Y226" s="10">
        <f t="shared" si="24"/>
        <v>5.840930286388224E-2</v>
      </c>
      <c r="Z226" s="10">
        <f t="shared" si="25"/>
        <v>3.0819766396209335E-2</v>
      </c>
      <c r="AA226" s="10">
        <f t="shared" si="26"/>
        <v>1.276106957195223</v>
      </c>
      <c r="AB226" s="10">
        <f t="shared" si="27"/>
        <v>0.48284081185803168</v>
      </c>
      <c r="AE226" s="10">
        <f t="shared" si="28"/>
        <v>7.7296955798668368</v>
      </c>
      <c r="AF226" s="10">
        <f t="shared" si="29"/>
        <v>7.7669471248300512</v>
      </c>
    </row>
    <row r="227" spans="1:32" x14ac:dyDescent="0.25">
      <c r="A227" t="s">
        <v>506</v>
      </c>
      <c r="B227" s="39">
        <v>40847</v>
      </c>
      <c r="C227" s="53" t="s">
        <v>504</v>
      </c>
      <c r="D227" s="4" t="str">
        <f>VLOOKUP(LEFT(C227,2),Sort!$A$1:$B$58,2,FALSE)</f>
        <v>Sri Lanka</v>
      </c>
      <c r="E227" s="72">
        <v>1000000000</v>
      </c>
      <c r="F227" s="72">
        <v>1027534720</v>
      </c>
      <c r="G227" s="58">
        <f t="shared" si="23"/>
        <v>0.3928137363579754</v>
      </c>
      <c r="H227" s="10">
        <v>8.9222219999999997</v>
      </c>
      <c r="I227" s="10">
        <v>6.9347969999999997</v>
      </c>
      <c r="J227" s="10">
        <v>5.7422190000000004</v>
      </c>
      <c r="K227" s="10">
        <v>5.7422190000000004</v>
      </c>
      <c r="L227" s="10">
        <v>381.01229999999998</v>
      </c>
      <c r="M227" s="10">
        <v>391.49520000000001</v>
      </c>
      <c r="N227" s="10">
        <v>6.7276980000000002</v>
      </c>
      <c r="O227" s="10">
        <v>1</v>
      </c>
      <c r="P227" s="10">
        <v>5.9124571159999997</v>
      </c>
      <c r="Q227" s="10">
        <v>7.7694455600000003</v>
      </c>
      <c r="R227" s="10">
        <v>102.25</v>
      </c>
      <c r="S227" s="10">
        <v>103.5</v>
      </c>
      <c r="T227" s="10">
        <v>102.25</v>
      </c>
      <c r="U227" s="10">
        <v>103.5</v>
      </c>
      <c r="V227" s="53" t="s">
        <v>146</v>
      </c>
      <c r="W227" s="53" t="s">
        <v>505</v>
      </c>
      <c r="Y227" s="10">
        <f t="shared" si="24"/>
        <v>8.6311172443793285E-2</v>
      </c>
      <c r="Z227" s="10">
        <f t="shared" si="25"/>
        <v>4.5737786273592637E-2</v>
      </c>
      <c r="AA227" s="10">
        <f t="shared" si="26"/>
        <v>2.7473070491406393</v>
      </c>
      <c r="AB227" s="10">
        <f t="shared" si="27"/>
        <v>0.70808344426986136</v>
      </c>
      <c r="AE227" s="10">
        <f t="shared" si="28"/>
        <v>40.165204542602986</v>
      </c>
      <c r="AF227" s="10">
        <f t="shared" si="29"/>
        <v>40.656221713050456</v>
      </c>
    </row>
    <row r="228" spans="1:32" x14ac:dyDescent="0.25">
      <c r="A228" t="s">
        <v>509</v>
      </c>
      <c r="B228" s="39">
        <v>40847</v>
      </c>
      <c r="C228" s="53" t="s">
        <v>507</v>
      </c>
      <c r="D228" s="4" t="str">
        <f>VLOOKUP(LEFT(C228,2),Sort!$A$1:$B$58,2,FALSE)</f>
        <v>Sri Lanka</v>
      </c>
      <c r="E228" s="72">
        <v>1000000000</v>
      </c>
      <c r="F228" s="72">
        <v>1036666670</v>
      </c>
      <c r="G228" s="58">
        <f t="shared" si="23"/>
        <v>0.39630476720093727</v>
      </c>
      <c r="H228" s="10">
        <v>9.733333</v>
      </c>
      <c r="I228" s="10">
        <v>7.3246320000000003</v>
      </c>
      <c r="J228" s="10">
        <v>5.8066829999999996</v>
      </c>
      <c r="K228" s="10">
        <v>5.8066829999999996</v>
      </c>
      <c r="L228" s="10">
        <v>372.26389999999998</v>
      </c>
      <c r="M228" s="10">
        <v>386.23180000000002</v>
      </c>
      <c r="N228" s="10">
        <v>7.0846830000000001</v>
      </c>
      <c r="O228" s="10">
        <v>0.74570000000000003</v>
      </c>
      <c r="P228" s="10">
        <v>5.8573271599999996</v>
      </c>
      <c r="Q228" s="10">
        <v>1.0697412369999999</v>
      </c>
      <c r="R228" s="10">
        <v>102</v>
      </c>
      <c r="S228" s="10">
        <v>103.25</v>
      </c>
      <c r="T228" s="10">
        <v>102</v>
      </c>
      <c r="U228" s="10">
        <v>103.25</v>
      </c>
      <c r="V228" s="53" t="s">
        <v>146</v>
      </c>
      <c r="W228" s="53" t="s">
        <v>508</v>
      </c>
      <c r="Y228" s="10">
        <f t="shared" si="24"/>
        <v>9.1973286118986947E-2</v>
      </c>
      <c r="Z228" s="10">
        <f t="shared" si="25"/>
        <v>4.6662299488257897E-2</v>
      </c>
      <c r="AA228" s="10">
        <f t="shared" si="26"/>
        <v>2.7344590072558645</v>
      </c>
      <c r="AB228" s="10">
        <f t="shared" si="27"/>
        <v>0.71265080664088798</v>
      </c>
      <c r="AE228" s="10">
        <f t="shared" si="28"/>
        <v>40.423086254495601</v>
      </c>
      <c r="AF228" s="10">
        <f t="shared" si="29"/>
        <v>40.918467213496776</v>
      </c>
    </row>
    <row r="229" spans="1:32" x14ac:dyDescent="0.25">
      <c r="A229" t="s">
        <v>799</v>
      </c>
      <c r="B229" s="39">
        <v>40847</v>
      </c>
      <c r="C229" s="53" t="s">
        <v>510</v>
      </c>
      <c r="D229" s="4" t="str">
        <f>VLOOKUP(LEFT(C229,2),Sort!$A$1:$B$58,2,FALSE)</f>
        <v>Sri Lanka</v>
      </c>
      <c r="E229" s="72">
        <v>500000000</v>
      </c>
      <c r="F229" s="72">
        <v>551630555</v>
      </c>
      <c r="G229" s="58">
        <f t="shared" si="23"/>
        <v>0.21088149644108731</v>
      </c>
      <c r="H229" s="10">
        <v>3.2194440000000002</v>
      </c>
      <c r="I229" s="10">
        <v>2.8326060000000002</v>
      </c>
      <c r="J229" s="10">
        <v>4.2899510000000003</v>
      </c>
      <c r="K229" s="10">
        <v>4.2899510000000003</v>
      </c>
      <c r="L229" s="10">
        <v>382.68729999999999</v>
      </c>
      <c r="M229" s="10">
        <v>385.54730000000001</v>
      </c>
      <c r="N229" s="10">
        <v>2.8241260000000001</v>
      </c>
      <c r="O229" s="10">
        <v>1.8599999999999998E-2</v>
      </c>
      <c r="P229" s="10">
        <v>4.0806914780000003</v>
      </c>
      <c r="Q229" s="10">
        <v>3.53210632</v>
      </c>
      <c r="R229" s="10">
        <v>108.25</v>
      </c>
      <c r="S229" s="10">
        <v>109.25</v>
      </c>
      <c r="T229" s="10">
        <v>108.25</v>
      </c>
      <c r="U229" s="10">
        <v>109.25</v>
      </c>
      <c r="V229" s="53" t="s">
        <v>146</v>
      </c>
      <c r="W229" s="53" t="s">
        <v>511</v>
      </c>
      <c r="Y229" s="10">
        <f t="shared" si="24"/>
        <v>3.3977858522023001E-2</v>
      </c>
      <c r="Z229" s="10">
        <f t="shared" si="25"/>
        <v>1.8344231778447455E-2</v>
      </c>
      <c r="AA229" s="10">
        <f t="shared" si="26"/>
        <v>1.4524802417448832</v>
      </c>
      <c r="AB229" s="10">
        <f t="shared" si="27"/>
        <v>0.40125212420121475</v>
      </c>
      <c r="AE229" s="10">
        <f t="shared" si="28"/>
        <v>22.827921989747701</v>
      </c>
      <c r="AF229" s="10">
        <f t="shared" si="29"/>
        <v>23.038803486188787</v>
      </c>
    </row>
    <row r="230" spans="1:32" x14ac:dyDescent="0.25">
      <c r="A230" t="s">
        <v>802</v>
      </c>
      <c r="B230" s="39">
        <v>40847</v>
      </c>
      <c r="C230" s="53" t="s">
        <v>800</v>
      </c>
      <c r="D230" s="4" t="str">
        <f>VLOOKUP(LEFT(C230,2),Sort!$A$1:$B$58,2,FALSE)</f>
        <v>Turkey</v>
      </c>
      <c r="E230" s="72">
        <v>669230769.20000005</v>
      </c>
      <c r="F230" s="72">
        <v>1161533654</v>
      </c>
      <c r="G230" s="58">
        <f t="shared" si="23"/>
        <v>6.7995140855961811E-2</v>
      </c>
      <c r="H230" s="10">
        <v>18.2</v>
      </c>
      <c r="I230" s="10">
        <v>9.77712</v>
      </c>
      <c r="J230" s="10">
        <v>5.631418</v>
      </c>
      <c r="K230" s="10">
        <v>5.631418</v>
      </c>
      <c r="L230" s="10">
        <v>308.08580000000001</v>
      </c>
      <c r="M230" s="10">
        <v>318.16199999999998</v>
      </c>
      <c r="N230" s="10">
        <v>9.2603760000000008</v>
      </c>
      <c r="O230" s="10">
        <v>0.308</v>
      </c>
      <c r="P230" s="10">
        <v>4.4683159630000002</v>
      </c>
      <c r="Q230" s="10">
        <v>4.7418650119999999</v>
      </c>
      <c r="R230" s="10">
        <v>170</v>
      </c>
      <c r="S230" s="10">
        <v>170.5</v>
      </c>
      <c r="T230" s="10">
        <v>170</v>
      </c>
      <c r="U230" s="10">
        <v>170.5</v>
      </c>
      <c r="V230" s="53" t="s">
        <v>146</v>
      </c>
      <c r="W230" s="53" t="s">
        <v>801</v>
      </c>
      <c r="Y230" s="10">
        <f t="shared" si="24"/>
        <v>0.3934386025168875</v>
      </c>
      <c r="Z230" s="10">
        <f t="shared" si="25"/>
        <v>5.0704726630423969E-2</v>
      </c>
      <c r="AA230" s="10">
        <f t="shared" si="26"/>
        <v>2.5238547590915879</v>
      </c>
      <c r="AB230" s="10">
        <f t="shared" si="27"/>
        <v>7.2374766456087682</v>
      </c>
      <c r="AE230" s="10">
        <f t="shared" si="28"/>
        <v>11.559173945513507</v>
      </c>
      <c r="AF230" s="10">
        <f t="shared" si="29"/>
        <v>11.593171515941489</v>
      </c>
    </row>
    <row r="231" spans="1:32" x14ac:dyDescent="0.25">
      <c r="A231" t="s">
        <v>805</v>
      </c>
      <c r="B231" s="39">
        <v>40847</v>
      </c>
      <c r="C231" s="53" t="s">
        <v>803</v>
      </c>
      <c r="D231" s="4" t="str">
        <f>VLOOKUP(LEFT(C231,2),Sort!$A$1:$B$58,2,FALSE)</f>
        <v>Turkey</v>
      </c>
      <c r="E231" s="72">
        <v>669230769.20000005</v>
      </c>
      <c r="F231" s="72">
        <v>752587182.39999998</v>
      </c>
      <c r="G231" s="58">
        <f t="shared" si="23"/>
        <v>4.4055780301721179E-2</v>
      </c>
      <c r="H231" s="10">
        <v>1.197222</v>
      </c>
      <c r="I231" s="10">
        <v>1.125003</v>
      </c>
      <c r="J231" s="10">
        <v>2.5645549999999999</v>
      </c>
      <c r="K231" s="10">
        <v>2.5645549999999999</v>
      </c>
      <c r="L231" s="10">
        <v>243.87739999999999</v>
      </c>
      <c r="M231" s="10">
        <v>244.13390000000001</v>
      </c>
      <c r="N231" s="10">
        <v>1.1107530000000001</v>
      </c>
      <c r="O231" s="10">
        <v>0.1973</v>
      </c>
      <c r="P231" s="10">
        <v>0.833830191</v>
      </c>
      <c r="Q231" s="10">
        <v>0.578034932</v>
      </c>
      <c r="R231" s="10">
        <v>109.125</v>
      </c>
      <c r="S231" s="10">
        <v>109.875</v>
      </c>
      <c r="T231" s="10">
        <v>109.125</v>
      </c>
      <c r="U231" s="10">
        <v>109.875</v>
      </c>
      <c r="V231" s="53" t="s">
        <v>146</v>
      </c>
      <c r="W231" s="53" t="s">
        <v>804</v>
      </c>
      <c r="Y231" s="10">
        <f t="shared" si="24"/>
        <v>7.9299015273875853E-2</v>
      </c>
      <c r="Z231" s="10">
        <f t="shared" si="25"/>
        <v>2.499986454849756E-2</v>
      </c>
      <c r="AA231" s="10">
        <f t="shared" si="26"/>
        <v>1.2547845416085099</v>
      </c>
      <c r="AB231" s="10">
        <f t="shared" si="27"/>
        <v>0.55055826987132428</v>
      </c>
      <c r="AE231" s="10">
        <f t="shared" si="28"/>
        <v>4.8075870254253239</v>
      </c>
      <c r="AF231" s="10">
        <f t="shared" si="29"/>
        <v>4.8406288606516146</v>
      </c>
    </row>
    <row r="232" spans="1:32" x14ac:dyDescent="0.25">
      <c r="A232" t="s">
        <v>808</v>
      </c>
      <c r="B232" s="39">
        <v>40847</v>
      </c>
      <c r="C232" s="53" t="s">
        <v>806</v>
      </c>
      <c r="D232" s="4" t="str">
        <f>VLOOKUP(LEFT(C232,2),Sort!$A$1:$B$58,2,FALSE)</f>
        <v>Turkey</v>
      </c>
      <c r="E232" s="72">
        <v>892307692.29999995</v>
      </c>
      <c r="F232" s="72">
        <v>942639423.10000002</v>
      </c>
      <c r="G232" s="58">
        <f t="shared" si="23"/>
        <v>5.5181268428462667E-2</v>
      </c>
      <c r="H232" s="10">
        <v>9.4083330000000007</v>
      </c>
      <c r="I232" s="10">
        <v>7.4645460000000003</v>
      </c>
      <c r="J232" s="10">
        <v>4.8395710000000003</v>
      </c>
      <c r="K232" s="10">
        <v>4.8395710000000003</v>
      </c>
      <c r="L232" s="10">
        <v>281.64100000000002</v>
      </c>
      <c r="M232" s="10">
        <v>291.54689999999999</v>
      </c>
      <c r="N232" s="10">
        <v>7.2265069999999998</v>
      </c>
      <c r="O232" s="10">
        <v>0.1333</v>
      </c>
      <c r="P232" s="10">
        <v>3.3634004919999998</v>
      </c>
      <c r="Q232" s="10">
        <v>5.0390010429999998</v>
      </c>
      <c r="R232" s="10">
        <v>105.125</v>
      </c>
      <c r="S232" s="10">
        <v>105.875</v>
      </c>
      <c r="T232" s="10">
        <v>105.125</v>
      </c>
      <c r="U232" s="10">
        <v>105.875</v>
      </c>
      <c r="V232" s="53" t="s">
        <v>146</v>
      </c>
      <c r="W232" s="53" t="s">
        <v>807</v>
      </c>
      <c r="Y232" s="10">
        <f t="shared" si="24"/>
        <v>8.5228678691205734E-2</v>
      </c>
      <c r="Z232" s="10">
        <f t="shared" si="25"/>
        <v>3.5363182964150135E-2</v>
      </c>
      <c r="AA232" s="10">
        <f t="shared" si="26"/>
        <v>1.8768876653756583</v>
      </c>
      <c r="AB232" s="10">
        <f t="shared" si="27"/>
        <v>0.66448718115258099</v>
      </c>
      <c r="AE232" s="10">
        <f t="shared" si="28"/>
        <v>5.8009308435421376</v>
      </c>
      <c r="AF232" s="10">
        <f t="shared" si="29"/>
        <v>5.8423167948634847</v>
      </c>
    </row>
    <row r="233" spans="1:32" x14ac:dyDescent="0.25">
      <c r="A233" t="s">
        <v>811</v>
      </c>
      <c r="B233" s="39">
        <v>40847</v>
      </c>
      <c r="C233" s="53" t="s">
        <v>809</v>
      </c>
      <c r="D233" s="4" t="str">
        <f>VLOOKUP(LEFT(C233,2),Sort!$A$1:$B$58,2,FALSE)</f>
        <v>Turkey</v>
      </c>
      <c r="E233" s="72">
        <v>1003846154</v>
      </c>
      <c r="F233" s="72">
        <v>1137483173</v>
      </c>
      <c r="G233" s="58">
        <f t="shared" si="23"/>
        <v>6.6587247216705586E-2</v>
      </c>
      <c r="H233" s="10">
        <v>6.4166670000000003</v>
      </c>
      <c r="I233" s="10">
        <v>5.3306100000000001</v>
      </c>
      <c r="J233" s="10">
        <v>4.3178229999999997</v>
      </c>
      <c r="K233" s="10">
        <v>4.3178229999999997</v>
      </c>
      <c r="L233" s="10">
        <v>291.76150000000001</v>
      </c>
      <c r="M233" s="10">
        <v>299.5401</v>
      </c>
      <c r="N233" s="10">
        <v>5.2351239999999999</v>
      </c>
      <c r="O233" s="10">
        <v>0.127</v>
      </c>
      <c r="P233" s="10">
        <v>3.0933697599999999</v>
      </c>
      <c r="Q233" s="10">
        <v>3.7807071539999999</v>
      </c>
      <c r="R233" s="10">
        <v>112.75</v>
      </c>
      <c r="S233" s="10">
        <v>113.5</v>
      </c>
      <c r="T233" s="10">
        <v>112.75</v>
      </c>
      <c r="U233" s="10">
        <v>113.5</v>
      </c>
      <c r="V233" s="53" t="s">
        <v>146</v>
      </c>
      <c r="W233" s="53" t="s">
        <v>810</v>
      </c>
      <c r="Y233" s="10">
        <f t="shared" si="24"/>
        <v>0.12157561879737476</v>
      </c>
      <c r="Z233" s="10">
        <f t="shared" si="25"/>
        <v>3.8072263680679126E-2</v>
      </c>
      <c r="AA233" s="10">
        <f t="shared" si="26"/>
        <v>2.3269347460223777</v>
      </c>
      <c r="AB233" s="10">
        <f t="shared" si="27"/>
        <v>0.85958420631000609</v>
      </c>
      <c r="AE233" s="10">
        <f t="shared" si="28"/>
        <v>7.5077121236835547</v>
      </c>
      <c r="AF233" s="10">
        <f t="shared" si="29"/>
        <v>7.5576525590960841</v>
      </c>
    </row>
    <row r="234" spans="1:32" x14ac:dyDescent="0.25">
      <c r="A234" t="s">
        <v>814</v>
      </c>
      <c r="B234" s="39">
        <v>40847</v>
      </c>
      <c r="C234" s="53" t="s">
        <v>812</v>
      </c>
      <c r="D234" s="4" t="str">
        <f>VLOOKUP(LEFT(C234,2),Sort!$A$1:$B$58,2,FALSE)</f>
        <v>Turkey</v>
      </c>
      <c r="E234" s="72">
        <v>892307692.29999995</v>
      </c>
      <c r="F234" s="72">
        <v>1000444231</v>
      </c>
      <c r="G234" s="58">
        <f t="shared" si="23"/>
        <v>5.8565110163721006E-2</v>
      </c>
      <c r="H234" s="10">
        <v>28.574999999999999</v>
      </c>
      <c r="I234" s="10">
        <v>13.15404</v>
      </c>
      <c r="J234" s="10">
        <v>6.0126780000000002</v>
      </c>
      <c r="K234" s="10">
        <v>6.0126780000000002</v>
      </c>
      <c r="L234" s="10">
        <v>293.5068</v>
      </c>
      <c r="M234" s="10">
        <v>317.61189999999999</v>
      </c>
      <c r="N234" s="10">
        <v>12.223392</v>
      </c>
      <c r="O234" s="10">
        <v>0.24030000000000001</v>
      </c>
      <c r="P234" s="10">
        <v>4.9371167229999999</v>
      </c>
      <c r="Q234" s="10">
        <v>4.4327828079999998</v>
      </c>
      <c r="R234" s="10">
        <v>109.25</v>
      </c>
      <c r="S234" s="10">
        <v>110</v>
      </c>
      <c r="T234" s="10">
        <v>109.25</v>
      </c>
      <c r="U234" s="10">
        <v>110</v>
      </c>
      <c r="V234" s="53" t="s">
        <v>146</v>
      </c>
      <c r="W234" s="53" t="s">
        <v>813</v>
      </c>
      <c r="Y234" s="10">
        <f t="shared" si="24"/>
        <v>0.24084550165914567</v>
      </c>
      <c r="Z234" s="10">
        <f t="shared" si="25"/>
        <v>0.22193815253154761</v>
      </c>
      <c r="AA234" s="10">
        <f t="shared" si="26"/>
        <v>2.1700708009583516</v>
      </c>
      <c r="AB234" s="10">
        <f t="shared" si="27"/>
        <v>0.73271174717665644</v>
      </c>
      <c r="AE234" s="10">
        <f t="shared" si="28"/>
        <v>6.3982382853865198</v>
      </c>
      <c r="AF234" s="10">
        <f t="shared" si="29"/>
        <v>6.4421621180093105</v>
      </c>
    </row>
    <row r="235" spans="1:32" x14ac:dyDescent="0.25">
      <c r="A235" t="s">
        <v>817</v>
      </c>
      <c r="B235" s="39">
        <v>40847</v>
      </c>
      <c r="C235" s="53" t="s">
        <v>815</v>
      </c>
      <c r="D235" s="4" t="str">
        <f>VLOOKUP(LEFT(C235,2),Sort!$A$1:$B$58,2,FALSE)</f>
        <v>Turkey</v>
      </c>
      <c r="E235" s="72">
        <v>1226923077</v>
      </c>
      <c r="F235" s="72">
        <v>1371129137</v>
      </c>
      <c r="G235" s="58">
        <f t="shared" si="23"/>
        <v>8.0264672901185136E-2</v>
      </c>
      <c r="H235" s="10">
        <v>24.372222000000001</v>
      </c>
      <c r="I235" s="10">
        <v>12.583776</v>
      </c>
      <c r="J235" s="10">
        <v>5.9635230000000004</v>
      </c>
      <c r="K235" s="10">
        <v>5.9635230000000004</v>
      </c>
      <c r="L235" s="10">
        <v>309.94139999999999</v>
      </c>
      <c r="M235" s="10">
        <v>321.29410000000001</v>
      </c>
      <c r="N235" s="10">
        <v>11.749812</v>
      </c>
      <c r="O235" s="10">
        <v>-0.3175</v>
      </c>
      <c r="P235" s="10">
        <v>5.0870138410000001</v>
      </c>
      <c r="Q235" s="10">
        <v>4.2979822969999999</v>
      </c>
      <c r="R235" s="10">
        <v>110.875</v>
      </c>
      <c r="S235" s="10">
        <v>111.625</v>
      </c>
      <c r="T235" s="10">
        <v>110.875</v>
      </c>
      <c r="U235" s="10">
        <v>111.625</v>
      </c>
      <c r="V235" s="53" t="s">
        <v>146</v>
      </c>
      <c r="W235" s="53" t="s">
        <v>816</v>
      </c>
      <c r="Y235" s="10">
        <f t="shared" si="24"/>
        <v>0.31577361260150599</v>
      </c>
      <c r="Z235" s="10">
        <f t="shared" si="25"/>
        <v>6.3384072825403967E-2</v>
      </c>
      <c r="AA235" s="10">
        <f t="shared" si="26"/>
        <v>3.0086063222559036</v>
      </c>
      <c r="AB235" s="10">
        <f t="shared" si="27"/>
        <v>1.0190310489538299</v>
      </c>
      <c r="AE235" s="10">
        <f t="shared" si="28"/>
        <v>8.8993456079189013</v>
      </c>
      <c r="AF235" s="10">
        <f t="shared" si="29"/>
        <v>8.9595441125947914</v>
      </c>
    </row>
    <row r="236" spans="1:32" x14ac:dyDescent="0.25">
      <c r="A236" t="s">
        <v>820</v>
      </c>
      <c r="B236" s="39">
        <v>40847</v>
      </c>
      <c r="C236" s="53" t="s">
        <v>818</v>
      </c>
      <c r="D236" s="4" t="str">
        <f>VLOOKUP(LEFT(C236,2),Sort!$A$1:$B$58,2,FALSE)</f>
        <v>Turkey</v>
      </c>
      <c r="E236" s="72">
        <v>446153846.19999999</v>
      </c>
      <c r="F236" s="72">
        <v>450912822</v>
      </c>
      <c r="G236" s="58">
        <f t="shared" si="23"/>
        <v>2.6396033158458305E-2</v>
      </c>
      <c r="H236" s="10">
        <v>29.197222</v>
      </c>
      <c r="I236" s="10">
        <v>13.689750999999999</v>
      </c>
      <c r="J236" s="10">
        <v>5.9992260000000002</v>
      </c>
      <c r="K236" s="10">
        <v>5.9992260000000002</v>
      </c>
      <c r="L236" s="10">
        <v>289.00069999999999</v>
      </c>
      <c r="M236" s="10">
        <v>312.89670000000001</v>
      </c>
      <c r="N236" s="10">
        <v>12.697929999999999</v>
      </c>
      <c r="O236" s="10">
        <v>0.2646</v>
      </c>
      <c r="P236" s="10">
        <v>5.1682276629999997</v>
      </c>
      <c r="Q236" s="10">
        <v>7.0790660000000001</v>
      </c>
      <c r="R236" s="10">
        <v>99.25</v>
      </c>
      <c r="S236" s="10">
        <v>100</v>
      </c>
      <c r="T236" s="10">
        <v>99.25</v>
      </c>
      <c r="U236" s="10">
        <v>100</v>
      </c>
      <c r="V236" s="53" t="s">
        <v>146</v>
      </c>
      <c r="W236" s="53" t="s">
        <v>819</v>
      </c>
      <c r="Y236" s="10">
        <f t="shared" si="24"/>
        <v>0.11297299196732333</v>
      </c>
      <c r="Z236" s="10">
        <f t="shared" si="25"/>
        <v>9.9806526994361253E-2</v>
      </c>
      <c r="AA236" s="10">
        <f t="shared" si="26"/>
        <v>0.96355791039668193</v>
      </c>
      <c r="AB236" s="10">
        <f t="shared" si="27"/>
        <v>0.3002203797386489</v>
      </c>
      <c r="AE236" s="10">
        <f t="shared" si="28"/>
        <v>2.6198062909769866</v>
      </c>
      <c r="AF236" s="10">
        <f t="shared" si="29"/>
        <v>2.6396033158458305</v>
      </c>
    </row>
    <row r="237" spans="1:32" x14ac:dyDescent="0.25">
      <c r="A237" t="s">
        <v>823</v>
      </c>
      <c r="B237" s="39">
        <v>40847</v>
      </c>
      <c r="C237" s="53" t="s">
        <v>821</v>
      </c>
      <c r="D237" s="4" t="str">
        <f>VLOOKUP(LEFT(C237,2),Sort!$A$1:$B$58,2,FALSE)</f>
        <v>Turkey</v>
      </c>
      <c r="E237" s="72">
        <v>1003846154</v>
      </c>
      <c r="F237" s="72">
        <v>1196040862</v>
      </c>
      <c r="G237" s="58">
        <f t="shared" si="23"/>
        <v>7.0015161937938983E-2</v>
      </c>
      <c r="H237" s="10">
        <v>5.697222</v>
      </c>
      <c r="I237" s="10">
        <v>4.6965820000000003</v>
      </c>
      <c r="J237" s="10">
        <v>4.0072999999999999</v>
      </c>
      <c r="K237" s="10">
        <v>4.0072999999999999</v>
      </c>
      <c r="L237" s="10">
        <v>281.89679999999998</v>
      </c>
      <c r="M237" s="10">
        <v>289.25790000000001</v>
      </c>
      <c r="N237" s="10">
        <v>4.6326770000000002</v>
      </c>
      <c r="O237" s="10">
        <v>-8.7400000000000005E-2</v>
      </c>
      <c r="P237" s="10">
        <v>3.3242988910000002</v>
      </c>
      <c r="Q237" s="10">
        <v>3.9576172889999999</v>
      </c>
      <c r="R237" s="10">
        <v>116.875</v>
      </c>
      <c r="S237" s="10">
        <v>117.625</v>
      </c>
      <c r="T237" s="10">
        <v>116.875</v>
      </c>
      <c r="U237" s="10">
        <v>117.625</v>
      </c>
      <c r="V237" s="53" t="s">
        <v>146</v>
      </c>
      <c r="W237" s="53" t="s">
        <v>822</v>
      </c>
      <c r="Y237" s="10">
        <f t="shared" si="24"/>
        <v>0.11262959562976849</v>
      </c>
      <c r="Z237" s="10">
        <f t="shared" si="25"/>
        <v>3.7153245490778156E-2</v>
      </c>
      <c r="AA237" s="10">
        <f t="shared" si="26"/>
        <v>2.3627376380407044</v>
      </c>
      <c r="AB237" s="10">
        <f t="shared" si="27"/>
        <v>0.93668429522946317</v>
      </c>
      <c r="AE237" s="10">
        <f t="shared" si="28"/>
        <v>8.1830220514966179</v>
      </c>
      <c r="AF237" s="10">
        <f t="shared" si="29"/>
        <v>8.2355334229500734</v>
      </c>
    </row>
    <row r="238" spans="1:32" x14ac:dyDescent="0.25">
      <c r="A238" t="s">
        <v>826</v>
      </c>
      <c r="B238" s="39">
        <v>40847</v>
      </c>
      <c r="C238" s="53" t="s">
        <v>824</v>
      </c>
      <c r="D238" s="4" t="str">
        <f>VLOOKUP(LEFT(C238,2),Sort!$A$1:$B$58,2,FALSE)</f>
        <v>Turkey</v>
      </c>
      <c r="E238" s="72">
        <v>669230769.20000005</v>
      </c>
      <c r="F238" s="72">
        <v>820086540.70000005</v>
      </c>
      <c r="G238" s="58">
        <f t="shared" si="23"/>
        <v>4.80071323434723E-2</v>
      </c>
      <c r="H238" s="10">
        <v>8.0111109999999996</v>
      </c>
      <c r="I238" s="10">
        <v>6.1343069999999997</v>
      </c>
      <c r="J238" s="10">
        <v>4.5829630000000003</v>
      </c>
      <c r="K238" s="10">
        <v>4.5829630000000003</v>
      </c>
      <c r="L238" s="10">
        <v>282.15480000000002</v>
      </c>
      <c r="M238" s="10">
        <v>293.1619</v>
      </c>
      <c r="N238" s="10">
        <v>5.9769300000000003</v>
      </c>
      <c r="O238" s="10">
        <v>0.3241</v>
      </c>
      <c r="P238" s="10">
        <v>3.4470618860000002</v>
      </c>
      <c r="Q238" s="10">
        <v>4.4032483429999996</v>
      </c>
      <c r="R238" s="10">
        <v>118.875</v>
      </c>
      <c r="S238" s="10">
        <v>119.375</v>
      </c>
      <c r="T238" s="10">
        <v>118.875</v>
      </c>
      <c r="U238" s="10">
        <v>119.375</v>
      </c>
      <c r="V238" s="53" t="s">
        <v>146</v>
      </c>
      <c r="W238" s="53" t="s">
        <v>825</v>
      </c>
      <c r="Y238" s="10">
        <f t="shared" si="24"/>
        <v>6.0934317249014533E-2</v>
      </c>
      <c r="Z238" s="10">
        <f t="shared" si="25"/>
        <v>2.9134322198119473E-2</v>
      </c>
      <c r="AA238" s="10">
        <f t="shared" si="26"/>
        <v>1.6419180053319209</v>
      </c>
      <c r="AB238" s="10">
        <f t="shared" si="27"/>
        <v>0.65180945192070594</v>
      </c>
      <c r="AE238" s="10">
        <f t="shared" si="28"/>
        <v>5.7068478573302697</v>
      </c>
      <c r="AF238" s="10">
        <f t="shared" si="29"/>
        <v>5.7308514235020063</v>
      </c>
    </row>
    <row r="239" spans="1:32" x14ac:dyDescent="0.25">
      <c r="A239" t="s">
        <v>829</v>
      </c>
      <c r="B239" s="39">
        <v>40847</v>
      </c>
      <c r="C239" s="53" t="s">
        <v>827</v>
      </c>
      <c r="D239" s="4" t="str">
        <f>VLOOKUP(LEFT(C239,2),Sort!$A$1:$B$58,2,FALSE)</f>
        <v>Turkey</v>
      </c>
      <c r="E239" s="72">
        <v>1226923077</v>
      </c>
      <c r="F239" s="72">
        <v>1381413145</v>
      </c>
      <c r="G239" s="58">
        <f t="shared" si="23"/>
        <v>8.0866689528181504E-2</v>
      </c>
      <c r="H239" s="10">
        <v>3.3694440000000001</v>
      </c>
      <c r="I239" s="10">
        <v>2.9992200000000002</v>
      </c>
      <c r="J239" s="10">
        <v>3.33189</v>
      </c>
      <c r="K239" s="10">
        <v>3.33189</v>
      </c>
      <c r="L239" s="10">
        <v>282.50119999999998</v>
      </c>
      <c r="M239" s="10">
        <v>286.21570000000003</v>
      </c>
      <c r="N239" s="10">
        <v>2.9929060000000001</v>
      </c>
      <c r="O239" s="10">
        <v>-0.75349999999999995</v>
      </c>
      <c r="P239" s="10">
        <v>1.7522274</v>
      </c>
      <c r="Q239" s="10">
        <v>2.0958971499999999</v>
      </c>
      <c r="R239" s="10">
        <v>111.625</v>
      </c>
      <c r="S239" s="10">
        <v>112.375</v>
      </c>
      <c r="T239" s="10">
        <v>111.625</v>
      </c>
      <c r="U239" s="10">
        <v>112.375</v>
      </c>
      <c r="V239" s="53" t="s">
        <v>146</v>
      </c>
      <c r="W239" s="53" t="s">
        <v>828</v>
      </c>
      <c r="Y239" s="10">
        <f t="shared" si="24"/>
        <v>9.0093493332687513E-2</v>
      </c>
      <c r="Z239" s="10">
        <f t="shared" si="25"/>
        <v>5.9618776622141288E-2</v>
      </c>
      <c r="AA239" s="10">
        <f t="shared" si="26"/>
        <v>2.7002333098802072</v>
      </c>
      <c r="AB239" s="10">
        <f t="shared" si="27"/>
        <v>1.0335723295647026</v>
      </c>
      <c r="AE239" s="10">
        <f t="shared" si="28"/>
        <v>9.0267442185832607</v>
      </c>
      <c r="AF239" s="10">
        <f t="shared" si="29"/>
        <v>9.0873942357293966</v>
      </c>
    </row>
    <row r="240" spans="1:32" x14ac:dyDescent="0.25">
      <c r="A240" t="s">
        <v>832</v>
      </c>
      <c r="B240" s="39">
        <v>40847</v>
      </c>
      <c r="C240" s="53" t="s">
        <v>830</v>
      </c>
      <c r="D240" s="4" t="str">
        <f>VLOOKUP(LEFT(C240,2),Sort!$A$1:$B$58,2,FALSE)</f>
        <v>Turkey</v>
      </c>
      <c r="E240" s="72">
        <v>446153846.19999999</v>
      </c>
      <c r="F240" s="72">
        <v>522192096.10000002</v>
      </c>
      <c r="G240" s="58">
        <f t="shared" si="23"/>
        <v>3.0568658089169275E-2</v>
      </c>
      <c r="H240" s="10">
        <v>26.338889000000002</v>
      </c>
      <c r="I240" s="10">
        <v>12.806414</v>
      </c>
      <c r="J240" s="10">
        <v>5.9868899999999998</v>
      </c>
      <c r="K240" s="10">
        <v>5.9868899999999998</v>
      </c>
      <c r="L240" s="10">
        <v>302.28739999999999</v>
      </c>
      <c r="M240" s="10">
        <v>320.42200000000003</v>
      </c>
      <c r="N240" s="10">
        <v>11.934718</v>
      </c>
      <c r="O240" s="10">
        <v>-8.9499999999999996E-2</v>
      </c>
      <c r="P240" s="10">
        <v>5.1088248209999998</v>
      </c>
      <c r="Q240" s="10">
        <v>4.5747131200000002</v>
      </c>
      <c r="R240" s="10">
        <v>115.875</v>
      </c>
      <c r="S240" s="10">
        <v>116.625</v>
      </c>
      <c r="T240" s="10">
        <v>115.875</v>
      </c>
      <c r="U240" s="10">
        <v>116.625</v>
      </c>
      <c r="V240" s="53" t="s">
        <v>146</v>
      </c>
      <c r="W240" s="53" t="s">
        <v>831</v>
      </c>
      <c r="Y240" s="10">
        <f t="shared" si="24"/>
        <v>0.12238954728041537</v>
      </c>
      <c r="Z240" s="10">
        <f t="shared" si="25"/>
        <v>2.4234298686810887E-2</v>
      </c>
      <c r="AA240" s="10">
        <f t="shared" si="26"/>
        <v>1.1427122268172907</v>
      </c>
      <c r="AB240" s="10">
        <f t="shared" si="27"/>
        <v>0.40548009150061837</v>
      </c>
      <c r="AE240" s="10">
        <f t="shared" si="28"/>
        <v>3.5421432560824897</v>
      </c>
      <c r="AF240" s="10">
        <f t="shared" si="29"/>
        <v>3.5650697496493668</v>
      </c>
    </row>
    <row r="241" spans="1:32" x14ac:dyDescent="0.25">
      <c r="A241" t="s">
        <v>835</v>
      </c>
      <c r="B241" s="39">
        <v>40847</v>
      </c>
      <c r="C241" s="53" t="s">
        <v>833</v>
      </c>
      <c r="D241" s="4" t="str">
        <f>VLOOKUP(LEFT(C241,2),Sort!$A$1:$B$58,2,FALSE)</f>
        <v>Turkey</v>
      </c>
      <c r="E241" s="72">
        <v>1450000000</v>
      </c>
      <c r="F241" s="72">
        <v>1748015281</v>
      </c>
      <c r="G241" s="58">
        <f t="shared" si="23"/>
        <v>0.10232725056278796</v>
      </c>
      <c r="H241" s="10">
        <v>13.255556</v>
      </c>
      <c r="I241" s="10">
        <v>8.9770570000000003</v>
      </c>
      <c r="J241" s="10">
        <v>5.3064429999999998</v>
      </c>
      <c r="K241" s="10">
        <v>5.3064429999999998</v>
      </c>
      <c r="L241" s="10">
        <v>300.70609999999999</v>
      </c>
      <c r="M241" s="10">
        <v>303.47050000000002</v>
      </c>
      <c r="N241" s="10">
        <v>8.5758030000000005</v>
      </c>
      <c r="O241" s="10">
        <v>-0.19</v>
      </c>
      <c r="P241" s="10">
        <v>4.5066520079999997</v>
      </c>
      <c r="Q241" s="10">
        <v>5.2321643379999996</v>
      </c>
      <c r="R241" s="10">
        <v>118.75</v>
      </c>
      <c r="S241" s="10">
        <v>119.5</v>
      </c>
      <c r="T241" s="10">
        <v>118.75</v>
      </c>
      <c r="U241" s="10">
        <v>119.5</v>
      </c>
      <c r="V241" s="53" t="s">
        <v>146</v>
      </c>
      <c r="W241" s="53" t="s">
        <v>834</v>
      </c>
      <c r="Y241" s="10">
        <f t="shared" si="24"/>
        <v>0.54364254062738793</v>
      </c>
      <c r="Z241" s="10">
        <f t="shared" si="25"/>
        <v>7.1903099524508199E-2</v>
      </c>
      <c r="AA241" s="10">
        <f t="shared" si="26"/>
        <v>3.622813341884112</v>
      </c>
      <c r="AB241" s="10">
        <f t="shared" si="27"/>
        <v>1.3907872965379622</v>
      </c>
      <c r="AE241" s="10">
        <f t="shared" si="28"/>
        <v>12.15136100433107</v>
      </c>
      <c r="AF241" s="10">
        <f t="shared" si="29"/>
        <v>12.228106442253162</v>
      </c>
    </row>
    <row r="242" spans="1:32" x14ac:dyDescent="0.25">
      <c r="A242" t="s">
        <v>838</v>
      </c>
      <c r="B242" s="39">
        <v>40847</v>
      </c>
      <c r="C242" s="53" t="s">
        <v>836</v>
      </c>
      <c r="D242" s="4" t="str">
        <f>VLOOKUP(LEFT(C242,2),Sort!$A$1:$B$58,2,FALSE)</f>
        <v>Turkey</v>
      </c>
      <c r="E242" s="72">
        <v>892307692.29999995</v>
      </c>
      <c r="F242" s="72">
        <v>1012496577</v>
      </c>
      <c r="G242" s="58">
        <f t="shared" si="23"/>
        <v>5.9270643715067239E-2</v>
      </c>
      <c r="H242" s="10">
        <v>4.8972220000000002</v>
      </c>
      <c r="I242" s="10">
        <v>4.203519</v>
      </c>
      <c r="J242" s="10">
        <v>3.9405519999999998</v>
      </c>
      <c r="K242" s="10">
        <v>3.9405519999999998</v>
      </c>
      <c r="L242" s="10">
        <v>298.75630000000001</v>
      </c>
      <c r="M242" s="10">
        <v>304.63630000000001</v>
      </c>
      <c r="N242" s="10">
        <v>4.1641199999999996</v>
      </c>
      <c r="O242" s="10">
        <v>-0.42170000000000002</v>
      </c>
      <c r="P242" s="10">
        <v>2.4092467919999998</v>
      </c>
      <c r="Q242" s="10">
        <v>2.9248479449999998</v>
      </c>
      <c r="R242" s="10">
        <v>112.75</v>
      </c>
      <c r="S242" s="10">
        <v>113.5</v>
      </c>
      <c r="T242" s="10">
        <v>112.75</v>
      </c>
      <c r="U242" s="10">
        <v>113.5</v>
      </c>
      <c r="V242" s="53" t="s">
        <v>146</v>
      </c>
      <c r="W242" s="53" t="s">
        <v>837</v>
      </c>
      <c r="Y242" s="10">
        <f t="shared" si="24"/>
        <v>8.5335782798602267E-2</v>
      </c>
      <c r="Z242" s="10">
        <f t="shared" si="25"/>
        <v>5.1679636140883417E-2</v>
      </c>
      <c r="AA242" s="10">
        <f t="shared" si="26"/>
        <v>2.1064903259368681</v>
      </c>
      <c r="AB242" s="10">
        <f t="shared" si="27"/>
        <v>0.76513313532080074</v>
      </c>
      <c r="AE242" s="10">
        <f t="shared" si="28"/>
        <v>6.6827650788738309</v>
      </c>
      <c r="AF242" s="10">
        <f t="shared" si="29"/>
        <v>6.7272180616601318</v>
      </c>
    </row>
    <row r="243" spans="1:32" x14ac:dyDescent="0.25">
      <c r="A243" t="s">
        <v>841</v>
      </c>
      <c r="B243" s="39">
        <v>40847</v>
      </c>
      <c r="C243" s="53" t="s">
        <v>839</v>
      </c>
      <c r="D243" s="4" t="str">
        <f>VLOOKUP(LEFT(C243,2),Sort!$A$1:$B$58,2,FALSE)</f>
        <v>Turkey</v>
      </c>
      <c r="E243" s="72">
        <v>669230769.20000005</v>
      </c>
      <c r="F243" s="72">
        <v>775545512</v>
      </c>
      <c r="G243" s="58">
        <f t="shared" si="23"/>
        <v>4.5399740375192794E-2</v>
      </c>
      <c r="H243" s="10">
        <v>7.355556</v>
      </c>
      <c r="I243" s="10">
        <v>5.9153190000000002</v>
      </c>
      <c r="J243" s="10">
        <v>4.481643</v>
      </c>
      <c r="K243" s="10">
        <v>4.481643</v>
      </c>
      <c r="L243" s="10">
        <v>284.30360000000002</v>
      </c>
      <c r="M243" s="10">
        <v>295.09469999999999</v>
      </c>
      <c r="N243" s="10">
        <v>5.7828609999999996</v>
      </c>
      <c r="O243" s="10">
        <v>-0.30590000000000001</v>
      </c>
      <c r="P243" s="10">
        <v>3.616222123</v>
      </c>
      <c r="Q243" s="10">
        <v>4.1110410750000002</v>
      </c>
      <c r="R243" s="10">
        <v>114.875</v>
      </c>
      <c r="S243" s="10">
        <v>115.625</v>
      </c>
      <c r="T243" s="10">
        <v>114.875</v>
      </c>
      <c r="U243" s="10">
        <v>115.625</v>
      </c>
      <c r="V243" s="53" t="s">
        <v>146</v>
      </c>
      <c r="W243" s="53" t="s">
        <v>840</v>
      </c>
      <c r="Y243" s="10">
        <f t="shared" si="24"/>
        <v>9.1983526852402617E-2</v>
      </c>
      <c r="Z243" s="10">
        <f t="shared" si="25"/>
        <v>2.6942843648536594E-2</v>
      </c>
      <c r="AA243" s="10">
        <f t="shared" si="26"/>
        <v>1.5629783122625485</v>
      </c>
      <c r="AB243" s="10">
        <f t="shared" si="27"/>
        <v>0.59704438696481432</v>
      </c>
      <c r="AE243" s="10">
        <f t="shared" si="28"/>
        <v>5.2152951756002723</v>
      </c>
      <c r="AF243" s="10">
        <f t="shared" si="29"/>
        <v>5.2493449808816672</v>
      </c>
    </row>
    <row r="244" spans="1:32" x14ac:dyDescent="0.25">
      <c r="A244" t="s">
        <v>844</v>
      </c>
      <c r="B244" s="39">
        <v>40847</v>
      </c>
      <c r="C244" s="53" t="s">
        <v>842</v>
      </c>
      <c r="D244" s="4" t="str">
        <f>VLOOKUP(LEFT(C244,2),Sort!$A$1:$B$58,2,FALSE)</f>
        <v>Turkey</v>
      </c>
      <c r="E244" s="72">
        <v>892307692.29999995</v>
      </c>
      <c r="F244" s="72">
        <v>1052947865</v>
      </c>
      <c r="G244" s="58">
        <f t="shared" si="23"/>
        <v>6.1638625921947895E-2</v>
      </c>
      <c r="H244" s="10">
        <v>8.588889</v>
      </c>
      <c r="I244" s="10">
        <v>6.5827530000000003</v>
      </c>
      <c r="J244" s="10">
        <v>4.7286770000000002</v>
      </c>
      <c r="K244" s="10">
        <v>4.7286770000000002</v>
      </c>
      <c r="L244" s="10">
        <v>285.90249999999997</v>
      </c>
      <c r="M244" s="10">
        <v>296.5478</v>
      </c>
      <c r="N244" s="10">
        <v>6.3966750000000001</v>
      </c>
      <c r="O244" s="10">
        <v>-0.3004</v>
      </c>
      <c r="P244" s="10">
        <v>3.209427281</v>
      </c>
      <c r="Q244" s="10">
        <v>4.1751805659999999</v>
      </c>
      <c r="R244" s="10">
        <v>115.125</v>
      </c>
      <c r="S244" s="10">
        <v>115.875</v>
      </c>
      <c r="T244" s="10">
        <v>115.125</v>
      </c>
      <c r="U244" s="10">
        <v>115.875</v>
      </c>
      <c r="V244" s="53" t="s">
        <v>146</v>
      </c>
      <c r="W244" s="53" t="s">
        <v>843</v>
      </c>
      <c r="Y244" s="10">
        <f t="shared" si="24"/>
        <v>8.395589312044166E-2</v>
      </c>
      <c r="Z244" s="10">
        <f t="shared" si="25"/>
        <v>3.8596275847653572E-2</v>
      </c>
      <c r="AA244" s="10">
        <f t="shared" si="26"/>
        <v>2.1324842299585653</v>
      </c>
      <c r="AB244" s="10">
        <f t="shared" si="27"/>
        <v>0.81235189986569833</v>
      </c>
      <c r="AE244" s="10">
        <f t="shared" si="28"/>
        <v>7.0961468092642512</v>
      </c>
      <c r="AF244" s="10">
        <f t="shared" si="29"/>
        <v>7.1423757787057127</v>
      </c>
    </row>
    <row r="245" spans="1:32" x14ac:dyDescent="0.25">
      <c r="A245" t="s">
        <v>847</v>
      </c>
      <c r="B245" s="39">
        <v>40847</v>
      </c>
      <c r="C245" s="53" t="s">
        <v>845</v>
      </c>
      <c r="D245" s="4" t="str">
        <f>VLOOKUP(LEFT(C245,2),Sort!$A$1:$B$58,2,FALSE)</f>
        <v>Turkey</v>
      </c>
      <c r="E245" s="72">
        <v>669230769.20000005</v>
      </c>
      <c r="F245" s="72">
        <v>845777567</v>
      </c>
      <c r="G245" s="58">
        <f t="shared" si="23"/>
        <v>4.9511062036759271E-2</v>
      </c>
      <c r="H245" s="10">
        <v>22.280556000000001</v>
      </c>
      <c r="I245" s="10">
        <v>11.652469</v>
      </c>
      <c r="J245" s="10">
        <v>5.9489000000000001</v>
      </c>
      <c r="K245" s="10">
        <v>5.9489000000000001</v>
      </c>
      <c r="L245" s="10">
        <v>319.10480000000001</v>
      </c>
      <c r="M245" s="10">
        <v>328.34210000000002</v>
      </c>
      <c r="N245" s="10">
        <v>10.924655</v>
      </c>
      <c r="O245" s="10">
        <v>0.31530000000000002</v>
      </c>
      <c r="P245" s="10">
        <v>4.3317740669999996</v>
      </c>
      <c r="Q245" s="10">
        <v>4.5047650890000002</v>
      </c>
      <c r="R245" s="10">
        <v>124.625</v>
      </c>
      <c r="S245" s="10">
        <v>125.125</v>
      </c>
      <c r="T245" s="10">
        <v>124.625</v>
      </c>
      <c r="U245" s="10">
        <v>125.125</v>
      </c>
      <c r="V245" s="53" t="s">
        <v>146</v>
      </c>
      <c r="W245" s="53" t="s">
        <v>846</v>
      </c>
      <c r="Y245" s="10">
        <f t="shared" si="24"/>
        <v>0.18036846738834228</v>
      </c>
      <c r="Z245" s="10">
        <f t="shared" si="25"/>
        <v>3.900243430351702E-2</v>
      </c>
      <c r="AA245" s="10">
        <f t="shared" si="26"/>
        <v>1.8965617473290621</v>
      </c>
      <c r="AB245" s="10">
        <f t="shared" si="27"/>
        <v>2.1339884322357046</v>
      </c>
      <c r="AE245" s="10">
        <f t="shared" si="28"/>
        <v>6.170316106331124</v>
      </c>
      <c r="AF245" s="10">
        <f t="shared" si="29"/>
        <v>6.1950716373495034</v>
      </c>
    </row>
    <row r="246" spans="1:32" x14ac:dyDescent="0.25">
      <c r="A246" t="s">
        <v>850</v>
      </c>
      <c r="B246" s="39">
        <v>40847</v>
      </c>
      <c r="C246" s="53" t="s">
        <v>848</v>
      </c>
      <c r="D246" s="4" t="str">
        <f>VLOOKUP(LEFT(C246,2),Sort!$A$1:$B$58,2,FALSE)</f>
        <v>Turkey</v>
      </c>
      <c r="E246" s="72">
        <v>780769230.79999995</v>
      </c>
      <c r="F246" s="72">
        <v>911352884.70000005</v>
      </c>
      <c r="G246" s="58">
        <f t="shared" si="23"/>
        <v>5.3349782463266986E-2</v>
      </c>
      <c r="H246" s="10">
        <v>2.2000000000000002</v>
      </c>
      <c r="I246" s="10">
        <v>1.977703</v>
      </c>
      <c r="J246" s="10">
        <v>2.6125989999999999</v>
      </c>
      <c r="K246" s="10">
        <v>2.6125989999999999</v>
      </c>
      <c r="L246" s="10">
        <v>233.51990000000001</v>
      </c>
      <c r="M246" s="10">
        <v>234.8366</v>
      </c>
      <c r="N246" s="10">
        <v>1.9754389999999999</v>
      </c>
      <c r="O246" s="10">
        <v>-8.4400000000000003E-2</v>
      </c>
      <c r="P246" s="10">
        <v>1.9555997430000001</v>
      </c>
      <c r="Q246" s="10">
        <v>1.8802793069999999</v>
      </c>
      <c r="R246" s="10">
        <v>113.875</v>
      </c>
      <c r="S246" s="10">
        <v>114.625</v>
      </c>
      <c r="T246" s="10">
        <v>113.875</v>
      </c>
      <c r="U246" s="10">
        <v>114.625</v>
      </c>
      <c r="V246" s="53" t="s">
        <v>146</v>
      </c>
      <c r="W246" s="53" t="s">
        <v>849</v>
      </c>
      <c r="Y246" s="10">
        <f t="shared" si="24"/>
        <v>0.16881263205633179</v>
      </c>
      <c r="Z246" s="10">
        <f t="shared" si="25"/>
        <v>3.0840978573757092E-2</v>
      </c>
      <c r="AA246" s="10">
        <f t="shared" si="26"/>
        <v>1.4616271782683057</v>
      </c>
      <c r="AB246" s="10">
        <f t="shared" si="27"/>
        <v>0.69552621932189618</v>
      </c>
      <c r="AE246" s="10">
        <f t="shared" si="28"/>
        <v>6.0752064780045281</v>
      </c>
      <c r="AF246" s="10">
        <f t="shared" si="29"/>
        <v>6.1152188148519784</v>
      </c>
    </row>
    <row r="247" spans="1:32" x14ac:dyDescent="0.25">
      <c r="A247" t="s">
        <v>853</v>
      </c>
      <c r="B247" s="39">
        <v>40847</v>
      </c>
      <c r="C247" s="53" t="s">
        <v>851</v>
      </c>
      <c r="D247" s="4" t="str">
        <f>VLOOKUP(LEFT(C247,2),Sort!$A$1:$B$58,2,FALSE)</f>
        <v>Ukraine</v>
      </c>
      <c r="E247" s="72">
        <v>1367427896</v>
      </c>
      <c r="F247" s="72">
        <v>1358824491</v>
      </c>
      <c r="G247" s="58">
        <f t="shared" si="23"/>
        <v>0.15724126968342594</v>
      </c>
      <c r="H247" s="10">
        <v>2.9083329999999998</v>
      </c>
      <c r="I247" s="10">
        <v>2.4708779999999999</v>
      </c>
      <c r="J247" s="10">
        <v>9.6946549999999991</v>
      </c>
      <c r="K247" s="10">
        <v>9.6946549999999991</v>
      </c>
      <c r="L247" s="10">
        <v>930.9588</v>
      </c>
      <c r="M247" s="10">
        <v>933.45489999999995</v>
      </c>
      <c r="N247" s="10">
        <v>2.466968</v>
      </c>
      <c r="O247" s="10">
        <v>2.6599999999999999E-2</v>
      </c>
      <c r="P247" s="10">
        <v>5.2858509109999998</v>
      </c>
      <c r="Q247" s="10">
        <v>-2.5449696770000001</v>
      </c>
      <c r="R247" s="10">
        <v>98.5</v>
      </c>
      <c r="S247" s="10">
        <v>99.5</v>
      </c>
      <c r="T247" s="10">
        <v>98.5</v>
      </c>
      <c r="U247" s="10">
        <v>99.5</v>
      </c>
      <c r="V247" s="53" t="s">
        <v>146</v>
      </c>
      <c r="W247" s="53" t="s">
        <v>852</v>
      </c>
      <c r="Y247" s="10">
        <f t="shared" si="24"/>
        <v>7.3008964278316643E-2</v>
      </c>
      <c r="Z247" s="10">
        <f t="shared" si="25"/>
        <v>1.5656674678484741</v>
      </c>
      <c r="AA247" s="10">
        <f t="shared" si="26"/>
        <v>157.0874919917666</v>
      </c>
      <c r="AB247" s="10">
        <f t="shared" si="27"/>
        <v>4.5010713359814014</v>
      </c>
      <c r="AE247" s="10">
        <f t="shared" si="28"/>
        <v>15.488265063817455</v>
      </c>
      <c r="AF247" s="10">
        <f t="shared" si="29"/>
        <v>15.645506333500881</v>
      </c>
    </row>
    <row r="248" spans="1:32" x14ac:dyDescent="0.25">
      <c r="A248" t="s">
        <v>856</v>
      </c>
      <c r="B248" s="39">
        <v>40847</v>
      </c>
      <c r="C248" s="53" t="s">
        <v>854</v>
      </c>
      <c r="D248" s="4" t="str">
        <f>VLOOKUP(LEFT(C248,2),Sort!$A$1:$B$58,2,FALSE)</f>
        <v>Ukraine</v>
      </c>
      <c r="E248" s="72">
        <v>600118699.20000005</v>
      </c>
      <c r="F248" s="72">
        <v>523391021</v>
      </c>
      <c r="G248" s="58">
        <f t="shared" si="23"/>
        <v>6.0566076949627672E-2</v>
      </c>
      <c r="H248" s="10">
        <v>4.3527779999999998</v>
      </c>
      <c r="I248" s="10">
        <v>3.4623080000000002</v>
      </c>
      <c r="J248" s="10">
        <v>11.850536999999999</v>
      </c>
      <c r="K248" s="10">
        <v>11.850536999999999</v>
      </c>
      <c r="L248" s="10">
        <v>1105.6525999999999</v>
      </c>
      <c r="M248" s="10">
        <v>1112.6433999999999</v>
      </c>
      <c r="N248" s="10">
        <v>3.441433</v>
      </c>
      <c r="O248" s="10">
        <v>2.63E-2</v>
      </c>
      <c r="P248" s="10">
        <v>10.99827552</v>
      </c>
      <c r="Q248" s="10">
        <v>-11.459797999999999</v>
      </c>
      <c r="R248" s="10">
        <v>86</v>
      </c>
      <c r="S248" s="10">
        <v>88</v>
      </c>
      <c r="T248" s="10">
        <v>86</v>
      </c>
      <c r="U248" s="10">
        <v>88</v>
      </c>
      <c r="V248" s="53" t="s">
        <v>146</v>
      </c>
      <c r="W248" s="53" t="s">
        <v>855</v>
      </c>
      <c r="Y248" s="10">
        <f t="shared" si="24"/>
        <v>3.9405195468155275E-2</v>
      </c>
      <c r="Z248" s="10">
        <f t="shared" si="25"/>
        <v>0.2812063847698667</v>
      </c>
      <c r="AA248" s="10">
        <f t="shared" si="26"/>
        <v>38.20186382843282</v>
      </c>
      <c r="AB248" s="10">
        <f t="shared" si="27"/>
        <v>1.5333397323820261</v>
      </c>
      <c r="AE248" s="10">
        <f t="shared" si="28"/>
        <v>5.2086826176679795</v>
      </c>
      <c r="AF248" s="10">
        <f t="shared" si="29"/>
        <v>5.3298147715672348</v>
      </c>
    </row>
    <row r="249" spans="1:32" x14ac:dyDescent="0.25">
      <c r="A249" t="s">
        <v>859</v>
      </c>
      <c r="B249" s="39">
        <v>40847</v>
      </c>
      <c r="C249" s="53" t="s">
        <v>857</v>
      </c>
      <c r="D249" s="4" t="str">
        <f>VLOOKUP(LEFT(C249,2),Sort!$A$1:$B$58,2,FALSE)</f>
        <v>Ukraine</v>
      </c>
      <c r="E249" s="72">
        <v>1071640534</v>
      </c>
      <c r="F249" s="72">
        <v>1024607420</v>
      </c>
      <c r="G249" s="58">
        <f t="shared" si="23"/>
        <v>0.1185661376542405</v>
      </c>
      <c r="H249" s="10">
        <v>4.6222219999999998</v>
      </c>
      <c r="I249" s="10">
        <v>3.8456830000000002</v>
      </c>
      <c r="J249" s="10">
        <v>7.7509309999999996</v>
      </c>
      <c r="K249" s="10">
        <v>7.7509309999999996</v>
      </c>
      <c r="L249" s="10">
        <v>687.82420000000002</v>
      </c>
      <c r="M249" s="10">
        <v>693.27710000000002</v>
      </c>
      <c r="N249" s="10">
        <v>3.8160340000000001</v>
      </c>
      <c r="O249" s="10">
        <v>-1.5269999999999999</v>
      </c>
      <c r="P249" s="10">
        <v>4.6359647270000002</v>
      </c>
      <c r="Q249" s="10">
        <v>-3.7989889680000002</v>
      </c>
      <c r="R249" s="10">
        <v>93.25</v>
      </c>
      <c r="S249" s="10">
        <v>94.25</v>
      </c>
      <c r="T249" s="10">
        <v>93.25</v>
      </c>
      <c r="U249" s="10">
        <v>94.25</v>
      </c>
      <c r="V249" s="53" t="s">
        <v>146</v>
      </c>
      <c r="W249" s="53" t="s">
        <v>858</v>
      </c>
      <c r="Y249" s="10">
        <f t="shared" si="24"/>
        <v>8.5682572702732884E-2</v>
      </c>
      <c r="Z249" s="10">
        <f t="shared" si="25"/>
        <v>0.29301004099751249</v>
      </c>
      <c r="AA249" s="10">
        <f t="shared" si="26"/>
        <v>95.366886135946132</v>
      </c>
      <c r="AB249" s="10">
        <f t="shared" si="27"/>
        <v>3.2149061902121203</v>
      </c>
      <c r="AE249" s="10">
        <f t="shared" si="28"/>
        <v>11.056292336257926</v>
      </c>
      <c r="AF249" s="10">
        <f t="shared" si="29"/>
        <v>11.174858473912167</v>
      </c>
    </row>
    <row r="250" spans="1:32" x14ac:dyDescent="0.25">
      <c r="A250" t="s">
        <v>862</v>
      </c>
      <c r="B250" s="39">
        <v>40847</v>
      </c>
      <c r="C250" s="53" t="s">
        <v>860</v>
      </c>
      <c r="D250" s="4" t="str">
        <f>VLOOKUP(LEFT(C250,2),Sort!$A$1:$B$58,2,FALSE)</f>
        <v>Ukraine</v>
      </c>
      <c r="E250" s="72">
        <v>600118699.20000005</v>
      </c>
      <c r="F250" s="72">
        <v>572625761.29999995</v>
      </c>
      <c r="G250" s="58">
        <f t="shared" si="23"/>
        <v>6.6263452238770684E-2</v>
      </c>
      <c r="H250" s="10">
        <v>6.0305559999999998</v>
      </c>
      <c r="I250" s="10">
        <v>4.717511</v>
      </c>
      <c r="J250" s="10">
        <v>8.1898499999999999</v>
      </c>
      <c r="K250" s="10">
        <v>8.1898499999999999</v>
      </c>
      <c r="L250" s="10">
        <v>690.33510000000001</v>
      </c>
      <c r="M250" s="10">
        <v>698.18060000000003</v>
      </c>
      <c r="N250" s="10">
        <v>4.6422460000000001</v>
      </c>
      <c r="O250" s="10">
        <v>-1.782</v>
      </c>
      <c r="P250" s="10">
        <v>4.1192127469999997</v>
      </c>
      <c r="Q250" s="10">
        <v>-2.2378181320000001</v>
      </c>
      <c r="R250" s="10">
        <v>92.25</v>
      </c>
      <c r="S250" s="10">
        <v>93.25</v>
      </c>
      <c r="T250" s="10">
        <v>92.25</v>
      </c>
      <c r="U250" s="10">
        <v>93.25</v>
      </c>
      <c r="V250" s="53" t="s">
        <v>146</v>
      </c>
      <c r="W250" s="53" t="s">
        <v>861</v>
      </c>
      <c r="Y250" s="10">
        <f t="shared" si="24"/>
        <v>5.4163709724458206E-2</v>
      </c>
      <c r="Z250" s="10">
        <f t="shared" si="25"/>
        <v>0.55737903969184233</v>
      </c>
      <c r="AA250" s="10">
        <f t="shared" si="26"/>
        <v>53.674982335052718</v>
      </c>
      <c r="AB250" s="10">
        <f t="shared" si="27"/>
        <v>1.7776619311364275</v>
      </c>
      <c r="AE250" s="10">
        <f t="shared" si="28"/>
        <v>6.1128034690265958</v>
      </c>
      <c r="AF250" s="10">
        <f t="shared" si="29"/>
        <v>6.1790669212653659</v>
      </c>
    </row>
    <row r="251" spans="1:32" x14ac:dyDescent="0.25">
      <c r="A251" t="s">
        <v>865</v>
      </c>
      <c r="B251" s="39">
        <v>40847</v>
      </c>
      <c r="C251" s="53" t="s">
        <v>863</v>
      </c>
      <c r="D251" s="4" t="str">
        <f>VLOOKUP(LEFT(C251,2),Sort!$A$1:$B$58,2,FALSE)</f>
        <v>Ukraine</v>
      </c>
      <c r="E251" s="72">
        <v>428656213.69999999</v>
      </c>
      <c r="F251" s="72">
        <v>406747118.80000001</v>
      </c>
      <c r="G251" s="58">
        <f t="shared" si="23"/>
        <v>4.7068207722042961E-2</v>
      </c>
      <c r="H251" s="10">
        <v>3.8888889999999998</v>
      </c>
      <c r="I251" s="10">
        <v>3.3150029999999999</v>
      </c>
      <c r="J251" s="10">
        <v>8.3656179999999996</v>
      </c>
      <c r="K251" s="10">
        <v>8.3656179999999996</v>
      </c>
      <c r="L251" s="10">
        <v>770.70619999999997</v>
      </c>
      <c r="M251" s="10">
        <v>775.68209999999999</v>
      </c>
      <c r="N251" s="10">
        <v>3.2996940000000001</v>
      </c>
      <c r="O251" s="10">
        <v>-0.37369999999999998</v>
      </c>
      <c r="P251" s="10">
        <v>2.3290653560000001</v>
      </c>
      <c r="Q251" s="10">
        <v>-1.9058160449999999</v>
      </c>
      <c r="R251" s="10">
        <v>94.125</v>
      </c>
      <c r="S251" s="10">
        <v>95.125</v>
      </c>
      <c r="T251" s="10">
        <v>94.125</v>
      </c>
      <c r="U251" s="10">
        <v>95.125</v>
      </c>
      <c r="V251" s="53" t="s">
        <v>146</v>
      </c>
      <c r="W251" s="53" t="s">
        <v>864</v>
      </c>
      <c r="Y251" s="10">
        <f t="shared" si="24"/>
        <v>2.9320402653343555E-2</v>
      </c>
      <c r="Z251" s="10">
        <f t="shared" si="25"/>
        <v>0.40441412702415974</v>
      </c>
      <c r="AA251" s="10">
        <f t="shared" si="26"/>
        <v>42.358591027378374</v>
      </c>
      <c r="AB251" s="10">
        <f t="shared" si="27"/>
        <v>1.2880971058908075</v>
      </c>
      <c r="AE251" s="10">
        <f t="shared" si="28"/>
        <v>4.4302950518372937</v>
      </c>
      <c r="AF251" s="10">
        <f t="shared" si="29"/>
        <v>4.4773632595593362</v>
      </c>
    </row>
    <row r="252" spans="1:32" x14ac:dyDescent="0.25">
      <c r="A252" t="s">
        <v>868</v>
      </c>
      <c r="B252" s="39">
        <v>40847</v>
      </c>
      <c r="C252" s="53" t="s">
        <v>866</v>
      </c>
      <c r="D252" s="4" t="str">
        <f>VLOOKUP(LEFT(C252,2),Sort!$A$1:$B$58,2,FALSE)</f>
        <v>Ukraine</v>
      </c>
      <c r="E252" s="72">
        <v>857312427.39999998</v>
      </c>
      <c r="F252" s="72">
        <v>826972140.60000002</v>
      </c>
      <c r="G252" s="58">
        <f t="shared" si="23"/>
        <v>9.5696059529416191E-2</v>
      </c>
      <c r="H252" s="10">
        <v>5.05</v>
      </c>
      <c r="I252" s="10">
        <v>4.098446</v>
      </c>
      <c r="J252" s="10">
        <v>7.9211640000000001</v>
      </c>
      <c r="K252" s="10">
        <v>7.9211640000000001</v>
      </c>
      <c r="L252" s="10">
        <v>692.34389999999996</v>
      </c>
      <c r="M252" s="10">
        <v>698.69029999999998</v>
      </c>
      <c r="N252" s="10">
        <v>4.055866</v>
      </c>
      <c r="O252" s="10">
        <v>-1.5127999999999999</v>
      </c>
      <c r="P252" s="10">
        <v>4.6223550639999997</v>
      </c>
      <c r="Q252" s="10">
        <v>-1.1305096269999999</v>
      </c>
      <c r="R252" s="10">
        <v>93.5</v>
      </c>
      <c r="S252" s="10">
        <v>94.5</v>
      </c>
      <c r="T252" s="10">
        <v>93.5</v>
      </c>
      <c r="U252" s="10">
        <v>94.5</v>
      </c>
      <c r="V252" s="53" t="s">
        <v>146</v>
      </c>
      <c r="W252" s="53" t="s">
        <v>867</v>
      </c>
      <c r="Y252" s="10">
        <f t="shared" si="24"/>
        <v>6.7957077649067166E-2</v>
      </c>
      <c r="Z252" s="10">
        <f t="shared" si="25"/>
        <v>0.24168573618158878</v>
      </c>
      <c r="AA252" s="10">
        <f t="shared" si="26"/>
        <v>77.572688591330532</v>
      </c>
      <c r="AB252" s="10">
        <f t="shared" si="27"/>
        <v>2.6016695679855393</v>
      </c>
      <c r="AE252" s="10">
        <f t="shared" si="28"/>
        <v>8.9475815660004141</v>
      </c>
      <c r="AF252" s="10">
        <f t="shared" si="29"/>
        <v>9.0432776255298304</v>
      </c>
    </row>
    <row r="253" spans="1:32" x14ac:dyDescent="0.25">
      <c r="A253" t="s">
        <v>871</v>
      </c>
      <c r="B253" s="39">
        <v>40847</v>
      </c>
      <c r="C253" s="53" t="s">
        <v>869</v>
      </c>
      <c r="D253" s="4" t="str">
        <f>VLOOKUP(LEFT(C253,2),Sort!$A$1:$B$58,2,FALSE)</f>
        <v>Ukraine</v>
      </c>
      <c r="E253" s="72">
        <v>1285968641</v>
      </c>
      <c r="F253" s="72">
        <v>1219884140</v>
      </c>
      <c r="G253" s="58">
        <f t="shared" si="23"/>
        <v>0.14116328658391405</v>
      </c>
      <c r="H253" s="10">
        <v>8.8888890000000007</v>
      </c>
      <c r="I253" s="10">
        <v>6.3148179999999998</v>
      </c>
      <c r="J253" s="10">
        <v>8.5625889999999991</v>
      </c>
      <c r="K253" s="10">
        <v>8.5625889999999991</v>
      </c>
      <c r="L253" s="10">
        <v>663.67370000000005</v>
      </c>
      <c r="M253" s="10">
        <v>680.16210000000001</v>
      </c>
      <c r="N253" s="10">
        <v>6.1351079999999998</v>
      </c>
      <c r="O253" s="10">
        <v>-1.7895000000000001</v>
      </c>
      <c r="P253" s="10">
        <v>5.3914778029999999</v>
      </c>
      <c r="Q253" s="10">
        <v>-1.3429748909999999</v>
      </c>
      <c r="R253" s="10">
        <v>94</v>
      </c>
      <c r="S253" s="10">
        <v>95</v>
      </c>
      <c r="T253" s="10">
        <v>94</v>
      </c>
      <c r="U253" s="10">
        <v>95</v>
      </c>
      <c r="V253" s="53" t="s">
        <v>146</v>
      </c>
      <c r="W253" s="53" t="s">
        <v>870</v>
      </c>
      <c r="Y253" s="10">
        <f t="shared" si="24"/>
        <v>9.330742001741453E-2</v>
      </c>
      <c r="Z253" s="10">
        <f t="shared" si="25"/>
        <v>1.2414450089820119</v>
      </c>
      <c r="AA253" s="10">
        <f t="shared" si="26"/>
        <v>111.39463232407536</v>
      </c>
      <c r="AB253" s="10">
        <f t="shared" si="27"/>
        <v>3.8580836498496831</v>
      </c>
      <c r="AE253" s="10">
        <f t="shared" si="28"/>
        <v>13.269348938887921</v>
      </c>
      <c r="AF253" s="10">
        <f t="shared" si="29"/>
        <v>13.410512225471836</v>
      </c>
    </row>
    <row r="254" spans="1:32" x14ac:dyDescent="0.25">
      <c r="A254" t="s">
        <v>874</v>
      </c>
      <c r="B254" s="39">
        <v>40847</v>
      </c>
      <c r="C254" s="53" t="s">
        <v>872</v>
      </c>
      <c r="D254" s="4" t="str">
        <f>VLOOKUP(LEFT(C254,2),Sort!$A$1:$B$58,2,FALSE)</f>
        <v>Ukraine</v>
      </c>
      <c r="E254" s="72">
        <v>857312427.39999998</v>
      </c>
      <c r="F254" s="72">
        <v>868178862.39999998</v>
      </c>
      <c r="G254" s="58">
        <f t="shared" si="23"/>
        <v>0.10046444374550823</v>
      </c>
      <c r="H254" s="10">
        <v>1.605556</v>
      </c>
      <c r="I254" s="10">
        <v>1.4422029999999999</v>
      </c>
      <c r="J254" s="10">
        <v>8.319369</v>
      </c>
      <c r="K254" s="10">
        <v>8.319369</v>
      </c>
      <c r="L254" s="10">
        <v>813.19299999999998</v>
      </c>
      <c r="M254" s="10">
        <v>813.73230000000001</v>
      </c>
      <c r="N254" s="10">
        <v>1.437147</v>
      </c>
      <c r="O254" s="10">
        <v>-0.81169999999999998</v>
      </c>
      <c r="P254" s="10">
        <v>2.3705425689999999</v>
      </c>
      <c r="Q254" s="10">
        <v>-0.55566461</v>
      </c>
      <c r="R254" s="10">
        <v>98.25</v>
      </c>
      <c r="S254" s="10">
        <v>99</v>
      </c>
      <c r="T254" s="10">
        <v>98.25</v>
      </c>
      <c r="U254" s="10">
        <v>99</v>
      </c>
      <c r="V254" s="53" t="s">
        <v>146</v>
      </c>
      <c r="W254" s="53" t="s">
        <v>873</v>
      </c>
      <c r="Y254" s="10">
        <f t="shared" si="24"/>
        <v>0.11727161304543479</v>
      </c>
      <c r="Z254" s="10">
        <f t="shared" si="25"/>
        <v>0.85842705861395152</v>
      </c>
      <c r="AA254" s="10">
        <f t="shared" si="26"/>
        <v>87.493474467827156</v>
      </c>
      <c r="AB254" s="10">
        <f t="shared" si="27"/>
        <v>2.8613688953572369</v>
      </c>
      <c r="AE254" s="10">
        <f t="shared" si="28"/>
        <v>9.8706315979961836</v>
      </c>
      <c r="AF254" s="10">
        <f t="shared" si="29"/>
        <v>9.945979930805315</v>
      </c>
    </row>
    <row r="255" spans="1:32" x14ac:dyDescent="0.25">
      <c r="A255" t="s">
        <v>877</v>
      </c>
      <c r="B255" s="39">
        <v>40847</v>
      </c>
      <c r="C255" s="53" t="s">
        <v>875</v>
      </c>
      <c r="D255" s="4" t="str">
        <f>VLOOKUP(LEFT(C255,2),Sort!$A$1:$B$58,2,FALSE)</f>
        <v>Ukraine</v>
      </c>
      <c r="E255" s="72">
        <v>1285968641</v>
      </c>
      <c r="F255" s="72">
        <v>1241549137</v>
      </c>
      <c r="G255" s="58">
        <f t="shared" si="23"/>
        <v>0.14367032973667659</v>
      </c>
      <c r="H255" s="10">
        <v>9.3055559999999993</v>
      </c>
      <c r="I255" s="10">
        <v>6.4399730000000002</v>
      </c>
      <c r="J255" s="10">
        <v>8.5795969999999997</v>
      </c>
      <c r="K255" s="10">
        <v>8.5795969999999997</v>
      </c>
      <c r="L255" s="10">
        <v>657.56899999999996</v>
      </c>
      <c r="M255" s="10">
        <v>676.33489999999995</v>
      </c>
      <c r="N255" s="10">
        <v>6.2453399999999997</v>
      </c>
      <c r="O255" s="10">
        <v>-1.7583</v>
      </c>
      <c r="P255" s="10">
        <v>5.5982447090000003</v>
      </c>
      <c r="Q255" s="10">
        <v>0.26837499999999997</v>
      </c>
      <c r="R255" s="10">
        <v>95</v>
      </c>
      <c r="S255" s="10">
        <v>96</v>
      </c>
      <c r="T255" s="10">
        <v>95</v>
      </c>
      <c r="U255" s="10">
        <v>96</v>
      </c>
      <c r="V255" s="53" t="s">
        <v>146</v>
      </c>
      <c r="W255" s="53" t="s">
        <v>876</v>
      </c>
      <c r="Y255" s="10">
        <f t="shared" si="24"/>
        <v>9.6846675464501791E-2</v>
      </c>
      <c r="Z255" s="10">
        <f t="shared" si="25"/>
        <v>1.2660026195468352</v>
      </c>
      <c r="AA255" s="10">
        <f t="shared" si="26"/>
        <v>112.73504994576524</v>
      </c>
      <c r="AB255" s="10">
        <f t="shared" si="27"/>
        <v>3.9679354164403611</v>
      </c>
      <c r="AE255" s="10">
        <f t="shared" si="28"/>
        <v>13.648681324984276</v>
      </c>
      <c r="AF255" s="10">
        <f t="shared" si="29"/>
        <v>13.792351654720953</v>
      </c>
    </row>
    <row r="256" spans="1:32" x14ac:dyDescent="0.25">
      <c r="A256" t="s">
        <v>880</v>
      </c>
      <c r="B256" s="39">
        <v>40847</v>
      </c>
      <c r="C256" s="53" t="s">
        <v>878</v>
      </c>
      <c r="D256" s="4" t="str">
        <f>VLOOKUP(LEFT(C256,2),Sort!$A$1:$B$58,2,FALSE)</f>
        <v>Ukraine</v>
      </c>
      <c r="E256" s="72">
        <v>642984320.60000002</v>
      </c>
      <c r="F256" s="72">
        <v>598872915</v>
      </c>
      <c r="G256" s="58">
        <f t="shared" si="23"/>
        <v>6.9300736156377107E-2</v>
      </c>
      <c r="H256" s="10">
        <v>3.483333</v>
      </c>
      <c r="I256" s="10">
        <v>2.9351120000000002</v>
      </c>
      <c r="J256" s="10">
        <v>10.112513</v>
      </c>
      <c r="K256" s="10">
        <v>10.112513</v>
      </c>
      <c r="L256" s="10">
        <v>957.23800000000006</v>
      </c>
      <c r="M256" s="10">
        <v>961.86969999999997</v>
      </c>
      <c r="N256" s="10">
        <v>2.9269590000000001</v>
      </c>
      <c r="O256" s="10">
        <v>1.1108</v>
      </c>
      <c r="P256" s="10">
        <v>10.14824518</v>
      </c>
      <c r="Q256" s="10">
        <v>-2.8075894030000002</v>
      </c>
      <c r="R256" s="10">
        <v>93</v>
      </c>
      <c r="S256" s="10">
        <v>95</v>
      </c>
      <c r="T256" s="10">
        <v>93</v>
      </c>
      <c r="U256" s="10">
        <v>95</v>
      </c>
      <c r="V256" s="53" t="s">
        <v>146</v>
      </c>
      <c r="W256" s="53" t="s">
        <v>879</v>
      </c>
      <c r="Y256" s="10">
        <f t="shared" si="24"/>
        <v>3.8222656623421926E-2</v>
      </c>
      <c r="Z256" s="10">
        <f t="shared" si="25"/>
        <v>0.27457098607677088</v>
      </c>
      <c r="AA256" s="10">
        <f t="shared" si="26"/>
        <v>71.340445382558698</v>
      </c>
      <c r="AB256" s="10">
        <f t="shared" si="27"/>
        <v>1.8940338069313036</v>
      </c>
      <c r="AE256" s="10">
        <f t="shared" si="28"/>
        <v>6.4449684625430708</v>
      </c>
      <c r="AF256" s="10">
        <f t="shared" si="29"/>
        <v>6.5835699348558254</v>
      </c>
    </row>
    <row r="257" spans="1:32" x14ac:dyDescent="0.25">
      <c r="A257" t="s">
        <v>883</v>
      </c>
      <c r="B257" s="39">
        <v>40847</v>
      </c>
      <c r="C257" s="53" t="s">
        <v>881</v>
      </c>
      <c r="D257" s="4" t="str">
        <f>VLOOKUP(LEFT(C257,2),Sort!$A$1:$B$58,2,FALSE)</f>
        <v>Uruguay</v>
      </c>
      <c r="E257" s="72">
        <v>500000000</v>
      </c>
      <c r="F257" s="72">
        <v>633342015</v>
      </c>
      <c r="G257" s="58">
        <f t="shared" si="23"/>
        <v>9.687644858196412E-2</v>
      </c>
      <c r="H257" s="10">
        <v>13.902778</v>
      </c>
      <c r="I257" s="10">
        <v>9.8070050000000002</v>
      </c>
      <c r="J257" s="10">
        <v>4.1958070000000003</v>
      </c>
      <c r="K257" s="10">
        <v>4.1958070000000003</v>
      </c>
      <c r="L257" s="10">
        <v>186.3546</v>
      </c>
      <c r="M257" s="10">
        <v>184.22970000000001</v>
      </c>
      <c r="N257" s="10">
        <v>9.3445429999999998</v>
      </c>
      <c r="O257" s="10">
        <v>1.5100000000000001E-2</v>
      </c>
      <c r="P257" s="10">
        <v>8.1400342279999993</v>
      </c>
      <c r="Q257" s="10">
        <v>15.77694923</v>
      </c>
      <c r="R257" s="10">
        <v>126</v>
      </c>
      <c r="S257" s="10">
        <v>128</v>
      </c>
      <c r="T257" s="10">
        <v>126</v>
      </c>
      <c r="U257" s="10">
        <v>128</v>
      </c>
      <c r="V257" s="53" t="s">
        <v>146</v>
      </c>
      <c r="W257" s="53" t="s">
        <v>882</v>
      </c>
      <c r="Y257" s="10">
        <f t="shared" si="24"/>
        <v>0.21518347762281931</v>
      </c>
      <c r="Z257" s="10">
        <f t="shared" si="25"/>
        <v>2.0599310604045191E-2</v>
      </c>
      <c r="AA257" s="10">
        <f t="shared" si="26"/>
        <v>1.7919792515131872</v>
      </c>
      <c r="AB257" s="10">
        <f t="shared" si="27"/>
        <v>1.6347075843679848</v>
      </c>
      <c r="AE257" s="10">
        <f t="shared" si="28"/>
        <v>12.206432521327478</v>
      </c>
      <c r="AF257" s="10">
        <f t="shared" si="29"/>
        <v>12.400185418491407</v>
      </c>
    </row>
    <row r="258" spans="1:32" x14ac:dyDescent="0.25">
      <c r="A258" t="s">
        <v>886</v>
      </c>
      <c r="B258" s="39">
        <v>40847</v>
      </c>
      <c r="C258" s="53" t="s">
        <v>884</v>
      </c>
      <c r="D258" s="4" t="str">
        <f>VLOOKUP(LEFT(C258,2),Sort!$A$1:$B$58,2,FALSE)</f>
        <v>Uruguay</v>
      </c>
      <c r="E258" s="72">
        <v>1420630899</v>
      </c>
      <c r="F258" s="72">
        <v>1887870478</v>
      </c>
      <c r="G258" s="58">
        <f t="shared" si="23"/>
        <v>0.28877002150469211</v>
      </c>
      <c r="H258" s="10">
        <v>23.383313000000001</v>
      </c>
      <c r="I258" s="10">
        <v>12.739898999999999</v>
      </c>
      <c r="J258" s="10">
        <v>5.1142070000000004</v>
      </c>
      <c r="K258" s="10">
        <v>5.1142070000000004</v>
      </c>
      <c r="L258" s="10">
        <v>230.0335</v>
      </c>
      <c r="M258" s="10">
        <v>237.19200000000001</v>
      </c>
      <c r="N258" s="10">
        <v>11.905843000000001</v>
      </c>
      <c r="O258" s="10">
        <v>1.5900000000000001E-2</v>
      </c>
      <c r="P258" s="10">
        <v>7.7804733339999999</v>
      </c>
      <c r="Q258" s="10">
        <v>16.701544439999999</v>
      </c>
      <c r="R258" s="10">
        <v>132</v>
      </c>
      <c r="S258" s="10">
        <v>134</v>
      </c>
      <c r="T258" s="10">
        <v>132</v>
      </c>
      <c r="U258" s="10">
        <v>134</v>
      </c>
      <c r="V258" s="53" t="s">
        <v>146</v>
      </c>
      <c r="W258" s="53" t="s">
        <v>885</v>
      </c>
      <c r="Y258" s="10">
        <f t="shared" si="24"/>
        <v>0.44017429468990887</v>
      </c>
      <c r="Z258" s="10">
        <f t="shared" si="25"/>
        <v>7.4842688690220607E-2</v>
      </c>
      <c r="AA258" s="10">
        <f t="shared" si="26"/>
        <v>3.0581338194705032</v>
      </c>
      <c r="AB258" s="10">
        <f t="shared" si="27"/>
        <v>5.1011583133891794</v>
      </c>
      <c r="AE258" s="10">
        <f t="shared" si="28"/>
        <v>38.117642838619361</v>
      </c>
      <c r="AF258" s="10">
        <f t="shared" si="29"/>
        <v>38.695182881628746</v>
      </c>
    </row>
    <row r="259" spans="1:32" x14ac:dyDescent="0.25">
      <c r="A259" t="s">
        <v>889</v>
      </c>
      <c r="B259" s="39">
        <v>40847</v>
      </c>
      <c r="C259" s="53" t="s">
        <v>887</v>
      </c>
      <c r="D259" s="4" t="str">
        <f>VLOOKUP(LEFT(C259,2),Sort!$A$1:$B$58,2,FALSE)</f>
        <v>Uruguay</v>
      </c>
      <c r="E259" s="72">
        <v>1128231767</v>
      </c>
      <c r="F259" s="72">
        <v>1549767361</v>
      </c>
      <c r="G259" s="58">
        <f t="shared" si="23"/>
        <v>0.23705352638245977</v>
      </c>
      <c r="H259" s="10">
        <v>21.2</v>
      </c>
      <c r="I259" s="10">
        <v>11.952169</v>
      </c>
      <c r="J259" s="10">
        <v>5.0188220000000001</v>
      </c>
      <c r="K259" s="10">
        <v>5.0188220000000001</v>
      </c>
      <c r="L259" s="10">
        <v>231.58619999999999</v>
      </c>
      <c r="M259" s="10">
        <v>234.71109999999999</v>
      </c>
      <c r="N259" s="10">
        <v>11.209997</v>
      </c>
      <c r="O259" s="10">
        <v>1.5900000000000001E-2</v>
      </c>
      <c r="P259" s="10">
        <v>9.23459246</v>
      </c>
      <c r="Q259" s="10">
        <v>17.7082409</v>
      </c>
      <c r="R259" s="10">
        <v>135</v>
      </c>
      <c r="S259" s="10">
        <v>137</v>
      </c>
      <c r="T259" s="10">
        <v>135</v>
      </c>
      <c r="U259" s="10">
        <v>137</v>
      </c>
      <c r="V259" s="53" t="s">
        <v>146</v>
      </c>
      <c r="W259" s="53" t="s">
        <v>888</v>
      </c>
      <c r="Y259" s="10">
        <f t="shared" si="24"/>
        <v>0.3390000266526057</v>
      </c>
      <c r="Z259" s="10">
        <f t="shared" si="25"/>
        <v>6.0293040689340355E-2</v>
      </c>
      <c r="AA259" s="10">
        <f t="shared" si="26"/>
        <v>2.4841876154605895</v>
      </c>
      <c r="AB259" s="10">
        <f t="shared" si="27"/>
        <v>4.2813317916519251</v>
      </c>
      <c r="AE259" s="10">
        <f t="shared" si="28"/>
        <v>32.002226061632072</v>
      </c>
      <c r="AF259" s="10">
        <f t="shared" si="29"/>
        <v>32.476333114396986</v>
      </c>
    </row>
    <row r="260" spans="1:32" x14ac:dyDescent="0.25">
      <c r="A260" t="s">
        <v>892</v>
      </c>
      <c r="B260" s="39">
        <v>40847</v>
      </c>
      <c r="C260" s="53" t="s">
        <v>890</v>
      </c>
      <c r="D260" s="4" t="str">
        <f>VLOOKUP(LEFT(C260,2),Sort!$A$1:$B$58,2,FALSE)</f>
        <v>Uruguay</v>
      </c>
      <c r="E260" s="72">
        <v>1804863225</v>
      </c>
      <c r="F260" s="72">
        <v>2466646414</v>
      </c>
      <c r="G260" s="58">
        <f t="shared" si="23"/>
        <v>0.377300003530884</v>
      </c>
      <c r="H260" s="10">
        <v>10.041767</v>
      </c>
      <c r="I260" s="10">
        <v>7.3747449999999999</v>
      </c>
      <c r="J260" s="10">
        <v>3.7751839999999999</v>
      </c>
      <c r="K260" s="10">
        <v>3.7751839999999999</v>
      </c>
      <c r="L260" s="10">
        <v>163.90620000000001</v>
      </c>
      <c r="M260" s="10">
        <v>181.1576</v>
      </c>
      <c r="N260" s="10">
        <v>7.124898</v>
      </c>
      <c r="O260" s="10">
        <v>1.6299999999999999E-2</v>
      </c>
      <c r="P260" s="10">
        <v>7.1521923029999996</v>
      </c>
      <c r="Q260" s="10">
        <v>12.983156579999999</v>
      </c>
      <c r="R260" s="10">
        <v>133</v>
      </c>
      <c r="S260" s="10">
        <v>135</v>
      </c>
      <c r="T260" s="10">
        <v>133</v>
      </c>
      <c r="U260" s="10">
        <v>135</v>
      </c>
      <c r="V260" s="53" t="s">
        <v>146</v>
      </c>
      <c r="W260" s="53" t="s">
        <v>891</v>
      </c>
      <c r="Y260" s="10">
        <f t="shared" si="24"/>
        <v>0.22033864040794021</v>
      </c>
      <c r="Z260" s="10">
        <f t="shared" si="25"/>
        <v>0.12061847787451412</v>
      </c>
      <c r="AA260" s="10">
        <f t="shared" si="26"/>
        <v>6.8627549256788019</v>
      </c>
      <c r="AB260" s="10">
        <f t="shared" si="27"/>
        <v>6.7147906368097159</v>
      </c>
      <c r="AE260" s="10">
        <f t="shared" si="28"/>
        <v>50.180900469607572</v>
      </c>
      <c r="AF260" s="10">
        <f t="shared" si="29"/>
        <v>50.93550047666934</v>
      </c>
    </row>
    <row r="261" spans="1:32" x14ac:dyDescent="0.25">
      <c r="A261" t="s">
        <v>895</v>
      </c>
      <c r="B261" s="39">
        <v>40847</v>
      </c>
      <c r="C261" s="53" t="s">
        <v>893</v>
      </c>
      <c r="D261" s="4" t="str">
        <f>VLOOKUP(LEFT(C261,2),Sort!$A$1:$B$58,2,FALSE)</f>
        <v>Venezuela</v>
      </c>
      <c r="E261" s="72">
        <v>892177399.89999998</v>
      </c>
      <c r="F261" s="72">
        <v>742217251.60000002</v>
      </c>
      <c r="G261" s="58">
        <f t="shared" ref="G261:G284" si="30">F261/SUMIF($D$4:$D$284,TEXT(D261,"general"),$F$4:$F$284)</f>
        <v>6.8720450448430753E-2</v>
      </c>
      <c r="H261" s="10">
        <v>9.2898160000000001</v>
      </c>
      <c r="I261" s="10">
        <v>4.7661030000000002</v>
      </c>
      <c r="J261" s="10">
        <v>16.803663</v>
      </c>
      <c r="K261" s="10">
        <v>16.803663</v>
      </c>
      <c r="L261" s="10">
        <v>1480.2704000000001</v>
      </c>
      <c r="M261" s="10">
        <v>1521.4399000000001</v>
      </c>
      <c r="N261" s="10">
        <v>4.6433260000000001</v>
      </c>
      <c r="O261" s="10">
        <v>-1.4390000000000001</v>
      </c>
      <c r="P261" s="10">
        <v>11.367694630000001</v>
      </c>
      <c r="Q261" s="10">
        <v>15.796662</v>
      </c>
      <c r="R261" s="10">
        <v>80.5</v>
      </c>
      <c r="S261" s="10">
        <v>81.25</v>
      </c>
      <c r="T261" s="10">
        <v>80.5</v>
      </c>
      <c r="U261" s="10">
        <v>81.25</v>
      </c>
      <c r="V261" s="53" t="s">
        <v>146</v>
      </c>
      <c r="W261" s="53" t="s">
        <v>894</v>
      </c>
      <c r="Y261" s="10">
        <f t="shared" ref="Y261:Y283" si="31">IF(I261&lt;1.99,($F261/$F$303)*I261,IF(AND(I261&gt;1.99,I261&lt;3.99),($F261/$F$304)*I261,IF(AND(I261&gt;3.99,I261&lt;5.99),($F261/$F$305)*I261,IF(AND(I261&gt;5.99,I261&lt;7.99),($F261/$F$306)*I261,IF(AND(I261&gt;7.99,I261&lt;9.99),($F261/$F$307)*I261,IF(I261&gt;9.99,($F261/$F$308)*I261))))))</f>
        <v>7.0928220890775689E-2</v>
      </c>
      <c r="Z261" s="10">
        <f t="shared" ref="Z261:Z283" si="32">IF(K261&lt;1.99,($F261/$F$287)*K261,IF(AND(K261&gt;1.99,K261&lt;3.99),($F261/$F$288)*K261,IF(AND(K261&gt;3.99,K261&lt;5.99),($F261/$F$289)*K261,IF(AND(K261&gt;5.99,K261&lt;7.99),($F261/$F$290)*K261,IF(AND(K261&gt;7.99,K261&lt;9.99),($F261/$F$291)*K261,IF(K261&gt;9.99,($F261/$F$292)*K261))))))</f>
        <v>0.56545218465733826</v>
      </c>
      <c r="AA261" s="10">
        <f t="shared" ref="AA261:AA283" si="33">IF(M261&lt;199.99,($F261/$F$295)*M261,IF(AND(M261&gt;199.99,M261&lt;399.99),($F261/$F$296)*M261,IF(AND(M261&gt;399.99,M261&lt;599.99),($F261/$F$297)*M261,IF(AND(M261&gt;599.99,M261&lt;799.99),($F261/$F$298)*M261,IF(AND(M261&gt;799.99,M261&lt;999.99),($F261/$F$299)*M261,IF(M261&gt;999.99,($F261/$F$300)*M261))))))</f>
        <v>74.077809951622882</v>
      </c>
      <c r="AB261" s="10">
        <f t="shared" ref="AB261:AB283" si="34">IF(S261&lt;49.99,($F261/$F$311)*S261,IF(AND(S261&gt;49.99,S261&lt;79.99),($F261/$F$312)*S261,IF(AND(S261&gt;79.99,S261&lt;99.99),($F261/$F$313)*S261,IF(AND(S261&gt;99.99,S261&lt;119.99),($F261/$F$314)*S261,IF(AND(S261&gt;119.99,S261&lt;139.99),($F261/$F$315)*S261,IF(S261&gt;139.99,($F261/$F$316)*S261))))))</f>
        <v>2.0076308639962899</v>
      </c>
      <c r="AE261" s="10">
        <f t="shared" si="28"/>
        <v>5.5319962610986755</v>
      </c>
      <c r="AF261" s="10">
        <f t="shared" si="29"/>
        <v>5.583536598934999</v>
      </c>
    </row>
    <row r="262" spans="1:32" x14ac:dyDescent="0.25">
      <c r="A262" t="s">
        <v>898</v>
      </c>
      <c r="B262" s="39">
        <v>40847</v>
      </c>
      <c r="C262" s="53" t="s">
        <v>896</v>
      </c>
      <c r="D262" s="4" t="str">
        <f>VLOOKUP(LEFT(C262,2),Sort!$A$1:$B$58,2,FALSE)</f>
        <v>Venezuela</v>
      </c>
      <c r="E262" s="72">
        <v>446088699.89999998</v>
      </c>
      <c r="F262" s="72">
        <v>216668997.5</v>
      </c>
      <c r="G262" s="58">
        <f t="shared" si="30"/>
        <v>2.0060960688144044E-2</v>
      </c>
      <c r="H262" s="10">
        <v>25.441666999999999</v>
      </c>
      <c r="I262" s="10">
        <v>8.7685130000000004</v>
      </c>
      <c r="J262" s="10">
        <v>11.911697999999999</v>
      </c>
      <c r="K262" s="10">
        <v>11.911697999999999</v>
      </c>
      <c r="L262" s="10">
        <v>899.3261</v>
      </c>
      <c r="M262" s="10">
        <v>944.15790000000004</v>
      </c>
      <c r="N262" s="10">
        <v>8.2723110000000002</v>
      </c>
      <c r="O262" s="10">
        <v>3.15E-2</v>
      </c>
      <c r="P262" s="10">
        <v>9.4315127059999995</v>
      </c>
      <c r="Q262" s="10">
        <v>14.98858581</v>
      </c>
      <c r="R262" s="10">
        <v>48.25</v>
      </c>
      <c r="S262" s="10">
        <v>49</v>
      </c>
      <c r="T262" s="10">
        <v>48.25</v>
      </c>
      <c r="U262" s="10">
        <v>49</v>
      </c>
      <c r="V262" s="53" t="s">
        <v>146</v>
      </c>
      <c r="W262" s="53" t="s">
        <v>897</v>
      </c>
      <c r="Y262" s="10">
        <f t="shared" si="31"/>
        <v>6.5819859343070566E-2</v>
      </c>
      <c r="Z262" s="10">
        <f t="shared" si="32"/>
        <v>0.11701224900056909</v>
      </c>
      <c r="AA262" s="10">
        <f t="shared" si="33"/>
        <v>25.335314836654756</v>
      </c>
      <c r="AB262" s="10">
        <f t="shared" si="34"/>
        <v>5.7732433115695736</v>
      </c>
      <c r="AE262" s="10">
        <f t="shared" si="28"/>
        <v>0.96794135320295016</v>
      </c>
      <c r="AF262" s="10">
        <f t="shared" si="29"/>
        <v>0.98298707371905814</v>
      </c>
    </row>
    <row r="263" spans="1:32" x14ac:dyDescent="0.25">
      <c r="A263" t="s">
        <v>901</v>
      </c>
      <c r="B263" s="39">
        <v>40847</v>
      </c>
      <c r="C263" s="53" t="s">
        <v>899</v>
      </c>
      <c r="D263" s="4" t="str">
        <f>VLOOKUP(LEFT(C263,2),Sort!$A$1:$B$58,2,FALSE)</f>
        <v>Venezuela</v>
      </c>
      <c r="E263" s="72">
        <v>892177399.89999998</v>
      </c>
      <c r="F263" s="72">
        <v>549190950.70000005</v>
      </c>
      <c r="G263" s="58">
        <f t="shared" si="30"/>
        <v>5.0848521013151203E-2</v>
      </c>
      <c r="H263" s="10">
        <v>5.4416669999999998</v>
      </c>
      <c r="I263" s="10">
        <v>4.273237</v>
      </c>
      <c r="J263" s="10">
        <v>15.953517</v>
      </c>
      <c r="K263" s="10">
        <v>15.953517</v>
      </c>
      <c r="L263" s="10">
        <v>1484.0445999999999</v>
      </c>
      <c r="M263" s="10">
        <v>1490.9781</v>
      </c>
      <c r="N263" s="10">
        <v>4.2206279999999996</v>
      </c>
      <c r="O263" s="10">
        <v>-1.1806000000000001</v>
      </c>
      <c r="P263" s="10">
        <v>9.6017806869999998</v>
      </c>
      <c r="Q263" s="10">
        <v>16.307670600000002</v>
      </c>
      <c r="R263" s="10">
        <v>61.25</v>
      </c>
      <c r="S263" s="10">
        <v>62</v>
      </c>
      <c r="T263" s="10">
        <v>61.25</v>
      </c>
      <c r="U263" s="10">
        <v>62</v>
      </c>
      <c r="V263" s="53" t="s">
        <v>146</v>
      </c>
      <c r="W263" s="53" t="s">
        <v>900</v>
      </c>
      <c r="Y263" s="10">
        <f t="shared" si="31"/>
        <v>4.7054910411451462E-2</v>
      </c>
      <c r="Z263" s="10">
        <f t="shared" si="32"/>
        <v>0.39722876552618053</v>
      </c>
      <c r="AA263" s="10">
        <f t="shared" si="33"/>
        <v>53.715166369098313</v>
      </c>
      <c r="AB263" s="10">
        <f t="shared" si="34"/>
        <v>2.5080412630802682</v>
      </c>
      <c r="AE263" s="10">
        <f t="shared" si="28"/>
        <v>3.1144719120555111</v>
      </c>
      <c r="AF263" s="10">
        <f t="shared" si="29"/>
        <v>3.1526083028153744</v>
      </c>
    </row>
    <row r="264" spans="1:32" x14ac:dyDescent="0.25">
      <c r="A264" t="s">
        <v>904</v>
      </c>
      <c r="B264" s="39">
        <v>40847</v>
      </c>
      <c r="C264" s="53" t="s">
        <v>902</v>
      </c>
      <c r="D264" s="4" t="str">
        <f>VLOOKUP(LEFT(C264,2),Sort!$A$1:$B$58,2,FALSE)</f>
        <v>Venezuela</v>
      </c>
      <c r="E264" s="72">
        <v>892177399.89999998</v>
      </c>
      <c r="F264" s="72">
        <v>448886050.80000001</v>
      </c>
      <c r="G264" s="58">
        <f t="shared" si="30"/>
        <v>4.1561485595349335E-2</v>
      </c>
      <c r="H264" s="10">
        <v>15.441667000000001</v>
      </c>
      <c r="I264" s="10">
        <v>8.0742879999999992</v>
      </c>
      <c r="J264" s="10">
        <v>12.805771999999999</v>
      </c>
      <c r="K264" s="10">
        <v>12.805771999999999</v>
      </c>
      <c r="L264" s="10">
        <v>1039.5335</v>
      </c>
      <c r="M264" s="10">
        <v>1052.32</v>
      </c>
      <c r="N264" s="10">
        <v>7.6973330000000004</v>
      </c>
      <c r="O264" s="10">
        <v>-0.46500000000000002</v>
      </c>
      <c r="P264" s="10">
        <v>10.17952605</v>
      </c>
      <c r="Q264" s="10">
        <v>15.973515280000001</v>
      </c>
      <c r="R264" s="10">
        <v>50</v>
      </c>
      <c r="S264" s="10">
        <v>50.5</v>
      </c>
      <c r="T264" s="10">
        <v>50</v>
      </c>
      <c r="U264" s="10">
        <v>50.5</v>
      </c>
      <c r="V264" s="53" t="s">
        <v>146</v>
      </c>
      <c r="W264" s="53" t="s">
        <v>903</v>
      </c>
      <c r="Y264" s="10">
        <f t="shared" si="31"/>
        <v>0.1255667262980138</v>
      </c>
      <c r="Z264" s="10">
        <f t="shared" si="32"/>
        <v>0.26061700744556399</v>
      </c>
      <c r="AA264" s="10">
        <f t="shared" si="33"/>
        <v>30.987477367931323</v>
      </c>
      <c r="AB264" s="10">
        <f t="shared" si="34"/>
        <v>1.6697332799370339</v>
      </c>
      <c r="AE264" s="10">
        <f t="shared" si="28"/>
        <v>2.0780742797674669</v>
      </c>
      <c r="AF264" s="10">
        <f t="shared" si="29"/>
        <v>2.0988550225651412</v>
      </c>
    </row>
    <row r="265" spans="1:32" x14ac:dyDescent="0.25">
      <c r="A265" t="s">
        <v>907</v>
      </c>
      <c r="B265" s="39">
        <v>40847</v>
      </c>
      <c r="C265" s="53" t="s">
        <v>905</v>
      </c>
      <c r="D265" s="4" t="str">
        <f>VLOOKUP(LEFT(C265,2),Sort!$A$1:$B$58,2,FALSE)</f>
        <v>Venezuela</v>
      </c>
      <c r="E265" s="72">
        <v>1828963670</v>
      </c>
      <c r="F265" s="72">
        <v>1335575316</v>
      </c>
      <c r="G265" s="58">
        <f t="shared" si="30"/>
        <v>0.12365831853877277</v>
      </c>
      <c r="H265" s="10">
        <v>4.9972320000000003</v>
      </c>
      <c r="I265" s="10">
        <v>3.6827709999999998</v>
      </c>
      <c r="J265" s="10">
        <v>16.556719999999999</v>
      </c>
      <c r="K265" s="10">
        <v>16.556719999999999</v>
      </c>
      <c r="L265" s="10">
        <v>1557.4528</v>
      </c>
      <c r="M265" s="10">
        <v>1565.6126999999999</v>
      </c>
      <c r="N265" s="10">
        <v>3.6446689999999999</v>
      </c>
      <c r="O265" s="10">
        <v>-0.64810000000000001</v>
      </c>
      <c r="P265" s="10">
        <v>11.768588380000001</v>
      </c>
      <c r="Q265" s="10">
        <v>19.201317039999999</v>
      </c>
      <c r="R265" s="10">
        <v>73</v>
      </c>
      <c r="S265" s="10">
        <v>73.5</v>
      </c>
      <c r="T265" s="10">
        <v>73</v>
      </c>
      <c r="U265" s="10">
        <v>73.5</v>
      </c>
      <c r="V265" s="53" t="s">
        <v>146</v>
      </c>
      <c r="W265" s="53" t="s">
        <v>906</v>
      </c>
      <c r="Y265" s="10">
        <f t="shared" si="31"/>
        <v>0.10695586824105405</v>
      </c>
      <c r="Z265" s="10">
        <f t="shared" si="32"/>
        <v>1.0025442875612722</v>
      </c>
      <c r="AA265" s="10">
        <f t="shared" si="33"/>
        <v>137.16869525957591</v>
      </c>
      <c r="AB265" s="10">
        <f t="shared" si="34"/>
        <v>7.2306166731506067</v>
      </c>
      <c r="AE265" s="10">
        <f t="shared" si="28"/>
        <v>9.0270572533304119</v>
      </c>
      <c r="AF265" s="10">
        <f t="shared" si="29"/>
        <v>9.0888864125997983</v>
      </c>
    </row>
    <row r="266" spans="1:32" x14ac:dyDescent="0.25">
      <c r="A266" t="s">
        <v>910</v>
      </c>
      <c r="B266" s="39">
        <v>40847</v>
      </c>
      <c r="C266" s="53" t="s">
        <v>908</v>
      </c>
      <c r="D266" s="4" t="str">
        <f>VLOOKUP(LEFT(C266,2),Sort!$A$1:$B$58,2,FALSE)</f>
        <v>Venezuela</v>
      </c>
      <c r="E266" s="72">
        <v>183991180.19999999</v>
      </c>
      <c r="F266" s="72">
        <v>176979072.09999999</v>
      </c>
      <c r="G266" s="58">
        <f t="shared" si="30"/>
        <v>1.6386147759890338E-2</v>
      </c>
      <c r="H266" s="10">
        <v>2.0416669999999999</v>
      </c>
      <c r="I266" s="10">
        <v>1.741881</v>
      </c>
      <c r="J266" s="10">
        <v>11.965498</v>
      </c>
      <c r="K266" s="10">
        <v>11.965498</v>
      </c>
      <c r="L266" s="10">
        <v>1171.2165</v>
      </c>
      <c r="M266" s="10">
        <v>1172.0587</v>
      </c>
      <c r="N266" s="10">
        <v>1.7400359999999999</v>
      </c>
      <c r="O266" s="10">
        <v>0.54590000000000005</v>
      </c>
      <c r="P266" s="10">
        <v>4.477432426</v>
      </c>
      <c r="Q266" s="10">
        <v>22.9717175</v>
      </c>
      <c r="R266" s="10">
        <v>92.5</v>
      </c>
      <c r="S266" s="10">
        <v>93</v>
      </c>
      <c r="T266" s="10">
        <v>92.5</v>
      </c>
      <c r="U266" s="10">
        <v>93</v>
      </c>
      <c r="V266" s="53" t="s">
        <v>146</v>
      </c>
      <c r="W266" s="53" t="s">
        <v>909</v>
      </c>
      <c r="Y266" s="10">
        <f t="shared" si="31"/>
        <v>2.8873384356727226E-2</v>
      </c>
      <c r="Z266" s="10">
        <f t="shared" si="32"/>
        <v>9.6009359168059749E-2</v>
      </c>
      <c r="AA266" s="10">
        <f t="shared" si="33"/>
        <v>13.607350291978392</v>
      </c>
      <c r="AB266" s="10">
        <f t="shared" si="34"/>
        <v>0.54794164816009128</v>
      </c>
      <c r="AE266" s="10">
        <f t="shared" si="28"/>
        <v>1.5157186677898562</v>
      </c>
      <c r="AF266" s="10">
        <f t="shared" si="29"/>
        <v>1.5239117416698014</v>
      </c>
    </row>
    <row r="267" spans="1:32" x14ac:dyDescent="0.25">
      <c r="A267" t="s">
        <v>913</v>
      </c>
      <c r="B267" s="39">
        <v>40847</v>
      </c>
      <c r="C267" s="53" t="s">
        <v>911</v>
      </c>
      <c r="D267" s="4" t="str">
        <f>VLOOKUP(LEFT(C267,2),Sort!$A$1:$B$58,2,FALSE)</f>
        <v>Venezuela</v>
      </c>
      <c r="E267" s="72">
        <v>442338283.60000002</v>
      </c>
      <c r="F267" s="72">
        <v>445938426.19999999</v>
      </c>
      <c r="G267" s="58">
        <f t="shared" si="30"/>
        <v>4.1288570771787617E-2</v>
      </c>
      <c r="H267" s="10">
        <v>1.8777779999999999</v>
      </c>
      <c r="I267" s="10">
        <v>1.64703</v>
      </c>
      <c r="J267" s="10">
        <v>10.434839</v>
      </c>
      <c r="K267" s="10">
        <v>10.434839</v>
      </c>
      <c r="L267" s="10">
        <v>1020.6295</v>
      </c>
      <c r="M267" s="10">
        <v>1021.5218</v>
      </c>
      <c r="N267" s="10">
        <v>1.6444220000000001</v>
      </c>
      <c r="O267" s="10">
        <v>-0.21790000000000001</v>
      </c>
      <c r="P267" s="10">
        <v>2.3722205660000002</v>
      </c>
      <c r="Q267" s="10">
        <v>13.042491010000001</v>
      </c>
      <c r="R267" s="10">
        <v>99.5</v>
      </c>
      <c r="S267" s="10">
        <v>100.5</v>
      </c>
      <c r="T267" s="10">
        <v>99.5</v>
      </c>
      <c r="U267" s="10">
        <v>100.5</v>
      </c>
      <c r="V267" s="53" t="s">
        <v>146</v>
      </c>
      <c r="W267" s="53" t="s">
        <v>912</v>
      </c>
      <c r="Y267" s="10">
        <f t="shared" si="31"/>
        <v>6.8791329493789868E-2</v>
      </c>
      <c r="Z267" s="10">
        <f t="shared" si="32"/>
        <v>0.21097040089265978</v>
      </c>
      <c r="AA267" s="10">
        <f t="shared" si="33"/>
        <v>29.883043310314012</v>
      </c>
      <c r="AB267" s="10">
        <f t="shared" si="34"/>
        <v>0.29839294007054995</v>
      </c>
      <c r="AE267" s="10">
        <f t="shared" si="28"/>
        <v>4.1082127917928677</v>
      </c>
      <c r="AF267" s="10">
        <f t="shared" si="29"/>
        <v>4.1495013625646555</v>
      </c>
    </row>
    <row r="268" spans="1:32" x14ac:dyDescent="0.25">
      <c r="A268" t="s">
        <v>916</v>
      </c>
      <c r="B268" s="39">
        <v>40847</v>
      </c>
      <c r="C268" s="53" t="s">
        <v>914</v>
      </c>
      <c r="D268" s="4" t="str">
        <f>VLOOKUP(LEFT(C268,2),Sort!$A$1:$B$58,2,FALSE)</f>
        <v>Venezuela</v>
      </c>
      <c r="E268" s="72">
        <v>1249048360</v>
      </c>
      <c r="F268" s="72">
        <v>1026356914</v>
      </c>
      <c r="G268" s="58">
        <f t="shared" si="30"/>
        <v>9.5028388654259763E-2</v>
      </c>
      <c r="H268" s="10">
        <v>18.755566000000002</v>
      </c>
      <c r="I268" s="10">
        <v>6.0953499999999998</v>
      </c>
      <c r="J268" s="10">
        <v>15.238181000000001</v>
      </c>
      <c r="K268" s="10">
        <v>15.238181000000001</v>
      </c>
      <c r="L268" s="10">
        <v>1265.9398000000001</v>
      </c>
      <c r="M268" s="10">
        <v>1317.8748000000001</v>
      </c>
      <c r="N268" s="10">
        <v>5.841653</v>
      </c>
      <c r="O268" s="10">
        <v>-8.1199999999999994E-2</v>
      </c>
      <c r="P268" s="10">
        <v>8.5603135150000007</v>
      </c>
      <c r="Q268" s="10">
        <v>0.61854281200000005</v>
      </c>
      <c r="R268" s="10">
        <v>79.25</v>
      </c>
      <c r="S268" s="10">
        <v>79.75</v>
      </c>
      <c r="T268" s="10">
        <v>79.25</v>
      </c>
      <c r="U268" s="10">
        <v>79.75</v>
      </c>
      <c r="V268" s="53" t="s">
        <v>146</v>
      </c>
      <c r="W268" s="53" t="s">
        <v>915</v>
      </c>
      <c r="Y268" s="10">
        <f t="shared" si="31"/>
        <v>7.5776373756443569E-2</v>
      </c>
      <c r="Z268" s="10">
        <f t="shared" si="32"/>
        <v>0.70907540018996029</v>
      </c>
      <c r="AA268" s="10">
        <f t="shared" si="33"/>
        <v>88.730893360081879</v>
      </c>
      <c r="AB268" s="10">
        <f t="shared" si="34"/>
        <v>6.0290476922749097</v>
      </c>
      <c r="AE268" s="10">
        <f t="shared" si="28"/>
        <v>7.5309998008500862</v>
      </c>
      <c r="AF268" s="10">
        <f t="shared" si="29"/>
        <v>7.5785139951772162</v>
      </c>
    </row>
    <row r="269" spans="1:32" x14ac:dyDescent="0.25">
      <c r="A269" t="s">
        <v>919</v>
      </c>
      <c r="B269" s="39">
        <v>40847</v>
      </c>
      <c r="C269" s="53" t="s">
        <v>917</v>
      </c>
      <c r="D269" s="4" t="str">
        <f>VLOOKUP(LEFT(C269,2),Sort!$A$1:$B$58,2,FALSE)</f>
        <v>Venezuela</v>
      </c>
      <c r="E269" s="72">
        <v>892177399.89999998</v>
      </c>
      <c r="F269" s="72">
        <v>807234679.60000002</v>
      </c>
      <c r="G269" s="58">
        <f t="shared" si="30"/>
        <v>7.474028753727055E-2</v>
      </c>
      <c r="H269" s="10">
        <v>9.8064909999999994</v>
      </c>
      <c r="I269" s="10">
        <v>5.1279839999999997</v>
      </c>
      <c r="J269" s="10">
        <v>14.968138</v>
      </c>
      <c r="K269" s="10">
        <v>14.968138</v>
      </c>
      <c r="L269" s="10">
        <v>1287.0389</v>
      </c>
      <c r="M269" s="10">
        <v>1329.7058999999999</v>
      </c>
      <c r="N269" s="10">
        <v>4.9868639999999997</v>
      </c>
      <c r="O269" s="10">
        <v>-0.2366</v>
      </c>
      <c r="P269" s="10">
        <v>11.719915070000001</v>
      </c>
      <c r="Q269" s="10">
        <v>12.778355060000001</v>
      </c>
      <c r="R269" s="10">
        <v>88</v>
      </c>
      <c r="S269" s="10">
        <v>88.75</v>
      </c>
      <c r="T269" s="10">
        <v>88</v>
      </c>
      <c r="U269" s="10">
        <v>88.75</v>
      </c>
      <c r="V269" s="53" t="s">
        <v>146</v>
      </c>
      <c r="W269" s="53" t="s">
        <v>918</v>
      </c>
      <c r="Y269" s="10">
        <f t="shared" si="31"/>
        <v>8.2998658137700326E-2</v>
      </c>
      <c r="Z269" s="10">
        <f t="shared" si="32"/>
        <v>0.54780812394502454</v>
      </c>
      <c r="AA269" s="10">
        <f t="shared" si="33"/>
        <v>70.413785884611983</v>
      </c>
      <c r="AB269" s="10">
        <f t="shared" si="34"/>
        <v>2.3850507385275663</v>
      </c>
      <c r="AE269" s="10">
        <f t="shared" si="28"/>
        <v>6.5771453032798082</v>
      </c>
      <c r="AF269" s="10">
        <f t="shared" si="29"/>
        <v>6.6332005189327612</v>
      </c>
    </row>
    <row r="270" spans="1:32" x14ac:dyDescent="0.25">
      <c r="A270" t="s">
        <v>922</v>
      </c>
      <c r="B270" s="39">
        <v>40847</v>
      </c>
      <c r="C270" s="53" t="s">
        <v>920</v>
      </c>
      <c r="D270" s="4" t="str">
        <f>VLOOKUP(LEFT(C270,2),Sort!$A$1:$B$58,2,FALSE)</f>
        <v>Venezuela</v>
      </c>
      <c r="E270" s="72">
        <v>237913973.30000001</v>
      </c>
      <c r="F270" s="72">
        <v>237799972.09999999</v>
      </c>
      <c r="G270" s="58">
        <f t="shared" si="30"/>
        <v>2.2017436490607525E-2</v>
      </c>
      <c r="H270" s="10">
        <v>6.7833329999999998</v>
      </c>
      <c r="I270" s="10">
        <v>4.2401819999999999</v>
      </c>
      <c r="J270" s="10">
        <v>13.961107999999999</v>
      </c>
      <c r="K270" s="10">
        <v>13.961107999999999</v>
      </c>
      <c r="L270" s="10">
        <v>1245.2916</v>
      </c>
      <c r="M270" s="10">
        <v>1270.4006999999999</v>
      </c>
      <c r="N270" s="10">
        <v>4.1659220000000001</v>
      </c>
      <c r="O270" s="10">
        <v>-0.4602</v>
      </c>
      <c r="P270" s="10">
        <v>2.1040682589999999</v>
      </c>
      <c r="Q270" s="10">
        <v>12.14473557</v>
      </c>
      <c r="R270" s="10">
        <v>97</v>
      </c>
      <c r="S270" s="10">
        <v>98.5</v>
      </c>
      <c r="T270" s="10">
        <v>97</v>
      </c>
      <c r="U270" s="10">
        <v>98.5</v>
      </c>
      <c r="V270" s="53" t="s">
        <v>146</v>
      </c>
      <c r="W270" s="53" t="s">
        <v>921</v>
      </c>
      <c r="Y270" s="10">
        <f t="shared" si="31"/>
        <v>2.0217194799021322E-2</v>
      </c>
      <c r="Z270" s="10">
        <f t="shared" si="32"/>
        <v>0.15051942987915884</v>
      </c>
      <c r="AA270" s="10">
        <f t="shared" si="33"/>
        <v>19.817771284116095</v>
      </c>
      <c r="AB270" s="10">
        <f t="shared" si="34"/>
        <v>0.77978967268267319</v>
      </c>
      <c r="AE270" s="10">
        <f t="shared" si="28"/>
        <v>2.1356913395889299</v>
      </c>
      <c r="AF270" s="10">
        <f t="shared" si="29"/>
        <v>2.1687174943248411</v>
      </c>
    </row>
    <row r="271" spans="1:32" x14ac:dyDescent="0.25">
      <c r="A271" t="s">
        <v>925</v>
      </c>
      <c r="B271" s="39">
        <v>40847</v>
      </c>
      <c r="C271" s="53" t="s">
        <v>923</v>
      </c>
      <c r="D271" s="4" t="str">
        <f>VLOOKUP(LEFT(C271,2),Sort!$A$1:$B$58,2,FALSE)</f>
        <v>Venezuela</v>
      </c>
      <c r="E271" s="72">
        <v>446088699.89999998</v>
      </c>
      <c r="F271" s="72">
        <v>353838176.80000001</v>
      </c>
      <c r="G271" s="58">
        <f t="shared" si="30"/>
        <v>3.276118797175568E-2</v>
      </c>
      <c r="H271" s="10">
        <v>4.3138889999999996</v>
      </c>
      <c r="I271" s="10">
        <v>3.57043</v>
      </c>
      <c r="J271" s="10">
        <v>12.228683999999999</v>
      </c>
      <c r="K271" s="10">
        <v>12.228683999999999</v>
      </c>
      <c r="L271" s="10">
        <v>1144.6027999999999</v>
      </c>
      <c r="M271" s="10">
        <v>1149.702</v>
      </c>
      <c r="N271" s="10">
        <v>3.546224</v>
      </c>
      <c r="O271" s="10">
        <v>-0.10580000000000001</v>
      </c>
      <c r="P271" s="10">
        <v>9.2219119660000004</v>
      </c>
      <c r="Q271" s="10">
        <v>17.76997905</v>
      </c>
      <c r="R271" s="10">
        <v>78.25</v>
      </c>
      <c r="S271" s="10">
        <v>78.75</v>
      </c>
      <c r="T271" s="10">
        <v>78.25</v>
      </c>
      <c r="U271" s="10">
        <v>78.75</v>
      </c>
      <c r="V271" s="53" t="s">
        <v>146</v>
      </c>
      <c r="W271" s="53" t="s">
        <v>924</v>
      </c>
      <c r="Y271" s="10">
        <f t="shared" si="31"/>
        <v>2.7471775616776325E-2</v>
      </c>
      <c r="Z271" s="10">
        <f t="shared" si="32"/>
        <v>0.19617573563391918</v>
      </c>
      <c r="AA271" s="10">
        <f t="shared" si="33"/>
        <v>26.686539630551849</v>
      </c>
      <c r="AB271" s="10">
        <f t="shared" si="34"/>
        <v>2.0524607770020351</v>
      </c>
      <c r="AE271" s="10">
        <f t="shared" si="28"/>
        <v>2.5635629587898818</v>
      </c>
      <c r="AF271" s="10">
        <f t="shared" si="29"/>
        <v>2.5799435527757599</v>
      </c>
    </row>
    <row r="272" spans="1:32" x14ac:dyDescent="0.25">
      <c r="A272" t="s">
        <v>928</v>
      </c>
      <c r="B272" s="39">
        <v>40847</v>
      </c>
      <c r="C272" s="53" t="s">
        <v>926</v>
      </c>
      <c r="D272" s="4" t="str">
        <f>VLOOKUP(LEFT(C272,2),Sort!$A$1:$B$58,2,FALSE)</f>
        <v>Venezuela</v>
      </c>
      <c r="E272" s="72">
        <v>446088699.89999998</v>
      </c>
      <c r="F272" s="72">
        <v>281705014</v>
      </c>
      <c r="G272" s="58">
        <f t="shared" si="30"/>
        <v>2.6082518850012528E-2</v>
      </c>
      <c r="H272" s="10">
        <v>9.1</v>
      </c>
      <c r="I272" s="10">
        <v>5.9824489999999999</v>
      </c>
      <c r="J272" s="10">
        <v>13.393278</v>
      </c>
      <c r="K272" s="10">
        <v>13.393278</v>
      </c>
      <c r="L272" s="10">
        <v>1142.7878000000001</v>
      </c>
      <c r="M272" s="10">
        <v>1160.3551</v>
      </c>
      <c r="N272" s="10">
        <v>5.8069699999999997</v>
      </c>
      <c r="O272" s="10">
        <v>-0.75960000000000005</v>
      </c>
      <c r="P272" s="10">
        <v>10.43427595</v>
      </c>
      <c r="Q272" s="10">
        <v>13.106526089999999</v>
      </c>
      <c r="R272" s="10">
        <v>60.75</v>
      </c>
      <c r="S272" s="10">
        <v>61.75</v>
      </c>
      <c r="T272" s="10">
        <v>60.75</v>
      </c>
      <c r="U272" s="10">
        <v>61.75</v>
      </c>
      <c r="V272" s="53" t="s">
        <v>146</v>
      </c>
      <c r="W272" s="53" t="s">
        <v>927</v>
      </c>
      <c r="Y272" s="10">
        <f t="shared" si="31"/>
        <v>3.3790777151403745E-2</v>
      </c>
      <c r="Z272" s="10">
        <f t="shared" si="32"/>
        <v>0.17105758606099969</v>
      </c>
      <c r="AA272" s="10">
        <f t="shared" si="33"/>
        <v>21.443110351999842</v>
      </c>
      <c r="AB272" s="10">
        <f t="shared" si="34"/>
        <v>1.2813009679344729</v>
      </c>
      <c r="AE272" s="10">
        <f t="shared" si="28"/>
        <v>1.5845130201382611</v>
      </c>
      <c r="AF272" s="10">
        <f t="shared" si="29"/>
        <v>1.6105955389882736</v>
      </c>
    </row>
    <row r="273" spans="1:32" x14ac:dyDescent="0.25">
      <c r="A273" t="s">
        <v>931</v>
      </c>
      <c r="B273" s="39">
        <v>40847</v>
      </c>
      <c r="C273" s="53" t="s">
        <v>929</v>
      </c>
      <c r="D273" s="4" t="str">
        <f>VLOOKUP(LEFT(C273,2),Sort!$A$1:$B$58,2,FALSE)</f>
        <v>Venezuela</v>
      </c>
      <c r="E273" s="72">
        <v>742272563.60000002</v>
      </c>
      <c r="F273" s="72">
        <v>519075330.80000001</v>
      </c>
      <c r="G273" s="58">
        <f t="shared" si="30"/>
        <v>4.8060174392804703E-2</v>
      </c>
      <c r="H273" s="10">
        <v>7.95</v>
      </c>
      <c r="I273" s="10">
        <v>5.3359459999999999</v>
      </c>
      <c r="J273" s="10">
        <v>14.088721</v>
      </c>
      <c r="K273" s="10">
        <v>14.088721</v>
      </c>
      <c r="L273" s="10">
        <v>1233.8753999999999</v>
      </c>
      <c r="M273" s="10">
        <v>1252.7914000000001</v>
      </c>
      <c r="N273" s="10">
        <v>5.2090480000000001</v>
      </c>
      <c r="O273" s="10">
        <v>-0.67959999999999998</v>
      </c>
      <c r="P273" s="10">
        <v>9.8066973560000008</v>
      </c>
      <c r="Q273" s="10">
        <v>12.405163549999999</v>
      </c>
      <c r="R273" s="10">
        <v>69.5</v>
      </c>
      <c r="S273" s="10">
        <v>70.25</v>
      </c>
      <c r="T273" s="10">
        <v>69.5</v>
      </c>
      <c r="U273" s="10">
        <v>70.25</v>
      </c>
      <c r="V273" s="53" t="s">
        <v>146</v>
      </c>
      <c r="W273" s="53" t="s">
        <v>930</v>
      </c>
      <c r="Y273" s="10">
        <f t="shared" si="31"/>
        <v>5.5534953622566552E-2</v>
      </c>
      <c r="Z273" s="10">
        <f t="shared" si="32"/>
        <v>0.3315605389352535</v>
      </c>
      <c r="AA273" s="10">
        <f t="shared" si="33"/>
        <v>42.659075676719439</v>
      </c>
      <c r="AB273" s="10">
        <f t="shared" si="34"/>
        <v>2.6859401631719422</v>
      </c>
      <c r="AE273" s="10">
        <f t="shared" si="28"/>
        <v>3.3401821202999269</v>
      </c>
      <c r="AF273" s="10">
        <f t="shared" si="29"/>
        <v>3.3762272510945301</v>
      </c>
    </row>
    <row r="274" spans="1:32" x14ac:dyDescent="0.25">
      <c r="A274" t="s">
        <v>934</v>
      </c>
      <c r="B274" s="39">
        <v>40847</v>
      </c>
      <c r="C274" s="53" t="s">
        <v>932</v>
      </c>
      <c r="D274" s="4" t="str">
        <f>VLOOKUP(LEFT(C274,2),Sort!$A$1:$B$58,2,FALSE)</f>
        <v>Venezuela</v>
      </c>
      <c r="E274" s="72">
        <v>297392466.60000002</v>
      </c>
      <c r="F274" s="72">
        <v>213246921.69999999</v>
      </c>
      <c r="G274" s="58">
        <f t="shared" si="30"/>
        <v>1.9744117351590325E-2</v>
      </c>
      <c r="H274" s="10">
        <v>7.0833329999999997</v>
      </c>
      <c r="I274" s="10">
        <v>4.8985289999999999</v>
      </c>
      <c r="J274" s="10">
        <v>13.834421000000001</v>
      </c>
      <c r="K274" s="10">
        <v>13.834421000000001</v>
      </c>
      <c r="L274" s="10">
        <v>1224.681</v>
      </c>
      <c r="M274" s="10">
        <v>1240.95</v>
      </c>
      <c r="N274" s="10">
        <v>4.7970290000000002</v>
      </c>
      <c r="O274" s="10">
        <v>2.7099999999999999E-2</v>
      </c>
      <c r="P274" s="10">
        <v>10.04348235</v>
      </c>
      <c r="Q274" s="10">
        <v>11.886044419999999</v>
      </c>
      <c r="R274" s="10">
        <v>68.75</v>
      </c>
      <c r="S274" s="10">
        <v>69.75</v>
      </c>
      <c r="T274" s="10">
        <v>68.75</v>
      </c>
      <c r="U274" s="10">
        <v>69.75</v>
      </c>
      <c r="V274" s="53" t="s">
        <v>146</v>
      </c>
      <c r="W274" s="53" t="s">
        <v>933</v>
      </c>
      <c r="Y274" s="10">
        <f t="shared" si="31"/>
        <v>2.094464734936138E-2</v>
      </c>
      <c r="Z274" s="10">
        <f t="shared" si="32"/>
        <v>0.13375334039511791</v>
      </c>
      <c r="AA274" s="10">
        <f t="shared" si="33"/>
        <v>17.359585144230945</v>
      </c>
      <c r="AB274" s="10">
        <f t="shared" si="34"/>
        <v>1.0955863128072165</v>
      </c>
      <c r="AE274" s="10">
        <f t="shared" si="28"/>
        <v>1.3574080679218348</v>
      </c>
      <c r="AF274" s="10">
        <f t="shared" si="29"/>
        <v>1.3771521852734252</v>
      </c>
    </row>
    <row r="275" spans="1:32" x14ac:dyDescent="0.25">
      <c r="A275" t="s">
        <v>937</v>
      </c>
      <c r="B275" s="39">
        <v>40847</v>
      </c>
      <c r="C275" s="53" t="s">
        <v>935</v>
      </c>
      <c r="D275" s="4" t="str">
        <f>VLOOKUP(LEFT(C275,2),Sort!$A$1:$B$58,2,FALSE)</f>
        <v>Venezuela</v>
      </c>
      <c r="E275" s="72">
        <v>371740583.30000001</v>
      </c>
      <c r="F275" s="72">
        <v>213348117.69999999</v>
      </c>
      <c r="G275" s="58">
        <f t="shared" si="30"/>
        <v>1.9753486892231678E-2</v>
      </c>
      <c r="H275" s="10">
        <v>26.408332999999999</v>
      </c>
      <c r="I275" s="10">
        <v>8.0199960000000008</v>
      </c>
      <c r="J275" s="10">
        <v>12.505101</v>
      </c>
      <c r="K275" s="10">
        <v>12.505101</v>
      </c>
      <c r="L275" s="10">
        <v>953.75580000000002</v>
      </c>
      <c r="M275" s="10">
        <v>1012.4316</v>
      </c>
      <c r="N275" s="10">
        <v>7.5919869999999996</v>
      </c>
      <c r="O275" s="10">
        <v>-0.40010000000000001</v>
      </c>
      <c r="P275" s="10">
        <v>9.1153961260000003</v>
      </c>
      <c r="Q275" s="10">
        <v>11.386231159999999</v>
      </c>
      <c r="R275" s="10">
        <v>56.75</v>
      </c>
      <c r="S275" s="10">
        <v>57.75</v>
      </c>
      <c r="T275" s="10">
        <v>56.75</v>
      </c>
      <c r="U275" s="10">
        <v>57.75</v>
      </c>
      <c r="V275" s="53" t="s">
        <v>146</v>
      </c>
      <c r="W275" s="53" t="s">
        <v>936</v>
      </c>
      <c r="Y275" s="10">
        <f t="shared" si="31"/>
        <v>5.9278498284578228E-2</v>
      </c>
      <c r="Z275" s="10">
        <f t="shared" si="32"/>
        <v>0.12095864077260277</v>
      </c>
      <c r="AA275" s="10">
        <f t="shared" si="33"/>
        <v>14.169574067065813</v>
      </c>
      <c r="AB275" s="10">
        <f t="shared" si="34"/>
        <v>0.90752880714238404</v>
      </c>
      <c r="AE275" s="10">
        <f t="shared" si="28"/>
        <v>1.1210103811341476</v>
      </c>
      <c r="AF275" s="10">
        <f t="shared" si="29"/>
        <v>1.1407638680263794</v>
      </c>
    </row>
    <row r="276" spans="1:32" x14ac:dyDescent="0.25">
      <c r="A276" t="s">
        <v>940</v>
      </c>
      <c r="B276" s="39">
        <v>40847</v>
      </c>
      <c r="C276" s="53" t="s">
        <v>938</v>
      </c>
      <c r="D276" s="4" t="str">
        <f>VLOOKUP(LEFT(C276,2),Sort!$A$1:$B$58,2,FALSE)</f>
        <v>Venezuela</v>
      </c>
      <c r="E276" s="72">
        <v>475773523.80000001</v>
      </c>
      <c r="F276" s="72">
        <v>293813939.60000002</v>
      </c>
      <c r="G276" s="58">
        <f t="shared" si="30"/>
        <v>2.7203660698823923E-2</v>
      </c>
      <c r="H276" s="10">
        <v>13.466666999999999</v>
      </c>
      <c r="I276" s="10">
        <v>6.8611529999999998</v>
      </c>
      <c r="J276" s="10">
        <v>13.87383</v>
      </c>
      <c r="K276" s="10">
        <v>13.87383</v>
      </c>
      <c r="L276" s="10">
        <v>1156.3723</v>
      </c>
      <c r="M276" s="10">
        <v>1179.7053000000001</v>
      </c>
      <c r="N276" s="10">
        <v>6.5898440000000003</v>
      </c>
      <c r="O276" s="10">
        <v>-1.1662999999999999</v>
      </c>
      <c r="P276" s="10">
        <v>9.1700984549999998</v>
      </c>
      <c r="Q276" s="10">
        <v>11.264222480000001</v>
      </c>
      <c r="R276" s="10">
        <v>61.5</v>
      </c>
      <c r="S276" s="10">
        <v>62.5</v>
      </c>
      <c r="T276" s="10">
        <v>61.5</v>
      </c>
      <c r="U276" s="10">
        <v>62.5</v>
      </c>
      <c r="V276" s="53" t="s">
        <v>146</v>
      </c>
      <c r="W276" s="53" t="s">
        <v>939</v>
      </c>
      <c r="Y276" s="10">
        <f t="shared" si="31"/>
        <v>2.4417784605469426E-2</v>
      </c>
      <c r="Z276" s="10">
        <f t="shared" si="32"/>
        <v>0.18481177737262308</v>
      </c>
      <c r="AA276" s="10">
        <f t="shared" si="33"/>
        <v>22.73778811960031</v>
      </c>
      <c r="AB276" s="10">
        <f t="shared" si="34"/>
        <v>1.3526082410585987</v>
      </c>
      <c r="AE276" s="10">
        <f t="shared" si="28"/>
        <v>1.6730251329776713</v>
      </c>
      <c r="AF276" s="10">
        <f t="shared" si="29"/>
        <v>1.7002287936764953</v>
      </c>
    </row>
    <row r="277" spans="1:32" x14ac:dyDescent="0.25">
      <c r="A277" t="s">
        <v>943</v>
      </c>
      <c r="B277" s="39">
        <v>40847</v>
      </c>
      <c r="C277" s="53" t="s">
        <v>941</v>
      </c>
      <c r="D277" s="4" t="str">
        <f>VLOOKUP(LEFT(C277,2),Sort!$A$1:$B$58,2,FALSE)</f>
        <v>Venezuela</v>
      </c>
      <c r="E277" s="72">
        <v>446088699.89999998</v>
      </c>
      <c r="F277" s="72">
        <v>414149989.10000002</v>
      </c>
      <c r="G277" s="58">
        <f t="shared" si="30"/>
        <v>3.8345341263372877E-2</v>
      </c>
      <c r="H277" s="10">
        <v>2.9305560000000002</v>
      </c>
      <c r="I277" s="10">
        <v>2.4920529999999999</v>
      </c>
      <c r="J277" s="10">
        <v>11.262314999999999</v>
      </c>
      <c r="K277" s="10">
        <v>11.262314999999999</v>
      </c>
      <c r="L277" s="10">
        <v>1087.3870999999999</v>
      </c>
      <c r="M277" s="10">
        <v>1089.6525999999999</v>
      </c>
      <c r="N277" s="10">
        <v>2.487943</v>
      </c>
      <c r="O277" s="10">
        <v>-0.51049999999999995</v>
      </c>
      <c r="P277" s="10">
        <v>6.0984078820000001</v>
      </c>
      <c r="Q277" s="10">
        <v>16.882880119999999</v>
      </c>
      <c r="R277" s="10">
        <v>92.25</v>
      </c>
      <c r="S277" s="10">
        <v>93.25</v>
      </c>
      <c r="T277" s="10">
        <v>92.25</v>
      </c>
      <c r="U277" s="10">
        <v>93.25</v>
      </c>
      <c r="V277" s="53" t="s">
        <v>146</v>
      </c>
      <c r="W277" s="53" t="s">
        <v>942</v>
      </c>
      <c r="Y277" s="10">
        <f t="shared" si="31"/>
        <v>2.244276943720706E-2</v>
      </c>
      <c r="Z277" s="10">
        <f t="shared" si="32"/>
        <v>0.2114687523682329</v>
      </c>
      <c r="AA277" s="10">
        <f t="shared" si="33"/>
        <v>29.603836839168927</v>
      </c>
      <c r="AB277" s="10">
        <f t="shared" si="34"/>
        <v>1.2856890471225757</v>
      </c>
      <c r="AE277" s="10">
        <f t="shared" si="28"/>
        <v>3.5373577315461477</v>
      </c>
      <c r="AF277" s="10">
        <f t="shared" si="29"/>
        <v>3.5757030728095209</v>
      </c>
    </row>
    <row r="278" spans="1:32" x14ac:dyDescent="0.25">
      <c r="A278" t="s">
        <v>946</v>
      </c>
      <c r="B278" s="39">
        <v>40847</v>
      </c>
      <c r="C278" s="53" t="s">
        <v>944</v>
      </c>
      <c r="D278" s="4" t="str">
        <f>VLOOKUP(LEFT(C278,2),Sort!$A$1:$B$58,2,FALSE)</f>
        <v>Venezuela</v>
      </c>
      <c r="E278" s="72">
        <v>742272563.60000002</v>
      </c>
      <c r="F278" s="72">
        <v>480312202.19999999</v>
      </c>
      <c r="G278" s="58">
        <f t="shared" si="30"/>
        <v>4.4471171776064057E-2</v>
      </c>
      <c r="H278" s="10">
        <v>12.944444000000001</v>
      </c>
      <c r="I278" s="10">
        <v>6.5709569999999999</v>
      </c>
      <c r="J278" s="10">
        <v>14.18374</v>
      </c>
      <c r="K278" s="10">
        <v>14.18374</v>
      </c>
      <c r="L278" s="10">
        <v>1190.0162</v>
      </c>
      <c r="M278" s="10">
        <v>1216.0549000000001</v>
      </c>
      <c r="N278" s="10">
        <v>6.3221030000000003</v>
      </c>
      <c r="O278" s="10">
        <v>-0.34970000000000001</v>
      </c>
      <c r="P278" s="10">
        <v>10.637825769999999</v>
      </c>
      <c r="Q278" s="10">
        <v>10.99771002</v>
      </c>
      <c r="R278" s="10">
        <v>64.25</v>
      </c>
      <c r="S278" s="10">
        <v>65.25</v>
      </c>
      <c r="T278" s="10">
        <v>64.25</v>
      </c>
      <c r="U278" s="10">
        <v>65.25</v>
      </c>
      <c r="V278" s="53" t="s">
        <v>146</v>
      </c>
      <c r="W278" s="53" t="s">
        <v>945</v>
      </c>
      <c r="Y278" s="10">
        <f t="shared" si="31"/>
        <v>3.8228653645643963E-2</v>
      </c>
      <c r="Z278" s="10">
        <f t="shared" si="32"/>
        <v>0.30886966725779408</v>
      </c>
      <c r="AA278" s="10">
        <f t="shared" si="33"/>
        <v>38.31590520845517</v>
      </c>
      <c r="AB278" s="10">
        <f t="shared" si="34"/>
        <v>2.308467428710451</v>
      </c>
      <c r="AE278" s="10">
        <f t="shared" si="28"/>
        <v>2.8572727866121155</v>
      </c>
      <c r="AF278" s="10">
        <f t="shared" si="29"/>
        <v>2.9017439583881797</v>
      </c>
    </row>
    <row r="279" spans="1:32" x14ac:dyDescent="0.25">
      <c r="A279" t="s">
        <v>949</v>
      </c>
      <c r="B279" s="39">
        <v>40847</v>
      </c>
      <c r="C279" s="53" t="s">
        <v>947</v>
      </c>
      <c r="D279" s="4" t="str">
        <f>VLOOKUP(LEFT(C279,2),Sort!$A$1:$B$58,2,FALSE)</f>
        <v>Venezuela</v>
      </c>
      <c r="E279" s="72">
        <v>1189569867</v>
      </c>
      <c r="F279" s="72">
        <v>875325156.5</v>
      </c>
      <c r="G279" s="58">
        <f t="shared" si="30"/>
        <v>8.1044652241445081E-2</v>
      </c>
      <c r="H279" s="10">
        <v>15.866667</v>
      </c>
      <c r="I279" s="10">
        <v>6.8945540000000003</v>
      </c>
      <c r="J279" s="10">
        <v>13.420893</v>
      </c>
      <c r="K279" s="10">
        <v>13.420893</v>
      </c>
      <c r="L279" s="10">
        <v>1098.8866</v>
      </c>
      <c r="M279" s="10">
        <v>1128.7891999999999</v>
      </c>
      <c r="N279" s="10">
        <v>6.6018210000000002</v>
      </c>
      <c r="O279" s="10">
        <v>-1.3729</v>
      </c>
      <c r="P279" s="10">
        <v>15.853924920000001</v>
      </c>
      <c r="Q279" s="10">
        <v>8.1304531779999998</v>
      </c>
      <c r="R279" s="10">
        <v>72.349999999999994</v>
      </c>
      <c r="S279" s="10">
        <v>72.849999999999994</v>
      </c>
      <c r="T279" s="10">
        <v>72.349999999999994</v>
      </c>
      <c r="U279" s="10">
        <v>72.849999999999994</v>
      </c>
      <c r="V279" s="53" t="s">
        <v>146</v>
      </c>
      <c r="W279" s="53" t="s">
        <v>948</v>
      </c>
      <c r="Y279" s="10">
        <f t="shared" si="31"/>
        <v>7.3099153123779681E-2</v>
      </c>
      <c r="Z279" s="10">
        <f t="shared" si="32"/>
        <v>0.5326129266149181</v>
      </c>
      <c r="AA279" s="10">
        <f t="shared" si="33"/>
        <v>64.816345951804124</v>
      </c>
      <c r="AB279" s="10">
        <f t="shared" si="34"/>
        <v>4.6969786005601364</v>
      </c>
      <c r="AE279" s="10">
        <f t="shared" si="28"/>
        <v>5.8635805896685511</v>
      </c>
      <c r="AF279" s="10">
        <f t="shared" si="29"/>
        <v>5.9041029157892737</v>
      </c>
    </row>
    <row r="280" spans="1:32" x14ac:dyDescent="0.25">
      <c r="A280" t="s">
        <v>952</v>
      </c>
      <c r="B280" s="39">
        <v>40847</v>
      </c>
      <c r="C280" s="53" t="s">
        <v>950</v>
      </c>
      <c r="D280" s="4" t="str">
        <f>VLOOKUP(LEFT(C280,2),Sort!$A$1:$B$58,2,FALSE)</f>
        <v>Venezuela</v>
      </c>
      <c r="E280" s="72">
        <v>594784933.29999995</v>
      </c>
      <c r="F280" s="72">
        <v>423610784.10000002</v>
      </c>
      <c r="G280" s="58">
        <f t="shared" si="30"/>
        <v>3.9221297855056417E-2</v>
      </c>
      <c r="H280" s="10">
        <v>16.511111</v>
      </c>
      <c r="I280" s="10">
        <v>6.3165370000000003</v>
      </c>
      <c r="J280" s="10">
        <v>14.473159000000001</v>
      </c>
      <c r="K280" s="10">
        <v>14.473159000000001</v>
      </c>
      <c r="L280" s="10">
        <v>1200.8395</v>
      </c>
      <c r="M280" s="10">
        <v>1236.2430999999999</v>
      </c>
      <c r="N280" s="10">
        <v>6.049912</v>
      </c>
      <c r="O280" s="10">
        <v>-0.66159999999999997</v>
      </c>
      <c r="P280" s="10">
        <v>9.1483780469999996</v>
      </c>
      <c r="Q280" s="10">
        <v>9.1734037609999994</v>
      </c>
      <c r="R280" s="10">
        <v>66.75</v>
      </c>
      <c r="S280" s="10">
        <v>67.5</v>
      </c>
      <c r="T280" s="10">
        <v>66.75</v>
      </c>
      <c r="U280" s="10">
        <v>67.5</v>
      </c>
      <c r="V280" s="53" t="s">
        <v>146</v>
      </c>
      <c r="W280" s="53" t="s">
        <v>951</v>
      </c>
      <c r="Y280" s="10">
        <f t="shared" si="31"/>
        <v>3.2410282019060245E-2</v>
      </c>
      <c r="Z280" s="10">
        <f t="shared" si="32"/>
        <v>0.27796570686677124</v>
      </c>
      <c r="AA280" s="10">
        <f t="shared" si="33"/>
        <v>34.353672925803728</v>
      </c>
      <c r="AB280" s="10">
        <f t="shared" si="34"/>
        <v>2.1061553220497751</v>
      </c>
      <c r="AE280" s="10">
        <f t="shared" si="28"/>
        <v>2.618021631825016</v>
      </c>
      <c r="AF280" s="10">
        <f t="shared" si="29"/>
        <v>2.6474376052163082</v>
      </c>
    </row>
    <row r="281" spans="1:32" x14ac:dyDescent="0.25">
      <c r="A281" t="s">
        <v>955</v>
      </c>
      <c r="B281" s="39">
        <v>40847</v>
      </c>
      <c r="C281" s="53" t="s">
        <v>953</v>
      </c>
      <c r="D281" s="4" t="str">
        <f>VLOOKUP(LEFT(C281,2),Sort!$A$1:$B$58,2,FALSE)</f>
        <v>Venezuela</v>
      </c>
      <c r="E281" s="72">
        <v>446088699.89999998</v>
      </c>
      <c r="F281" s="72">
        <v>311658010</v>
      </c>
      <c r="G281" s="58">
        <f t="shared" si="30"/>
        <v>2.8855808440038606E-2</v>
      </c>
      <c r="H281" s="10">
        <v>22.194444000000001</v>
      </c>
      <c r="I281" s="10">
        <v>6.7399769999999997</v>
      </c>
      <c r="J281" s="10">
        <v>14.116614</v>
      </c>
      <c r="K281" s="10">
        <v>14.116614</v>
      </c>
      <c r="L281" s="10">
        <v>1136.3136</v>
      </c>
      <c r="M281" s="10">
        <v>1191.3311000000001</v>
      </c>
      <c r="N281" s="10">
        <v>6.4253390000000001</v>
      </c>
      <c r="O281" s="10">
        <v>3.73E-2</v>
      </c>
      <c r="P281" s="10">
        <v>8.509950495</v>
      </c>
      <c r="Q281" s="10">
        <v>8.9543838910000009</v>
      </c>
      <c r="R281" s="10">
        <v>67</v>
      </c>
      <c r="S281" s="10">
        <v>68</v>
      </c>
      <c r="T281" s="10">
        <v>67</v>
      </c>
      <c r="U281" s="10">
        <v>68</v>
      </c>
      <c r="V281" s="53" t="s">
        <v>146</v>
      </c>
      <c r="W281" s="53" t="s">
        <v>954</v>
      </c>
      <c r="Y281" s="10">
        <f t="shared" si="31"/>
        <v>2.544330158783949E-2</v>
      </c>
      <c r="Z281" s="10">
        <f t="shared" si="32"/>
        <v>0.19946638257640925</v>
      </c>
      <c r="AA281" s="10">
        <f t="shared" si="33"/>
        <v>24.35639792694413</v>
      </c>
      <c r="AB281" s="10">
        <f t="shared" si="34"/>
        <v>1.5610140836119144</v>
      </c>
      <c r="AE281" s="10">
        <f t="shared" si="28"/>
        <v>1.9333391654825867</v>
      </c>
      <c r="AF281" s="10">
        <f t="shared" si="29"/>
        <v>1.9621949739226252</v>
      </c>
    </row>
    <row r="282" spans="1:32" x14ac:dyDescent="0.25">
      <c r="A282" t="s">
        <v>958</v>
      </c>
      <c r="B282" s="39">
        <v>40847</v>
      </c>
      <c r="C282" s="53" t="s">
        <v>956</v>
      </c>
      <c r="D282" s="4" t="str">
        <f>VLOOKUP(LEFT(C282,2),Sort!$A$1:$B$58,2,FALSE)</f>
        <v>Venezuela</v>
      </c>
      <c r="E282" s="72">
        <v>594784933.29999995</v>
      </c>
      <c r="F282" s="72">
        <v>433598216.39999998</v>
      </c>
      <c r="G282" s="58">
        <f t="shared" si="30"/>
        <v>4.0146014769140072E-2</v>
      </c>
      <c r="H282" s="10">
        <v>11.511111</v>
      </c>
      <c r="I282" s="10">
        <v>5.793838</v>
      </c>
      <c r="J282" s="10">
        <v>14.532363999999999</v>
      </c>
      <c r="K282" s="10">
        <v>14.532363999999999</v>
      </c>
      <c r="L282" s="10">
        <v>1232.1600000000001</v>
      </c>
      <c r="M282" s="10">
        <v>1262.4296999999999</v>
      </c>
      <c r="N282" s="10">
        <v>5.5978859999999999</v>
      </c>
      <c r="O282" s="10">
        <v>3.4299999999999997E-2</v>
      </c>
      <c r="P282" s="10">
        <v>10.1208458</v>
      </c>
      <c r="Q282" s="10">
        <v>10.608940759999999</v>
      </c>
      <c r="R282" s="10">
        <v>68.5</v>
      </c>
      <c r="S282" s="10">
        <v>69.5</v>
      </c>
      <c r="T282" s="10">
        <v>68.5</v>
      </c>
      <c r="U282" s="10">
        <v>69.5</v>
      </c>
      <c r="V282" s="53" t="s">
        <v>146</v>
      </c>
      <c r="W282" s="53" t="s">
        <v>957</v>
      </c>
      <c r="Y282" s="10">
        <f t="shared" si="31"/>
        <v>5.0370751833218534E-2</v>
      </c>
      <c r="Z282" s="10">
        <f t="shared" si="32"/>
        <v>0.28568315474643446</v>
      </c>
      <c r="AA282" s="10">
        <f t="shared" si="33"/>
        <v>35.908476412829032</v>
      </c>
      <c r="AB282" s="10">
        <f t="shared" si="34"/>
        <v>2.2196878610649007</v>
      </c>
      <c r="AE282" s="10">
        <f t="shared" si="28"/>
        <v>2.750002011686095</v>
      </c>
      <c r="AF282" s="10">
        <f t="shared" si="29"/>
        <v>2.7901480264552352</v>
      </c>
    </row>
    <row r="283" spans="1:32" x14ac:dyDescent="0.25">
      <c r="A283" t="s">
        <v>961</v>
      </c>
      <c r="B283" s="39">
        <v>40847</v>
      </c>
      <c r="C283" s="53" t="s">
        <v>959</v>
      </c>
      <c r="D283" s="4" t="str">
        <f>VLOOKUP(LEFT(C283,2),Sort!$A$1:$B$58,2,FALSE)</f>
        <v>Vietnam</v>
      </c>
      <c r="E283" s="72">
        <v>1000000000</v>
      </c>
      <c r="F283" s="72">
        <v>1037625000</v>
      </c>
      <c r="G283" s="58">
        <f t="shared" si="30"/>
        <v>0.56431958394942128</v>
      </c>
      <c r="H283" s="10">
        <v>8.2388890000000004</v>
      </c>
      <c r="I283" s="10">
        <v>6.3067700000000002</v>
      </c>
      <c r="J283" s="10">
        <v>6.2760480000000003</v>
      </c>
      <c r="K283" s="10">
        <v>6.2760480000000003</v>
      </c>
      <c r="L283" s="10">
        <v>447.19630000000001</v>
      </c>
      <c r="M283" s="10">
        <v>458.00659999999999</v>
      </c>
      <c r="N283" s="10">
        <v>6.1388230000000004</v>
      </c>
      <c r="O283" s="10">
        <v>0.99150000000000005</v>
      </c>
      <c r="P283" s="10">
        <v>4.5597678119999996</v>
      </c>
      <c r="Q283" s="10">
        <v>5.6100070310000003</v>
      </c>
      <c r="R283" s="10">
        <v>102</v>
      </c>
      <c r="S283" s="10">
        <v>103</v>
      </c>
      <c r="T283" s="10">
        <v>102</v>
      </c>
      <c r="U283" s="10">
        <v>103</v>
      </c>
      <c r="V283" s="53" t="s">
        <v>146</v>
      </c>
      <c r="W283" s="53" t="s">
        <v>960</v>
      </c>
      <c r="Y283" s="10">
        <f t="shared" si="31"/>
        <v>7.926549534737215E-2</v>
      </c>
      <c r="Z283" s="10">
        <f t="shared" si="32"/>
        <v>0.24026904332619736</v>
      </c>
      <c r="AA283" s="10">
        <f t="shared" si="33"/>
        <v>15.685800641485782</v>
      </c>
      <c r="AB283" s="10">
        <f t="shared" si="34"/>
        <v>0.71158246343259901</v>
      </c>
      <c r="AE283" s="10">
        <f t="shared" si="28"/>
        <v>57.560597562840968</v>
      </c>
      <c r="AF283" s="10">
        <f t="shared" si="29"/>
        <v>58.124917146790395</v>
      </c>
    </row>
    <row r="284" spans="1:32" x14ac:dyDescent="0.25">
      <c r="B284" s="39">
        <v>40847</v>
      </c>
      <c r="C284" s="53" t="s">
        <v>962</v>
      </c>
      <c r="D284" s="4" t="str">
        <f>VLOOKUP(LEFT(C284,2),Sort!$A$1:$B$58,2,FALSE)</f>
        <v>Vietnam</v>
      </c>
      <c r="E284" s="72">
        <v>750000000</v>
      </c>
      <c r="F284" s="72">
        <v>801093750</v>
      </c>
      <c r="G284" s="58">
        <f t="shared" si="30"/>
        <v>0.43568041605057872</v>
      </c>
      <c r="H284" s="10">
        <v>4.2</v>
      </c>
      <c r="I284" s="10">
        <v>3.5906039999999999</v>
      </c>
      <c r="J284" s="10">
        <v>5.2612699999999997</v>
      </c>
      <c r="K284" s="10">
        <v>5.2612699999999997</v>
      </c>
      <c r="L284" s="10">
        <v>451.18700000000001</v>
      </c>
      <c r="M284" s="10">
        <v>456.33819999999997</v>
      </c>
      <c r="N284" s="10">
        <v>3.5690529999999998</v>
      </c>
      <c r="O284" s="10">
        <v>0.72529999999999994</v>
      </c>
      <c r="P284" s="10">
        <v>5.7258733130000001</v>
      </c>
      <c r="Q284" s="10">
        <v>5.2254684689999999</v>
      </c>
      <c r="R284" s="10">
        <v>104.75</v>
      </c>
      <c r="S284" s="10">
        <v>106</v>
      </c>
      <c r="T284" s="10">
        <v>104.75</v>
      </c>
      <c r="U284" s="10">
        <v>106</v>
      </c>
      <c r="V284" s="53" t="s">
        <v>146</v>
      </c>
      <c r="W284" s="53" t="s">
        <v>963</v>
      </c>
      <c r="Y284" s="10">
        <f t="shared" ref="Y284" si="35">IF(I284&lt;1.99,($F284/$F$303)*I284,IF(AND(I284&gt;1.99,I284&lt;3.99),($F284/$F$304)*I284,IF(AND(I284&gt;3.99,I284&lt;5.99),($F284/$F$305)*I284,IF(AND(I284&gt;5.99,I284&lt;7.99),($F284/$F$306)*I284,IF(AND(I284&gt;7.99,I284&lt;9.99),($F284/$F$307)*I284,IF(I284&gt;9.99,($F284/$F$308)*I284))))))</f>
        <v>6.2547848113209598E-2</v>
      </c>
      <c r="Z284" s="10">
        <f t="shared" ref="Z284" si="36">IF(K284&lt;1.99,($F284/$F$287)*K284,IF(AND(K284&gt;1.99,K284&lt;3.99),($F284/$F$288)*K284,IF(AND(K284&gt;3.99,K284&lt;5.99),($F284/$F$289)*K284,IF(AND(K284&gt;5.99,K284&lt;7.99),($F284/$F$290)*K284,IF(AND(K284&gt;7.99,K284&lt;9.99),($F284/$F$291)*K284,IF(K284&gt;9.99,($F284/$F$292)*K284))))))</f>
        <v>3.2671781547412654E-2</v>
      </c>
      <c r="AA284" s="10">
        <f t="shared" ref="AA284" si="37">IF(M284&lt;199.99,($F284/$F$295)*M284,IF(AND(M284&gt;199.99,M284&lt;399.99),($F284/$F$296)*M284,IF(AND(M284&gt;399.99,M284&lt;599.99),($F284/$F$297)*M284,IF(AND(M284&gt;599.99,M284&lt;799.99),($F284/$F$298)*M284,IF(AND(M284&gt;799.99,M284&lt;999.99),($F284/$F$299)*M284,IF(M284&gt;999.99,($F284/$F$300)*M284))))))</f>
        <v>12.066038210643489</v>
      </c>
      <c r="AB284" s="10">
        <f t="shared" ref="AB284" si="38">IF(S284&lt;49.99,($F284/$F$311)*S284,IF(AND(S284&gt;49.99,S284&lt;79.99),($F284/$F$312)*S284,IF(AND(S284&gt;79.99,S284&lt;99.99),($F284/$F$313)*S284,IF(AND(S284&gt;99.99,S284&lt;119.99),($F284/$F$314)*S284,IF(AND(S284&gt;119.99,S284&lt;139.99),($F284/$F$315)*S284,IF(S284&gt;139.99,($F284/$F$316)*S284))))))</f>
        <v>0.56537525123012311</v>
      </c>
      <c r="AE284" s="10">
        <f t="shared" si="28"/>
        <v>45.637523581298119</v>
      </c>
      <c r="AF284" s="10">
        <f t="shared" si="29"/>
        <v>46.182124101361346</v>
      </c>
    </row>
    <row r="285" spans="1:32" s="53" customFormat="1" x14ac:dyDescent="0.25">
      <c r="B285" s="39"/>
      <c r="D285" s="4"/>
      <c r="F285" s="74">
        <f>SUM(F4:F284)</f>
        <v>272602081873.10007</v>
      </c>
      <c r="G285" s="66">
        <v>100</v>
      </c>
      <c r="I285" s="38"/>
      <c r="K285" s="38"/>
      <c r="M285" s="38"/>
      <c r="S285" s="38"/>
    </row>
    <row r="286" spans="1:32" ht="30" x14ac:dyDescent="0.25">
      <c r="B286" s="19"/>
      <c r="C286" s="40" t="s">
        <v>987</v>
      </c>
      <c r="D286" s="19"/>
      <c r="E286" s="19"/>
      <c r="F286" s="42" t="s">
        <v>996</v>
      </c>
      <c r="G286" s="12" t="s">
        <v>4685</v>
      </c>
      <c r="H286" s="41"/>
      <c r="I286" s="19"/>
      <c r="J286" s="19"/>
      <c r="K286" s="62" t="s">
        <v>4577</v>
      </c>
    </row>
    <row r="287" spans="1:32" x14ac:dyDescent="0.25">
      <c r="B287" s="44">
        <v>40837</v>
      </c>
      <c r="C287" s="19" t="s">
        <v>4545</v>
      </c>
      <c r="D287" s="19"/>
      <c r="E287" s="19"/>
      <c r="F287" s="20">
        <f>SUMIFS($F$4:$F$284,$K$4:$K$284,"&gt;0",$K$4:$K$284,"&lt;1.99")</f>
        <v>8822003141.3999996</v>
      </c>
      <c r="G287" s="58">
        <v>3.2362200170000004</v>
      </c>
      <c r="H287" s="19"/>
      <c r="I287" s="19"/>
      <c r="J287" s="19"/>
      <c r="K287" s="21">
        <f>SUMIFS($Z$4:$Z$284,$K$4:$K$284,"&gt;0",$K$4:$K$284,"&lt;1.99")</f>
        <v>1.4064097176956387</v>
      </c>
    </row>
    <row r="288" spans="1:32" x14ac:dyDescent="0.25">
      <c r="B288" s="44">
        <v>40837</v>
      </c>
      <c r="C288" s="55" t="s">
        <v>4546</v>
      </c>
      <c r="D288" s="19"/>
      <c r="E288" s="19"/>
      <c r="F288" s="20">
        <f>SUMIFS($F$4:$F$284,$K$4:$K$284,"&gt;1.99",$K$4:$K$284,"&lt;3.99")</f>
        <v>77202467149.999985</v>
      </c>
      <c r="G288" s="58">
        <v>28.320571369000003</v>
      </c>
      <c r="H288" s="19"/>
      <c r="I288" s="19"/>
      <c r="J288" s="19"/>
      <c r="K288" s="21">
        <f>SUMIFS($Z$4:$Z$284,$K$4:$K$284,"&gt;1.99",$K$4:$K$284,"&lt;3.99")</f>
        <v>3.1810810398655818</v>
      </c>
    </row>
    <row r="289" spans="2:11" x14ac:dyDescent="0.25">
      <c r="B289" s="44">
        <v>40837</v>
      </c>
      <c r="C289" s="55" t="s">
        <v>4547</v>
      </c>
      <c r="D289" s="19"/>
      <c r="E289" s="19"/>
      <c r="F289" s="20">
        <f>SUMIFS($F$4:$F$284,$K$4:$K$284,"&gt;3.99",$K$4:$K$284,"&lt;5.99")</f>
        <v>129003388075.00005</v>
      </c>
      <c r="G289" s="58">
        <v>47.322965111000009</v>
      </c>
      <c r="H289" s="19"/>
      <c r="I289" s="19"/>
      <c r="J289" s="19"/>
      <c r="K289" s="21">
        <f>SUMIFS($Z$4:$Z$284,$K$4:$K$284,"&gt;3.99",$K$4:$K$284,"&lt;5.99")</f>
        <v>4.8607372722699846</v>
      </c>
    </row>
    <row r="290" spans="2:11" x14ac:dyDescent="0.25">
      <c r="B290" s="44">
        <v>40837</v>
      </c>
      <c r="C290" s="55" t="s">
        <v>4548</v>
      </c>
      <c r="D290" s="19"/>
      <c r="E290" s="19"/>
      <c r="F290" s="20">
        <f>SUMIFS($F$4:$F$284,$K$4:$K$284,"&gt;5.99",$K$4:$K$284,"&lt;7.99")</f>
        <v>27103717631.899998</v>
      </c>
      <c r="G290" s="58">
        <v>9.9425937760000025</v>
      </c>
      <c r="H290" s="19"/>
      <c r="I290" s="19"/>
      <c r="J290" s="19"/>
      <c r="K290" s="21">
        <f>SUMIFS($Z$4:$Z$284,$K$4:$K$284,"&gt;5.99",$K$4:$K$284,"&lt;7.99")</f>
        <v>6.8798623973904984</v>
      </c>
    </row>
    <row r="291" spans="2:11" s="36" customFormat="1" x14ac:dyDescent="0.25">
      <c r="B291" s="44">
        <v>40837</v>
      </c>
      <c r="C291" s="55" t="s">
        <v>4549</v>
      </c>
      <c r="D291" s="19"/>
      <c r="E291" s="19"/>
      <c r="F291" s="20">
        <f>SUMIFS($F$4:$F$284,$K$4:$K$284,"&gt;7.99",$K$4:$K$284,"&lt;9.99")</f>
        <v>8413877733.5</v>
      </c>
      <c r="G291" s="58">
        <v>3.0865053089999996</v>
      </c>
      <c r="H291" s="19"/>
      <c r="I291" s="19"/>
      <c r="J291" s="19"/>
      <c r="K291" s="21">
        <f>SUMIFS($Z$4:$Z$284,$K$4:$K$284,"&gt;7.99",$K$4:$K$284,"&lt;9.99")</f>
        <v>8.6451802083274369</v>
      </c>
    </row>
    <row r="292" spans="2:11" s="36" customFormat="1" x14ac:dyDescent="0.25">
      <c r="B292" s="44">
        <v>40837</v>
      </c>
      <c r="C292" s="54" t="s">
        <v>992</v>
      </c>
      <c r="D292" s="19"/>
      <c r="E292" s="19"/>
      <c r="F292" s="20">
        <f>SUMIFS($F$4:$F$284,$K$4:$K$284,"&gt;9.99")</f>
        <v>22056628141.299999</v>
      </c>
      <c r="G292" s="58">
        <v>8.0911444230000011</v>
      </c>
      <c r="H292" s="19"/>
      <c r="I292" s="19"/>
      <c r="J292" s="19"/>
      <c r="K292" s="21">
        <f>SUMIFS($Z$4:$Z$284,$K$4:$K$284,"&gt;9.99")</f>
        <v>12.923214162194553</v>
      </c>
    </row>
    <row r="293" spans="2:11" x14ac:dyDescent="0.25">
      <c r="F293" t="str">
        <f>IF(SUM(F287:F292)&lt;&gt;$F$285,"check values","")</f>
        <v/>
      </c>
      <c r="G293" s="67" t="s">
        <v>4686</v>
      </c>
    </row>
    <row r="294" spans="2:11" ht="30" x14ac:dyDescent="0.25">
      <c r="B294" s="19"/>
      <c r="C294" s="40" t="s">
        <v>990</v>
      </c>
      <c r="D294" s="19"/>
      <c r="E294" s="19"/>
      <c r="F294" s="42" t="s">
        <v>996</v>
      </c>
      <c r="G294" s="12" t="s">
        <v>4685</v>
      </c>
      <c r="H294" s="19"/>
      <c r="I294" s="19"/>
      <c r="J294" s="19"/>
      <c r="K294" s="62" t="s">
        <v>4578</v>
      </c>
    </row>
    <row r="295" spans="2:11" x14ac:dyDescent="0.25">
      <c r="B295" s="44">
        <v>40837</v>
      </c>
      <c r="C295" s="19" t="s">
        <v>4550</v>
      </c>
      <c r="D295" s="19"/>
      <c r="E295" s="19"/>
      <c r="F295" s="20">
        <f>SUMIFS($F$4:$F$284,$M$4:$M$284,"&lt;199.99")</f>
        <v>65112589513.699982</v>
      </c>
      <c r="G295" s="58">
        <v>23.885580428000004</v>
      </c>
      <c r="H295" s="19"/>
      <c r="I295" s="19"/>
      <c r="J295" s="19"/>
      <c r="K295" s="64">
        <f>SUMIFS($AA$4:$AA$284,$M$4:$M$284,"&lt;199.99")</f>
        <v>162.77797626870807</v>
      </c>
    </row>
    <row r="296" spans="2:11" x14ac:dyDescent="0.25">
      <c r="B296" s="44">
        <v>40837</v>
      </c>
      <c r="C296" s="55" t="s">
        <v>4551</v>
      </c>
      <c r="D296" s="19"/>
      <c r="E296" s="19"/>
      <c r="F296" s="20">
        <f>SUMIFS($F$4:$F$284,$M$4:$M$284,"&gt;199.999",$M$4:$M$284,"&lt;399.999")</f>
        <v>146425173276.20007</v>
      </c>
      <c r="G296" s="58">
        <v>53.713886662000014</v>
      </c>
      <c r="H296" s="19"/>
      <c r="I296" s="19"/>
      <c r="J296" s="19"/>
      <c r="K296" s="64">
        <f>SUMIFS($AA$4:$AA$284,$M$4:$M$284,"&gt;199.99",$M$4:$M$284,"&lt;399.99")</f>
        <v>276.78242484922129</v>
      </c>
    </row>
    <row r="297" spans="2:11" x14ac:dyDescent="0.25">
      <c r="B297" s="44">
        <v>40837</v>
      </c>
      <c r="C297" s="55" t="s">
        <v>4552</v>
      </c>
      <c r="D297" s="19"/>
      <c r="E297" s="19"/>
      <c r="F297" s="20">
        <f>SUMIFS($F$4:$F$284,$M$4:$M$284,"&gt;399.999",$M$4:$M$284,"&lt;599.999")</f>
        <v>30297407775.799999</v>
      </c>
      <c r="G297" s="58">
        <v>11.114151278000001</v>
      </c>
      <c r="H297" s="19"/>
      <c r="I297" s="19"/>
      <c r="J297" s="19"/>
      <c r="K297" s="64">
        <f>SUMIFS($AA$4:$AA$284,$M$4:$M$284,"&gt;399.99",$M$4:$M$284,"&lt;599.99")</f>
        <v>487.78076991253613</v>
      </c>
    </row>
    <row r="298" spans="2:11" x14ac:dyDescent="0.25">
      <c r="B298" s="44">
        <v>40837</v>
      </c>
      <c r="C298" s="55" t="s">
        <v>4553</v>
      </c>
      <c r="D298" s="19"/>
      <c r="E298" s="19"/>
      <c r="F298" s="20">
        <f>SUMIFS($F$4:$F$284,$M$4:$M$284,"&gt;599.999",$M$4:$M$284,"&lt;799.999")</f>
        <v>7448464446.7000008</v>
      </c>
      <c r="G298" s="58">
        <v>2.7323578739999999</v>
      </c>
      <c r="H298" s="19"/>
      <c r="I298" s="19"/>
      <c r="J298" s="19"/>
      <c r="K298" s="64">
        <f>SUMIFS($AA$4:$AA$284,$M$4:$M$284,"&gt;599.99",$M$4:$M$284,"&lt;799.99")</f>
        <v>702.09536746805929</v>
      </c>
    </row>
    <row r="299" spans="2:11" s="36" customFormat="1" x14ac:dyDescent="0.25">
      <c r="B299" s="44">
        <v>40837</v>
      </c>
      <c r="C299" s="55" t="s">
        <v>4554</v>
      </c>
      <c r="D299" s="19"/>
      <c r="E299" s="19"/>
      <c r="F299" s="20">
        <f>SUMIFS($F$4:$F$284,$M$4:$M$284,"&gt;799.999",$M$4:$M$284,"&lt;999.999")</f>
        <v>8074489975.5</v>
      </c>
      <c r="G299" s="58">
        <v>2.962005982</v>
      </c>
      <c r="H299" s="19"/>
      <c r="I299" s="19"/>
      <c r="J299" s="19"/>
      <c r="K299" s="64">
        <f>SUMIFS($AA$4:$AA$284,$M$4:$M$284,"&gt;799.99",$M$4:$M$284,"&lt;999.99")</f>
        <v>891.74096855287871</v>
      </c>
    </row>
    <row r="300" spans="2:11" s="36" customFormat="1" x14ac:dyDescent="0.25">
      <c r="B300" s="44">
        <v>40837</v>
      </c>
      <c r="C300" s="56" t="s">
        <v>4555</v>
      </c>
      <c r="D300" s="19"/>
      <c r="E300" s="19"/>
      <c r="F300" s="20">
        <f>SUMIFS($F$4:$F$284,$M$4:$M$284,"&gt;999.999")</f>
        <v>15243956885.200003</v>
      </c>
      <c r="G300" s="58">
        <v>5.5920177809999991</v>
      </c>
      <c r="H300" s="19"/>
      <c r="I300" s="19"/>
      <c r="J300" s="19"/>
      <c r="K300" s="64">
        <f>SUMIFS($AA$4:$AA$284,$M$4:$M$284,"&gt;999.99")</f>
        <v>1244.9361059681485</v>
      </c>
    </row>
    <row r="301" spans="2:11" x14ac:dyDescent="0.25">
      <c r="E301" s="32"/>
      <c r="F301" s="15" t="str">
        <f>IF(SUM(F295:F300)&lt;&gt;$F$285,"check values","")</f>
        <v/>
      </c>
      <c r="G301" s="67" t="s">
        <v>4686</v>
      </c>
    </row>
    <row r="302" spans="2:11" ht="30" x14ac:dyDescent="0.25">
      <c r="B302" s="19"/>
      <c r="C302" s="40" t="s">
        <v>991</v>
      </c>
      <c r="D302" s="19"/>
      <c r="E302" s="19"/>
      <c r="F302" s="42" t="s">
        <v>996</v>
      </c>
      <c r="G302" s="12" t="s">
        <v>4685</v>
      </c>
      <c r="H302" s="19"/>
      <c r="I302" s="19"/>
      <c r="J302" s="19"/>
      <c r="K302" s="63" t="s">
        <v>4579</v>
      </c>
    </row>
    <row r="303" spans="2:11" x14ac:dyDescent="0.25">
      <c r="B303" s="44">
        <v>40837</v>
      </c>
      <c r="C303" s="19" t="s">
        <v>4545</v>
      </c>
      <c r="D303" s="19"/>
      <c r="E303" s="19"/>
      <c r="F303" s="20">
        <f>SUMIFS($F$4:$F$284,$I$4:$I$284,"&gt;0",$I$4:$I$284,"&lt;1.99")</f>
        <v>10676839239.900002</v>
      </c>
      <c r="G303" s="58">
        <v>3.9166389220000002</v>
      </c>
      <c r="H303" s="19"/>
      <c r="I303" s="19"/>
      <c r="J303" s="19"/>
      <c r="K303" s="64">
        <f>SUMIFS($Y$4:$Y$284,$I$4:$I$284,"&gt;0",$I$4:$I$284,"&lt;1.99")</f>
        <v>1.4569456415975113</v>
      </c>
    </row>
    <row r="304" spans="2:11" x14ac:dyDescent="0.25">
      <c r="B304" s="44">
        <v>40837</v>
      </c>
      <c r="C304" s="55" t="s">
        <v>4546</v>
      </c>
      <c r="D304" s="19"/>
      <c r="E304" s="19"/>
      <c r="F304" s="20">
        <f>SUMIFS($F$4:$F$284,$I$4:$I$284,"&gt;1.99",$I$4:$I$284,"&lt;3.99")</f>
        <v>45987360235.300011</v>
      </c>
      <c r="G304" s="58">
        <v>16.869775873999998</v>
      </c>
      <c r="H304" s="19"/>
      <c r="I304" s="19"/>
      <c r="J304" s="19"/>
      <c r="K304" s="64">
        <f>SUMIFS($Y$4:$Y$284,$I$4:$I$284,"&gt;1.99",$I$4:$I$284,"&lt;3.99")</f>
        <v>3.0338992818505819</v>
      </c>
    </row>
    <row r="305" spans="2:11" x14ac:dyDescent="0.25">
      <c r="B305" s="44">
        <v>40837</v>
      </c>
      <c r="C305" s="55" t="s">
        <v>4547</v>
      </c>
      <c r="D305" s="19"/>
      <c r="E305" s="19"/>
      <c r="F305" s="20">
        <f>SUMIFS($F$4:$F$284,$I$4:$I$284,"&gt;3.99",$I$4:$I$284,"&lt;5.99")</f>
        <v>49874137897.099991</v>
      </c>
      <c r="G305" s="58">
        <v>18.295582173999996</v>
      </c>
      <c r="H305" s="19"/>
      <c r="I305" s="19"/>
      <c r="J305" s="19"/>
      <c r="K305" s="64">
        <f>SUMIFS($Y$4:$Y$284,$I$4:$I$284,"&gt;3.99",$I$4:$I$284,"&lt;5.99")</f>
        <v>5.0675618427053539</v>
      </c>
    </row>
    <row r="306" spans="2:11" x14ac:dyDescent="0.25">
      <c r="B306" s="44">
        <v>40837</v>
      </c>
      <c r="C306" s="55" t="s">
        <v>4548</v>
      </c>
      <c r="D306" s="19"/>
      <c r="E306" s="19"/>
      <c r="F306" s="20">
        <f>SUMIFS($F$4:$F$284,$I$4:$I$284,"&gt;5.99",$I$4:$I$284,"&lt;7.99")</f>
        <v>82558775323.000015</v>
      </c>
      <c r="G306" s="58">
        <v>30.285452981000006</v>
      </c>
      <c r="H306" s="19"/>
      <c r="I306" s="19"/>
      <c r="J306" s="19"/>
      <c r="K306" s="64">
        <f>SUMIFS($Y$4:$Y$284,$I$4:$I$284,"&gt;5.99",$I$4:$I$284,"&lt;7.99")</f>
        <v>6.8111207387914519</v>
      </c>
    </row>
    <row r="307" spans="2:11" s="36" customFormat="1" x14ac:dyDescent="0.25">
      <c r="B307" s="44">
        <v>40837</v>
      </c>
      <c r="C307" s="55" t="s">
        <v>4549</v>
      </c>
      <c r="D307" s="19"/>
      <c r="E307" s="19"/>
      <c r="F307" s="20">
        <f>SUMIFS($F$4:$F$284,$I$4:$I$284,"&gt;7.99",$I$4:$I$284,"&lt;9.99")</f>
        <v>28864615333.999996</v>
      </c>
      <c r="G307" s="58">
        <v>10.588552786000001</v>
      </c>
      <c r="H307" s="19"/>
      <c r="I307" s="19"/>
      <c r="J307" s="19"/>
      <c r="K307" s="64">
        <f>SUMIFS($Y$4:$Y$284,$I$4:$I$284,"&gt;7.99",$I$4:$I$284,"&lt;9.99")</f>
        <v>8.8256447386470906</v>
      </c>
    </row>
    <row r="308" spans="2:11" s="36" customFormat="1" x14ac:dyDescent="0.25">
      <c r="B308" s="44">
        <v>40837</v>
      </c>
      <c r="C308" s="54" t="s">
        <v>992</v>
      </c>
      <c r="D308" s="19"/>
      <c r="E308" s="19"/>
      <c r="F308" s="20">
        <f>SUMIFS($F$4:$F$284,$I$4:$I$284,"&gt;9.99")</f>
        <v>54640353843.800003</v>
      </c>
      <c r="G308" s="58">
        <v>20.043997268000002</v>
      </c>
      <c r="H308" s="19"/>
      <c r="I308" s="19"/>
      <c r="J308" s="19"/>
      <c r="K308" s="64">
        <f>SUMIFS($Y$4:$Y$284,$I$4:$I$284,"&gt;9.99")</f>
        <v>12.638971626787001</v>
      </c>
    </row>
    <row r="309" spans="2:11" x14ac:dyDescent="0.25">
      <c r="F309" s="15" t="str">
        <f>IF(SUM(F303:F308)&lt;&gt;$F$285,"check values","")</f>
        <v/>
      </c>
      <c r="G309" s="67" t="s">
        <v>4686</v>
      </c>
    </row>
    <row r="310" spans="2:11" ht="30" x14ac:dyDescent="0.25">
      <c r="B310" s="19"/>
      <c r="C310" s="40" t="s">
        <v>994</v>
      </c>
      <c r="D310" s="19"/>
      <c r="E310" s="19"/>
      <c r="F310" s="42" t="s">
        <v>996</v>
      </c>
      <c r="G310" s="12" t="s">
        <v>4685</v>
      </c>
      <c r="H310" s="19"/>
      <c r="I310" s="19"/>
      <c r="J310" s="19"/>
      <c r="K310" s="62" t="s">
        <v>4580</v>
      </c>
    </row>
    <row r="311" spans="2:11" x14ac:dyDescent="0.25">
      <c r="B311" s="44">
        <v>40837</v>
      </c>
      <c r="C311" s="55" t="s">
        <v>4556</v>
      </c>
      <c r="D311" s="19"/>
      <c r="E311" s="19"/>
      <c r="F311" s="20">
        <f>SUMIFS($F$4:$F$284,$S$4:$S$284,"&gt;0",$S$4:$S$284,"&lt;49.99")</f>
        <v>1838963006.5</v>
      </c>
      <c r="G311" s="58">
        <v>0.67459609800000009</v>
      </c>
      <c r="H311" s="19"/>
      <c r="I311" s="19"/>
      <c r="J311" s="19"/>
      <c r="K311" s="21">
        <f>SUMIFS($AB$4:$AB$284,$S$4:$S$284,"&gt;0",$S$4:$S$284,"&lt;49.99")</f>
        <v>39.296034212801331</v>
      </c>
    </row>
    <row r="312" spans="2:11" x14ac:dyDescent="0.25">
      <c r="B312" s="44">
        <v>40837</v>
      </c>
      <c r="C312" s="55" t="s">
        <v>4557</v>
      </c>
      <c r="D312" s="19"/>
      <c r="E312" s="19"/>
      <c r="F312" s="20">
        <f>SUMIFS($F$4:$F$284,$S$4:$S$284,"&gt;49.99",$S$4:$S$284,"&lt;79.99")</f>
        <v>13576267442.1</v>
      </c>
      <c r="G312" s="58">
        <v>4.9802508290000009</v>
      </c>
      <c r="H312" s="19"/>
      <c r="I312" s="19"/>
      <c r="J312" s="19"/>
      <c r="K312" s="21">
        <f>SUMIFS($AB$4:$AB$284,$S$4:$S$284,"&gt;49.99",$S$4:$S$284,"&lt;79.99")</f>
        <v>70.684383461967769</v>
      </c>
    </row>
    <row r="313" spans="2:11" x14ac:dyDescent="0.25">
      <c r="B313" s="44">
        <v>40837</v>
      </c>
      <c r="C313" s="55" t="s">
        <v>4558</v>
      </c>
      <c r="D313" s="19"/>
      <c r="E313" s="19"/>
      <c r="F313" s="20">
        <f>SUMIFS($F$4:$F$284,$S$4:$S$284,"&gt;79.99",$S$4:$S$284,"&lt;99.99")</f>
        <v>30037968021.899994</v>
      </c>
      <c r="G313" s="58">
        <v>11.018979681999999</v>
      </c>
      <c r="H313" s="19"/>
      <c r="I313" s="19"/>
      <c r="J313" s="19"/>
      <c r="K313" s="21">
        <f>SUMIFS($AB$4:$AB$284,$S$4:$S$284,"&gt;79.99",$S$4:$S$284,"&lt;99.99")</f>
        <v>94.599835477515882</v>
      </c>
    </row>
    <row r="314" spans="2:11" x14ac:dyDescent="0.25">
      <c r="B314" s="44">
        <v>40837</v>
      </c>
      <c r="C314" s="55" t="s">
        <v>4559</v>
      </c>
      <c r="D314" s="19"/>
      <c r="E314" s="19"/>
      <c r="F314" s="20">
        <f>SUMIFS($F$4:$F$284,$S$4:$S$284,"&gt;99.99",$S$4:$S$284,"&lt;119.99")</f>
        <v>150193941661.30011</v>
      </c>
      <c r="G314" s="58">
        <v>55.096403022000011</v>
      </c>
      <c r="H314" s="19"/>
      <c r="I314" s="19"/>
      <c r="J314" s="19"/>
      <c r="K314" s="21">
        <f>SUMIFS($AB$4:$AB$284,$S$4:$S$284,"&gt;99.99",$S$4:$S$284,"&lt;119.99")</f>
        <v>110.61819534198202</v>
      </c>
    </row>
    <row r="315" spans="2:11" s="36" customFormat="1" x14ac:dyDescent="0.25">
      <c r="B315" s="44">
        <v>40837</v>
      </c>
      <c r="C315" s="55" t="s">
        <v>4560</v>
      </c>
      <c r="D315" s="19"/>
      <c r="E315" s="19"/>
      <c r="F315" s="20">
        <f>SUMIFS($F$4:$F$284,$S$4:$S$284,"&gt;119.99",$S$4:$S$284,"&lt;139.99")</f>
        <v>49591608123.199997</v>
      </c>
      <c r="G315" s="58">
        <v>18.191940349999996</v>
      </c>
      <c r="H315" s="19"/>
      <c r="I315" s="19"/>
      <c r="J315" s="19"/>
      <c r="K315" s="21">
        <f>SUMIFS($AB$4:$AB$284,$S$4:$S$284,"&gt;119.99",$S$4:$S$284,"&lt;139.99")</f>
        <v>129.29034790194058</v>
      </c>
    </row>
    <row r="316" spans="2:11" s="36" customFormat="1" x14ac:dyDescent="0.25">
      <c r="B316" s="44">
        <v>40837</v>
      </c>
      <c r="C316" s="55" t="s">
        <v>4561</v>
      </c>
      <c r="D316" s="19"/>
      <c r="E316" s="19"/>
      <c r="F316" s="20">
        <f>SUMIFS($F$4:$F$284,$S$4:$S$284,"&gt;139.99")</f>
        <v>27363333618.099998</v>
      </c>
      <c r="G316" s="58">
        <v>10.037830024</v>
      </c>
      <c r="H316" s="19"/>
      <c r="I316" s="19"/>
      <c r="J316" s="19"/>
      <c r="K316" s="21">
        <f>SUMIFS($AB$4:$AB$284,$S$4:$S$284,"&gt;139.99")</f>
        <v>153.6156521002371</v>
      </c>
    </row>
    <row r="317" spans="2:11" x14ac:dyDescent="0.25">
      <c r="F317" s="15" t="str">
        <f>IF(SUM(F311:F316)&lt;&gt;$F$285,"check values","")</f>
        <v/>
      </c>
      <c r="G317" s="53" t="s">
        <v>4686</v>
      </c>
    </row>
  </sheetData>
  <sortState ref="B4:X284">
    <sortCondition ref="D4:D284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85"/>
  <sheetViews>
    <sheetView topLeftCell="B1" workbookViewId="0">
      <pane xSplit="2" ySplit="1" topLeftCell="L2" activePane="bottomRight" state="frozen"/>
      <selection activeCell="B1" sqref="B1"/>
      <selection pane="topRight" activeCell="D1" sqref="D1"/>
      <selection pane="bottomLeft" activeCell="B2" sqref="B2"/>
      <selection pane="bottomRight" activeCell="H64" sqref="H64"/>
    </sheetView>
  </sheetViews>
  <sheetFormatPr defaultRowHeight="15" x14ac:dyDescent="0.25"/>
  <cols>
    <col min="1" max="1" width="0" hidden="1" customWidth="1"/>
    <col min="2" max="2" width="3.28515625" style="34" customWidth="1"/>
    <col min="3" max="3" width="9.42578125" bestFit="1" customWidth="1"/>
    <col min="4" max="4" width="24.5703125" bestFit="1" customWidth="1"/>
    <col min="5" max="5" width="11.140625" bestFit="1" customWidth="1"/>
    <col min="6" max="6" width="14.85546875" hidden="1" customWidth="1"/>
    <col min="7" max="7" width="14.85546875" bestFit="1" customWidth="1"/>
    <col min="8" max="8" width="13.140625" bestFit="1" customWidth="1"/>
    <col min="9" max="9" width="8.28515625" bestFit="1" customWidth="1"/>
    <col min="10" max="10" width="21.5703125" bestFit="1" customWidth="1"/>
    <col min="11" max="11" width="12.5703125" hidden="1" customWidth="1"/>
    <col min="12" max="12" width="24.85546875" bestFit="1" customWidth="1"/>
    <col min="13" max="13" width="15.140625" hidden="1" customWidth="1"/>
    <col min="14" max="14" width="24.85546875" bestFit="1" customWidth="1"/>
    <col min="15" max="15" width="15.42578125" hidden="1" customWidth="1"/>
    <col min="16" max="16" width="16" hidden="1" customWidth="1"/>
    <col min="17" max="17" width="15.5703125" bestFit="1" customWidth="1"/>
    <col min="18" max="18" width="14.85546875" hidden="1" customWidth="1"/>
    <col min="20" max="20" width="21.5703125" bestFit="1" customWidth="1"/>
    <col min="21" max="21" width="22.7109375" bestFit="1" customWidth="1"/>
    <col min="22" max="22" width="24.85546875" bestFit="1" customWidth="1"/>
  </cols>
  <sheetData>
    <row r="1" spans="1:22" x14ac:dyDescent="0.25">
      <c r="A1" s="34" t="s">
        <v>0</v>
      </c>
      <c r="C1" s="53" t="s">
        <v>1</v>
      </c>
      <c r="D1" s="53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T1" s="12" t="s">
        <v>993</v>
      </c>
      <c r="U1" s="13" t="s">
        <v>988</v>
      </c>
      <c r="V1" s="13" t="s">
        <v>989</v>
      </c>
    </row>
    <row r="2" spans="1:22" x14ac:dyDescent="0.25">
      <c r="A2" s="34" t="s">
        <v>1003</v>
      </c>
      <c r="C2" s="39">
        <v>40847</v>
      </c>
      <c r="D2" s="53" t="s">
        <v>2828</v>
      </c>
      <c r="E2" s="4">
        <v>220.71</v>
      </c>
      <c r="F2" s="5">
        <v>202627414689</v>
      </c>
      <c r="G2" s="5">
        <v>207459602038</v>
      </c>
      <c r="H2" s="4">
        <v>100</v>
      </c>
      <c r="I2" s="4">
        <v>8.0299999999999994</v>
      </c>
      <c r="J2" s="4">
        <v>5.24</v>
      </c>
      <c r="K2" s="4">
        <v>6.09</v>
      </c>
      <c r="L2" s="4">
        <v>6.09</v>
      </c>
      <c r="M2" s="4">
        <v>432.11</v>
      </c>
      <c r="N2" s="4">
        <v>446</v>
      </c>
      <c r="O2" s="4">
        <v>5.31</v>
      </c>
      <c r="P2" s="4">
        <v>0.18</v>
      </c>
      <c r="Q2" s="4">
        <v>4.82</v>
      </c>
      <c r="R2" s="4">
        <v>3.03</v>
      </c>
    </row>
    <row r="3" spans="1:22" x14ac:dyDescent="0.25">
      <c r="A3" s="34"/>
      <c r="C3" s="53"/>
      <c r="D3" s="37" t="s">
        <v>2829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22" x14ac:dyDescent="0.25">
      <c r="A4" s="34" t="s">
        <v>2830</v>
      </c>
      <c r="C4" s="39">
        <v>40847</v>
      </c>
      <c r="D4" s="53" t="s">
        <v>31</v>
      </c>
      <c r="E4" s="4">
        <v>149.27000000000001</v>
      </c>
      <c r="F4" s="5">
        <v>6300000000</v>
      </c>
      <c r="G4" s="5">
        <v>6273001037</v>
      </c>
      <c r="H4" s="4">
        <v>3.02</v>
      </c>
      <c r="I4" s="4">
        <v>7.34</v>
      </c>
      <c r="J4" s="4">
        <v>5.3</v>
      </c>
      <c r="K4" s="4">
        <v>6.59</v>
      </c>
      <c r="L4" s="4">
        <v>6.59</v>
      </c>
      <c r="M4" s="4">
        <v>495.72</v>
      </c>
      <c r="N4" s="4">
        <v>511</v>
      </c>
      <c r="O4" s="4">
        <v>5.16</v>
      </c>
      <c r="P4" s="4">
        <v>-0.14000000000000001</v>
      </c>
      <c r="Q4" s="4">
        <v>2.12</v>
      </c>
      <c r="R4" s="4">
        <v>2.44</v>
      </c>
    </row>
    <row r="5" spans="1:22" x14ac:dyDescent="0.25">
      <c r="A5" s="34" t="s">
        <v>2831</v>
      </c>
      <c r="C5" s="39">
        <v>40847</v>
      </c>
      <c r="D5" s="53" t="s">
        <v>33</v>
      </c>
      <c r="E5" s="4">
        <v>213.21</v>
      </c>
      <c r="F5" s="5">
        <v>82871886297</v>
      </c>
      <c r="G5" s="5">
        <v>84555055388</v>
      </c>
      <c r="H5" s="4">
        <v>40.76</v>
      </c>
      <c r="I5" s="4">
        <v>8.3000000000000007</v>
      </c>
      <c r="J5" s="4">
        <v>5.08</v>
      </c>
      <c r="K5" s="4">
        <v>5.74</v>
      </c>
      <c r="L5" s="4">
        <v>5.74</v>
      </c>
      <c r="M5" s="4">
        <v>392.51</v>
      </c>
      <c r="N5" s="4">
        <v>408</v>
      </c>
      <c r="O5" s="4">
        <v>5.34</v>
      </c>
      <c r="P5" s="4">
        <v>0.21</v>
      </c>
      <c r="Q5" s="4">
        <v>5.58</v>
      </c>
      <c r="R5" s="4">
        <v>2.58</v>
      </c>
    </row>
    <row r="6" spans="1:22" x14ac:dyDescent="0.25">
      <c r="A6" s="34" t="s">
        <v>2832</v>
      </c>
      <c r="C6" s="39">
        <v>40847</v>
      </c>
      <c r="D6" s="53" t="s">
        <v>35</v>
      </c>
      <c r="E6" s="4">
        <v>222.6</v>
      </c>
      <c r="F6" s="5">
        <v>28793940452</v>
      </c>
      <c r="G6" s="5">
        <v>28158381753</v>
      </c>
      <c r="H6" s="4">
        <v>13.57</v>
      </c>
      <c r="I6" s="4">
        <v>5.66</v>
      </c>
      <c r="J6" s="4">
        <v>4.1500000000000004</v>
      </c>
      <c r="K6" s="4">
        <v>8.27</v>
      </c>
      <c r="L6" s="4">
        <v>8.27</v>
      </c>
      <c r="M6" s="4">
        <v>709.11</v>
      </c>
      <c r="N6" s="4">
        <v>708</v>
      </c>
      <c r="O6" s="4">
        <v>4.1399999999999997</v>
      </c>
      <c r="P6" s="4">
        <v>-0.19</v>
      </c>
      <c r="Q6" s="4">
        <v>7.55</v>
      </c>
      <c r="R6" s="4">
        <v>-1.5</v>
      </c>
    </row>
    <row r="7" spans="1:22" x14ac:dyDescent="0.25">
      <c r="A7" s="34" t="s">
        <v>2833</v>
      </c>
      <c r="C7" s="39">
        <v>40847</v>
      </c>
      <c r="D7" s="53" t="s">
        <v>36</v>
      </c>
      <c r="E7" s="4">
        <v>249.75</v>
      </c>
      <c r="F7" s="5">
        <v>55593631439</v>
      </c>
      <c r="G7" s="5">
        <v>57788627557</v>
      </c>
      <c r="H7" s="4">
        <v>27.86</v>
      </c>
      <c r="I7" s="4">
        <v>9.41</v>
      </c>
      <c r="J7" s="4">
        <v>6.17</v>
      </c>
      <c r="K7" s="4">
        <v>6.25</v>
      </c>
      <c r="L7" s="4">
        <v>6.25</v>
      </c>
      <c r="M7" s="4">
        <v>422.38</v>
      </c>
      <c r="N7" s="4">
        <v>446</v>
      </c>
      <c r="O7" s="4">
        <v>6.01</v>
      </c>
      <c r="P7" s="4">
        <v>0.47</v>
      </c>
      <c r="Q7" s="4">
        <v>4.8</v>
      </c>
      <c r="R7" s="4">
        <v>4.62</v>
      </c>
    </row>
    <row r="8" spans="1:22" x14ac:dyDescent="0.25">
      <c r="A8" s="34" t="s">
        <v>2834</v>
      </c>
      <c r="C8" s="39">
        <v>40847</v>
      </c>
      <c r="D8" s="53" t="s">
        <v>38</v>
      </c>
      <c r="E8" s="4">
        <v>198.67</v>
      </c>
      <c r="F8" s="5">
        <v>29067956501</v>
      </c>
      <c r="G8" s="5">
        <v>30684536303</v>
      </c>
      <c r="H8" s="4">
        <v>14.79</v>
      </c>
      <c r="I8" s="4">
        <v>7.11</v>
      </c>
      <c r="J8" s="4">
        <v>4.92</v>
      </c>
      <c r="K8" s="4">
        <v>4.9000000000000004</v>
      </c>
      <c r="L8" s="4">
        <v>4.9000000000000004</v>
      </c>
      <c r="M8" s="4">
        <v>330.56</v>
      </c>
      <c r="N8" s="4">
        <v>325</v>
      </c>
      <c r="O8" s="4">
        <v>5</v>
      </c>
      <c r="P8" s="4">
        <v>-0.01</v>
      </c>
      <c r="Q8" s="4">
        <v>1.02</v>
      </c>
      <c r="R8" s="4">
        <v>5.8</v>
      </c>
    </row>
    <row r="9" spans="1:22" x14ac:dyDescent="0.25">
      <c r="A9" s="34" t="s">
        <v>2835</v>
      </c>
      <c r="C9" s="39">
        <v>40847</v>
      </c>
      <c r="D9" s="53" t="s">
        <v>2836</v>
      </c>
      <c r="E9" s="4">
        <v>226.12</v>
      </c>
      <c r="F9" s="5">
        <v>64161896953</v>
      </c>
      <c r="G9" s="5">
        <v>65115919093</v>
      </c>
      <c r="H9" s="4">
        <v>31.39</v>
      </c>
      <c r="I9" s="4">
        <v>6.48</v>
      </c>
      <c r="J9" s="4">
        <v>4.62</v>
      </c>
      <c r="K9" s="4">
        <v>6.42</v>
      </c>
      <c r="L9" s="4">
        <v>6.42</v>
      </c>
      <c r="M9" s="4">
        <v>499.52</v>
      </c>
      <c r="N9" s="4">
        <v>500</v>
      </c>
      <c r="O9" s="4">
        <v>4.6399999999999997</v>
      </c>
      <c r="P9" s="4">
        <v>-0.1</v>
      </c>
      <c r="Q9" s="4">
        <v>3.87</v>
      </c>
      <c r="R9" s="4">
        <v>2.23</v>
      </c>
    </row>
    <row r="10" spans="1:22" x14ac:dyDescent="0.25">
      <c r="A10" s="34"/>
      <c r="C10" s="53"/>
      <c r="D10" s="37" t="s">
        <v>2837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22" x14ac:dyDescent="0.25">
      <c r="A11" s="34" t="s">
        <v>2838</v>
      </c>
      <c r="C11" s="39">
        <v>40847</v>
      </c>
      <c r="D11" s="53" t="s">
        <v>1007</v>
      </c>
      <c r="E11" s="4">
        <v>198.49</v>
      </c>
      <c r="F11" s="5">
        <v>68861825884</v>
      </c>
      <c r="G11" s="5">
        <v>68148509261</v>
      </c>
      <c r="H11" s="4">
        <v>32.85</v>
      </c>
      <c r="I11" s="4">
        <v>6.93</v>
      </c>
      <c r="J11" s="4">
        <v>4.3600000000000003</v>
      </c>
      <c r="K11" s="4">
        <v>5.96</v>
      </c>
      <c r="L11" s="4">
        <v>5.96</v>
      </c>
      <c r="M11" s="4">
        <v>440.81</v>
      </c>
      <c r="N11" s="4">
        <v>451</v>
      </c>
      <c r="O11" s="4">
        <v>4.92</v>
      </c>
      <c r="P11" s="4">
        <v>0.03</v>
      </c>
      <c r="Q11" s="4">
        <v>3.27</v>
      </c>
      <c r="R11" s="4">
        <v>1.22</v>
      </c>
    </row>
    <row r="12" spans="1:22" x14ac:dyDescent="0.25">
      <c r="A12" s="34" t="s">
        <v>2839</v>
      </c>
      <c r="C12" s="39">
        <v>40847</v>
      </c>
      <c r="D12" s="53" t="s">
        <v>2840</v>
      </c>
      <c r="E12" s="4">
        <v>226.42</v>
      </c>
      <c r="F12" s="5">
        <v>6586035515</v>
      </c>
      <c r="G12" s="5">
        <v>6629157737</v>
      </c>
      <c r="H12" s="4">
        <v>3.2</v>
      </c>
      <c r="I12" s="4">
        <v>7.81</v>
      </c>
      <c r="J12" s="4">
        <v>5.47</v>
      </c>
      <c r="K12" s="4">
        <v>7.19</v>
      </c>
      <c r="L12" s="4">
        <v>7.19</v>
      </c>
      <c r="M12" s="4">
        <v>546.63</v>
      </c>
      <c r="N12" s="4">
        <v>565</v>
      </c>
      <c r="O12" s="4">
        <v>5.33</v>
      </c>
      <c r="P12" s="4">
        <v>0.28000000000000003</v>
      </c>
      <c r="Q12" s="4">
        <v>4.28</v>
      </c>
      <c r="R12" s="4">
        <v>1.56</v>
      </c>
    </row>
    <row r="13" spans="1:22" x14ac:dyDescent="0.25">
      <c r="A13" s="34" t="s">
        <v>2841</v>
      </c>
      <c r="C13" s="39">
        <v>40847</v>
      </c>
      <c r="D13" s="53" t="s">
        <v>1014</v>
      </c>
      <c r="E13" s="4">
        <v>211.82</v>
      </c>
      <c r="F13" s="5">
        <v>42928551630</v>
      </c>
      <c r="G13" s="5">
        <v>42796341611</v>
      </c>
      <c r="H13" s="4">
        <v>20.63</v>
      </c>
      <c r="I13" s="4">
        <v>8.02</v>
      </c>
      <c r="J13" s="4">
        <v>5.0199999999999996</v>
      </c>
      <c r="K13" s="4">
        <v>7.32</v>
      </c>
      <c r="L13" s="4">
        <v>7.32</v>
      </c>
      <c r="M13" s="4">
        <v>555.41999999999996</v>
      </c>
      <c r="N13" s="4">
        <v>580</v>
      </c>
      <c r="O13" s="4">
        <v>4.9000000000000004</v>
      </c>
      <c r="P13" s="4">
        <v>0.24</v>
      </c>
      <c r="Q13" s="4">
        <v>7.62</v>
      </c>
      <c r="R13" s="4">
        <v>1.51</v>
      </c>
    </row>
    <row r="14" spans="1:22" x14ac:dyDescent="0.25">
      <c r="A14" s="34" t="s">
        <v>2842</v>
      </c>
      <c r="C14" s="39">
        <v>40847</v>
      </c>
      <c r="D14" s="53" t="s">
        <v>2843</v>
      </c>
      <c r="E14" s="4">
        <v>238.36</v>
      </c>
      <c r="F14" s="5">
        <v>14991684601</v>
      </c>
      <c r="G14" s="5">
        <v>15368099472</v>
      </c>
      <c r="H14" s="4">
        <v>7.41</v>
      </c>
      <c r="I14" s="4">
        <v>11.73</v>
      </c>
      <c r="J14" s="4">
        <v>7.04</v>
      </c>
      <c r="K14" s="4">
        <v>6.48</v>
      </c>
      <c r="L14" s="4">
        <v>6.48</v>
      </c>
      <c r="M14" s="4">
        <v>426.1</v>
      </c>
      <c r="N14" s="4">
        <v>448</v>
      </c>
      <c r="O14" s="4">
        <v>6.73</v>
      </c>
      <c r="P14" s="4">
        <v>0.36</v>
      </c>
      <c r="Q14" s="4">
        <v>7.95</v>
      </c>
      <c r="R14" s="4">
        <v>2.52</v>
      </c>
    </row>
    <row r="15" spans="1:22" x14ac:dyDescent="0.25">
      <c r="A15" s="34" t="s">
        <v>2844</v>
      </c>
      <c r="C15" s="39">
        <v>40847</v>
      </c>
      <c r="D15" s="53" t="s">
        <v>1024</v>
      </c>
      <c r="E15" s="4">
        <v>253.58</v>
      </c>
      <c r="F15" s="5">
        <v>27060092433</v>
      </c>
      <c r="G15" s="5">
        <v>29475727814</v>
      </c>
      <c r="H15" s="4">
        <v>14.21</v>
      </c>
      <c r="I15" s="4">
        <v>8.17</v>
      </c>
      <c r="J15" s="4">
        <v>5.83</v>
      </c>
      <c r="K15" s="4">
        <v>5.0199999999999996</v>
      </c>
      <c r="L15" s="4">
        <v>5.0199999999999996</v>
      </c>
      <c r="M15" s="4">
        <v>322.95999999999998</v>
      </c>
      <c r="N15" s="4">
        <v>325</v>
      </c>
      <c r="O15" s="4">
        <v>5.63</v>
      </c>
      <c r="P15" s="4">
        <v>0.1</v>
      </c>
      <c r="Q15" s="4">
        <v>4.1100000000000003</v>
      </c>
      <c r="R15" s="4">
        <v>6.23</v>
      </c>
    </row>
    <row r="16" spans="1:22" x14ac:dyDescent="0.25">
      <c r="A16" s="34" t="s">
        <v>2845</v>
      </c>
      <c r="C16" s="39">
        <v>40847</v>
      </c>
      <c r="D16" s="53" t="s">
        <v>1081</v>
      </c>
      <c r="E16" s="4">
        <v>250.86</v>
      </c>
      <c r="F16" s="5">
        <v>22951153460</v>
      </c>
      <c r="G16" s="5">
        <v>24893088927</v>
      </c>
      <c r="H16" s="4">
        <v>12</v>
      </c>
      <c r="I16" s="4">
        <v>8.3800000000000008</v>
      </c>
      <c r="J16" s="4">
        <v>6.1</v>
      </c>
      <c r="K16" s="4">
        <v>5.17</v>
      </c>
      <c r="L16" s="4">
        <v>5.17</v>
      </c>
      <c r="M16" s="4">
        <v>333.56</v>
      </c>
      <c r="N16" s="4">
        <v>340</v>
      </c>
      <c r="O16" s="4">
        <v>5.88</v>
      </c>
      <c r="P16" s="4">
        <v>0.56999999999999995</v>
      </c>
      <c r="Q16" s="4">
        <v>4.58</v>
      </c>
      <c r="R16" s="4">
        <v>7.33</v>
      </c>
    </row>
    <row r="17" spans="1:22" x14ac:dyDescent="0.25">
      <c r="A17" s="34" t="s">
        <v>2846</v>
      </c>
      <c r="C17" s="39">
        <v>40847</v>
      </c>
      <c r="D17" s="53" t="s">
        <v>1037</v>
      </c>
      <c r="E17" s="4">
        <v>216.63</v>
      </c>
      <c r="F17" s="5">
        <v>19248071166</v>
      </c>
      <c r="G17" s="5">
        <v>20148677215</v>
      </c>
      <c r="H17" s="4">
        <v>9.7100000000000009</v>
      </c>
      <c r="I17" s="4">
        <v>8.56</v>
      </c>
      <c r="J17" s="4">
        <v>5.36</v>
      </c>
      <c r="K17" s="4">
        <v>5.96</v>
      </c>
      <c r="L17" s="4">
        <v>5.96</v>
      </c>
      <c r="M17" s="4">
        <v>409.72</v>
      </c>
      <c r="N17" s="4">
        <v>425</v>
      </c>
      <c r="O17" s="4">
        <v>5.19</v>
      </c>
      <c r="P17" s="4">
        <v>7.0000000000000007E-2</v>
      </c>
      <c r="Q17" s="4">
        <v>2.76</v>
      </c>
      <c r="R17" s="4">
        <v>4.82</v>
      </c>
    </row>
    <row r="18" spans="1:22" x14ac:dyDescent="0.25">
      <c r="A18" s="34"/>
      <c r="C18" s="53"/>
      <c r="D18" s="37" t="s">
        <v>2847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22" x14ac:dyDescent="0.25">
      <c r="A19" s="34" t="s">
        <v>2848</v>
      </c>
      <c r="C19" s="39">
        <v>40847</v>
      </c>
      <c r="D19" s="53" t="s">
        <v>44</v>
      </c>
      <c r="E19" s="4">
        <v>340.21</v>
      </c>
      <c r="F19" s="5">
        <v>2472624000</v>
      </c>
      <c r="G19" s="5">
        <v>2398630431</v>
      </c>
      <c r="H19" s="4">
        <v>1.1599999999999999</v>
      </c>
      <c r="I19" s="4">
        <v>7.52</v>
      </c>
      <c r="J19" s="4">
        <v>5.23</v>
      </c>
      <c r="K19" s="4">
        <v>9.0399999999999991</v>
      </c>
      <c r="L19" s="4">
        <v>9.0399999999999991</v>
      </c>
      <c r="M19" s="4">
        <v>737.18</v>
      </c>
      <c r="N19" s="4">
        <v>751</v>
      </c>
      <c r="O19" s="4">
        <v>5.1100000000000003</v>
      </c>
      <c r="P19" s="4">
        <v>0.37</v>
      </c>
      <c r="Q19" s="4">
        <v>1.17</v>
      </c>
      <c r="R19" s="4">
        <v>-0.49</v>
      </c>
      <c r="T19" s="10">
        <f>IF(J19&lt;1.99,(G19/$G$79)*J19,IF(AND(J19&gt;1.99,J19&lt;3.99),(G19/$G$80)*J19,IF(AND(J19&gt;3.99,J19&lt;5.99),(G19/$G$81)*J19,IF(AND(J19&gt;5.99,J19&lt;7.99),(G19/$G$82)*J19,IF(AND(J19&gt;7.99,J19&lt;9.99),(G19/$G$83)*J19,IF(J19&gt;9.99,(G19/$G$84)*J19))))))</f>
        <v>0.11787145741020967</v>
      </c>
      <c r="U19" s="10">
        <f>IF(L19&lt;1.99,(G19/$G$63)*L19,IF(AND(L19&gt;1.99,L19&lt;3.9999),(G19/$G$64)*L19,IF(AND(L19&gt;3.9999,L19&lt;5.9999),(G19/$G$65)*L19,IF(AND(L19&gt;5.9999,L19&lt;7.9999),(G19/$G$66)*L19,IF(AND(L19&gt;7.9999,L19&lt;9.9999),(G19/$G$67)*L19,IF(L19&gt;9.9999,(G19/$G$68)*L19))))))</f>
        <v>0.74819878098750259</v>
      </c>
      <c r="V19" s="10">
        <f>IF(N19&lt;199.99,(G19/$G$71)*N19,IF(AND(N19&gt;199.99,N19&lt;399.99),(G19/$G$72)*N19,IF(AND(N19&gt;399.99,N19&lt;599.99),(G19/$G$73)*N19,IF(AND(N19&gt;599.99,N19&lt;799.99),(G19/$G$74)*N19,IF(AND(N19&gt;799.99,N19&lt;999.99),(G19/$G$75)*N19,IF(N19&gt;999.99,(G19/$G$76)*N19))))))</f>
        <v>69.33834142770263</v>
      </c>
    </row>
    <row r="20" spans="1:22" x14ac:dyDescent="0.25">
      <c r="A20" s="34" t="s">
        <v>2849</v>
      </c>
      <c r="C20" s="39">
        <v>40847</v>
      </c>
      <c r="D20" s="53" t="s">
        <v>2850</v>
      </c>
      <c r="E20" s="4">
        <v>106.39</v>
      </c>
      <c r="F20" s="5">
        <v>1239898000</v>
      </c>
      <c r="G20" s="5">
        <v>1033553555</v>
      </c>
      <c r="H20" s="4">
        <v>0.5</v>
      </c>
      <c r="I20" s="4">
        <v>4.4000000000000004</v>
      </c>
      <c r="J20" s="4">
        <v>1.37</v>
      </c>
      <c r="K20" s="4">
        <v>6.76</v>
      </c>
      <c r="L20" s="4">
        <v>6.76</v>
      </c>
      <c r="M20" s="4">
        <v>595.22</v>
      </c>
      <c r="N20" s="4">
        <v>596</v>
      </c>
      <c r="O20" s="4">
        <v>3.95</v>
      </c>
      <c r="P20" s="4">
        <v>-1.26</v>
      </c>
      <c r="Q20" s="4">
        <v>-2.37</v>
      </c>
      <c r="R20" s="4">
        <v>-6.15</v>
      </c>
      <c r="T20" s="10">
        <f t="shared" ref="T20:T54" si="0">IF(J20&lt;1.99,(G20/$G$79)*J20,IF(AND(J20&gt;1.99,J20&lt;3.99),(G20/$G$80)*J20,IF(AND(J20&gt;3.99,J20&lt;5.99),(G20/$G$81)*J20,IF(AND(J20&gt;5.99,J20&lt;7.99),(G20/$G$82)*J20,IF(AND(J20&gt;7.99,J20&lt;9.99),(G20/$G$83)*J20,IF(J20&gt;9.99,(G20/$G$84)*J20))))))</f>
        <v>1.0454172328605404</v>
      </c>
      <c r="U20" s="10">
        <f t="shared" ref="U20:U54" si="1">IF(L20&lt;1.99,(G20/$G$63)*L20,IF(AND(L20&gt;1.99,L20&lt;3.9999),(G20/$G$64)*L20,IF(AND(L20&gt;3.9999,L20&lt;5.9999),(G20/$G$65)*L20,IF(AND(L20&gt;5.9999,L20&lt;7.9999),(G20/$G$66)*L20,IF(AND(L20&gt;7.9999,L20&lt;9.9999),(G20/$G$67)*L20,IF(L20&gt;9.9999,(G20/$G$68)*L20))))))</f>
        <v>0.10510619469835834</v>
      </c>
      <c r="V20" s="10">
        <f t="shared" ref="V20:V54" si="2">IF(N20&lt;199.99,(G20/$G$71)*N20,IF(AND(N20&gt;199.99,N20&lt;399.99),(G20/$G$72)*N20,IF(AND(N20&gt;399.99,N20&lt;599.99),(G20/$G$73)*N20,IF(AND(N20&gt;599.99,N20&lt;799.99),(G20/$G$74)*N20,IF(AND(N20&gt;799.99,N20&lt;999.99),(G20/$G$75)*N20,IF(N20&gt;999.99,(G20/$G$76)*N20))))))</f>
        <v>8.171642869294141</v>
      </c>
    </row>
    <row r="21" spans="1:22" x14ac:dyDescent="0.25">
      <c r="A21" s="34" t="s">
        <v>2851</v>
      </c>
      <c r="C21" s="39">
        <v>40847</v>
      </c>
      <c r="D21" s="53" t="s">
        <v>2852</v>
      </c>
      <c r="E21" s="4">
        <v>117.66</v>
      </c>
      <c r="F21" s="5">
        <v>640000000</v>
      </c>
      <c r="G21" s="5">
        <v>686124442</v>
      </c>
      <c r="H21" s="4">
        <v>0.33</v>
      </c>
      <c r="I21" s="4">
        <v>3.05</v>
      </c>
      <c r="J21" s="4">
        <v>2.42</v>
      </c>
      <c r="K21" s="4">
        <v>9.94</v>
      </c>
      <c r="L21" s="4">
        <v>9.94</v>
      </c>
      <c r="M21" s="4">
        <v>952.89</v>
      </c>
      <c r="N21" s="4">
        <v>956</v>
      </c>
      <c r="O21" s="4">
        <v>2.42</v>
      </c>
      <c r="P21" s="4">
        <v>0.03</v>
      </c>
      <c r="Q21" s="4">
        <v>4.78</v>
      </c>
      <c r="R21" s="4">
        <v>0.1</v>
      </c>
      <c r="T21" s="10">
        <f t="shared" si="0"/>
        <v>4.5885563408146812E-2</v>
      </c>
      <c r="U21" s="10">
        <f t="shared" si="1"/>
        <v>0.23532848645729679</v>
      </c>
      <c r="V21" s="10">
        <f t="shared" si="2"/>
        <v>145.91200829139993</v>
      </c>
    </row>
    <row r="22" spans="1:22" x14ac:dyDescent="0.25">
      <c r="A22" s="34" t="s">
        <v>2853</v>
      </c>
      <c r="C22" s="39">
        <v>40847</v>
      </c>
      <c r="D22" s="53" t="s">
        <v>50</v>
      </c>
      <c r="E22" s="4">
        <v>277.99</v>
      </c>
      <c r="F22" s="5">
        <v>14749999992</v>
      </c>
      <c r="G22" s="5">
        <v>15574679429</v>
      </c>
      <c r="H22" s="4">
        <v>7.51</v>
      </c>
      <c r="I22" s="4">
        <v>10.75</v>
      </c>
      <c r="J22" s="4">
        <v>6.7</v>
      </c>
      <c r="K22" s="4">
        <v>6.1</v>
      </c>
      <c r="L22" s="4">
        <v>6.1</v>
      </c>
      <c r="M22" s="4">
        <v>392.32</v>
      </c>
      <c r="N22" s="4">
        <v>417</v>
      </c>
      <c r="O22" s="4">
        <v>6.45</v>
      </c>
      <c r="P22" s="4">
        <v>0.16</v>
      </c>
      <c r="Q22" s="4">
        <v>4.96</v>
      </c>
      <c r="R22" s="4">
        <v>5.13</v>
      </c>
      <c r="T22" s="10">
        <f t="shared" si="0"/>
        <v>1.8262128950577059</v>
      </c>
      <c r="U22" s="10">
        <f t="shared" si="1"/>
        <v>1.4292150585728109</v>
      </c>
      <c r="V22" s="10">
        <f t="shared" si="2"/>
        <v>86.155955773000471</v>
      </c>
    </row>
    <row r="23" spans="1:22" x14ac:dyDescent="0.25">
      <c r="A23" s="34" t="s">
        <v>2854</v>
      </c>
      <c r="C23" s="39">
        <v>40847</v>
      </c>
      <c r="D23" s="53" t="s">
        <v>54</v>
      </c>
      <c r="E23" s="4">
        <v>217.84</v>
      </c>
      <c r="F23" s="5">
        <v>7336495252</v>
      </c>
      <c r="G23" s="5">
        <v>7662740663</v>
      </c>
      <c r="H23" s="4">
        <v>3.69</v>
      </c>
      <c r="I23" s="4">
        <v>5.95</v>
      </c>
      <c r="J23" s="4">
        <v>4.68</v>
      </c>
      <c r="K23" s="4">
        <v>4.78</v>
      </c>
      <c r="L23" s="4">
        <v>4.78</v>
      </c>
      <c r="M23" s="4">
        <v>351.96</v>
      </c>
      <c r="N23" s="4">
        <v>334</v>
      </c>
      <c r="O23" s="4">
        <v>4.78</v>
      </c>
      <c r="P23" s="4">
        <v>0.5</v>
      </c>
      <c r="Q23" s="4">
        <v>1.86</v>
      </c>
      <c r="R23" s="4">
        <v>4.92</v>
      </c>
      <c r="T23" s="10">
        <f t="shared" si="0"/>
        <v>0.33695631959833211</v>
      </c>
      <c r="U23" s="10">
        <f t="shared" si="1"/>
        <v>0.41316023154191733</v>
      </c>
      <c r="V23" s="10">
        <f t="shared" si="2"/>
        <v>26.759525069282375</v>
      </c>
    </row>
    <row r="24" spans="1:22" x14ac:dyDescent="0.25">
      <c r="A24" s="34" t="s">
        <v>2855</v>
      </c>
      <c r="C24" s="39">
        <v>40847</v>
      </c>
      <c r="D24" s="53" t="s">
        <v>56</v>
      </c>
      <c r="E24" s="4">
        <v>193.39</v>
      </c>
      <c r="F24" s="5">
        <v>13967499988</v>
      </c>
      <c r="G24" s="5">
        <v>12991261038</v>
      </c>
      <c r="H24" s="4">
        <v>6.26</v>
      </c>
      <c r="I24" s="4">
        <v>8.27</v>
      </c>
      <c r="J24" s="4">
        <v>5.35</v>
      </c>
      <c r="K24" s="4">
        <v>8.93</v>
      </c>
      <c r="L24" s="4">
        <v>8.93</v>
      </c>
      <c r="M24" s="4">
        <v>711.73</v>
      </c>
      <c r="N24" s="4">
        <v>754</v>
      </c>
      <c r="O24" s="4">
        <v>5.18</v>
      </c>
      <c r="P24" s="4">
        <v>0.69</v>
      </c>
      <c r="Q24" s="4">
        <v>15.17</v>
      </c>
      <c r="R24" s="4">
        <v>-5.23</v>
      </c>
      <c r="T24" s="10">
        <f t="shared" si="0"/>
        <v>0.65305343268497451</v>
      </c>
      <c r="U24" s="10">
        <f t="shared" si="1"/>
        <v>4.0030221646487583</v>
      </c>
      <c r="V24" s="10">
        <f t="shared" si="2"/>
        <v>377.04468928812895</v>
      </c>
    </row>
    <row r="25" spans="1:22" x14ac:dyDescent="0.25">
      <c r="A25" s="34" t="s">
        <v>2856</v>
      </c>
      <c r="C25" s="39">
        <v>40847</v>
      </c>
      <c r="D25" s="53" t="s">
        <v>58</v>
      </c>
      <c r="E25" s="4">
        <v>154.32</v>
      </c>
      <c r="F25" s="5">
        <v>5862500001</v>
      </c>
      <c r="G25" s="5">
        <v>6433404116</v>
      </c>
      <c r="H25" s="4">
        <v>3.1</v>
      </c>
      <c r="I25" s="4">
        <v>6.82</v>
      </c>
      <c r="J25" s="4">
        <v>5.37</v>
      </c>
      <c r="K25" s="4">
        <v>5.44</v>
      </c>
      <c r="L25" s="4">
        <v>5.44</v>
      </c>
      <c r="M25" s="4">
        <v>391.77</v>
      </c>
      <c r="N25" s="4">
        <v>396</v>
      </c>
      <c r="O25" s="4">
        <v>5.25</v>
      </c>
      <c r="P25" s="4">
        <v>-0.2</v>
      </c>
      <c r="Q25" s="4">
        <v>3.32</v>
      </c>
      <c r="R25" s="4">
        <v>6.22</v>
      </c>
      <c r="T25" s="10">
        <f t="shared" si="0"/>
        <v>0.32460764475488069</v>
      </c>
      <c r="U25" s="10">
        <f t="shared" si="1"/>
        <v>0.39477188941093566</v>
      </c>
      <c r="V25" s="10">
        <f t="shared" si="2"/>
        <v>26.636908898469756</v>
      </c>
    </row>
    <row r="26" spans="1:22" x14ac:dyDescent="0.25">
      <c r="A26" s="34" t="s">
        <v>2857</v>
      </c>
      <c r="C26" s="39">
        <v>40847</v>
      </c>
      <c r="D26" s="53" t="s">
        <v>66</v>
      </c>
      <c r="E26" s="4">
        <v>142.53</v>
      </c>
      <c r="F26" s="5">
        <v>800000000</v>
      </c>
      <c r="G26" s="5">
        <v>817062497</v>
      </c>
      <c r="H26" s="4">
        <v>0.39</v>
      </c>
      <c r="I26" s="4">
        <v>4.09</v>
      </c>
      <c r="J26" s="4">
        <v>3.44</v>
      </c>
      <c r="K26" s="4">
        <v>6.15</v>
      </c>
      <c r="L26" s="4">
        <v>6.15</v>
      </c>
      <c r="M26" s="4">
        <v>543.45000000000005</v>
      </c>
      <c r="N26" s="4">
        <v>544</v>
      </c>
      <c r="O26" s="4">
        <v>3.42</v>
      </c>
      <c r="P26" s="4">
        <v>0.02</v>
      </c>
      <c r="Q26" s="4">
        <v>0.28000000000000003</v>
      </c>
      <c r="R26" s="4">
        <v>10.029999999999999</v>
      </c>
      <c r="T26" s="10">
        <f t="shared" si="0"/>
        <v>7.7673259701542929E-2</v>
      </c>
      <c r="U26" s="10">
        <f t="shared" si="1"/>
        <v>7.5592555016024618E-2</v>
      </c>
      <c r="V26" s="10">
        <f t="shared" si="2"/>
        <v>5.8963643248779833</v>
      </c>
    </row>
    <row r="27" spans="1:22" x14ac:dyDescent="0.25">
      <c r="A27" s="34" t="s">
        <v>2858</v>
      </c>
      <c r="C27" s="39">
        <v>40847</v>
      </c>
      <c r="D27" s="53" t="s">
        <v>68</v>
      </c>
      <c r="E27" s="4">
        <v>110.97</v>
      </c>
      <c r="F27" s="5">
        <v>750000000</v>
      </c>
      <c r="G27" s="5">
        <v>768500000</v>
      </c>
      <c r="H27" s="4">
        <v>0.37</v>
      </c>
      <c r="I27" s="4">
        <v>5.24</v>
      </c>
      <c r="J27" s="4">
        <v>4.29</v>
      </c>
      <c r="K27" s="4">
        <v>6.88</v>
      </c>
      <c r="L27" s="4">
        <v>6.88</v>
      </c>
      <c r="M27" s="4">
        <v>582.92999999999995</v>
      </c>
      <c r="N27" s="4">
        <v>587</v>
      </c>
      <c r="O27" s="4">
        <v>4.24</v>
      </c>
      <c r="P27" s="4">
        <v>0.76</v>
      </c>
      <c r="Q27" s="4">
        <v>5.49</v>
      </c>
      <c r="R27" s="4">
        <v>7.6</v>
      </c>
      <c r="T27" s="10">
        <f t="shared" si="0"/>
        <v>3.0977387562721313E-2</v>
      </c>
      <c r="U27" s="10">
        <f t="shared" si="1"/>
        <v>7.9539149355084646E-2</v>
      </c>
      <c r="V27" s="10">
        <f t="shared" si="2"/>
        <v>5.9842827655110762</v>
      </c>
    </row>
    <row r="28" spans="1:22" x14ac:dyDescent="0.25">
      <c r="A28" s="34" t="s">
        <v>2859</v>
      </c>
      <c r="C28" s="39">
        <v>40847</v>
      </c>
      <c r="D28" s="53" t="s">
        <v>2860</v>
      </c>
      <c r="E28" s="4">
        <v>214.32</v>
      </c>
      <c r="F28" s="5">
        <v>14730445198</v>
      </c>
      <c r="G28" s="5">
        <v>15602154991</v>
      </c>
      <c r="H28" s="4">
        <v>7.52</v>
      </c>
      <c r="I28" s="4">
        <v>11.06</v>
      </c>
      <c r="J28" s="4">
        <v>6.17</v>
      </c>
      <c r="K28" s="4">
        <v>5.32</v>
      </c>
      <c r="L28" s="4">
        <v>5.32</v>
      </c>
      <c r="M28" s="4">
        <v>312.77</v>
      </c>
      <c r="N28" s="4">
        <v>327</v>
      </c>
      <c r="O28" s="4">
        <v>6.05</v>
      </c>
      <c r="P28" s="4">
        <v>-0.04</v>
      </c>
      <c r="Q28" s="4">
        <v>4.0199999999999996</v>
      </c>
      <c r="R28" s="4">
        <v>3.94</v>
      </c>
      <c r="T28" s="10">
        <f t="shared" si="0"/>
        <v>1.6847180845721108</v>
      </c>
      <c r="U28" s="10">
        <f t="shared" si="1"/>
        <v>0.93627344967959525</v>
      </c>
      <c r="V28" s="10">
        <f t="shared" si="2"/>
        <v>53.343332946467299</v>
      </c>
    </row>
    <row r="29" spans="1:22" x14ac:dyDescent="0.25">
      <c r="A29" s="34" t="s">
        <v>2861</v>
      </c>
      <c r="C29" s="39">
        <v>40847</v>
      </c>
      <c r="D29" s="53" t="s">
        <v>78</v>
      </c>
      <c r="E29" s="4">
        <v>610.37</v>
      </c>
      <c r="F29" s="5">
        <v>4645608000</v>
      </c>
      <c r="G29" s="5">
        <v>4792880903</v>
      </c>
      <c r="H29" s="4">
        <v>2.31</v>
      </c>
      <c r="I29" s="4">
        <v>5.55</v>
      </c>
      <c r="J29" s="4">
        <v>4.37</v>
      </c>
      <c r="K29" s="4">
        <v>8.26</v>
      </c>
      <c r="L29" s="4">
        <v>8.26</v>
      </c>
      <c r="M29" s="4">
        <v>711.53</v>
      </c>
      <c r="N29" s="4">
        <v>710</v>
      </c>
      <c r="O29" s="4">
        <v>4.3</v>
      </c>
      <c r="P29" s="4">
        <v>-0.22</v>
      </c>
      <c r="Q29" s="4">
        <v>12.09</v>
      </c>
      <c r="R29" s="4">
        <v>1.54</v>
      </c>
      <c r="T29" s="10">
        <f t="shared" si="0"/>
        <v>0.19679846185034558</v>
      </c>
      <c r="U29" s="10">
        <f t="shared" si="1"/>
        <v>1.36603526605162</v>
      </c>
      <c r="V29" s="10">
        <f t="shared" si="2"/>
        <v>130.98608417201035</v>
      </c>
    </row>
    <row r="30" spans="1:22" x14ac:dyDescent="0.25">
      <c r="A30" s="34" t="s">
        <v>2862</v>
      </c>
      <c r="C30" s="39">
        <v>40847</v>
      </c>
      <c r="D30" s="53" t="s">
        <v>2863</v>
      </c>
      <c r="E30" s="4">
        <v>220.57</v>
      </c>
      <c r="F30" s="5">
        <v>1800000000</v>
      </c>
      <c r="G30" s="5">
        <v>2027282289</v>
      </c>
      <c r="H30" s="4">
        <v>0.98</v>
      </c>
      <c r="I30" s="4">
        <v>8.9700000000000006</v>
      </c>
      <c r="J30" s="4">
        <v>6.34</v>
      </c>
      <c r="K30" s="4">
        <v>6.16</v>
      </c>
      <c r="L30" s="4">
        <v>6.16</v>
      </c>
      <c r="M30" s="4">
        <v>422.26</v>
      </c>
      <c r="N30" s="4">
        <v>440</v>
      </c>
      <c r="O30" s="4">
        <v>6.15</v>
      </c>
      <c r="P30" s="4">
        <v>0.28000000000000003</v>
      </c>
      <c r="Q30" s="4">
        <v>1.2</v>
      </c>
      <c r="R30" s="4">
        <v>2.83</v>
      </c>
      <c r="T30" s="10">
        <f t="shared" si="0"/>
        <v>0.22493703700308376</v>
      </c>
      <c r="U30" s="10">
        <f t="shared" si="1"/>
        <v>0.18786400228875405</v>
      </c>
      <c r="V30" s="10">
        <f t="shared" si="2"/>
        <v>11.833059165614911</v>
      </c>
    </row>
    <row r="31" spans="1:22" x14ac:dyDescent="0.25">
      <c r="A31" s="34" t="s">
        <v>2864</v>
      </c>
      <c r="C31" s="39">
        <v>40847</v>
      </c>
      <c r="D31" s="53" t="s">
        <v>2865</v>
      </c>
      <c r="E31" s="4">
        <v>166.45</v>
      </c>
      <c r="F31" s="5">
        <v>12272500000</v>
      </c>
      <c r="G31" s="5">
        <v>12255413634</v>
      </c>
      <c r="H31" s="4">
        <v>5.91</v>
      </c>
      <c r="I31" s="4">
        <v>9.01</v>
      </c>
      <c r="J31" s="4">
        <v>5.27</v>
      </c>
      <c r="K31" s="4">
        <v>5.99</v>
      </c>
      <c r="L31" s="4">
        <v>5.99</v>
      </c>
      <c r="M31" s="4">
        <v>404.44</v>
      </c>
      <c r="N31" s="4">
        <v>433</v>
      </c>
      <c r="O31" s="4">
        <v>5.28</v>
      </c>
      <c r="P31" s="4">
        <v>0.18</v>
      </c>
      <c r="Q31" s="4">
        <v>6.38</v>
      </c>
      <c r="R31" s="4">
        <v>2.64</v>
      </c>
      <c r="T31" s="10">
        <f t="shared" si="0"/>
        <v>0.6068511988927332</v>
      </c>
      <c r="U31" s="10">
        <f t="shared" si="1"/>
        <v>0.82805900439217395</v>
      </c>
      <c r="V31" s="10">
        <f t="shared" si="2"/>
        <v>70.395679180485899</v>
      </c>
    </row>
    <row r="32" spans="1:22" x14ac:dyDescent="0.25">
      <c r="A32" s="34" t="s">
        <v>2866</v>
      </c>
      <c r="C32" s="39">
        <v>40847</v>
      </c>
      <c r="D32" s="53" t="s">
        <v>84</v>
      </c>
      <c r="E32" s="4">
        <v>178.02</v>
      </c>
      <c r="F32" s="5">
        <v>3500142000</v>
      </c>
      <c r="G32" s="5">
        <v>3639706928</v>
      </c>
      <c r="H32" s="4">
        <v>1.75</v>
      </c>
      <c r="I32" s="4">
        <v>4.41</v>
      </c>
      <c r="J32" s="4">
        <v>3.45</v>
      </c>
      <c r="K32" s="4">
        <v>8.33</v>
      </c>
      <c r="L32" s="4">
        <v>8.33</v>
      </c>
      <c r="M32" s="4">
        <v>751.87</v>
      </c>
      <c r="N32" s="4">
        <v>745</v>
      </c>
      <c r="O32" s="4">
        <v>3.42</v>
      </c>
      <c r="P32" s="4">
        <v>0.03</v>
      </c>
      <c r="Q32" s="4">
        <v>5.26</v>
      </c>
      <c r="R32" s="4">
        <v>4.54</v>
      </c>
      <c r="T32" s="10">
        <f t="shared" si="0"/>
        <v>0.34701106438248308</v>
      </c>
      <c r="U32" s="10">
        <f t="shared" si="1"/>
        <v>1.0461564652733337</v>
      </c>
      <c r="V32" s="10">
        <f t="shared" si="2"/>
        <v>104.37412820119673</v>
      </c>
    </row>
    <row r="33" spans="1:22" x14ac:dyDescent="0.25">
      <c r="A33" s="34" t="s">
        <v>2867</v>
      </c>
      <c r="C33" s="39">
        <v>40847</v>
      </c>
      <c r="D33" s="53" t="s">
        <v>88</v>
      </c>
      <c r="E33" s="4">
        <v>144.68</v>
      </c>
      <c r="F33" s="5">
        <v>6659173449</v>
      </c>
      <c r="G33" s="5">
        <v>5290250897</v>
      </c>
      <c r="H33" s="4">
        <v>2.5499999999999998</v>
      </c>
      <c r="I33" s="4">
        <v>5.05</v>
      </c>
      <c r="J33" s="4">
        <v>3.29</v>
      </c>
      <c r="K33" s="4">
        <v>16.010000000000002</v>
      </c>
      <c r="L33" s="4">
        <v>16.010000000000002</v>
      </c>
      <c r="M33" s="4">
        <v>1501.18</v>
      </c>
      <c r="N33" s="4">
        <v>1505</v>
      </c>
      <c r="O33" s="4">
        <v>3.25</v>
      </c>
      <c r="P33" s="4">
        <v>0.09</v>
      </c>
      <c r="Q33" s="4">
        <v>11.5</v>
      </c>
      <c r="R33" s="4">
        <v>-14.7</v>
      </c>
      <c r="T33" s="10">
        <f t="shared" si="0"/>
        <v>0.48098327979925326</v>
      </c>
      <c r="U33" s="10">
        <f t="shared" si="1"/>
        <v>14.21189178528023</v>
      </c>
      <c r="V33" s="10">
        <f t="shared" si="2"/>
        <v>1335.9710891222201</v>
      </c>
    </row>
    <row r="34" spans="1:22" x14ac:dyDescent="0.25">
      <c r="A34" s="34" t="s">
        <v>2868</v>
      </c>
      <c r="C34" s="39">
        <v>40847</v>
      </c>
      <c r="D34" s="53" t="s">
        <v>2869</v>
      </c>
      <c r="E34" s="4">
        <v>197.96</v>
      </c>
      <c r="F34" s="5">
        <v>13923917112</v>
      </c>
      <c r="G34" s="5">
        <v>14551045585</v>
      </c>
      <c r="H34" s="4">
        <v>7.01</v>
      </c>
      <c r="I34" s="4">
        <v>6.06</v>
      </c>
      <c r="J34" s="4">
        <v>3.9</v>
      </c>
      <c r="K34" s="4">
        <v>4.21</v>
      </c>
      <c r="L34" s="4">
        <v>4.21</v>
      </c>
      <c r="M34" s="4">
        <v>291.44</v>
      </c>
      <c r="N34" s="4">
        <v>277</v>
      </c>
      <c r="O34" s="4">
        <v>4.5</v>
      </c>
      <c r="P34" s="4">
        <v>0.17</v>
      </c>
      <c r="Q34" s="4">
        <v>2.67</v>
      </c>
      <c r="R34" s="4">
        <v>4.51</v>
      </c>
      <c r="T34" s="10">
        <f t="shared" si="0"/>
        <v>1.5682547813013856</v>
      </c>
      <c r="U34" s="10">
        <f t="shared" si="1"/>
        <v>0.69100753806441872</v>
      </c>
      <c r="V34" s="10">
        <f t="shared" si="2"/>
        <v>42.142643779459789</v>
      </c>
    </row>
    <row r="35" spans="1:22" x14ac:dyDescent="0.25">
      <c r="A35" s="34" t="s">
        <v>2870</v>
      </c>
      <c r="C35" s="39">
        <v>40847</v>
      </c>
      <c r="D35" s="53" t="s">
        <v>2871</v>
      </c>
      <c r="E35" s="4">
        <v>118.82</v>
      </c>
      <c r="F35" s="5">
        <v>1400000000</v>
      </c>
      <c r="G35" s="5">
        <v>1493763195</v>
      </c>
      <c r="H35" s="4">
        <v>0.72</v>
      </c>
      <c r="I35" s="4">
        <v>7.42</v>
      </c>
      <c r="J35" s="4">
        <v>5.42</v>
      </c>
      <c r="K35" s="4">
        <v>7.51</v>
      </c>
      <c r="L35" s="4">
        <v>7.51</v>
      </c>
      <c r="M35" s="4">
        <v>586.25</v>
      </c>
      <c r="N35" s="4">
        <v>600</v>
      </c>
      <c r="O35" s="4">
        <v>5.29</v>
      </c>
      <c r="P35" s="4">
        <v>0.02</v>
      </c>
      <c r="Q35" s="4">
        <v>2.0699999999999998</v>
      </c>
      <c r="R35" s="4">
        <v>2.69</v>
      </c>
      <c r="T35" s="10">
        <f t="shared" si="0"/>
        <v>7.6071970580525949E-2</v>
      </c>
      <c r="U35" s="10">
        <f t="shared" si="1"/>
        <v>0.16876031353558596</v>
      </c>
      <c r="V35" s="10">
        <f t="shared" si="2"/>
        <v>34.498735576850471</v>
      </c>
    </row>
    <row r="36" spans="1:22" x14ac:dyDescent="0.25">
      <c r="A36" s="34" t="s">
        <v>2872</v>
      </c>
      <c r="C36" s="39">
        <v>40847</v>
      </c>
      <c r="D36" s="53" t="s">
        <v>90</v>
      </c>
      <c r="E36" s="4">
        <v>160.88</v>
      </c>
      <c r="F36" s="5">
        <v>300000000</v>
      </c>
      <c r="G36" s="5">
        <v>320899314</v>
      </c>
      <c r="H36" s="4">
        <v>0.15</v>
      </c>
      <c r="I36" s="4">
        <v>1.1100000000000001</v>
      </c>
      <c r="J36" s="4">
        <v>1.06</v>
      </c>
      <c r="K36" s="4">
        <v>2.13</v>
      </c>
      <c r="L36" s="4">
        <v>2.13</v>
      </c>
      <c r="M36" s="4">
        <v>201.92</v>
      </c>
      <c r="N36" s="4">
        <v>202</v>
      </c>
      <c r="O36" s="4">
        <v>1.05</v>
      </c>
      <c r="P36" s="4">
        <v>0.02</v>
      </c>
      <c r="Q36" s="4">
        <v>-0.37</v>
      </c>
      <c r="R36" s="4">
        <v>3.87</v>
      </c>
      <c r="T36" s="10">
        <f t="shared" si="0"/>
        <v>0.25113703150936295</v>
      </c>
      <c r="U36" s="10">
        <f t="shared" si="1"/>
        <v>3.9300616440781443E-2</v>
      </c>
      <c r="V36" s="10">
        <f t="shared" si="2"/>
        <v>0.67774756354382804</v>
      </c>
    </row>
    <row r="37" spans="1:22" x14ac:dyDescent="0.25">
      <c r="A37" s="34" t="s">
        <v>2873</v>
      </c>
      <c r="C37" s="39">
        <v>40847</v>
      </c>
      <c r="D37" s="53" t="s">
        <v>2874</v>
      </c>
      <c r="E37" s="4">
        <v>113.18</v>
      </c>
      <c r="F37" s="5">
        <v>600000000</v>
      </c>
      <c r="G37" s="5">
        <v>663199998</v>
      </c>
      <c r="H37" s="4">
        <v>0.32</v>
      </c>
      <c r="I37" s="4">
        <v>6.53</v>
      </c>
      <c r="J37" s="4">
        <v>4.6399999999999997</v>
      </c>
      <c r="K37" s="4">
        <v>8.5</v>
      </c>
      <c r="L37" s="4">
        <v>8.5</v>
      </c>
      <c r="M37" s="4">
        <v>706.64</v>
      </c>
      <c r="N37" s="4">
        <v>722</v>
      </c>
      <c r="O37" s="4">
        <v>4.5599999999999996</v>
      </c>
      <c r="P37" s="4">
        <v>-0.09</v>
      </c>
      <c r="Q37" s="4">
        <v>-0.74</v>
      </c>
      <c r="R37" s="4">
        <v>-1.51</v>
      </c>
      <c r="T37" s="10">
        <f t="shared" si="0"/>
        <v>2.8913863211001627E-2</v>
      </c>
      <c r="U37" s="10">
        <f t="shared" si="1"/>
        <v>0.19451301633474732</v>
      </c>
      <c r="V37" s="10">
        <f t="shared" si="2"/>
        <v>18.431126791308856</v>
      </c>
    </row>
    <row r="38" spans="1:22" x14ac:dyDescent="0.25">
      <c r="A38" s="34" t="s">
        <v>2875</v>
      </c>
      <c r="C38" s="39">
        <v>40847</v>
      </c>
      <c r="D38" s="53" t="s">
        <v>94</v>
      </c>
      <c r="E38" s="4">
        <v>220.76</v>
      </c>
      <c r="F38" s="5">
        <v>3950555000</v>
      </c>
      <c r="G38" s="5">
        <v>4352444810</v>
      </c>
      <c r="H38" s="4">
        <v>2.1</v>
      </c>
      <c r="I38" s="4">
        <v>5.55</v>
      </c>
      <c r="J38" s="4">
        <v>4.5999999999999996</v>
      </c>
      <c r="K38" s="4">
        <v>3.95</v>
      </c>
      <c r="L38" s="4">
        <v>3.95</v>
      </c>
      <c r="M38" s="4">
        <v>280.89</v>
      </c>
      <c r="N38" s="4">
        <v>256</v>
      </c>
      <c r="O38" s="4">
        <v>4.5</v>
      </c>
      <c r="P38" s="4">
        <v>0.1</v>
      </c>
      <c r="Q38" s="4">
        <v>0.9</v>
      </c>
      <c r="R38" s="4">
        <v>4.8</v>
      </c>
      <c r="T38" s="10">
        <f t="shared" si="0"/>
        <v>0.18811989594167025</v>
      </c>
      <c r="U38" s="10">
        <f t="shared" si="1"/>
        <v>0.98851061849082178</v>
      </c>
      <c r="V38" s="10">
        <f t="shared" si="2"/>
        <v>11.649869085668676</v>
      </c>
    </row>
    <row r="39" spans="1:22" x14ac:dyDescent="0.25">
      <c r="A39" s="34" t="s">
        <v>2876</v>
      </c>
      <c r="C39" s="39">
        <v>40847</v>
      </c>
      <c r="D39" s="53" t="s">
        <v>96</v>
      </c>
      <c r="E39" s="4">
        <v>205.89</v>
      </c>
      <c r="F39" s="5">
        <v>14253093497</v>
      </c>
      <c r="G39" s="5">
        <v>14690156568</v>
      </c>
      <c r="H39" s="4">
        <v>7.08</v>
      </c>
      <c r="I39" s="4">
        <v>10.83</v>
      </c>
      <c r="J39" s="4">
        <v>6.79</v>
      </c>
      <c r="K39" s="4">
        <v>6.19</v>
      </c>
      <c r="L39" s="4">
        <v>6.19</v>
      </c>
      <c r="M39" s="4">
        <v>401.09</v>
      </c>
      <c r="N39" s="4">
        <v>428</v>
      </c>
      <c r="O39" s="4">
        <v>6.67</v>
      </c>
      <c r="P39" s="4">
        <v>0.86</v>
      </c>
      <c r="Q39" s="4">
        <v>7.21</v>
      </c>
      <c r="R39" s="4">
        <v>3.24</v>
      </c>
      <c r="T39" s="10">
        <f t="shared" si="0"/>
        <v>1.7456359799868693</v>
      </c>
      <c r="U39" s="10">
        <f t="shared" si="1"/>
        <v>1.3679357684404092</v>
      </c>
      <c r="V39" s="10">
        <f t="shared" si="2"/>
        <v>83.406582505240664</v>
      </c>
    </row>
    <row r="40" spans="1:22" x14ac:dyDescent="0.25">
      <c r="A40" s="34" t="s">
        <v>2877</v>
      </c>
      <c r="C40" s="39">
        <v>40847</v>
      </c>
      <c r="D40" s="53" t="s">
        <v>98</v>
      </c>
      <c r="E40" s="4">
        <v>105.54</v>
      </c>
      <c r="F40" s="5">
        <v>1000000000</v>
      </c>
      <c r="G40" s="5">
        <v>1029486110</v>
      </c>
      <c r="H40" s="4">
        <v>0.5</v>
      </c>
      <c r="I40" s="4">
        <v>4.41</v>
      </c>
      <c r="J40" s="4">
        <v>3.48</v>
      </c>
      <c r="K40" s="4">
        <v>8.98</v>
      </c>
      <c r="L40" s="4">
        <v>8.98</v>
      </c>
      <c r="M40" s="4">
        <v>816.84</v>
      </c>
      <c r="N40" s="4">
        <v>824</v>
      </c>
      <c r="O40" s="4">
        <v>3.46</v>
      </c>
      <c r="P40" s="4">
        <v>-0.34</v>
      </c>
      <c r="Q40" s="4">
        <v>6.45</v>
      </c>
      <c r="R40" s="4">
        <v>5.54</v>
      </c>
      <c r="T40" s="10">
        <f t="shared" si="0"/>
        <v>9.9005095578201655E-2</v>
      </c>
      <c r="U40" s="10">
        <f t="shared" si="1"/>
        <v>0.31899366231989384</v>
      </c>
      <c r="V40" s="10">
        <f t="shared" si="2"/>
        <v>188.70263094044878</v>
      </c>
    </row>
    <row r="41" spans="1:22" x14ac:dyDescent="0.25">
      <c r="A41" s="34" t="s">
        <v>2878</v>
      </c>
      <c r="C41" s="39">
        <v>40847</v>
      </c>
      <c r="D41" s="53" t="s">
        <v>2879</v>
      </c>
      <c r="E41" s="4">
        <v>92.33</v>
      </c>
      <c r="F41" s="5">
        <v>320000000</v>
      </c>
      <c r="G41" s="5">
        <v>288800000</v>
      </c>
      <c r="H41" s="4">
        <v>0.14000000000000001</v>
      </c>
      <c r="I41" s="4">
        <v>4.03</v>
      </c>
      <c r="J41" s="4">
        <v>2.89</v>
      </c>
      <c r="K41" s="4">
        <v>15.72</v>
      </c>
      <c r="L41" s="4">
        <v>15.72</v>
      </c>
      <c r="M41" s="4">
        <v>1501.79</v>
      </c>
      <c r="N41" s="4">
        <v>1510</v>
      </c>
      <c r="O41" s="4">
        <v>2.88</v>
      </c>
      <c r="P41" s="4">
        <v>0.03</v>
      </c>
      <c r="Q41" s="4">
        <v>-0.69</v>
      </c>
      <c r="R41" s="4">
        <v>-7.67</v>
      </c>
      <c r="T41" s="10">
        <f t="shared" si="0"/>
        <v>2.3064967322761323E-2</v>
      </c>
      <c r="U41" s="10">
        <f t="shared" si="1"/>
        <v>0.76178781395324391</v>
      </c>
      <c r="V41" s="10">
        <f t="shared" si="2"/>
        <v>73.174274749961725</v>
      </c>
    </row>
    <row r="42" spans="1:22" x14ac:dyDescent="0.25">
      <c r="A42" s="34" t="s">
        <v>2880</v>
      </c>
      <c r="C42" s="39">
        <v>40847</v>
      </c>
      <c r="D42" s="53" t="s">
        <v>104</v>
      </c>
      <c r="E42" s="4">
        <v>176.1</v>
      </c>
      <c r="F42" s="5">
        <v>5378776697</v>
      </c>
      <c r="G42" s="5">
        <v>5554155118</v>
      </c>
      <c r="H42" s="4">
        <v>2.68</v>
      </c>
      <c r="I42" s="4">
        <v>15.39</v>
      </c>
      <c r="J42" s="4">
        <v>9.02</v>
      </c>
      <c r="K42" s="4">
        <v>6.08</v>
      </c>
      <c r="L42" s="4">
        <v>6.08</v>
      </c>
      <c r="M42" s="4">
        <v>367.73</v>
      </c>
      <c r="N42" s="4">
        <v>375</v>
      </c>
      <c r="O42" s="4">
        <v>8.56</v>
      </c>
      <c r="P42" s="4">
        <v>1.45</v>
      </c>
      <c r="Q42" s="4">
        <v>5.23</v>
      </c>
      <c r="R42" s="4">
        <v>4.4400000000000004</v>
      </c>
      <c r="T42" s="10">
        <f t="shared" si="0"/>
        <v>9.02</v>
      </c>
      <c r="U42" s="10">
        <f t="shared" si="1"/>
        <v>0.50800760744829321</v>
      </c>
      <c r="V42" s="10">
        <f t="shared" si="2"/>
        <v>21.776951268154537</v>
      </c>
    </row>
    <row r="43" spans="1:22" x14ac:dyDescent="0.25">
      <c r="A43" s="34" t="s">
        <v>2881</v>
      </c>
      <c r="C43" s="39">
        <v>40847</v>
      </c>
      <c r="D43" s="53" t="s">
        <v>106</v>
      </c>
      <c r="E43" s="4">
        <v>497.75</v>
      </c>
      <c r="F43" s="5">
        <v>3629156000</v>
      </c>
      <c r="G43" s="5">
        <v>3700956516</v>
      </c>
      <c r="H43" s="4">
        <v>1.78</v>
      </c>
      <c r="I43" s="4">
        <v>5.95</v>
      </c>
      <c r="J43" s="4">
        <v>4.78</v>
      </c>
      <c r="K43" s="4">
        <v>5.95</v>
      </c>
      <c r="L43" s="4">
        <v>5.95</v>
      </c>
      <c r="M43" s="4">
        <v>468.35</v>
      </c>
      <c r="N43" s="4">
        <v>460</v>
      </c>
      <c r="O43" s="4">
        <v>4.68</v>
      </c>
      <c r="P43" s="4">
        <v>0.02</v>
      </c>
      <c r="Q43" s="4">
        <v>5.03</v>
      </c>
      <c r="R43" s="4">
        <v>4.6900000000000004</v>
      </c>
      <c r="T43" s="10">
        <f t="shared" si="0"/>
        <v>0.1662208521088348</v>
      </c>
      <c r="U43" s="10">
        <f t="shared" si="1"/>
        <v>0.24839190377328546</v>
      </c>
      <c r="V43" s="10">
        <f t="shared" si="2"/>
        <v>22.58405627795063</v>
      </c>
    </row>
    <row r="44" spans="1:22" x14ac:dyDescent="0.25">
      <c r="A44" s="34" t="s">
        <v>2882</v>
      </c>
      <c r="C44" s="39">
        <v>40847</v>
      </c>
      <c r="D44" s="53" t="s">
        <v>2883</v>
      </c>
      <c r="E44" s="4">
        <v>135.65</v>
      </c>
      <c r="F44" s="5">
        <v>10447765001</v>
      </c>
      <c r="G44" s="5">
        <v>11373832507</v>
      </c>
      <c r="H44" s="4">
        <v>5.48</v>
      </c>
      <c r="I44" s="4">
        <v>7.26</v>
      </c>
      <c r="J44" s="4">
        <v>5.7</v>
      </c>
      <c r="K44" s="4">
        <v>4.07</v>
      </c>
      <c r="L44" s="4">
        <v>4.07</v>
      </c>
      <c r="M44" s="4">
        <v>245.1</v>
      </c>
      <c r="N44" s="4">
        <v>235</v>
      </c>
      <c r="O44" s="4">
        <v>5.53</v>
      </c>
      <c r="P44" s="4">
        <v>0.01</v>
      </c>
      <c r="Q44" s="4">
        <v>1.1499999999999999</v>
      </c>
      <c r="R44" s="4">
        <v>7.74</v>
      </c>
      <c r="T44" s="10">
        <f t="shared" si="0"/>
        <v>0.60915148802394337</v>
      </c>
      <c r="U44" s="10">
        <f t="shared" si="1"/>
        <v>0.52216496071956708</v>
      </c>
      <c r="V44" s="10">
        <f t="shared" si="2"/>
        <v>27.946182934684767</v>
      </c>
    </row>
    <row r="45" spans="1:22" x14ac:dyDescent="0.25">
      <c r="A45" s="34" t="s">
        <v>2884</v>
      </c>
      <c r="C45" s="39">
        <v>40847</v>
      </c>
      <c r="D45" s="53" t="s">
        <v>110</v>
      </c>
      <c r="E45" s="4">
        <v>261.39</v>
      </c>
      <c r="F45" s="5">
        <v>14750000003</v>
      </c>
      <c r="G45" s="5">
        <v>15673429468</v>
      </c>
      <c r="H45" s="4">
        <v>7.55</v>
      </c>
      <c r="I45" s="4">
        <v>6.37</v>
      </c>
      <c r="J45" s="4">
        <v>4.62</v>
      </c>
      <c r="K45" s="4">
        <v>6.1</v>
      </c>
      <c r="L45" s="4">
        <v>6.1</v>
      </c>
      <c r="M45" s="4">
        <v>471.16</v>
      </c>
      <c r="N45" s="4">
        <v>465</v>
      </c>
      <c r="O45" s="4">
        <v>4.5599999999999996</v>
      </c>
      <c r="P45" s="4">
        <v>-0.31</v>
      </c>
      <c r="Q45" s="4">
        <v>7.05</v>
      </c>
      <c r="R45" s="4">
        <v>4.42</v>
      </c>
      <c r="T45" s="10">
        <f t="shared" si="0"/>
        <v>0.68037701686011531</v>
      </c>
      <c r="U45" s="10">
        <f t="shared" si="1"/>
        <v>1.4382768850724728</v>
      </c>
      <c r="V45" s="10">
        <f t="shared" si="2"/>
        <v>96.682332640832684</v>
      </c>
    </row>
    <row r="46" spans="1:22" x14ac:dyDescent="0.25">
      <c r="A46" s="34" t="s">
        <v>2885</v>
      </c>
      <c r="C46" s="39">
        <v>40847</v>
      </c>
      <c r="D46" s="53" t="s">
        <v>2886</v>
      </c>
      <c r="E46" s="4">
        <v>194.75</v>
      </c>
      <c r="F46" s="5">
        <v>9674999999</v>
      </c>
      <c r="G46" s="5">
        <v>10029679742</v>
      </c>
      <c r="H46" s="4">
        <v>4.83</v>
      </c>
      <c r="I46" s="4">
        <v>8.32</v>
      </c>
      <c r="J46" s="4">
        <v>4.3499999999999996</v>
      </c>
      <c r="K46" s="4">
        <v>3.88</v>
      </c>
      <c r="L46" s="4">
        <v>3.88</v>
      </c>
      <c r="M46" s="4">
        <v>205.91</v>
      </c>
      <c r="N46" s="4">
        <v>204</v>
      </c>
      <c r="O46" s="4">
        <v>6.18</v>
      </c>
      <c r="P46" s="4">
        <v>0.28000000000000003</v>
      </c>
      <c r="Q46" s="4">
        <v>1.99</v>
      </c>
      <c r="R46" s="4">
        <v>4.33</v>
      </c>
      <c r="T46" s="10">
        <f t="shared" si="0"/>
        <v>0.40993967079813787</v>
      </c>
      <c r="U46" s="10">
        <f t="shared" si="1"/>
        <v>2.2375346101267222</v>
      </c>
      <c r="V46" s="10">
        <f t="shared" si="2"/>
        <v>21.392672374286676</v>
      </c>
    </row>
    <row r="47" spans="1:22" x14ac:dyDescent="0.25">
      <c r="A47" s="34" t="s">
        <v>2887</v>
      </c>
      <c r="C47" s="39">
        <v>40847</v>
      </c>
      <c r="D47" s="53" t="s">
        <v>2888</v>
      </c>
      <c r="E47" s="4">
        <v>130.33000000000001</v>
      </c>
      <c r="F47" s="5">
        <v>2700000000</v>
      </c>
      <c r="G47" s="5">
        <v>2688956228</v>
      </c>
      <c r="H47" s="4">
        <v>1.3</v>
      </c>
      <c r="I47" s="4">
        <v>4.03</v>
      </c>
      <c r="J47" s="4">
        <v>3.06</v>
      </c>
      <c r="K47" s="4">
        <v>2.98</v>
      </c>
      <c r="L47" s="4">
        <v>2.98</v>
      </c>
      <c r="M47" s="4">
        <v>228</v>
      </c>
      <c r="N47" s="4">
        <v>229</v>
      </c>
      <c r="O47" s="4">
        <v>3.72</v>
      </c>
      <c r="P47" s="4">
        <v>0.01</v>
      </c>
      <c r="Q47" s="4">
        <v>-0.09</v>
      </c>
      <c r="R47" s="4">
        <v>3.3</v>
      </c>
      <c r="T47" s="10">
        <f t="shared" si="0"/>
        <v>0.22738560688463413</v>
      </c>
      <c r="U47" s="10">
        <f t="shared" si="1"/>
        <v>0.46073474763258315</v>
      </c>
      <c r="V47" s="10">
        <f t="shared" si="2"/>
        <v>6.4382379228622622</v>
      </c>
    </row>
    <row r="48" spans="1:22" x14ac:dyDescent="0.25">
      <c r="A48" s="34" t="s">
        <v>2889</v>
      </c>
      <c r="C48" s="39">
        <v>40847</v>
      </c>
      <c r="D48" s="53" t="s">
        <v>116</v>
      </c>
      <c r="E48" s="4">
        <v>126.4</v>
      </c>
      <c r="F48" s="5">
        <v>4500000000</v>
      </c>
      <c r="G48" s="5">
        <v>4426452430</v>
      </c>
      <c r="H48" s="4">
        <v>2.13</v>
      </c>
      <c r="I48" s="4">
        <v>8.57</v>
      </c>
      <c r="J48" s="4">
        <v>6.06</v>
      </c>
      <c r="K48" s="4">
        <v>6.3</v>
      </c>
      <c r="L48" s="4">
        <v>6.3</v>
      </c>
      <c r="M48" s="4">
        <v>443.55</v>
      </c>
      <c r="N48" s="4">
        <v>460</v>
      </c>
      <c r="O48" s="4">
        <v>5.88</v>
      </c>
      <c r="P48" s="4">
        <v>-0.13</v>
      </c>
      <c r="Q48" s="4">
        <v>1.51</v>
      </c>
      <c r="R48" s="4">
        <v>0.01</v>
      </c>
      <c r="T48" s="10">
        <f t="shared" si="0"/>
        <v>0.46944629023148998</v>
      </c>
      <c r="U48" s="10">
        <f t="shared" si="1"/>
        <v>0.41951257431809325</v>
      </c>
      <c r="V48" s="10">
        <f t="shared" si="2"/>
        <v>27.011193014187612</v>
      </c>
    </row>
    <row r="49" spans="1:22" x14ac:dyDescent="0.25">
      <c r="A49" s="34" t="s">
        <v>2890</v>
      </c>
      <c r="C49" s="39">
        <v>40847</v>
      </c>
      <c r="D49" s="53" t="s">
        <v>2891</v>
      </c>
      <c r="E49" s="4">
        <v>304.75</v>
      </c>
      <c r="F49" s="5">
        <v>4649825000</v>
      </c>
      <c r="G49" s="5">
        <v>4819574012</v>
      </c>
      <c r="H49" s="4">
        <v>2.3199999999999998</v>
      </c>
      <c r="I49" s="4">
        <v>8.34</v>
      </c>
      <c r="J49" s="4">
        <v>6.01</v>
      </c>
      <c r="K49" s="4">
        <v>5.05</v>
      </c>
      <c r="L49" s="4">
        <v>5.05</v>
      </c>
      <c r="M49" s="4">
        <v>322.86</v>
      </c>
      <c r="N49" s="4">
        <v>324</v>
      </c>
      <c r="O49" s="4">
        <v>5.81</v>
      </c>
      <c r="P49" s="4">
        <v>0.54</v>
      </c>
      <c r="Q49" s="4">
        <v>1.73</v>
      </c>
      <c r="R49" s="4">
        <v>6.16</v>
      </c>
      <c r="T49" s="10">
        <f t="shared" si="0"/>
        <v>0.50692138393681707</v>
      </c>
      <c r="U49" s="10">
        <f t="shared" si="1"/>
        <v>0.27454056301478652</v>
      </c>
      <c r="V49" s="10">
        <f t="shared" si="2"/>
        <v>16.326814970887906</v>
      </c>
    </row>
    <row r="50" spans="1:22" x14ac:dyDescent="0.25">
      <c r="A50" s="34" t="s">
        <v>2892</v>
      </c>
      <c r="C50" s="39">
        <v>40847</v>
      </c>
      <c r="D50" s="53" t="s">
        <v>120</v>
      </c>
      <c r="E50" s="4">
        <v>137.80000000000001</v>
      </c>
      <c r="F50" s="5">
        <v>4550000000</v>
      </c>
      <c r="G50" s="5">
        <v>4414897381</v>
      </c>
      <c r="H50" s="4">
        <v>2.13</v>
      </c>
      <c r="I50" s="4">
        <v>5.04</v>
      </c>
      <c r="J50" s="4">
        <v>3.97</v>
      </c>
      <c r="K50" s="4">
        <v>6.42</v>
      </c>
      <c r="L50" s="4">
        <v>6.42</v>
      </c>
      <c r="M50" s="4">
        <v>542.88</v>
      </c>
      <c r="N50" s="4">
        <v>541</v>
      </c>
      <c r="O50" s="4">
        <v>4.16</v>
      </c>
      <c r="P50" s="4">
        <v>0.02</v>
      </c>
      <c r="Q50" s="4">
        <v>2.36</v>
      </c>
      <c r="R50" s="4">
        <v>-0.62</v>
      </c>
      <c r="T50" s="10">
        <f t="shared" si="0"/>
        <v>0.48436073789365242</v>
      </c>
      <c r="U50" s="10">
        <f t="shared" si="1"/>
        <v>0.42638731248615042</v>
      </c>
      <c r="V50" s="10">
        <f t="shared" si="2"/>
        <v>31.684584166288879</v>
      </c>
    </row>
    <row r="51" spans="1:22" x14ac:dyDescent="0.25">
      <c r="A51" s="34" t="s">
        <v>2893</v>
      </c>
      <c r="C51" s="39">
        <v>40847</v>
      </c>
      <c r="D51" s="53" t="s">
        <v>2894</v>
      </c>
      <c r="E51" s="4">
        <v>146.56</v>
      </c>
      <c r="F51" s="5">
        <v>827380000</v>
      </c>
      <c r="G51" s="5">
        <v>796444160</v>
      </c>
      <c r="H51" s="4">
        <v>0.38</v>
      </c>
      <c r="I51" s="4">
        <v>26.12</v>
      </c>
      <c r="J51" s="4">
        <v>10.39</v>
      </c>
      <c r="K51" s="4">
        <v>5.67</v>
      </c>
      <c r="L51" s="4">
        <v>5.67</v>
      </c>
      <c r="M51" s="4">
        <v>271.44</v>
      </c>
      <c r="N51" s="4">
        <v>299</v>
      </c>
      <c r="O51" s="4">
        <v>11.17</v>
      </c>
      <c r="P51" s="4">
        <v>0.33</v>
      </c>
      <c r="Q51" s="4">
        <v>4.51</v>
      </c>
      <c r="R51" s="4">
        <v>2.04</v>
      </c>
      <c r="T51" s="10">
        <f t="shared" si="0"/>
        <v>10.39</v>
      </c>
      <c r="U51" s="10">
        <f t="shared" si="1"/>
        <v>5.093835067961984E-2</v>
      </c>
      <c r="V51" s="10">
        <f t="shared" si="2"/>
        <v>2.489856554694208</v>
      </c>
    </row>
    <row r="52" spans="1:22" x14ac:dyDescent="0.25">
      <c r="A52" s="34" t="s">
        <v>2895</v>
      </c>
      <c r="C52" s="39">
        <v>40847</v>
      </c>
      <c r="D52" s="53" t="s">
        <v>122</v>
      </c>
      <c r="E52" s="4">
        <v>186.84</v>
      </c>
      <c r="F52" s="5">
        <v>2834767000</v>
      </c>
      <c r="G52" s="5">
        <v>2779804008</v>
      </c>
      <c r="H52" s="4">
        <v>1.34</v>
      </c>
      <c r="I52" s="4">
        <v>4.4000000000000004</v>
      </c>
      <c r="J52" s="4">
        <v>3.47</v>
      </c>
      <c r="K52" s="4">
        <v>9.66</v>
      </c>
      <c r="L52" s="4">
        <v>9.66</v>
      </c>
      <c r="M52" s="4">
        <v>885.61</v>
      </c>
      <c r="N52" s="4">
        <v>887</v>
      </c>
      <c r="O52" s="4">
        <v>3.44</v>
      </c>
      <c r="P52" s="4">
        <v>-0.3</v>
      </c>
      <c r="Q52" s="4">
        <v>11.9</v>
      </c>
      <c r="R52" s="4">
        <v>1.85</v>
      </c>
      <c r="T52" s="10">
        <f t="shared" si="0"/>
        <v>0.26656397965864875</v>
      </c>
      <c r="U52" s="10">
        <f t="shared" si="1"/>
        <v>0.92656636250006386</v>
      </c>
      <c r="V52" s="10">
        <f t="shared" si="2"/>
        <v>548.48915982867663</v>
      </c>
    </row>
    <row r="53" spans="1:22" x14ac:dyDescent="0.25">
      <c r="A53" s="34" t="s">
        <v>2896</v>
      </c>
      <c r="C53" s="39">
        <v>40847</v>
      </c>
      <c r="D53" s="53" t="s">
        <v>2897</v>
      </c>
      <c r="E53" s="4">
        <v>145.68</v>
      </c>
      <c r="F53" s="5">
        <v>10860293501</v>
      </c>
      <c r="G53" s="5">
        <v>11457449215</v>
      </c>
      <c r="H53" s="4">
        <v>5.52</v>
      </c>
      <c r="I53" s="4">
        <v>7.96</v>
      </c>
      <c r="J53" s="4">
        <v>4.75</v>
      </c>
      <c r="K53" s="4">
        <v>5.09</v>
      </c>
      <c r="L53" s="4">
        <v>5.09</v>
      </c>
      <c r="M53" s="4">
        <v>333.83</v>
      </c>
      <c r="N53" s="4">
        <v>327</v>
      </c>
      <c r="O53" s="4">
        <v>4.79</v>
      </c>
      <c r="P53" s="4">
        <v>0.01</v>
      </c>
      <c r="Q53" s="4">
        <v>1.4</v>
      </c>
      <c r="R53" s="4">
        <v>7.41</v>
      </c>
      <c r="T53" s="10">
        <f t="shared" si="0"/>
        <v>0.51135814261819867</v>
      </c>
      <c r="U53" s="10">
        <f t="shared" si="1"/>
        <v>0.65782778218966054</v>
      </c>
      <c r="V53" s="10">
        <f t="shared" si="2"/>
        <v>39.172699447322479</v>
      </c>
    </row>
    <row r="54" spans="1:22" x14ac:dyDescent="0.25">
      <c r="A54" s="34" t="s">
        <v>2898</v>
      </c>
      <c r="C54" s="39">
        <v>40847</v>
      </c>
      <c r="D54" s="53" t="s">
        <v>126</v>
      </c>
      <c r="E54" s="4">
        <v>248.38</v>
      </c>
      <c r="F54" s="5">
        <v>650000000</v>
      </c>
      <c r="G54" s="5">
        <v>380529864</v>
      </c>
      <c r="H54" s="4">
        <v>0.18</v>
      </c>
      <c r="I54" s="4">
        <v>6.44</v>
      </c>
      <c r="J54" s="4">
        <v>4.22</v>
      </c>
      <c r="K54" s="4">
        <v>19.739999999999998</v>
      </c>
      <c r="L54" s="4">
        <v>19.739999999999998</v>
      </c>
      <c r="M54" s="4">
        <v>1832.99</v>
      </c>
      <c r="N54" s="4">
        <v>1851</v>
      </c>
      <c r="O54" s="4">
        <v>4.1500000000000004</v>
      </c>
      <c r="P54" s="4">
        <v>0.04</v>
      </c>
      <c r="Q54" s="4">
        <v>6.65</v>
      </c>
      <c r="R54" s="4">
        <v>14.84</v>
      </c>
      <c r="T54" s="10">
        <f t="shared" si="0"/>
        <v>1.5088456743621715E-2</v>
      </c>
      <c r="U54" s="10">
        <f t="shared" si="1"/>
        <v>1.2604342178760182</v>
      </c>
      <c r="V54" s="10">
        <f t="shared" si="2"/>
        <v>118.18965234490931</v>
      </c>
    </row>
    <row r="55" spans="1:22" s="34" customFormat="1" x14ac:dyDescent="0.25">
      <c r="C55" s="35"/>
      <c r="E55" s="4"/>
      <c r="F55" s="5"/>
      <c r="G55" s="29">
        <f>SUM(G19:G54)</f>
        <v>207459602042</v>
      </c>
      <c r="H55" s="29">
        <f>SUM(H19:H54)</f>
        <v>99.969999999999985</v>
      </c>
      <c r="I55" s="4"/>
      <c r="J55" s="4"/>
      <c r="K55" s="4"/>
      <c r="L55" s="4"/>
      <c r="M55" s="4"/>
      <c r="N55" s="4"/>
      <c r="O55" s="4"/>
      <c r="P55" s="4"/>
      <c r="Q55" s="4"/>
      <c r="R55" s="4"/>
    </row>
    <row r="56" spans="1:22" x14ac:dyDescent="0.25">
      <c r="A56" s="34"/>
      <c r="C56" s="19"/>
      <c r="D56" s="40" t="s">
        <v>129</v>
      </c>
      <c r="E56" s="25"/>
      <c r="F56" s="25"/>
      <c r="G56" s="42" t="s">
        <v>996</v>
      </c>
      <c r="H56" s="42" t="s">
        <v>997</v>
      </c>
      <c r="I56" s="25"/>
      <c r="J56" s="42" t="s">
        <v>993</v>
      </c>
      <c r="K56" s="25"/>
      <c r="L56" s="45" t="s">
        <v>988</v>
      </c>
      <c r="M56" s="25"/>
      <c r="N56" s="45" t="s">
        <v>989</v>
      </c>
      <c r="O56" s="4"/>
      <c r="P56" s="4"/>
      <c r="Q56" s="4"/>
      <c r="R56" s="4"/>
    </row>
    <row r="57" spans="1:22" x14ac:dyDescent="0.25">
      <c r="A57" s="34" t="s">
        <v>2899</v>
      </c>
      <c r="C57" s="44">
        <v>40847</v>
      </c>
      <c r="D57" s="19" t="s">
        <v>131</v>
      </c>
      <c r="E57" s="27">
        <v>206.85</v>
      </c>
      <c r="F57" s="22">
        <v>136980297049</v>
      </c>
      <c r="G57" s="22">
        <v>144930389699</v>
      </c>
      <c r="H57" s="25">
        <v>69.86</v>
      </c>
      <c r="I57" s="27">
        <v>8.52</v>
      </c>
      <c r="J57" s="25">
        <v>5.65</v>
      </c>
      <c r="K57" s="25">
        <v>4.8600000000000003</v>
      </c>
      <c r="L57" s="25">
        <v>4.8600000000000003</v>
      </c>
      <c r="M57" s="25">
        <v>300.73</v>
      </c>
      <c r="N57" s="25">
        <v>305</v>
      </c>
      <c r="O57" s="4">
        <v>5.74</v>
      </c>
      <c r="P57" s="4">
        <v>0.26</v>
      </c>
      <c r="Q57" s="30">
        <v>3.02</v>
      </c>
      <c r="R57" s="4">
        <v>5.34</v>
      </c>
    </row>
    <row r="58" spans="1:22" x14ac:dyDescent="0.25">
      <c r="A58" s="34" t="s">
        <v>2900</v>
      </c>
      <c r="C58" s="44">
        <v>40847</v>
      </c>
      <c r="D58" s="19" t="s">
        <v>133</v>
      </c>
      <c r="E58" s="27">
        <v>215.23</v>
      </c>
      <c r="F58" s="22">
        <v>32178482129</v>
      </c>
      <c r="G58" s="22">
        <v>31550717302</v>
      </c>
      <c r="H58" s="25">
        <v>15.21</v>
      </c>
      <c r="I58" s="27">
        <v>6.81</v>
      </c>
      <c r="J58" s="25">
        <v>4.47</v>
      </c>
      <c r="K58" s="25">
        <v>8.2899999999999991</v>
      </c>
      <c r="L58" s="25">
        <v>8.2899999999999991</v>
      </c>
      <c r="M58" s="25">
        <v>677.54</v>
      </c>
      <c r="N58" s="25">
        <v>699</v>
      </c>
      <c r="O58" s="4">
        <v>4.53</v>
      </c>
      <c r="P58" s="4">
        <v>-0.06</v>
      </c>
      <c r="Q58" s="30">
        <v>10.06</v>
      </c>
      <c r="R58" s="4">
        <v>-1.1299999999999999</v>
      </c>
    </row>
    <row r="59" spans="1:22" x14ac:dyDescent="0.25">
      <c r="A59" s="34" t="s">
        <v>2901</v>
      </c>
      <c r="C59" s="44">
        <v>40847</v>
      </c>
      <c r="D59" s="19" t="s">
        <v>135</v>
      </c>
      <c r="E59" s="27">
        <v>306.2</v>
      </c>
      <c r="F59" s="22">
        <v>21180370462</v>
      </c>
      <c r="G59" s="22">
        <v>20380938960</v>
      </c>
      <c r="H59" s="25">
        <v>9.82</v>
      </c>
      <c r="I59" s="27">
        <v>5.59</v>
      </c>
      <c r="J59" s="25">
        <v>3.66</v>
      </c>
      <c r="K59" s="25">
        <v>10.199999999999999</v>
      </c>
      <c r="L59" s="25">
        <v>10.199999999999999</v>
      </c>
      <c r="M59" s="25">
        <v>904.65</v>
      </c>
      <c r="N59" s="25">
        <v>915</v>
      </c>
      <c r="O59" s="4">
        <v>3.68</v>
      </c>
      <c r="P59" s="4">
        <v>0.23</v>
      </c>
      <c r="Q59" s="30">
        <v>8.68</v>
      </c>
      <c r="R59" s="4">
        <v>1.41</v>
      </c>
    </row>
    <row r="60" spans="1:22" x14ac:dyDescent="0.25">
      <c r="A60" s="34" t="s">
        <v>2902</v>
      </c>
      <c r="C60" s="44">
        <v>40847</v>
      </c>
      <c r="D60" s="19" t="s">
        <v>137</v>
      </c>
      <c r="E60" s="27">
        <v>178.41</v>
      </c>
      <c r="F60" s="22">
        <v>12288265049</v>
      </c>
      <c r="G60" s="22">
        <v>10597556078</v>
      </c>
      <c r="H60" s="25">
        <v>5.1100000000000003</v>
      </c>
      <c r="I60" s="27">
        <v>9.9499999999999993</v>
      </c>
      <c r="J60" s="25">
        <v>4.92</v>
      </c>
      <c r="K60" s="25">
        <v>11.37</v>
      </c>
      <c r="L60" s="25">
        <v>11.37</v>
      </c>
      <c r="M60" s="25">
        <v>924.67</v>
      </c>
      <c r="N60" s="25">
        <v>1000</v>
      </c>
      <c r="O60" s="4">
        <v>4.7699999999999996</v>
      </c>
      <c r="P60" s="4">
        <v>-0.24</v>
      </c>
      <c r="Q60" s="30">
        <v>8.0299999999999994</v>
      </c>
      <c r="R60" s="4">
        <v>-8.2200000000000006</v>
      </c>
    </row>
    <row r="62" spans="1:22" x14ac:dyDescent="0.25">
      <c r="C62" s="19"/>
      <c r="D62" s="40" t="s">
        <v>987</v>
      </c>
      <c r="E62" s="19"/>
      <c r="F62" s="19"/>
      <c r="G62" s="42" t="s">
        <v>996</v>
      </c>
      <c r="H62" s="42" t="s">
        <v>997</v>
      </c>
      <c r="I62" s="19"/>
      <c r="J62" s="19"/>
      <c r="K62" s="19"/>
      <c r="L62" s="45" t="s">
        <v>988</v>
      </c>
    </row>
    <row r="63" spans="1:22" x14ac:dyDescent="0.25">
      <c r="C63" s="44">
        <v>40837</v>
      </c>
      <c r="D63" s="19" t="s">
        <v>4545</v>
      </c>
      <c r="E63" s="19"/>
      <c r="F63" s="19"/>
      <c r="G63" s="22">
        <f>SUMIFS($G$19:$G$54,$L$19:$L$54,"&lt;1.999")</f>
        <v>0</v>
      </c>
      <c r="H63" s="26">
        <f>SUMIFS($H$19:$H$54,$L$19:$L$54,"&lt;1.999")</f>
        <v>0</v>
      </c>
      <c r="I63" s="19"/>
      <c r="J63" s="19"/>
      <c r="K63" s="19"/>
      <c r="L63" s="26">
        <f>SUMIFS($U$19:$U$54,$L$19:$L$54,"&lt;1.999")</f>
        <v>0</v>
      </c>
    </row>
    <row r="64" spans="1:22" x14ac:dyDescent="0.25">
      <c r="C64" s="44">
        <v>40837</v>
      </c>
      <c r="D64" s="55" t="s">
        <v>4546</v>
      </c>
      <c r="E64" s="19"/>
      <c r="F64" s="19"/>
      <c r="G64" s="22">
        <f>SUMIFS($G$19:$G$54,$L$19:$L$54,"&gt;1.9999",$L$19:$L$54,"&lt;3.9999")</f>
        <v>17391980094</v>
      </c>
      <c r="H64" s="26">
        <f>SUMIFS($H$19:$H$54,$L$19:$L$54,"&gt;1.9999",$L$19:$L$54,"&lt;3.9999")</f>
        <v>8.3800000000000008</v>
      </c>
      <c r="I64" s="19"/>
      <c r="J64" s="19"/>
      <c r="K64" s="19"/>
      <c r="L64" s="26">
        <f>SUMIFS($U$19:$U$54,$L$19:$L$54,"&gt;1.9999",$L$19:$L$54,"&lt;3.9999")</f>
        <v>3.7260805926909084</v>
      </c>
    </row>
    <row r="65" spans="3:12" x14ac:dyDescent="0.25">
      <c r="C65" s="44">
        <v>40837</v>
      </c>
      <c r="D65" s="55" t="s">
        <v>4547</v>
      </c>
      <c r="E65" s="19"/>
      <c r="F65" s="19"/>
      <c r="G65" s="22">
        <f>SUMIFS($G$19:$G$54,$L$19:$L$54,"&gt;3.9999",$L$19:$L$54,"&lt;5.9999")</f>
        <v>88653015399</v>
      </c>
      <c r="H65" s="26">
        <f>SUMIFS($H$19:$H$54,$L$19:$L$54,"&gt;3.9999",$L$19:$L$54,"&lt;5.9999")</f>
        <v>42.709999999999994</v>
      </c>
      <c r="I65" s="19"/>
      <c r="J65" s="19"/>
      <c r="K65" s="19"/>
      <c r="L65" s="26">
        <f>SUMIFS($U$19:$U$54,$L$19:$L$54,"&gt;3.9999",$L$19:$L$54,"&lt;5.9999")</f>
        <v>5.0171356734659609</v>
      </c>
    </row>
    <row r="66" spans="3:12" x14ac:dyDescent="0.25">
      <c r="C66" s="44">
        <v>40837</v>
      </c>
      <c r="D66" s="55" t="s">
        <v>4548</v>
      </c>
      <c r="E66" s="19"/>
      <c r="F66" s="19"/>
      <c r="G66" s="22">
        <f>SUMIFS($G$19:$G$54,$L$19:$L$54,"&gt;5.9999",$L$19:$L$54,"&lt;7.9999")</f>
        <v>66473931930</v>
      </c>
      <c r="H66" s="26">
        <f>SUMIFS($H$19:$H$54,$L$19:$L$54,"&gt;5.9999",$L$19:$L$54,"&lt;7.9999")</f>
        <v>32.04</v>
      </c>
      <c r="I66" s="19"/>
      <c r="J66" s="19"/>
      <c r="K66" s="19"/>
      <c r="L66" s="26">
        <f>SUMIFS($U$19:$U$54,$L$19:$L$54,"&gt;5.9999",$L$19:$L$54,"&lt;7.9999")</f>
        <v>6.2061974212320381</v>
      </c>
    </row>
    <row r="67" spans="3:12" s="36" customFormat="1" x14ac:dyDescent="0.25">
      <c r="C67" s="44">
        <v>40837</v>
      </c>
      <c r="D67" s="55" t="s">
        <v>4549</v>
      </c>
      <c r="E67" s="19"/>
      <c r="F67" s="19"/>
      <c r="G67" s="22">
        <f>SUMIFS($G$19:$G$54,$L$19:$L$54,"&gt;7.9999",$L$19:$L$54,"&lt;9.9999")</f>
        <v>28981093858</v>
      </c>
      <c r="H67" s="26">
        <f>SUMIFS($H$19:$H$54,$L$19:$L$54,"&gt;7.9999",$L$19:$L$54,"&lt;9.9999")</f>
        <v>13.97</v>
      </c>
      <c r="I67" s="19"/>
      <c r="J67" s="19"/>
      <c r="K67" s="19"/>
      <c r="L67" s="26">
        <f>SUMIFS($U$19:$U$54,$L$19:$L$54,"&gt;7.9999",$L$19:$L$54,"&lt;9.9999")</f>
        <v>8.8388142045732163</v>
      </c>
    </row>
    <row r="68" spans="3:12" s="36" customFormat="1" x14ac:dyDescent="0.25">
      <c r="C68" s="44">
        <v>40837</v>
      </c>
      <c r="D68" s="54" t="s">
        <v>992</v>
      </c>
      <c r="E68" s="19"/>
      <c r="F68" s="19"/>
      <c r="G68" s="22">
        <f>SUMIFS($G$19:$G$54,$L$19:$L$54,"&gt;9.9999")</f>
        <v>5959580761</v>
      </c>
      <c r="H68" s="26">
        <f>SUMIFS($H$19:$H$54,$L$19:$L$54,"&gt;9.9999")</f>
        <v>2.87</v>
      </c>
      <c r="I68" s="19"/>
      <c r="J68" s="19"/>
      <c r="K68" s="19"/>
      <c r="L68" s="26">
        <f>SUMIFS($U$19:$U$54,$L$19:$L$54,"&gt;9.9999")</f>
        <v>16.234113817109492</v>
      </c>
    </row>
    <row r="69" spans="3:12" x14ac:dyDescent="0.25">
      <c r="G69" t="str">
        <f>IF(SUM(G63:G68)&lt;&gt;$G$55,"check values","")</f>
        <v/>
      </c>
      <c r="H69" s="34" t="str">
        <f>IF(SUM(H63:H68)&lt;&gt;$H$55,"check values","")</f>
        <v/>
      </c>
    </row>
    <row r="70" spans="3:12" x14ac:dyDescent="0.25">
      <c r="C70" s="19"/>
      <c r="D70" s="40" t="s">
        <v>990</v>
      </c>
      <c r="E70" s="19"/>
      <c r="F70" s="19"/>
      <c r="G70" s="42" t="s">
        <v>996</v>
      </c>
      <c r="H70" s="42" t="s">
        <v>997</v>
      </c>
      <c r="I70" s="19"/>
      <c r="J70" s="19"/>
      <c r="K70" s="19"/>
      <c r="L70" s="45" t="s">
        <v>989</v>
      </c>
    </row>
    <row r="71" spans="3:12" x14ac:dyDescent="0.25">
      <c r="C71" s="44">
        <v>40837</v>
      </c>
      <c r="D71" s="19" t="s">
        <v>4550</v>
      </c>
      <c r="E71" s="19"/>
      <c r="F71" s="19"/>
      <c r="G71" s="22">
        <f>SUMIFS($G$19:$G$54,$N$19:$N$54,"&gt;0",$N$19:$N$54,"&lt;199.99")</f>
        <v>0</v>
      </c>
      <c r="H71" s="26">
        <f>SUMIFS($H$19:$H$54,$N$19:$N$54,"&gt;0",$N$19:$N$54,"&lt;199.99")</f>
        <v>0</v>
      </c>
      <c r="I71" s="19"/>
      <c r="J71" s="19"/>
      <c r="K71" s="19"/>
      <c r="L71" s="26">
        <f>SUMIFS($V$19:$V$54,$N$19:$N$54,"&gt;0",$N$19:$N$54,"&lt;199.99")</f>
        <v>0</v>
      </c>
    </row>
    <row r="72" spans="3:12" x14ac:dyDescent="0.25">
      <c r="C72" s="44">
        <v>40837</v>
      </c>
      <c r="D72" s="55" t="s">
        <v>4551</v>
      </c>
      <c r="E72" s="19"/>
      <c r="F72" s="19"/>
      <c r="G72" s="22">
        <f>SUMIFS($G$19:$G$54,$N$19:$N$54,"&gt;199.99",$N$19:$N$54,"&lt;399.99")</f>
        <v>95642780461</v>
      </c>
      <c r="H72" s="26">
        <f>SUMIFS($H$19:$H$54,$N$19:$N$54,"&gt;199.99",$N$19:$N$54,"&lt;399.99")</f>
        <v>46.08</v>
      </c>
      <c r="I72" s="19"/>
      <c r="J72" s="19"/>
      <c r="K72" s="19"/>
      <c r="L72" s="26">
        <f>SUMIFS($V$19:$V$54,$N$19:$N$54,"&gt;199.99",$N$19:$N$54,"&lt;399.99")</f>
        <v>296.75344281578458</v>
      </c>
    </row>
    <row r="73" spans="3:12" x14ac:dyDescent="0.25">
      <c r="C73" s="44">
        <v>40837</v>
      </c>
      <c r="D73" s="55" t="s">
        <v>4552</v>
      </c>
      <c r="E73" s="19"/>
      <c r="F73" s="19"/>
      <c r="G73" s="22">
        <f>SUMIFS($G$19:$G$54,$N$19:$N$54,"&gt;399.99",$N$19:$N$54,"&lt;599.99")</f>
        <v>75382383767</v>
      </c>
      <c r="H73" s="26">
        <f>SUMIFS($H$19:$H$54,$N$19:$N$54,"&gt;399.99",$N$19:$N$54,"&lt;599.99")</f>
        <v>36.330000000000005</v>
      </c>
      <c r="I73" s="19"/>
      <c r="J73" s="19"/>
      <c r="K73" s="19"/>
      <c r="L73" s="26">
        <f>SUMIFS($V$19:$V$54,$N$19:$N$54,"&gt;399.99",$N$19:$N$54,"&lt;599.99")</f>
        <v>449.80573268328493</v>
      </c>
    </row>
    <row r="74" spans="3:12" x14ac:dyDescent="0.25">
      <c r="C74" s="44">
        <v>40837</v>
      </c>
      <c r="D74" s="55" t="s">
        <v>4553</v>
      </c>
      <c r="E74" s="19"/>
      <c r="F74" s="19"/>
      <c r="G74" s="22">
        <f>SUMIFS($G$19:$G$54,$N$19:$N$54,"&gt;599.99",$N$19:$N$54,"&lt;799.99")</f>
        <v>25979442493</v>
      </c>
      <c r="H74" s="26">
        <f>SUMIFS($H$19:$H$54,$N$19:$N$54,"&gt;599.99",$N$19:$N$54,"&lt;799.99")</f>
        <v>12.520000000000001</v>
      </c>
      <c r="I74" s="19"/>
      <c r="J74" s="19"/>
      <c r="K74" s="19"/>
      <c r="L74" s="26">
        <f>SUMIFS($V$19:$V$54,$N$19:$N$54,"&gt;599.99",$N$19:$N$54,"&lt;799.99")</f>
        <v>734.67310545719806</v>
      </c>
    </row>
    <row r="75" spans="3:12" s="36" customFormat="1" x14ac:dyDescent="0.25">
      <c r="C75" s="44">
        <v>40837</v>
      </c>
      <c r="D75" s="55" t="s">
        <v>4554</v>
      </c>
      <c r="E75" s="19"/>
      <c r="F75" s="19"/>
      <c r="G75" s="22">
        <f>SUMIFS($G$19:$G$54,$N$19:$N$54,"&gt;799.99",$N$19:$N$54,"&lt;999.99")</f>
        <v>4495414560</v>
      </c>
      <c r="H75" s="26">
        <f>SUMIFS($H$19:$H$54,$N$19:$N$54,"&gt;799.99",$N$19:$N$54,"&lt;999.99")</f>
        <v>2.17</v>
      </c>
      <c r="I75" s="19"/>
      <c r="J75" s="19"/>
      <c r="K75" s="19"/>
      <c r="L75" s="26">
        <f>SUMIFS($V$19:$V$54,$N$19:$N$54,"&gt;799.99",$N$19:$N$54,"&lt;999.99")</f>
        <v>883.10379906052538</v>
      </c>
    </row>
    <row r="76" spans="3:12" s="36" customFormat="1" x14ac:dyDescent="0.25">
      <c r="C76" s="44">
        <v>40837</v>
      </c>
      <c r="D76" s="56" t="s">
        <v>4555</v>
      </c>
      <c r="E76" s="19"/>
      <c r="F76" s="19"/>
      <c r="G76" s="22">
        <f>SUMIFS($G$19:$G$54,$N$19:$N$54,"&gt;999.99")</f>
        <v>5959580761</v>
      </c>
      <c r="H76" s="26">
        <f>SUMIFS($H$19:$H$54,$N$19:$N$54,"&gt;999.99")</f>
        <v>2.87</v>
      </c>
      <c r="I76" s="19"/>
      <c r="J76" s="19"/>
      <c r="K76" s="19"/>
      <c r="L76" s="26">
        <f>SUMIFS($V$19:$V$54,$N$19:$N$54,"&gt;999.99")</f>
        <v>1527.3350162170912</v>
      </c>
    </row>
    <row r="77" spans="3:12" x14ac:dyDescent="0.25">
      <c r="G77" s="34" t="str">
        <f>IF(SUM(G71:G76)&lt;&gt;$G$55,"check values","")</f>
        <v/>
      </c>
      <c r="H77" s="34" t="str">
        <f>IF(SUM(H71:H76)&lt;&gt;$H$55,"check values","")</f>
        <v/>
      </c>
    </row>
    <row r="78" spans="3:12" x14ac:dyDescent="0.25">
      <c r="C78" s="19"/>
      <c r="D78" s="40" t="s">
        <v>991</v>
      </c>
      <c r="E78" s="19"/>
      <c r="F78" s="19"/>
      <c r="G78" s="42" t="s">
        <v>996</v>
      </c>
      <c r="H78" s="42" t="s">
        <v>997</v>
      </c>
      <c r="I78" s="19"/>
      <c r="J78" s="19"/>
      <c r="K78" s="19"/>
      <c r="L78" s="42" t="s">
        <v>993</v>
      </c>
    </row>
    <row r="79" spans="3:12" x14ac:dyDescent="0.25">
      <c r="C79" s="44">
        <v>40837</v>
      </c>
      <c r="D79" s="19" t="s">
        <v>4545</v>
      </c>
      <c r="E79" s="19"/>
      <c r="F79" s="19"/>
      <c r="G79" s="22">
        <f>SUMIFS($G$19:$G$54,$J$19:J$54,"&lt;1.999")</f>
        <v>1354452869</v>
      </c>
      <c r="H79" s="47">
        <f>SUMIFS($H$19:$H$54,$J$19:$J$54,"&lt;1.999")</f>
        <v>0.65</v>
      </c>
      <c r="I79" s="19"/>
      <c r="J79" s="19"/>
      <c r="K79" s="19"/>
      <c r="L79" s="26">
        <f>SUMIFS($T$19:$T$54,$J$19:$J$54,"&lt;1.999")</f>
        <v>1.2965542643699033</v>
      </c>
    </row>
    <row r="80" spans="3:12" x14ac:dyDescent="0.25">
      <c r="C80" s="44">
        <v>40837</v>
      </c>
      <c r="D80" s="55" t="s">
        <v>4546</v>
      </c>
      <c r="E80" s="19"/>
      <c r="F80" s="19"/>
      <c r="G80" s="22">
        <f>SUMIFS($G$19:$G$54,$J$19:$J$54,"&gt;1.999",$J$19:$J$54,"&lt;3.999")</f>
        <v>36186134076</v>
      </c>
      <c r="H80" s="47">
        <f>SUMIFS($H$19:$H$54,$J$19:$J$54,"&gt;1.999",$J$19:$J$54,"&lt;3.999")</f>
        <v>17.440000000000001</v>
      </c>
      <c r="I80" s="19"/>
      <c r="J80" s="19"/>
      <c r="K80" s="19"/>
      <c r="L80" s="26">
        <f>SUMIFS($T$19:$T$54,$J$19:$J$54,"&gt;1.999",$J$19:$J$54,"&lt;3.999")</f>
        <v>3.6201883359307097</v>
      </c>
    </row>
    <row r="81" spans="3:12" x14ac:dyDescent="0.25">
      <c r="C81" s="44">
        <v>40837</v>
      </c>
      <c r="D81" s="55" t="s">
        <v>4547</v>
      </c>
      <c r="E81" s="19"/>
      <c r="F81" s="19"/>
      <c r="G81" s="22">
        <f>SUMIFS($G$19:$G$54,$J$19:$J$54,"&gt;3.999",$J$19:$J$54,"&lt;5.999")</f>
        <v>106428116100</v>
      </c>
      <c r="H81" s="47">
        <f>SUMIFS($H$19:$H$54,$J$19:$J$54,"&gt;3.999",$J$19:$J$54,"&lt;5.999")</f>
        <v>51.279999999999994</v>
      </c>
      <c r="I81" s="19"/>
      <c r="J81" s="19"/>
      <c r="K81" s="19"/>
      <c r="L81" s="26">
        <f>SUMIFS($T$19:$T$54,$J$19:$J$54,"&gt;3.999",$J$19:$J$54,"&lt;5.999")</f>
        <v>4.9523572596402463</v>
      </c>
    </row>
    <row r="82" spans="3:12" x14ac:dyDescent="0.25">
      <c r="C82" s="44">
        <v>40837</v>
      </c>
      <c r="D82" s="55" t="s">
        <v>4548</v>
      </c>
      <c r="E82" s="19"/>
      <c r="F82" s="19"/>
      <c r="G82" s="22">
        <f>SUMIFS($G$19:$G$54,$J$19:$J$54,"&gt;5.999",$J$19:$J$54,"&lt;7.999")</f>
        <v>57140299719</v>
      </c>
      <c r="H82" s="47">
        <f>SUMIFS($H$19:$H$54,$J$19:$J$54,"&gt;5.999",$J$19:$J$54,"&lt;7.999")</f>
        <v>27.539999999999996</v>
      </c>
      <c r="I82" s="19"/>
      <c r="J82" s="19"/>
      <c r="K82" s="19"/>
      <c r="L82" s="26">
        <f>SUMIFS($T$19:$T$54,$J$19:$J$54,"&gt;5.999",$J$19:$J$54,"&lt;7.999")</f>
        <v>6.4578716707880766</v>
      </c>
    </row>
    <row r="83" spans="3:12" s="36" customFormat="1" x14ac:dyDescent="0.25">
      <c r="C83" s="44">
        <v>40837</v>
      </c>
      <c r="D83" s="55" t="s">
        <v>4549</v>
      </c>
      <c r="E83" s="19"/>
      <c r="F83" s="19"/>
      <c r="G83" s="22">
        <f>SUMIFS($G$19:$G$54,$J$19:$J$54,"&gt;7.999",$J$19:$J$54,"&lt;9.999")</f>
        <v>5554155118</v>
      </c>
      <c r="H83" s="47">
        <f>SUMIFS($H$19:$H$54,$J$19:$J$54,"&gt;7.999",$J$19:$J$54,"&lt;9.999")</f>
        <v>2.68</v>
      </c>
      <c r="I83" s="19"/>
      <c r="J83" s="19"/>
      <c r="K83" s="19"/>
      <c r="L83" s="26">
        <f>SUMIFS($T$19:$T$54,$J$19:$J$54,"&gt;7.999",$J$19:$J$54,"&lt;9.999")</f>
        <v>9.02</v>
      </c>
    </row>
    <row r="84" spans="3:12" s="36" customFormat="1" x14ac:dyDescent="0.25">
      <c r="C84" s="44">
        <v>40837</v>
      </c>
      <c r="D84" s="54" t="s">
        <v>992</v>
      </c>
      <c r="E84" s="19"/>
      <c r="F84" s="19"/>
      <c r="G84" s="22">
        <f>SUMIFS($G$19:$G$54,$J$19:$J$54,"&gt;9.999")</f>
        <v>796444160</v>
      </c>
      <c r="H84" s="47">
        <f>SUMIFS($H$19:$H$54,$J$19:$J$54,"&gt;9.999")</f>
        <v>0.38</v>
      </c>
      <c r="I84" s="48"/>
      <c r="J84" s="19"/>
      <c r="K84" s="19"/>
      <c r="L84" s="26">
        <f>SUMIFS($T$19:$T$54,$J$19:$J$54,"&gt;9.999")</f>
        <v>10.39</v>
      </c>
    </row>
    <row r="85" spans="3:12" x14ac:dyDescent="0.25">
      <c r="G85" s="34" t="str">
        <f>IF(SUM(G79:G84)&lt;&gt;$G$55,"check values","")</f>
        <v/>
      </c>
      <c r="H85" s="34" t="str">
        <f>IF(SUM(H79:H84)&lt;&gt;$H$55,"check values","")</f>
        <v/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FD643"/>
  <sheetViews>
    <sheetView topLeftCell="B1" workbookViewId="0">
      <pane xSplit="2" ySplit="1" topLeftCell="D2" activePane="bottomRight" state="frozen"/>
      <selection activeCell="B1" sqref="B1"/>
      <selection pane="topRight" activeCell="D1" sqref="D1"/>
      <selection pane="bottomLeft" activeCell="B2" sqref="B2"/>
      <selection pane="bottomRight" activeCell="B4" sqref="B4"/>
    </sheetView>
  </sheetViews>
  <sheetFormatPr defaultRowHeight="15" x14ac:dyDescent="0.25"/>
  <cols>
    <col min="1" max="1" width="0" hidden="1" customWidth="1"/>
    <col min="2" max="2" width="3.140625" style="34" customWidth="1"/>
    <col min="3" max="3" width="9.42578125" bestFit="1" customWidth="1"/>
    <col min="4" max="4" width="41" bestFit="1" customWidth="1"/>
    <col min="5" max="5" width="12" style="36" bestFit="1" customWidth="1"/>
    <col min="6" max="6" width="10.28515625" customWidth="1"/>
    <col min="7" max="8" width="19" customWidth="1"/>
    <col min="9" max="9" width="23.140625" bestFit="1" customWidth="1"/>
    <col min="10" max="10" width="11.5703125" bestFit="1" customWidth="1"/>
    <col min="11" max="11" width="12" bestFit="1" customWidth="1"/>
    <col min="12" max="12" width="12.5703125" hidden="1" customWidth="1"/>
    <col min="13" max="13" width="37.42578125" bestFit="1" customWidth="1"/>
    <col min="14" max="14" width="15.140625" hidden="1" customWidth="1"/>
    <col min="15" max="15" width="15.42578125" bestFit="1" customWidth="1"/>
    <col min="16" max="16" width="15.42578125" hidden="1" customWidth="1"/>
    <col min="17" max="17" width="16" hidden="1" customWidth="1"/>
    <col min="18" max="18" width="15.7109375" bestFit="1" customWidth="1"/>
    <col min="19" max="19" width="14.85546875" customWidth="1"/>
    <col min="20" max="20" width="20.7109375" bestFit="1" customWidth="1"/>
    <col min="21" max="21" width="22.7109375" bestFit="1" customWidth="1"/>
    <col min="22" max="22" width="20.85546875" hidden="1" customWidth="1"/>
    <col min="23" max="23" width="22.85546875" hidden="1" customWidth="1"/>
    <col min="24" max="24" width="14.140625" hidden="1" customWidth="1"/>
    <col min="25" max="25" width="18.28515625" hidden="1" customWidth="1"/>
    <col min="27" max="27" width="21.5703125" bestFit="1" customWidth="1"/>
    <col min="28" max="28" width="22.7109375" bestFit="1" customWidth="1"/>
    <col min="29" max="29" width="24.85546875" bestFit="1" customWidth="1"/>
    <col min="30" max="30" width="27.5703125" bestFit="1" customWidth="1"/>
  </cols>
  <sheetData>
    <row r="1" spans="1:30" x14ac:dyDescent="0.25">
      <c r="A1" s="33" t="s">
        <v>0</v>
      </c>
      <c r="C1" s="33" t="s">
        <v>1</v>
      </c>
      <c r="D1" s="33" t="s">
        <v>2</v>
      </c>
      <c r="E1" s="4" t="s">
        <v>985</v>
      </c>
      <c r="F1" s="4" t="s">
        <v>998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999</v>
      </c>
      <c r="U1" s="4" t="s">
        <v>1000</v>
      </c>
      <c r="V1" s="4" t="s">
        <v>1001</v>
      </c>
      <c r="W1" s="4" t="s">
        <v>1002</v>
      </c>
      <c r="X1" s="4" t="s">
        <v>142</v>
      </c>
      <c r="Y1" s="4" t="s">
        <v>143</v>
      </c>
      <c r="AA1" s="12" t="s">
        <v>993</v>
      </c>
      <c r="AB1" s="13" t="s">
        <v>988</v>
      </c>
      <c r="AC1" s="13" t="s">
        <v>989</v>
      </c>
      <c r="AD1" s="13" t="s">
        <v>995</v>
      </c>
    </row>
    <row r="2" spans="1:30" x14ac:dyDescent="0.25">
      <c r="A2" s="33" t="s">
        <v>1003</v>
      </c>
      <c r="C2" s="39">
        <v>40847</v>
      </c>
      <c r="D2" s="37" t="s">
        <v>1003</v>
      </c>
      <c r="E2" s="4"/>
      <c r="F2" s="4"/>
      <c r="G2" s="18">
        <v>202627000000</v>
      </c>
      <c r="H2" s="18">
        <v>207460000000</v>
      </c>
      <c r="I2" s="10">
        <v>100</v>
      </c>
      <c r="J2" s="10">
        <v>8.0292860000000008</v>
      </c>
      <c r="K2" s="10">
        <v>5.2413299999999996</v>
      </c>
      <c r="L2" s="10">
        <v>6.0859691619999996</v>
      </c>
      <c r="M2" s="10">
        <v>6.0859690000000004</v>
      </c>
      <c r="N2" s="10">
        <v>432.11491619999998</v>
      </c>
      <c r="O2" s="10">
        <v>445.6447</v>
      </c>
      <c r="P2" s="10">
        <v>5.3081909999999999</v>
      </c>
      <c r="Q2" s="10">
        <v>0.1842</v>
      </c>
      <c r="R2" s="10">
        <v>4.8209580919999997</v>
      </c>
      <c r="S2" s="10">
        <v>3.031117353</v>
      </c>
      <c r="T2" s="10">
        <v>100.90484499999999</v>
      </c>
      <c r="U2" s="10">
        <v>102.56869</v>
      </c>
      <c r="V2" s="18">
        <v>100.66313599999999</v>
      </c>
      <c r="W2" s="18">
        <v>102.322996</v>
      </c>
      <c r="X2" s="4"/>
      <c r="Y2" s="4" t="s">
        <v>1004</v>
      </c>
    </row>
    <row r="3" spans="1:30" s="36" customFormat="1" x14ac:dyDescent="0.25">
      <c r="C3" s="39"/>
      <c r="E3" s="4"/>
      <c r="F3" s="4"/>
      <c r="G3" s="18"/>
      <c r="H3" s="18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4"/>
      <c r="Y3" s="4"/>
    </row>
    <row r="4" spans="1:30" x14ac:dyDescent="0.25">
      <c r="A4" s="33" t="s">
        <v>1005</v>
      </c>
      <c r="C4" s="39">
        <v>40847</v>
      </c>
      <c r="D4" s="53" t="s">
        <v>1006</v>
      </c>
      <c r="E4" s="4" t="str">
        <f>VLOOKUP(LEFT(D4,2),Sort!$A$1:$B$58,2,FALSE)</f>
        <v>UAE</v>
      </c>
      <c r="F4" s="4" t="s">
        <v>1007</v>
      </c>
      <c r="G4" s="18">
        <v>763702195</v>
      </c>
      <c r="H4" s="18">
        <v>804406460.39999998</v>
      </c>
      <c r="I4" s="10">
        <v>0.38774125300000001</v>
      </c>
      <c r="J4" s="10">
        <v>2.9305560000000002</v>
      </c>
      <c r="K4" s="10">
        <v>2.7330329999999998</v>
      </c>
      <c r="L4" s="10">
        <v>2.7819630000000002</v>
      </c>
      <c r="M4" s="10">
        <v>2.7819630000000002</v>
      </c>
      <c r="N4" s="10">
        <v>239.3519</v>
      </c>
      <c r="O4" s="10">
        <v>240.7654</v>
      </c>
      <c r="P4" s="10">
        <v>2.7289180000000002</v>
      </c>
      <c r="Q4" s="10">
        <v>1.2500000000000001E-2</v>
      </c>
      <c r="R4" s="10">
        <v>0.59522324199999999</v>
      </c>
      <c r="S4" s="10">
        <v>8.3088961060000006</v>
      </c>
      <c r="T4" s="10">
        <v>105</v>
      </c>
      <c r="U4" s="10">
        <v>105.5</v>
      </c>
      <c r="V4" s="10">
        <v>105</v>
      </c>
      <c r="W4" s="10">
        <v>105.5</v>
      </c>
      <c r="X4" s="4" t="s">
        <v>146</v>
      </c>
      <c r="Y4" s="4" t="s">
        <v>1008</v>
      </c>
      <c r="AA4" s="10">
        <f>IF(K4&lt;1.99,($H4/$H$629)*K4,IF(AND(K4&gt;1.99,K4&lt;3.99),($H4/$H$630)*K4,IF(AND(K4&gt;3.99,K4&lt;5.99),($H4/$H$631)*K4,IF(AND(K4&gt;5.99,K4&lt;7.99),($H4/$H$632)*K4,IF(AND(K4&gt;7.99,K4&lt;9.99),($H4/$H$633)*K4,IF(K4&gt;9.99,($H4/$H$634)*K4))))))</f>
        <v>3.001231585829885E-2</v>
      </c>
      <c r="AB4" s="10">
        <f>IF(M4&lt;1.99,($H4/$H$613)*M4,IF(AND(M4&gt;1.99,M4&lt;3.99),($H4/$H$614)*M4,IF(AND(M4&gt;3.99,M4&lt;5.99),($H4/$H$615)*M4,IF(AND(M4&gt;5.99,M4&lt;7.99),($H4/$H$616)*M4,IF(AND(M4&gt;7.99,M4&lt;9.99),($H4/$H$617)*M4,IF(M4&gt;9.99,($H4/$H$618)*M4))))))</f>
        <v>3.6421652167983584E-2</v>
      </c>
      <c r="AC4" s="10">
        <f>IF(O4&lt;199.99,($H4/$H$621)*O4,IF(AND(O4&gt;199.99,O4&lt;399.99),($H4/$H$622)*O4,IF(AND(O4&gt;399.99,O4&lt;599.99),($H4/$H$623)*O4,IF(AND(O4&gt;599.99,O4&lt;799.99),($H4/$H$624)*O4,IF(AND(O4&gt;799.99,O4&lt;999.99),($H4/$H$625)*O4,IF(O4&gt;999.99,($H4/$H$626)*O4))))))</f>
        <v>1.9195447359599855</v>
      </c>
      <c r="AD4" s="10">
        <f>IF(U4&lt;49.99,($H4/$H$637)*U4,IF(AND(U4&gt;49.99,U4&lt;79.99),($H4/$H$638)*U4,IF(AND(U4&gt;79.99,U4&lt;99.99),($H4/$H$639)*U4,IF(AND(U4&gt;99.99,U4&lt;119.99),($H4/$H$640)*U4,IF(AND(U4&gt;119.99,U4&lt;139.99),($H4/$H$641)*U4,IF(U4&gt;139.99,($H4/$H$642)*U4))))))</f>
        <v>0.57628342079105532</v>
      </c>
    </row>
    <row r="5" spans="1:30" x14ac:dyDescent="0.25">
      <c r="A5" s="33" t="s">
        <v>1009</v>
      </c>
      <c r="C5" s="39">
        <v>40847</v>
      </c>
      <c r="D5" s="53" t="s">
        <v>1010</v>
      </c>
      <c r="E5" s="4" t="str">
        <f>VLOOKUP(LEFT(D5,2),Sort!$A$1:$B$58,2,FALSE)</f>
        <v>UAE</v>
      </c>
      <c r="F5" s="4" t="s">
        <v>1007</v>
      </c>
      <c r="G5" s="18">
        <v>305480878</v>
      </c>
      <c r="H5" s="18">
        <v>278986093.80000001</v>
      </c>
      <c r="I5" s="10">
        <v>0.13447731099999999</v>
      </c>
      <c r="J5" s="10">
        <v>4.516667</v>
      </c>
      <c r="K5" s="10">
        <v>-0.128494</v>
      </c>
      <c r="L5" s="10">
        <v>2.9349910000000001</v>
      </c>
      <c r="M5" s="10">
        <v>2.9349910000000001</v>
      </c>
      <c r="N5" s="10">
        <v>209.3124</v>
      </c>
      <c r="O5" s="10">
        <v>210.67230000000001</v>
      </c>
      <c r="P5" s="10">
        <v>4.3012079999999999</v>
      </c>
      <c r="Q5" s="10">
        <v>4.1999999999999997E-3</v>
      </c>
      <c r="R5" s="10">
        <v>2.079232604</v>
      </c>
      <c r="S5" s="10">
        <v>10.705590450000001</v>
      </c>
      <c r="T5" s="10">
        <v>91</v>
      </c>
      <c r="U5" s="10">
        <v>95</v>
      </c>
      <c r="V5" s="10">
        <v>91</v>
      </c>
      <c r="W5" s="10">
        <v>95</v>
      </c>
      <c r="X5" s="4" t="s">
        <v>146</v>
      </c>
      <c r="Y5" s="4" t="s">
        <v>1011</v>
      </c>
      <c r="AA5" s="10">
        <f t="shared" ref="AA5:AA68" si="0">IF(K5&lt;1.99,($H5/$H$629)*K5,IF(AND(K5&gt;1.99,K5&lt;3.99),($H5/$H$630)*K5,IF(AND(K5&gt;3.99,K5&lt;5.99),($H5/$H$631)*K5,IF(AND(K5&gt;5.99,K5&lt;7.99),($H5/$H$632)*K5,IF(AND(K5&gt;7.99,K5&lt;9.99),($H5/$H$633)*K5,IF(K5&gt;9.99,($H5/$H$634)*K5))))))</f>
        <v>-2.1846764673786861E-3</v>
      </c>
      <c r="AB5" s="10">
        <f t="shared" ref="AB5:AB68" si="1">IF(M5&lt;1.99,($H5/$H$613)*M5,IF(AND(M5&gt;1.99,M5&lt;3.99),($H5/$H$614)*M5,IF(AND(M5&gt;3.99,M5&lt;5.99),($H5/$H$615)*M5,IF(AND(M5&gt;5.99,M5&lt;7.99),($H5/$H$616)*M5,IF(AND(M5&gt;7.99,M5&lt;9.99),($H5/$H$617)*M5,IF(M5&gt;9.99,($H5/$H$618)*M5))))))</f>
        <v>1.3326683175126331E-2</v>
      </c>
      <c r="AC5" s="10">
        <f t="shared" ref="AC5:AC68" si="2">IF(O5&lt;199.99,($H5/$H$621)*O5,IF(AND(O5&gt;199.99,O5&lt;399.99),($H5/$H$622)*O5,IF(AND(O5&gt;399.99,O5&lt;599.99),($H5/$H$623)*O5,IF(AND(O5&gt;599.99,O5&lt;799.99),($H5/$H$624)*O5,IF(AND(O5&gt;799.99,O5&lt;999.99),($H5/$H$625)*O5,IF(O5&gt;999.99,($H5/$H$626)*O5))))))</f>
        <v>0.58253041508608694</v>
      </c>
      <c r="AD5" s="10">
        <f t="shared" ref="AD5:AD68" si="3">IF(U5&lt;49.99,($H5/$H$637)*U5,IF(AND(U5&gt;49.99,U5&lt;79.99),($H5/$H$638)*U5,IF(AND(U5&gt;79.99,U5&lt;99.99),($H5/$H$639)*U5,IF(AND(U5&gt;99.99,U5&lt;119.99),($H5/$H$640)*U5,IF(AND(U5&gt;119.99,U5&lt;139.99),($H5/$H$641)*U5,IF(U5&gt;139.99,($H5/$H$642)*U5))))))</f>
        <v>0.55558879816316142</v>
      </c>
    </row>
    <row r="6" spans="1:30" x14ac:dyDescent="0.25">
      <c r="A6" s="33" t="s">
        <v>1012</v>
      </c>
      <c r="C6" s="39">
        <v>40847</v>
      </c>
      <c r="D6" s="53" t="s">
        <v>1013</v>
      </c>
      <c r="E6" s="4" t="str">
        <f>VLOOKUP(LEFT(D6,2),Sort!$A$1:$B$58,2,FALSE)</f>
        <v>UAE</v>
      </c>
      <c r="F6" s="4" t="s">
        <v>1014</v>
      </c>
      <c r="G6" s="18">
        <v>1030997963</v>
      </c>
      <c r="H6" s="18">
        <v>1075184107</v>
      </c>
      <c r="I6" s="10">
        <v>0.51826191499999996</v>
      </c>
      <c r="J6" s="10">
        <v>4.4878090000000004</v>
      </c>
      <c r="K6" s="10">
        <v>4.0213340000000004</v>
      </c>
      <c r="L6" s="10">
        <v>3.0050949999999998</v>
      </c>
      <c r="M6" s="10">
        <v>3.0050949999999998</v>
      </c>
      <c r="N6" s="10">
        <v>217.16550000000001</v>
      </c>
      <c r="O6" s="10">
        <v>180.59059999999999</v>
      </c>
      <c r="P6" s="10">
        <v>3.9544730000000001</v>
      </c>
      <c r="Q6" s="10">
        <v>1.0500000000000001E-2</v>
      </c>
      <c r="R6" s="10">
        <v>0.53530838400000003</v>
      </c>
      <c r="S6" s="10">
        <v>6.4896133000000003</v>
      </c>
      <c r="T6" s="10">
        <v>103.25</v>
      </c>
      <c r="U6" s="10">
        <v>103.75</v>
      </c>
      <c r="V6" s="10">
        <v>92.924999999999997</v>
      </c>
      <c r="W6" s="10">
        <v>93.375</v>
      </c>
      <c r="X6" s="4" t="s">
        <v>146</v>
      </c>
      <c r="Y6" s="4" t="s">
        <v>1015</v>
      </c>
      <c r="AA6" s="10">
        <f t="shared" si="0"/>
        <v>9.4161852135151769E-2</v>
      </c>
      <c r="AB6" s="10">
        <f t="shared" si="1"/>
        <v>5.2586441714774321E-2</v>
      </c>
      <c r="AC6" s="10">
        <f t="shared" si="2"/>
        <v>6.8035915232666477</v>
      </c>
      <c r="AD6" s="10">
        <f t="shared" si="3"/>
        <v>0.75749375633524652</v>
      </c>
    </row>
    <row r="7" spans="1:30" x14ac:dyDescent="0.25">
      <c r="A7" s="33" t="s">
        <v>1016</v>
      </c>
      <c r="C7" s="39">
        <v>40847</v>
      </c>
      <c r="D7" s="53" t="s">
        <v>1017</v>
      </c>
      <c r="E7" s="4" t="str">
        <f>VLOOKUP(LEFT(D7,2),Sort!$A$1:$B$58,2,FALSE)</f>
        <v>UAE</v>
      </c>
      <c r="F7" s="4" t="s">
        <v>1014</v>
      </c>
      <c r="G7" s="18">
        <v>954627743</v>
      </c>
      <c r="H7" s="18">
        <v>1086286822</v>
      </c>
      <c r="I7" s="10">
        <v>0.52361366300000001</v>
      </c>
      <c r="J7" s="10">
        <v>2.5666669999999998</v>
      </c>
      <c r="K7" s="10">
        <v>2.2408169999999998</v>
      </c>
      <c r="L7" s="10">
        <v>4.1832880000000001</v>
      </c>
      <c r="M7" s="10">
        <v>4.1832880000000001</v>
      </c>
      <c r="N7" s="10">
        <v>385.01549999999997</v>
      </c>
      <c r="O7" s="10">
        <v>387.6026</v>
      </c>
      <c r="P7" s="10">
        <v>2.2420550000000001</v>
      </c>
      <c r="Q7" s="10">
        <v>2.1399999999999999E-2</v>
      </c>
      <c r="R7" s="10">
        <v>4.769820996</v>
      </c>
      <c r="S7" s="10">
        <v>8.517535895</v>
      </c>
      <c r="T7" s="10">
        <v>110</v>
      </c>
      <c r="U7" s="10">
        <v>111</v>
      </c>
      <c r="V7" s="10">
        <v>110</v>
      </c>
      <c r="W7" s="10">
        <v>111</v>
      </c>
      <c r="X7" s="4" t="s">
        <v>146</v>
      </c>
      <c r="Y7" s="4" t="s">
        <v>1018</v>
      </c>
      <c r="AA7" s="10">
        <f t="shared" si="0"/>
        <v>3.3229972709598786E-2</v>
      </c>
      <c r="AB7" s="10">
        <f t="shared" si="1"/>
        <v>6.3069494556878894E-2</v>
      </c>
      <c r="AC7" s="10">
        <f t="shared" si="2"/>
        <v>4.1731097398615606</v>
      </c>
      <c r="AD7" s="10">
        <f t="shared" si="3"/>
        <v>0.81879579904073529</v>
      </c>
    </row>
    <row r="8" spans="1:30" x14ac:dyDescent="0.25">
      <c r="A8" s="33" t="s">
        <v>1019</v>
      </c>
      <c r="C8" s="39">
        <v>40847</v>
      </c>
      <c r="D8" s="53" t="s">
        <v>1020</v>
      </c>
      <c r="E8" s="4" t="str">
        <f>VLOOKUP(LEFT(D8,2),Sort!$A$1:$B$58,2,FALSE)</f>
        <v>UAE</v>
      </c>
      <c r="F8" s="4" t="s">
        <v>1014</v>
      </c>
      <c r="G8" s="18">
        <v>1336478841</v>
      </c>
      <c r="H8" s="18">
        <v>1292980170</v>
      </c>
      <c r="I8" s="10">
        <v>0.62324431199999997</v>
      </c>
      <c r="J8" s="10">
        <v>25.663889000000001</v>
      </c>
      <c r="K8" s="10">
        <v>11.634453000000001</v>
      </c>
      <c r="L8" s="10">
        <v>7.192666</v>
      </c>
      <c r="M8" s="10">
        <v>7.192666</v>
      </c>
      <c r="N8" s="10">
        <v>426.29399999999998</v>
      </c>
      <c r="O8" s="10">
        <v>447.73349999999999</v>
      </c>
      <c r="P8" s="10">
        <v>10.873108999999999</v>
      </c>
      <c r="Q8" s="10">
        <v>1.9699999999999999E-2</v>
      </c>
      <c r="R8" s="10">
        <v>4.9155787530000001</v>
      </c>
      <c r="S8" s="10">
        <v>10.12665741</v>
      </c>
      <c r="T8" s="10">
        <v>94.5</v>
      </c>
      <c r="U8" s="10">
        <v>96</v>
      </c>
      <c r="V8" s="10">
        <v>94.5</v>
      </c>
      <c r="W8" s="10">
        <v>96</v>
      </c>
      <c r="X8" s="4" t="s">
        <v>146</v>
      </c>
      <c r="Y8" s="4" t="s">
        <v>1021</v>
      </c>
      <c r="AA8" s="10">
        <f t="shared" si="0"/>
        <v>0.77267401545218561</v>
      </c>
      <c r="AB8" s="10">
        <f t="shared" si="1"/>
        <v>0.25066654446616327</v>
      </c>
      <c r="AC8" s="10">
        <f t="shared" si="2"/>
        <v>16.385859357332691</v>
      </c>
      <c r="AD8" s="10">
        <f t="shared" si="3"/>
        <v>2.6020187199932989</v>
      </c>
    </row>
    <row r="9" spans="1:30" x14ac:dyDescent="0.25">
      <c r="A9" s="33" t="s">
        <v>1022</v>
      </c>
      <c r="C9" s="39">
        <v>40847</v>
      </c>
      <c r="D9" s="53" t="s">
        <v>1023</v>
      </c>
      <c r="E9" s="4" t="str">
        <f>VLOOKUP(LEFT(D9,2),Sort!$A$1:$B$58,2,FALSE)</f>
        <v>UAE</v>
      </c>
      <c r="F9" s="4" t="s">
        <v>1024</v>
      </c>
      <c r="G9" s="18">
        <v>843509073.70000005</v>
      </c>
      <c r="H9" s="18">
        <v>936354678.79999995</v>
      </c>
      <c r="I9" s="10">
        <v>0.45134313799999998</v>
      </c>
      <c r="J9" s="10">
        <v>4.3009130000000004</v>
      </c>
      <c r="K9" s="10">
        <v>3.736024</v>
      </c>
      <c r="L9" s="10">
        <v>3.5043899999999999</v>
      </c>
      <c r="M9" s="10">
        <v>3.5043899999999999</v>
      </c>
      <c r="N9" s="10">
        <v>272.5523</v>
      </c>
      <c r="O9" s="10">
        <v>243.6678</v>
      </c>
      <c r="P9" s="10">
        <v>3.6843170000000001</v>
      </c>
      <c r="Q9" s="10">
        <v>1.47E-2</v>
      </c>
      <c r="R9" s="10">
        <v>1.888915245</v>
      </c>
      <c r="S9" s="10">
        <v>5.9928116039999999</v>
      </c>
      <c r="T9" s="10">
        <v>108.75</v>
      </c>
      <c r="U9" s="10">
        <v>109.25</v>
      </c>
      <c r="V9" s="10">
        <v>96.091499999999996</v>
      </c>
      <c r="W9" s="10">
        <v>96.533299999999997</v>
      </c>
      <c r="X9" s="4" t="s">
        <v>146</v>
      </c>
      <c r="Y9" s="4" t="s">
        <v>1025</v>
      </c>
      <c r="AA9" s="10">
        <f t="shared" si="0"/>
        <v>4.7756129954151141E-2</v>
      </c>
      <c r="AB9" s="10">
        <f t="shared" si="1"/>
        <v>5.3405447722977173E-2</v>
      </c>
      <c r="AC9" s="10">
        <f t="shared" si="2"/>
        <v>2.2613466392711197</v>
      </c>
      <c r="AD9" s="10">
        <f t="shared" si="3"/>
        <v>0.69465624838938245</v>
      </c>
    </row>
    <row r="10" spans="1:30" x14ac:dyDescent="0.25">
      <c r="A10" s="33" t="s">
        <v>1026</v>
      </c>
      <c r="C10" s="39">
        <v>40847</v>
      </c>
      <c r="D10" s="53" t="s">
        <v>1027</v>
      </c>
      <c r="E10" s="4" t="str">
        <f>VLOOKUP(LEFT(D10,2),Sort!$A$1:$B$58,2,FALSE)</f>
        <v>UAE</v>
      </c>
      <c r="F10" s="4" t="s">
        <v>1007</v>
      </c>
      <c r="G10" s="18">
        <v>270045096</v>
      </c>
      <c r="H10" s="18">
        <v>216114487.09999999</v>
      </c>
      <c r="I10" s="10">
        <v>0.104171841</v>
      </c>
      <c r="J10" s="10">
        <v>5.2249999999999996</v>
      </c>
      <c r="K10" s="10">
        <v>-0.31531700000000001</v>
      </c>
      <c r="L10" s="10">
        <v>5.7735589999999997</v>
      </c>
      <c r="M10" s="10">
        <v>5.7735589999999997</v>
      </c>
      <c r="N10" s="10">
        <v>472.42959999999999</v>
      </c>
      <c r="O10" s="10">
        <v>473.20679999999999</v>
      </c>
      <c r="P10" s="10">
        <v>4.8656370000000004</v>
      </c>
      <c r="Q10" s="10">
        <v>3.5999999999999999E-3</v>
      </c>
      <c r="R10" s="10">
        <v>-1.135409355</v>
      </c>
      <c r="S10" s="10">
        <v>16.624470330000001</v>
      </c>
      <c r="T10" s="10">
        <v>80</v>
      </c>
      <c r="U10" s="10">
        <v>83</v>
      </c>
      <c r="V10" s="10">
        <v>80</v>
      </c>
      <c r="W10" s="10">
        <v>83</v>
      </c>
      <c r="X10" s="4" t="s">
        <v>146</v>
      </c>
      <c r="Y10" s="4" t="s">
        <v>1028</v>
      </c>
      <c r="AA10" s="10">
        <f t="shared" si="0"/>
        <v>-4.1529145197563592E-3</v>
      </c>
      <c r="AB10" s="10">
        <f t="shared" si="1"/>
        <v>1.7317474765803826E-2</v>
      </c>
      <c r="AC10" s="10">
        <f t="shared" si="2"/>
        <v>2.8946271143574243</v>
      </c>
      <c r="AD10" s="10">
        <f t="shared" si="3"/>
        <v>0.37601856897713054</v>
      </c>
    </row>
    <row r="11" spans="1:30" x14ac:dyDescent="0.25">
      <c r="A11" s="33" t="s">
        <v>1029</v>
      </c>
      <c r="C11" s="39">
        <v>40847</v>
      </c>
      <c r="D11" s="53" t="s">
        <v>1030</v>
      </c>
      <c r="E11" s="4" t="str">
        <f>VLOOKUP(LEFT(D11,2),Sort!$A$1:$B$58,2,FALSE)</f>
        <v>UAE</v>
      </c>
      <c r="F11" s="4" t="s">
        <v>1007</v>
      </c>
      <c r="G11" s="18">
        <v>649146865</v>
      </c>
      <c r="H11" s="18">
        <v>691445897.89999998</v>
      </c>
      <c r="I11" s="10">
        <v>0.33329182699999998</v>
      </c>
      <c r="J11" s="10">
        <v>2.855556</v>
      </c>
      <c r="K11" s="10">
        <v>2.6778680000000001</v>
      </c>
      <c r="L11" s="10">
        <v>2.0954920000000001</v>
      </c>
      <c r="M11" s="10">
        <v>2.0954920000000001</v>
      </c>
      <c r="N11" s="10">
        <v>171.84479999999999</v>
      </c>
      <c r="O11" s="10">
        <v>173.52080000000001</v>
      </c>
      <c r="P11" s="10">
        <v>2.673692</v>
      </c>
      <c r="Q11" s="10">
        <v>1.1599999999999999E-2</v>
      </c>
      <c r="R11" s="10">
        <v>1.170680706</v>
      </c>
      <c r="S11" s="10">
        <v>5.3270597180000001</v>
      </c>
      <c r="T11" s="10">
        <v>105.875</v>
      </c>
      <c r="U11" s="10">
        <v>106.625</v>
      </c>
      <c r="V11" s="10">
        <v>105.875</v>
      </c>
      <c r="W11" s="10">
        <v>106.625</v>
      </c>
      <c r="X11" s="4" t="s">
        <v>146</v>
      </c>
      <c r="Y11" s="4" t="s">
        <v>1031</v>
      </c>
      <c r="AA11" s="10">
        <f t="shared" si="0"/>
        <v>2.5277053809582489E-2</v>
      </c>
      <c r="AB11" s="10">
        <f t="shared" si="1"/>
        <v>2.3581800156538432E-2</v>
      </c>
      <c r="AC11" s="10">
        <f t="shared" si="2"/>
        <v>4.204070594216371</v>
      </c>
      <c r="AD11" s="10">
        <f t="shared" si="3"/>
        <v>0.50063979109916512</v>
      </c>
    </row>
    <row r="12" spans="1:30" x14ac:dyDescent="0.25">
      <c r="A12" s="33" t="s">
        <v>1032</v>
      </c>
      <c r="C12" s="39">
        <v>40847</v>
      </c>
      <c r="D12" s="53" t="s">
        <v>1033</v>
      </c>
      <c r="E12" s="4" t="str">
        <f>VLOOKUP(LEFT(D12,2),Sort!$A$1:$B$58,2,FALSE)</f>
        <v>UAE</v>
      </c>
      <c r="F12" s="4" t="s">
        <v>1007</v>
      </c>
      <c r="G12" s="18">
        <v>572776646</v>
      </c>
      <c r="H12" s="18">
        <v>606747009.29999995</v>
      </c>
      <c r="I12" s="10">
        <v>0.29246513699999999</v>
      </c>
      <c r="J12" s="10">
        <v>3.394444</v>
      </c>
      <c r="K12" s="10">
        <v>3.1611440000000002</v>
      </c>
      <c r="L12" s="10">
        <v>2.3173659999999998</v>
      </c>
      <c r="M12" s="10">
        <v>2.3173659999999998</v>
      </c>
      <c r="N12" s="10">
        <v>180.31880000000001</v>
      </c>
      <c r="O12" s="10">
        <v>183.14959999999999</v>
      </c>
      <c r="P12" s="10">
        <v>3.1546959999999999</v>
      </c>
      <c r="Q12" s="10">
        <v>1.0999999999999999E-2</v>
      </c>
      <c r="R12" s="10">
        <v>1.278926711</v>
      </c>
      <c r="S12" s="10">
        <v>5.9381601860000002</v>
      </c>
      <c r="T12" s="10">
        <v>105.5</v>
      </c>
      <c r="U12" s="10">
        <v>106.25</v>
      </c>
      <c r="V12" s="10">
        <v>105.5</v>
      </c>
      <c r="W12" s="10">
        <v>106.25</v>
      </c>
      <c r="X12" s="4" t="s">
        <v>146</v>
      </c>
      <c r="Y12" s="4" t="s">
        <v>1034</v>
      </c>
      <c r="AA12" s="10">
        <f t="shared" si="0"/>
        <v>2.6183699437303493E-2</v>
      </c>
      <c r="AB12" s="10">
        <f t="shared" si="1"/>
        <v>2.2884162242448745E-2</v>
      </c>
      <c r="AC12" s="10">
        <f t="shared" si="2"/>
        <v>3.8938020832484583</v>
      </c>
      <c r="AD12" s="10">
        <f t="shared" si="3"/>
        <v>0.43776869220952297</v>
      </c>
    </row>
    <row r="13" spans="1:30" x14ac:dyDescent="0.25">
      <c r="A13" s="33" t="s">
        <v>1035</v>
      </c>
      <c r="C13" s="39">
        <v>40847</v>
      </c>
      <c r="D13" s="53" t="s">
        <v>1036</v>
      </c>
      <c r="E13" s="4" t="str">
        <f>VLOOKUP(LEFT(D13,2),Sort!$A$1:$B$58,2,FALSE)</f>
        <v>UAE</v>
      </c>
      <c r="F13" s="4" t="s">
        <v>1037</v>
      </c>
      <c r="G13" s="18">
        <v>763702195</v>
      </c>
      <c r="H13" s="18">
        <v>804814827.29999995</v>
      </c>
      <c r="I13" s="10">
        <v>0.38793809499999998</v>
      </c>
      <c r="J13" s="10">
        <v>2.8666670000000001</v>
      </c>
      <c r="K13" s="10">
        <v>2.6693180000000001</v>
      </c>
      <c r="L13" s="10">
        <v>2.8292259999999998</v>
      </c>
      <c r="M13" s="10">
        <v>2.8292259999999998</v>
      </c>
      <c r="N13" s="10">
        <v>245.04929999999999</v>
      </c>
      <c r="O13" s="10">
        <v>246.7407</v>
      </c>
      <c r="P13" s="10">
        <v>2.6651899999999999</v>
      </c>
      <c r="Q13" s="10">
        <v>1.2500000000000001E-2</v>
      </c>
      <c r="R13" s="10">
        <v>0.83189184100000002</v>
      </c>
      <c r="S13" s="10">
        <v>5.1774510979999997</v>
      </c>
      <c r="T13" s="10">
        <v>104.75</v>
      </c>
      <c r="U13" s="10">
        <v>105.25</v>
      </c>
      <c r="V13" s="10">
        <v>104.75</v>
      </c>
      <c r="W13" s="10">
        <v>105.25</v>
      </c>
      <c r="X13" s="4" t="s">
        <v>146</v>
      </c>
      <c r="Y13" s="4" t="s">
        <v>1038</v>
      </c>
      <c r="AA13" s="10">
        <f t="shared" si="0"/>
        <v>2.9327521841727322E-2</v>
      </c>
      <c r="AB13" s="10">
        <f t="shared" si="1"/>
        <v>3.7059226664800445E-2</v>
      </c>
      <c r="AC13" s="10">
        <f t="shared" si="2"/>
        <v>1.9681825373191941</v>
      </c>
      <c r="AD13" s="10">
        <f t="shared" si="3"/>
        <v>0.57520968441810039</v>
      </c>
    </row>
    <row r="14" spans="1:30" x14ac:dyDescent="0.25">
      <c r="A14" s="33" t="s">
        <v>1039</v>
      </c>
      <c r="C14" s="39">
        <v>40847</v>
      </c>
      <c r="D14" s="53" t="s">
        <v>1040</v>
      </c>
      <c r="E14" s="4" t="str">
        <f>VLOOKUP(LEFT(D14,2),Sort!$A$1:$B$58,2,FALSE)</f>
        <v>UAE</v>
      </c>
      <c r="F14" s="4" t="s">
        <v>1037</v>
      </c>
      <c r="G14" s="18">
        <v>763702195</v>
      </c>
      <c r="H14" s="18">
        <v>842729464.29999995</v>
      </c>
      <c r="I14" s="10">
        <v>0.406213767</v>
      </c>
      <c r="J14" s="10">
        <v>4.983333</v>
      </c>
      <c r="K14" s="10">
        <v>4.3843290000000001</v>
      </c>
      <c r="L14" s="10">
        <v>3.5049519999999998</v>
      </c>
      <c r="M14" s="10">
        <v>3.5049519999999998</v>
      </c>
      <c r="N14" s="10">
        <v>252.68190000000001</v>
      </c>
      <c r="O14" s="10">
        <v>257.69549999999998</v>
      </c>
      <c r="P14" s="10">
        <v>4.341323</v>
      </c>
      <c r="Q14" s="10">
        <v>1.4800000000000001E-2</v>
      </c>
      <c r="R14" s="10">
        <v>0.19122646200000001</v>
      </c>
      <c r="S14" s="10">
        <v>9.4638999469999998</v>
      </c>
      <c r="T14" s="10">
        <v>110.25</v>
      </c>
      <c r="U14" s="10">
        <v>110.75</v>
      </c>
      <c r="V14" s="10">
        <v>110.25</v>
      </c>
      <c r="W14" s="10">
        <v>110.75</v>
      </c>
      <c r="X14" s="4" t="s">
        <v>146</v>
      </c>
      <c r="Y14" s="4" t="s">
        <v>1041</v>
      </c>
      <c r="AA14" s="10">
        <f t="shared" si="0"/>
        <v>8.0466168983832173E-2</v>
      </c>
      <c r="AB14" s="10">
        <f t="shared" si="1"/>
        <v>4.8073196032883889E-2</v>
      </c>
      <c r="AC14" s="10">
        <f t="shared" si="2"/>
        <v>2.1524031848569325</v>
      </c>
      <c r="AD14" s="10">
        <f t="shared" si="3"/>
        <v>0.63378218765097805</v>
      </c>
    </row>
    <row r="15" spans="1:30" x14ac:dyDescent="0.25">
      <c r="A15" s="33" t="s">
        <v>1042</v>
      </c>
      <c r="C15" s="39">
        <v>40847</v>
      </c>
      <c r="D15" s="53" t="s">
        <v>1043</v>
      </c>
      <c r="E15" s="4" t="str">
        <f>VLOOKUP(LEFT(D15,2),Sort!$A$1:$B$58,2,FALSE)</f>
        <v>UAE</v>
      </c>
      <c r="F15" s="4" t="s">
        <v>1037</v>
      </c>
      <c r="G15" s="18">
        <v>696868324</v>
      </c>
      <c r="H15" s="18">
        <v>697623262.39999998</v>
      </c>
      <c r="I15" s="10">
        <v>0.33626945000000003</v>
      </c>
      <c r="J15" s="10">
        <v>24.983332999999998</v>
      </c>
      <c r="K15" s="10">
        <v>12.564579</v>
      </c>
      <c r="L15" s="10">
        <v>6.4189860000000003</v>
      </c>
      <c r="M15" s="10">
        <v>6.4189860000000003</v>
      </c>
      <c r="N15" s="10">
        <v>352.38330000000002</v>
      </c>
      <c r="O15" s="10">
        <v>366.50839999999999</v>
      </c>
      <c r="P15" s="10">
        <v>11.726927999999999</v>
      </c>
      <c r="Q15" s="10">
        <v>1.7999999999999999E-2</v>
      </c>
      <c r="R15" s="10">
        <v>-1.421922315</v>
      </c>
      <c r="S15" s="10">
        <v>7.656353696</v>
      </c>
      <c r="T15" s="10">
        <v>100</v>
      </c>
      <c r="U15" s="10">
        <v>101</v>
      </c>
      <c r="V15" s="10">
        <v>100</v>
      </c>
      <c r="W15" s="10">
        <v>101</v>
      </c>
      <c r="X15" s="4" t="s">
        <v>146</v>
      </c>
      <c r="Y15" s="4" t="s">
        <v>1044</v>
      </c>
      <c r="AA15" s="10">
        <f t="shared" si="0"/>
        <v>0.45022267990563458</v>
      </c>
      <c r="AB15" s="10">
        <f t="shared" si="1"/>
        <v>0.12069853487335323</v>
      </c>
      <c r="AC15" s="10">
        <f t="shared" si="2"/>
        <v>2.5341568941263812</v>
      </c>
      <c r="AD15" s="10">
        <f t="shared" si="3"/>
        <v>0.47846529654864234</v>
      </c>
    </row>
    <row r="16" spans="1:30" x14ac:dyDescent="0.25">
      <c r="A16" s="33" t="s">
        <v>1045</v>
      </c>
      <c r="C16" s="39">
        <v>40847</v>
      </c>
      <c r="D16" s="53" t="s">
        <v>1046</v>
      </c>
      <c r="E16" s="4" t="str">
        <f>VLOOKUP(LEFT(D16,2),Sort!$A$1:$B$58,2,FALSE)</f>
        <v>UAE</v>
      </c>
      <c r="F16" s="4" t="s">
        <v>1037</v>
      </c>
      <c r="G16" s="18">
        <v>381851097</v>
      </c>
      <c r="H16" s="18">
        <v>426970515.69999999</v>
      </c>
      <c r="I16" s="10">
        <v>0.205808992</v>
      </c>
      <c r="J16" s="10">
        <v>7.8694439999999997</v>
      </c>
      <c r="K16" s="10">
        <v>6.3705829999999999</v>
      </c>
      <c r="L16" s="10">
        <v>4.4975949999999996</v>
      </c>
      <c r="M16" s="10">
        <v>4.4975949999999996</v>
      </c>
      <c r="N16" s="10">
        <v>276.27190000000002</v>
      </c>
      <c r="O16" s="10">
        <v>284.8288</v>
      </c>
      <c r="P16" s="10">
        <v>6.2086069999999998</v>
      </c>
      <c r="Q16" s="10">
        <v>1.55E-2</v>
      </c>
      <c r="R16" s="10">
        <v>0.88975237799999995</v>
      </c>
      <c r="S16" s="10">
        <v>12.088211149999999</v>
      </c>
      <c r="T16" s="10">
        <v>111</v>
      </c>
      <c r="U16" s="10">
        <v>111.5</v>
      </c>
      <c r="V16" s="10">
        <v>111</v>
      </c>
      <c r="W16" s="10">
        <v>111.5</v>
      </c>
      <c r="X16" s="4" t="s">
        <v>146</v>
      </c>
      <c r="Y16" s="4" t="s">
        <v>1047</v>
      </c>
      <c r="AA16" s="10">
        <f t="shared" si="0"/>
        <v>5.7243935689825734E-2</v>
      </c>
      <c r="AB16" s="10">
        <f t="shared" si="1"/>
        <v>2.6652337626784189E-2</v>
      </c>
      <c r="AC16" s="10">
        <f t="shared" si="2"/>
        <v>1.2053423031671346</v>
      </c>
      <c r="AD16" s="10">
        <f t="shared" si="3"/>
        <v>0.32328151251590115</v>
      </c>
    </row>
    <row r="17" spans="1:30" x14ac:dyDescent="0.25">
      <c r="A17" s="33" t="s">
        <v>1048</v>
      </c>
      <c r="C17" s="39">
        <v>40847</v>
      </c>
      <c r="D17" s="53" t="s">
        <v>1049</v>
      </c>
      <c r="E17" s="4" t="str">
        <f>VLOOKUP(LEFT(D17,2),Sort!$A$1:$B$58,2,FALSE)</f>
        <v>UAE</v>
      </c>
      <c r="F17" s="4" t="s">
        <v>1037</v>
      </c>
      <c r="G17" s="18">
        <v>381851097</v>
      </c>
      <c r="H17" s="18">
        <v>421991284.30000001</v>
      </c>
      <c r="I17" s="10">
        <v>0.20340889500000001</v>
      </c>
      <c r="J17" s="10">
        <v>5.9777779999999998</v>
      </c>
      <c r="K17" s="10">
        <v>5.1004849999999999</v>
      </c>
      <c r="L17" s="10">
        <v>4.0952820000000001</v>
      </c>
      <c r="M17" s="10">
        <v>4.0952820000000001</v>
      </c>
      <c r="N17" s="10">
        <v>282.43259999999998</v>
      </c>
      <c r="O17" s="10">
        <v>288.327</v>
      </c>
      <c r="P17" s="10">
        <v>5.0206759999999999</v>
      </c>
      <c r="Q17" s="10">
        <v>1.55E-2</v>
      </c>
      <c r="R17" s="10">
        <v>-0.55862403000000005</v>
      </c>
      <c r="S17" s="10">
        <v>10.20038643</v>
      </c>
      <c r="T17" s="10">
        <v>110.375</v>
      </c>
      <c r="U17" s="10">
        <v>110.875</v>
      </c>
      <c r="V17" s="10">
        <v>110.375</v>
      </c>
      <c r="W17" s="10">
        <v>110.875</v>
      </c>
      <c r="X17" s="4" t="s">
        <v>146</v>
      </c>
      <c r="Y17" s="4" t="s">
        <v>1050</v>
      </c>
      <c r="AA17" s="10">
        <f t="shared" si="0"/>
        <v>4.6874534332094431E-2</v>
      </c>
      <c r="AB17" s="10">
        <f t="shared" si="1"/>
        <v>2.3985256571764282E-2</v>
      </c>
      <c r="AC17" s="10">
        <f t="shared" si="2"/>
        <v>1.2059169716196629</v>
      </c>
      <c r="AD17" s="10">
        <f t="shared" si="3"/>
        <v>0.31772049466608948</v>
      </c>
    </row>
    <row r="18" spans="1:30" x14ac:dyDescent="0.25">
      <c r="A18" s="33" t="s">
        <v>1051</v>
      </c>
      <c r="C18" s="39">
        <v>40847</v>
      </c>
      <c r="D18" s="53" t="s">
        <v>1052</v>
      </c>
      <c r="E18" s="4" t="str">
        <f>VLOOKUP(LEFT(D18,2),Sort!$A$1:$B$58,2,FALSE)</f>
        <v>UAE</v>
      </c>
      <c r="F18" s="4" t="s">
        <v>1037</v>
      </c>
      <c r="G18" s="18">
        <v>763702195</v>
      </c>
      <c r="H18" s="18">
        <v>824314695.10000002</v>
      </c>
      <c r="I18" s="10">
        <v>0.39733745100000001</v>
      </c>
      <c r="J18" s="10">
        <v>1.7444440000000001</v>
      </c>
      <c r="K18" s="10">
        <v>1.636816</v>
      </c>
      <c r="L18" s="10">
        <v>2.6133229999999998</v>
      </c>
      <c r="M18" s="10">
        <v>2.6133229999999998</v>
      </c>
      <c r="N18" s="10">
        <v>240.49119999999999</v>
      </c>
      <c r="O18" s="10">
        <v>241.00640000000001</v>
      </c>
      <c r="P18" s="10">
        <v>1.6330990000000001</v>
      </c>
      <c r="Q18" s="10">
        <v>1.7000000000000001E-2</v>
      </c>
      <c r="R18" s="10">
        <v>0.71224235999999996</v>
      </c>
      <c r="S18" s="10">
        <v>3.4240609530000001</v>
      </c>
      <c r="T18" s="10">
        <v>106.25</v>
      </c>
      <c r="U18" s="10">
        <v>106.75</v>
      </c>
      <c r="V18" s="10">
        <v>106.25</v>
      </c>
      <c r="W18" s="10">
        <v>106.75</v>
      </c>
      <c r="X18" s="4" t="s">
        <v>146</v>
      </c>
      <c r="Y18" s="4" t="s">
        <v>1053</v>
      </c>
      <c r="AA18" s="10">
        <f t="shared" si="0"/>
        <v>8.2227034789899456E-2</v>
      </c>
      <c r="AB18" s="10">
        <f t="shared" si="1"/>
        <v>3.5060562205407389E-2</v>
      </c>
      <c r="AC18" s="10">
        <f t="shared" si="2"/>
        <v>1.969020467202325</v>
      </c>
      <c r="AD18" s="10">
        <f t="shared" si="3"/>
        <v>0.59754283295549748</v>
      </c>
    </row>
    <row r="19" spans="1:30" x14ac:dyDescent="0.25">
      <c r="A19" s="33" t="s">
        <v>1054</v>
      </c>
      <c r="C19" s="39">
        <v>40847</v>
      </c>
      <c r="D19" s="53" t="s">
        <v>1055</v>
      </c>
      <c r="E19" s="4" t="str">
        <f>VLOOKUP(LEFT(D19,2),Sort!$A$1:$B$58,2,FALSE)</f>
        <v>UAE</v>
      </c>
      <c r="F19" s="4" t="s">
        <v>1037</v>
      </c>
      <c r="G19" s="18">
        <v>381851097</v>
      </c>
      <c r="H19" s="18">
        <v>450499439.5</v>
      </c>
      <c r="I19" s="10">
        <v>0.21715044</v>
      </c>
      <c r="J19" s="10">
        <v>6.7444439999999997</v>
      </c>
      <c r="K19" s="10">
        <v>5.4464579999999998</v>
      </c>
      <c r="L19" s="10">
        <v>4.375102</v>
      </c>
      <c r="M19" s="10">
        <v>4.375102</v>
      </c>
      <c r="N19" s="10">
        <v>287.83629999999999</v>
      </c>
      <c r="O19" s="10">
        <v>297.91140000000001</v>
      </c>
      <c r="P19" s="10">
        <v>5.3387529999999996</v>
      </c>
      <c r="Q19" s="10">
        <v>1.7100000000000001E-2</v>
      </c>
      <c r="R19" s="10">
        <v>-0.68281594700000003</v>
      </c>
      <c r="S19" s="10">
        <v>10.316697550000001</v>
      </c>
      <c r="T19" s="10">
        <v>116.125</v>
      </c>
      <c r="U19" s="10">
        <v>116.625</v>
      </c>
      <c r="V19" s="10">
        <v>116.125</v>
      </c>
      <c r="W19" s="10">
        <v>116.625</v>
      </c>
      <c r="X19" s="4" t="s">
        <v>146</v>
      </c>
      <c r="Y19" s="4" t="s">
        <v>1056</v>
      </c>
      <c r="AA19" s="10">
        <f t="shared" si="0"/>
        <v>5.3435567283579864E-2</v>
      </c>
      <c r="AB19" s="10">
        <f t="shared" si="1"/>
        <v>2.7355175930059934E-2</v>
      </c>
      <c r="AC19" s="10">
        <f t="shared" si="2"/>
        <v>1.3301787030128793</v>
      </c>
      <c r="AD19" s="10">
        <f t="shared" si="3"/>
        <v>0.3567746819740929</v>
      </c>
    </row>
    <row r="20" spans="1:30" x14ac:dyDescent="0.25">
      <c r="A20" s="33" t="s">
        <v>1057</v>
      </c>
      <c r="C20" s="39">
        <v>40847</v>
      </c>
      <c r="D20" s="53" t="s">
        <v>1058</v>
      </c>
      <c r="E20" s="4" t="str">
        <f>VLOOKUP(LEFT(D20,2),Sort!$A$1:$B$58,2,FALSE)</f>
        <v>Argentina</v>
      </c>
      <c r="F20" s="4" t="s">
        <v>1059</v>
      </c>
      <c r="G20" s="18">
        <v>308600000</v>
      </c>
      <c r="H20" s="18">
        <v>329173334.39999998</v>
      </c>
      <c r="I20" s="10">
        <v>0.158668643</v>
      </c>
      <c r="J20" s="10">
        <v>7.911111</v>
      </c>
      <c r="K20" s="10">
        <v>6.0757750000000001</v>
      </c>
      <c r="L20" s="10">
        <v>6.2037469999999999</v>
      </c>
      <c r="M20" s="10">
        <v>6.2037469999999999</v>
      </c>
      <c r="N20" s="10">
        <v>446.10660000000001</v>
      </c>
      <c r="O20" s="10">
        <v>458.25779999999997</v>
      </c>
      <c r="P20" s="10">
        <v>5.9244339999999998</v>
      </c>
      <c r="Q20" s="10">
        <v>1.95E-2</v>
      </c>
      <c r="R20" s="10">
        <v>2.4819847859999999</v>
      </c>
      <c r="S20" s="10">
        <v>4.4502069339999997</v>
      </c>
      <c r="T20" s="10">
        <v>106</v>
      </c>
      <c r="U20" s="10">
        <v>108</v>
      </c>
      <c r="V20" s="10">
        <v>106</v>
      </c>
      <c r="W20" s="10">
        <v>108</v>
      </c>
      <c r="X20" s="4" t="s">
        <v>146</v>
      </c>
      <c r="Y20" s="4" t="s">
        <v>1060</v>
      </c>
      <c r="AA20" s="10">
        <f t="shared" si="0"/>
        <v>4.2089982975387491E-2</v>
      </c>
      <c r="AB20" s="10">
        <f t="shared" si="1"/>
        <v>5.5041890370315948E-2</v>
      </c>
      <c r="AC20" s="10">
        <f t="shared" si="2"/>
        <v>4.2696500533970063</v>
      </c>
      <c r="AD20" s="10">
        <f t="shared" si="3"/>
        <v>0.24141070157675273</v>
      </c>
    </row>
    <row r="21" spans="1:30" x14ac:dyDescent="0.25">
      <c r="A21" s="33" t="s">
        <v>1061</v>
      </c>
      <c r="C21" s="39">
        <v>40847</v>
      </c>
      <c r="D21" s="53" t="s">
        <v>1062</v>
      </c>
      <c r="E21" s="4" t="str">
        <f>VLOOKUP(LEFT(D21,2),Sort!$A$1:$B$58,2,FALSE)</f>
        <v>Argentina</v>
      </c>
      <c r="F21" s="4" t="s">
        <v>1007</v>
      </c>
      <c r="G21" s="18">
        <v>300000000</v>
      </c>
      <c r="H21" s="18">
        <v>277343751</v>
      </c>
      <c r="I21" s="10">
        <v>0.13368566600000001</v>
      </c>
      <c r="J21" s="10">
        <v>6.5027780000000002</v>
      </c>
      <c r="K21" s="10">
        <v>4.5771179999999996</v>
      </c>
      <c r="L21" s="10">
        <v>10.83802</v>
      </c>
      <c r="M21" s="10">
        <v>10.83802</v>
      </c>
      <c r="N21" s="10">
        <v>941.24519999999995</v>
      </c>
      <c r="O21" s="10">
        <v>955.38469999999995</v>
      </c>
      <c r="P21" s="10">
        <v>4.4980149999999997</v>
      </c>
      <c r="Q21" s="10">
        <v>2.63E-2</v>
      </c>
      <c r="R21" s="10">
        <v>-2.4224896089999999</v>
      </c>
      <c r="S21" s="10">
        <v>-6.199684993</v>
      </c>
      <c r="T21" s="10">
        <v>88</v>
      </c>
      <c r="U21" s="10">
        <v>91</v>
      </c>
      <c r="V21" s="10">
        <v>88</v>
      </c>
      <c r="W21" s="10">
        <v>91</v>
      </c>
      <c r="X21" s="4" t="s">
        <v>146</v>
      </c>
      <c r="Y21" s="4" t="s">
        <v>1063</v>
      </c>
      <c r="AA21" s="10">
        <f t="shared" si="0"/>
        <v>2.7646012765965511E-2</v>
      </c>
      <c r="AB21" s="10">
        <f t="shared" si="1"/>
        <v>0.18969858900316347</v>
      </c>
      <c r="AC21" s="10">
        <f t="shared" si="2"/>
        <v>24.563806448985289</v>
      </c>
      <c r="AD21" s="10">
        <f t="shared" si="3"/>
        <v>0.5290626423990612</v>
      </c>
    </row>
    <row r="22" spans="1:30" x14ac:dyDescent="0.25">
      <c r="A22" s="33" t="s">
        <v>1064</v>
      </c>
      <c r="C22" s="39">
        <v>40847</v>
      </c>
      <c r="D22" s="53" t="s">
        <v>1065</v>
      </c>
      <c r="E22" s="4" t="str">
        <f>VLOOKUP(LEFT(D22,2),Sort!$A$1:$B$58,2,FALSE)</f>
        <v>Argentina</v>
      </c>
      <c r="F22" s="4" t="s">
        <v>1037</v>
      </c>
      <c r="G22" s="18">
        <v>300000000</v>
      </c>
      <c r="H22" s="18">
        <v>252650001</v>
      </c>
      <c r="I22" s="10">
        <v>0.121782746</v>
      </c>
      <c r="J22" s="10">
        <v>10.977778000000001</v>
      </c>
      <c r="K22" s="10">
        <v>6.3420310000000004</v>
      </c>
      <c r="L22" s="10">
        <v>12.085207</v>
      </c>
      <c r="M22" s="10">
        <v>12.085207</v>
      </c>
      <c r="N22" s="10">
        <v>990.15359999999998</v>
      </c>
      <c r="O22" s="10">
        <v>1018.7381</v>
      </c>
      <c r="P22" s="10">
        <v>6.132339</v>
      </c>
      <c r="Q22" s="10">
        <v>5.0220000000000002</v>
      </c>
      <c r="R22" s="10">
        <v>1.149380812</v>
      </c>
      <c r="S22" s="10">
        <v>-15.014011180000001</v>
      </c>
      <c r="T22" s="10">
        <v>84</v>
      </c>
      <c r="U22" s="10">
        <v>86</v>
      </c>
      <c r="V22" s="10">
        <v>84</v>
      </c>
      <c r="W22" s="10">
        <v>86</v>
      </c>
      <c r="X22" s="4" t="s">
        <v>146</v>
      </c>
      <c r="Y22" s="4" t="s">
        <v>1066</v>
      </c>
      <c r="AA22" s="10">
        <f t="shared" si="0"/>
        <v>3.3720972080755793E-2</v>
      </c>
      <c r="AB22" s="10">
        <f t="shared" si="1"/>
        <v>0.19269443185507171</v>
      </c>
      <c r="AC22" s="10">
        <f t="shared" si="2"/>
        <v>19.071064473675555</v>
      </c>
      <c r="AD22" s="10">
        <f t="shared" si="3"/>
        <v>0.45547555627757619</v>
      </c>
    </row>
    <row r="23" spans="1:30" x14ac:dyDescent="0.25">
      <c r="A23" s="33" t="s">
        <v>1067</v>
      </c>
      <c r="C23" s="39">
        <v>40847</v>
      </c>
      <c r="D23" s="53" t="s">
        <v>1068</v>
      </c>
      <c r="E23" s="4" t="str">
        <f>VLOOKUP(LEFT(D23,2),Sort!$A$1:$B$58,2,FALSE)</f>
        <v>Argentina</v>
      </c>
      <c r="F23" s="4" t="s">
        <v>1014</v>
      </c>
      <c r="G23" s="18">
        <v>390000000</v>
      </c>
      <c r="H23" s="18">
        <v>350809063.80000001</v>
      </c>
      <c r="I23" s="10">
        <v>0.16909753</v>
      </c>
      <c r="J23" s="10">
        <v>8.9083330000000007</v>
      </c>
      <c r="K23" s="10">
        <v>5.5858999999999996</v>
      </c>
      <c r="L23" s="10">
        <v>11.848850000000001</v>
      </c>
      <c r="M23" s="10">
        <v>11.848850000000001</v>
      </c>
      <c r="N23" s="10">
        <v>991.93560000000002</v>
      </c>
      <c r="O23" s="10">
        <v>1017.9741</v>
      </c>
      <c r="P23" s="10">
        <v>5.4375980000000004</v>
      </c>
      <c r="Q23" s="10">
        <v>3.2000000000000001E-2</v>
      </c>
      <c r="R23" s="10">
        <v>2.0499896839999998</v>
      </c>
      <c r="S23" s="10">
        <v>-0.45113219799999998</v>
      </c>
      <c r="T23" s="10">
        <v>89</v>
      </c>
      <c r="U23" s="10">
        <v>92</v>
      </c>
      <c r="V23" s="10">
        <v>89</v>
      </c>
      <c r="W23" s="10">
        <v>92</v>
      </c>
      <c r="X23" s="4" t="s">
        <v>146</v>
      </c>
      <c r="Y23" s="4" t="s">
        <v>1069</v>
      </c>
      <c r="AA23" s="10">
        <f t="shared" si="0"/>
        <v>4.2676222686246955E-2</v>
      </c>
      <c r="AB23" s="10">
        <f t="shared" si="1"/>
        <v>0.26232686836716873</v>
      </c>
      <c r="AC23" s="10">
        <f t="shared" si="2"/>
        <v>26.460656530195031</v>
      </c>
      <c r="AD23" s="10">
        <f t="shared" si="3"/>
        <v>0.67655943105941196</v>
      </c>
    </row>
    <row r="24" spans="1:30" x14ac:dyDescent="0.25">
      <c r="A24" s="33" t="s">
        <v>1070</v>
      </c>
      <c r="C24" s="39">
        <v>40847</v>
      </c>
      <c r="D24" s="53" t="s">
        <v>1071</v>
      </c>
      <c r="E24" s="4" t="str">
        <f>VLOOKUP(LEFT(D24,2),Sort!$A$1:$B$58,2,FALSE)</f>
        <v>Argentina</v>
      </c>
      <c r="F24" s="4" t="s">
        <v>1024</v>
      </c>
      <c r="G24" s="18">
        <v>500000000</v>
      </c>
      <c r="H24" s="18">
        <v>514250000</v>
      </c>
      <c r="I24" s="10">
        <v>0.24787958500000001</v>
      </c>
      <c r="J24" s="10">
        <v>8.5111109999999996</v>
      </c>
      <c r="K24" s="10">
        <v>6.0026330000000003</v>
      </c>
      <c r="L24" s="10">
        <v>7.7119759999999999</v>
      </c>
      <c r="M24" s="10">
        <v>7.7119759999999999</v>
      </c>
      <c r="N24" s="10">
        <v>585.68949999999995</v>
      </c>
      <c r="O24" s="10">
        <v>600.7491</v>
      </c>
      <c r="P24" s="10">
        <v>5.8409120000000003</v>
      </c>
      <c r="Q24" s="10">
        <v>-0.70299999999999996</v>
      </c>
      <c r="R24" s="10">
        <v>-0.37535244200000001</v>
      </c>
      <c r="S24" s="10">
        <v>-0.82362959000000002</v>
      </c>
      <c r="T24" s="10">
        <v>99</v>
      </c>
      <c r="U24" s="10">
        <v>101</v>
      </c>
      <c r="V24" s="10">
        <v>99</v>
      </c>
      <c r="W24" s="10">
        <v>101</v>
      </c>
      <c r="X24" s="4" t="s">
        <v>146</v>
      </c>
      <c r="Y24" s="4" t="s">
        <v>1072</v>
      </c>
      <c r="AA24" s="10">
        <f t="shared" si="0"/>
        <v>6.4963365006678264E-2</v>
      </c>
      <c r="AB24" s="10">
        <f t="shared" si="1"/>
        <v>0.10689430938881801</v>
      </c>
      <c r="AC24" s="10">
        <f t="shared" si="2"/>
        <v>16.778850253025336</v>
      </c>
      <c r="AD24" s="10">
        <f t="shared" si="3"/>
        <v>0.35269864411295948</v>
      </c>
    </row>
    <row r="25" spans="1:30" x14ac:dyDescent="0.25">
      <c r="A25" s="33" t="s">
        <v>1073</v>
      </c>
      <c r="C25" s="39">
        <v>40847</v>
      </c>
      <c r="D25" s="53" t="s">
        <v>1074</v>
      </c>
      <c r="E25" s="4" t="str">
        <f>VLOOKUP(LEFT(D25,2),Sort!$A$1:$B$58,2,FALSE)</f>
        <v>Argentina</v>
      </c>
      <c r="F25" s="4" t="s">
        <v>1024</v>
      </c>
      <c r="G25" s="18">
        <v>300000000</v>
      </c>
      <c r="H25" s="18">
        <v>316475001</v>
      </c>
      <c r="I25" s="10">
        <v>0.152547772</v>
      </c>
      <c r="J25" s="10">
        <v>5.5333329999999998</v>
      </c>
      <c r="K25" s="10">
        <v>4.6489180000000001</v>
      </c>
      <c r="L25" s="10">
        <v>4.6829099999999997</v>
      </c>
      <c r="M25" s="10">
        <v>4.6829099999999997</v>
      </c>
      <c r="N25" s="10">
        <v>354.28429999999997</v>
      </c>
      <c r="O25" s="10">
        <v>359.86360000000002</v>
      </c>
      <c r="P25" s="10">
        <v>4.5894110000000001</v>
      </c>
      <c r="Q25" s="10">
        <v>1.55E-2</v>
      </c>
      <c r="R25" s="10">
        <v>0.67466491900000003</v>
      </c>
      <c r="S25" s="10">
        <v>5.6007726949999999</v>
      </c>
      <c r="T25" s="10">
        <v>102.75</v>
      </c>
      <c r="U25" s="10">
        <v>105.75</v>
      </c>
      <c r="V25" s="10">
        <v>102.75</v>
      </c>
      <c r="W25" s="10">
        <v>105.75</v>
      </c>
      <c r="X25" s="4" t="s">
        <v>146</v>
      </c>
      <c r="Y25" s="4" t="s">
        <v>1075</v>
      </c>
      <c r="AA25" s="10">
        <f t="shared" si="0"/>
        <v>3.2041534466725134E-2</v>
      </c>
      <c r="AB25" s="10">
        <f t="shared" si="1"/>
        <v>2.0568958212439967E-2</v>
      </c>
      <c r="AC25" s="10">
        <f t="shared" si="2"/>
        <v>1.1287712594581512</v>
      </c>
      <c r="AD25" s="10">
        <f t="shared" si="3"/>
        <v>0.22726256388738283</v>
      </c>
    </row>
    <row r="26" spans="1:30" x14ac:dyDescent="0.25">
      <c r="A26" s="33" t="s">
        <v>1076</v>
      </c>
      <c r="C26" s="39">
        <v>40847</v>
      </c>
      <c r="D26" s="53" t="s">
        <v>1077</v>
      </c>
      <c r="E26" s="4" t="str">
        <f>VLOOKUP(LEFT(D26,2),Sort!$A$1:$B$58,2,FALSE)</f>
        <v>Argentina</v>
      </c>
      <c r="F26" s="4" t="s">
        <v>1037</v>
      </c>
      <c r="G26" s="18">
        <v>374024000</v>
      </c>
      <c r="H26" s="18">
        <v>357929279.80000001</v>
      </c>
      <c r="I26" s="10">
        <v>0.17252962799999999</v>
      </c>
      <c r="J26" s="10">
        <v>4.0326389999999996</v>
      </c>
      <c r="K26" s="10">
        <v>3.1954280000000002</v>
      </c>
      <c r="L26" s="10">
        <v>9.4107850000000006</v>
      </c>
      <c r="M26" s="10">
        <v>9.4107850000000006</v>
      </c>
      <c r="N26" s="10">
        <v>871.02539999999999</v>
      </c>
      <c r="O26" s="10">
        <v>868.97249999999997</v>
      </c>
      <c r="P26" s="10">
        <v>3.1749230000000002</v>
      </c>
      <c r="Q26" s="10">
        <v>2.29E-2</v>
      </c>
      <c r="R26" s="10">
        <v>5.0639840930000002</v>
      </c>
      <c r="S26" s="10">
        <v>-2.0425172709999999</v>
      </c>
      <c r="T26" s="10">
        <v>92</v>
      </c>
      <c r="U26" s="10">
        <v>95</v>
      </c>
      <c r="V26" s="10">
        <v>92</v>
      </c>
      <c r="W26" s="10">
        <v>95</v>
      </c>
      <c r="X26" s="4" t="s">
        <v>146</v>
      </c>
      <c r="Y26" s="4" t="s">
        <v>1078</v>
      </c>
      <c r="AA26" s="10">
        <f t="shared" si="0"/>
        <v>1.561368257400533E-2</v>
      </c>
      <c r="AB26" s="10">
        <f t="shared" si="1"/>
        <v>0.20302268500776011</v>
      </c>
      <c r="AC26" s="10">
        <f t="shared" si="2"/>
        <v>28.833825049351532</v>
      </c>
      <c r="AD26" s="10">
        <f t="shared" si="3"/>
        <v>0.71280075534534737</v>
      </c>
    </row>
    <row r="27" spans="1:30" x14ac:dyDescent="0.25">
      <c r="A27" s="33" t="s">
        <v>1079</v>
      </c>
      <c r="C27" s="39">
        <v>40847</v>
      </c>
      <c r="D27" s="53" t="s">
        <v>1080</v>
      </c>
      <c r="E27" s="4" t="str">
        <f>VLOOKUP(LEFT(D27,2),Sort!$A$1:$B$58,2,FALSE)</f>
        <v>Barbados</v>
      </c>
      <c r="F27" s="4" t="s">
        <v>1081</v>
      </c>
      <c r="G27" s="18">
        <v>640000000</v>
      </c>
      <c r="H27" s="18">
        <v>686124441.60000002</v>
      </c>
      <c r="I27" s="10">
        <v>0.33072677</v>
      </c>
      <c r="J27" s="10">
        <v>3.0472220000000001</v>
      </c>
      <c r="K27" s="10">
        <v>2.4230670000000001</v>
      </c>
      <c r="L27" s="10">
        <v>9.9416869999999999</v>
      </c>
      <c r="M27" s="10">
        <v>9.9416869999999999</v>
      </c>
      <c r="N27" s="10">
        <v>952.88980000000004</v>
      </c>
      <c r="O27" s="10">
        <v>955.66120000000001</v>
      </c>
      <c r="P27" s="10">
        <v>2.417306</v>
      </c>
      <c r="Q27" s="10">
        <v>2.98E-2</v>
      </c>
      <c r="R27" s="10">
        <v>4.7838174139999996</v>
      </c>
      <c r="S27" s="10">
        <v>0.105088045</v>
      </c>
      <c r="T27" s="10">
        <v>102</v>
      </c>
      <c r="U27" s="10">
        <v>104</v>
      </c>
      <c r="V27" s="10">
        <v>102</v>
      </c>
      <c r="W27" s="10">
        <v>104</v>
      </c>
      <c r="X27" s="4" t="s">
        <v>146</v>
      </c>
      <c r="Y27" s="4" t="s">
        <v>1082</v>
      </c>
      <c r="AA27" s="10">
        <f t="shared" si="0"/>
        <v>2.2695899319835532E-2</v>
      </c>
      <c r="AB27" s="10">
        <f t="shared" si="1"/>
        <v>0.4111350144114041</v>
      </c>
      <c r="AC27" s="10">
        <f t="shared" si="2"/>
        <v>60.786318877721996</v>
      </c>
      <c r="AD27" s="10">
        <f t="shared" si="3"/>
        <v>0.48455641283785328</v>
      </c>
    </row>
    <row r="28" spans="1:30" x14ac:dyDescent="0.25">
      <c r="A28" s="33" t="s">
        <v>1083</v>
      </c>
      <c r="C28" s="39">
        <v>40847</v>
      </c>
      <c r="D28" s="53" t="s">
        <v>1084</v>
      </c>
      <c r="E28" s="4" t="str">
        <f>VLOOKUP(LEFT(D28,2),Sort!$A$1:$B$58,2,FALSE)</f>
        <v>Bahrain</v>
      </c>
      <c r="F28" s="4" t="s">
        <v>1007</v>
      </c>
      <c r="G28" s="18">
        <v>378900000</v>
      </c>
      <c r="H28" s="18">
        <v>265577924.90000001</v>
      </c>
      <c r="I28" s="10">
        <v>0.12801428400000001</v>
      </c>
      <c r="J28" s="10">
        <v>5.4194440000000004</v>
      </c>
      <c r="K28" s="10">
        <v>-0.79418200000000005</v>
      </c>
      <c r="L28" s="10">
        <v>8.5401910000000001</v>
      </c>
      <c r="M28" s="10">
        <v>8.5401910000000001</v>
      </c>
      <c r="N28" s="10">
        <v>743.36649999999997</v>
      </c>
      <c r="O28" s="10">
        <v>744.50300000000004</v>
      </c>
      <c r="P28" s="10">
        <v>4.9097160000000004</v>
      </c>
      <c r="Q28" s="10">
        <v>-4.7515999999999998</v>
      </c>
      <c r="R28" s="10">
        <v>-7.4610014480000002</v>
      </c>
      <c r="S28" s="10">
        <v>-15.597237420000001</v>
      </c>
      <c r="T28" s="10">
        <v>70</v>
      </c>
      <c r="U28" s="10">
        <v>73</v>
      </c>
      <c r="V28" s="10">
        <v>70</v>
      </c>
      <c r="W28" s="10">
        <v>73</v>
      </c>
      <c r="X28" s="4" t="s">
        <v>146</v>
      </c>
      <c r="Y28" s="4" t="s">
        <v>1085</v>
      </c>
      <c r="AA28" s="10">
        <f t="shared" si="0"/>
        <v>-1.2853865120725705E-2</v>
      </c>
      <c r="AB28" s="10">
        <f t="shared" si="1"/>
        <v>0.13670394445255257</v>
      </c>
      <c r="AC28" s="10">
        <f t="shared" si="2"/>
        <v>10.738736700527705</v>
      </c>
      <c r="AD28" s="10">
        <f t="shared" si="3"/>
        <v>6.6609741360081527</v>
      </c>
    </row>
    <row r="29" spans="1:30" x14ac:dyDescent="0.25">
      <c r="A29" s="33" t="s">
        <v>1086</v>
      </c>
      <c r="C29" s="39">
        <v>40847</v>
      </c>
      <c r="D29" s="53" t="s">
        <v>1087</v>
      </c>
      <c r="E29" s="4" t="str">
        <f>VLOOKUP(LEFT(D29,2),Sort!$A$1:$B$58,2,FALSE)</f>
        <v>Bahrain</v>
      </c>
      <c r="F29" s="4" t="s">
        <v>1007</v>
      </c>
      <c r="G29" s="18">
        <v>500000000</v>
      </c>
      <c r="H29" s="18">
        <v>467812500</v>
      </c>
      <c r="I29" s="10">
        <v>0.22549570899999999</v>
      </c>
      <c r="J29" s="10">
        <v>3.9861110000000002</v>
      </c>
      <c r="K29" s="10">
        <v>3.591202</v>
      </c>
      <c r="L29" s="10">
        <v>5.9265040000000004</v>
      </c>
      <c r="M29" s="10">
        <v>5.9265040000000004</v>
      </c>
      <c r="N29" s="10">
        <v>523.95600000000002</v>
      </c>
      <c r="O29" s="10">
        <v>527.72889999999995</v>
      </c>
      <c r="P29" s="10">
        <v>3.5742620000000001</v>
      </c>
      <c r="Q29" s="10">
        <v>1.34E-2</v>
      </c>
      <c r="R29" s="10">
        <v>-0.142127377</v>
      </c>
      <c r="S29" s="10">
        <v>-1.7506159530000001</v>
      </c>
      <c r="T29" s="10">
        <v>93.5</v>
      </c>
      <c r="U29" s="10">
        <v>95</v>
      </c>
      <c r="V29" s="10">
        <v>93.5</v>
      </c>
      <c r="W29" s="10">
        <v>95</v>
      </c>
      <c r="X29" s="4" t="s">
        <v>146</v>
      </c>
      <c r="Y29" s="4" t="s">
        <v>1088</v>
      </c>
      <c r="AA29" s="10">
        <f t="shared" si="0"/>
        <v>2.2934577249582918E-2</v>
      </c>
      <c r="AB29" s="10">
        <f t="shared" si="1"/>
        <v>3.8479327970097184E-2</v>
      </c>
      <c r="AC29" s="10">
        <f t="shared" si="2"/>
        <v>6.9878000358962975</v>
      </c>
      <c r="AD29" s="10">
        <f t="shared" si="3"/>
        <v>0.93162845896910407</v>
      </c>
    </row>
    <row r="30" spans="1:30" x14ac:dyDescent="0.25">
      <c r="A30" s="33" t="s">
        <v>1089</v>
      </c>
      <c r="C30" s="39">
        <v>40847</v>
      </c>
      <c r="D30" s="53" t="s">
        <v>1090</v>
      </c>
      <c r="E30" s="4" t="str">
        <f>VLOOKUP(LEFT(D30,2),Sort!$A$1:$B$58,2,FALSE)</f>
        <v>Bahrain</v>
      </c>
      <c r="F30" s="4" t="s">
        <v>1007</v>
      </c>
      <c r="G30" s="18">
        <v>360998000</v>
      </c>
      <c r="H30" s="18">
        <v>300163129.69999999</v>
      </c>
      <c r="I30" s="10">
        <v>0.14468509900000001</v>
      </c>
      <c r="J30" s="10">
        <v>3.9083329999999998</v>
      </c>
      <c r="K30" s="10">
        <v>-0.190496</v>
      </c>
      <c r="L30" s="10">
        <v>5.7313099999999997</v>
      </c>
      <c r="M30" s="10">
        <v>5.7313099999999997</v>
      </c>
      <c r="N30" s="10">
        <v>506.70769999999999</v>
      </c>
      <c r="O30" s="10">
        <v>508.75259999999997</v>
      </c>
      <c r="P30" s="10">
        <v>3.6823700000000001</v>
      </c>
      <c r="Q30" s="10">
        <v>5.1999999999999998E-3</v>
      </c>
      <c r="R30" s="10">
        <v>-1.0397829460000001</v>
      </c>
      <c r="S30" s="10">
        <v>-3.17547033</v>
      </c>
      <c r="T30" s="10">
        <v>83</v>
      </c>
      <c r="U30" s="10">
        <v>86</v>
      </c>
      <c r="V30" s="10">
        <v>83</v>
      </c>
      <c r="W30" s="10">
        <v>86</v>
      </c>
      <c r="X30" s="4" t="s">
        <v>146</v>
      </c>
      <c r="Y30" s="4" t="s">
        <v>1091</v>
      </c>
      <c r="AA30" s="10">
        <f t="shared" si="0"/>
        <v>-3.4846962774417382E-3</v>
      </c>
      <c r="AB30" s="10">
        <f t="shared" si="1"/>
        <v>2.3876371042665673E-2</v>
      </c>
      <c r="AC30" s="10">
        <f t="shared" si="2"/>
        <v>4.3223681583472624</v>
      </c>
      <c r="AD30" s="10">
        <f t="shared" si="3"/>
        <v>0.54113187386896444</v>
      </c>
    </row>
    <row r="31" spans="1:30" x14ac:dyDescent="0.25">
      <c r="A31" s="33" t="s">
        <v>1092</v>
      </c>
      <c r="C31" s="39">
        <v>40847</v>
      </c>
      <c r="D31" s="53" t="s">
        <v>1093</v>
      </c>
      <c r="E31" s="4" t="str">
        <f>VLOOKUP(LEFT(D31,2),Sort!$A$1:$B$58,2,FALSE)</f>
        <v>Brazil</v>
      </c>
      <c r="F31" s="4" t="s">
        <v>1059</v>
      </c>
      <c r="G31" s="18">
        <v>84592599</v>
      </c>
      <c r="H31" s="18">
        <v>96365069.310000002</v>
      </c>
      <c r="I31" s="10">
        <v>4.6450040999999997E-2</v>
      </c>
      <c r="J31" s="10">
        <v>1.8694440000000001</v>
      </c>
      <c r="K31" s="10">
        <v>1.749992</v>
      </c>
      <c r="L31" s="10">
        <v>0.77475000000000005</v>
      </c>
      <c r="M31" s="10">
        <v>0.77475000000000005</v>
      </c>
      <c r="N31" s="10">
        <v>54.746400000000001</v>
      </c>
      <c r="O31" s="10">
        <v>55.4679</v>
      </c>
      <c r="P31" s="10">
        <v>1.7471779999999999</v>
      </c>
      <c r="Q31" s="10">
        <v>2.1299999999999999E-2</v>
      </c>
      <c r="R31" s="10">
        <v>0.37939053499999997</v>
      </c>
      <c r="S31" s="10">
        <v>4.3465851400000002</v>
      </c>
      <c r="T31" s="10">
        <v>112.75</v>
      </c>
      <c r="U31" s="10">
        <v>114.75</v>
      </c>
      <c r="V31" s="10">
        <v>112.75</v>
      </c>
      <c r="W31" s="10">
        <v>114.75</v>
      </c>
      <c r="X31" s="4" t="s">
        <v>146</v>
      </c>
      <c r="Y31" s="4" t="s">
        <v>1094</v>
      </c>
      <c r="AA31" s="10">
        <f t="shared" si="0"/>
        <v>1.0277261971868259E-2</v>
      </c>
      <c r="AB31" s="10">
        <f t="shared" si="1"/>
        <v>1.685984847481032E-2</v>
      </c>
      <c r="AC31" s="10">
        <f t="shared" si="2"/>
        <v>0.18729303028252894</v>
      </c>
      <c r="AD31" s="10">
        <f t="shared" si="3"/>
        <v>7.5089713665672672E-2</v>
      </c>
    </row>
    <row r="32" spans="1:30" x14ac:dyDescent="0.25">
      <c r="A32" s="33" t="s">
        <v>1095</v>
      </c>
      <c r="C32" s="39">
        <v>40847</v>
      </c>
      <c r="D32" s="53" t="s">
        <v>1096</v>
      </c>
      <c r="E32" s="4" t="str">
        <f>VLOOKUP(LEFT(D32,2),Sort!$A$1:$B$58,2,FALSE)</f>
        <v>Brazil</v>
      </c>
      <c r="F32" s="4" t="s">
        <v>1007</v>
      </c>
      <c r="G32" s="18">
        <v>84592599</v>
      </c>
      <c r="H32" s="18">
        <v>75578200.170000002</v>
      </c>
      <c r="I32" s="10">
        <v>3.6430322000000001E-2</v>
      </c>
      <c r="J32" s="10">
        <v>3.394444</v>
      </c>
      <c r="K32" s="10">
        <v>2.9698950000000002</v>
      </c>
      <c r="L32" s="10">
        <v>9.2057230000000008</v>
      </c>
      <c r="M32" s="10">
        <v>9.2057230000000008</v>
      </c>
      <c r="N32" s="10">
        <v>869.15449999999998</v>
      </c>
      <c r="O32" s="10">
        <v>872.60559999999998</v>
      </c>
      <c r="P32" s="10">
        <v>2.963743</v>
      </c>
      <c r="Q32" s="10">
        <v>1.7500000000000002E-2</v>
      </c>
      <c r="R32" s="10">
        <v>2.5098629790000002</v>
      </c>
      <c r="S32" s="10">
        <v>-2.6408540110000001</v>
      </c>
      <c r="T32" s="10">
        <v>88.75</v>
      </c>
      <c r="U32" s="10">
        <v>89.75</v>
      </c>
      <c r="V32" s="10">
        <v>88.75</v>
      </c>
      <c r="W32" s="10">
        <v>89.75</v>
      </c>
      <c r="X32" s="4" t="s">
        <v>146</v>
      </c>
      <c r="Y32" s="4" t="s">
        <v>1097</v>
      </c>
      <c r="AA32" s="10">
        <f t="shared" si="0"/>
        <v>3.0641972855356301E-3</v>
      </c>
      <c r="AB32" s="10">
        <f t="shared" si="1"/>
        <v>4.1934931422218963E-2</v>
      </c>
      <c r="AC32" s="10">
        <f t="shared" si="2"/>
        <v>6.1138325649068372</v>
      </c>
      <c r="AD32" s="10">
        <f t="shared" si="3"/>
        <v>0.14219303434386965</v>
      </c>
    </row>
    <row r="33" spans="1:30" x14ac:dyDescent="0.25">
      <c r="A33" s="33" t="s">
        <v>1098</v>
      </c>
      <c r="C33" s="39">
        <v>40847</v>
      </c>
      <c r="D33" s="53" t="s">
        <v>1099</v>
      </c>
      <c r="E33" s="4" t="str">
        <f>VLOOKUP(LEFT(D33,2),Sort!$A$1:$B$58,2,FALSE)</f>
        <v>Brazil</v>
      </c>
      <c r="F33" s="4" t="s">
        <v>1059</v>
      </c>
      <c r="G33" s="18">
        <v>126888898</v>
      </c>
      <c r="H33" s="18">
        <v>138833196.09999999</v>
      </c>
      <c r="I33" s="10">
        <v>6.6920593E-2</v>
      </c>
      <c r="J33" s="10">
        <v>8.2361109999999993</v>
      </c>
      <c r="K33" s="10">
        <v>6.2681139999999997</v>
      </c>
      <c r="L33" s="10">
        <v>5.8550440000000004</v>
      </c>
      <c r="M33" s="10">
        <v>5.8550440000000004</v>
      </c>
      <c r="N33" s="10">
        <v>405.14789999999999</v>
      </c>
      <c r="O33" s="10">
        <v>416.73070000000001</v>
      </c>
      <c r="P33" s="10">
        <v>6.1022439999999998</v>
      </c>
      <c r="Q33" s="10">
        <v>1.84E-2</v>
      </c>
      <c r="R33" s="10">
        <v>3.8575371989999998</v>
      </c>
      <c r="S33" s="10">
        <v>9.0481042909999996</v>
      </c>
      <c r="T33" s="10">
        <v>107.5</v>
      </c>
      <c r="U33" s="10">
        <v>109</v>
      </c>
      <c r="V33" s="10">
        <v>107.5</v>
      </c>
      <c r="W33" s="10">
        <v>109</v>
      </c>
      <c r="X33" s="4" t="s">
        <v>146</v>
      </c>
      <c r="Y33" s="4" t="s">
        <v>1100</v>
      </c>
      <c r="AA33" s="10">
        <f t="shared" si="0"/>
        <v>1.8313975507112761E-2</v>
      </c>
      <c r="AB33" s="10">
        <f t="shared" si="1"/>
        <v>1.1281856192373487E-2</v>
      </c>
      <c r="AC33" s="10">
        <f t="shared" si="2"/>
        <v>1.6375953098124336</v>
      </c>
      <c r="AD33" s="10">
        <f t="shared" si="3"/>
        <v>0.10276090860832432</v>
      </c>
    </row>
    <row r="34" spans="1:30" x14ac:dyDescent="0.25">
      <c r="A34" s="33" t="s">
        <v>1101</v>
      </c>
      <c r="C34" s="39">
        <v>40847</v>
      </c>
      <c r="D34" s="53" t="s">
        <v>1102</v>
      </c>
      <c r="E34" s="4" t="str">
        <f>VLOOKUP(LEFT(D34,2),Sort!$A$1:$B$58,2,FALSE)</f>
        <v>Brazil</v>
      </c>
      <c r="F34" s="4" t="s">
        <v>1007</v>
      </c>
      <c r="G34" s="18">
        <v>50755559</v>
      </c>
      <c r="H34" s="18">
        <v>45069350.280000001</v>
      </c>
      <c r="I34" s="10">
        <v>2.1724397999999999E-2</v>
      </c>
      <c r="J34" s="10">
        <v>8.4305559999999993</v>
      </c>
      <c r="K34" s="10">
        <v>5.9575480000000001</v>
      </c>
      <c r="L34" s="10">
        <v>9.7741109999999995</v>
      </c>
      <c r="M34" s="10">
        <v>9.7741109999999995</v>
      </c>
      <c r="N34" s="10">
        <v>793.41200000000003</v>
      </c>
      <c r="O34" s="10">
        <v>809.87609999999995</v>
      </c>
      <c r="P34" s="10">
        <v>5.8003340000000003</v>
      </c>
      <c r="Q34" s="10">
        <v>2.46E-2</v>
      </c>
      <c r="R34" s="10">
        <v>-2.288657605</v>
      </c>
      <c r="S34" s="10">
        <v>-8.1352605859999993</v>
      </c>
      <c r="T34" s="10">
        <v>88.25</v>
      </c>
      <c r="U34" s="10">
        <v>89.25</v>
      </c>
      <c r="V34" s="10">
        <v>88.25</v>
      </c>
      <c r="W34" s="10">
        <v>89.25</v>
      </c>
      <c r="X34" s="4" t="s">
        <v>146</v>
      </c>
      <c r="Y34" s="4" t="s">
        <v>1103</v>
      </c>
      <c r="AA34" s="10">
        <f t="shared" si="0"/>
        <v>5.8475084472662687E-3</v>
      </c>
      <c r="AB34" s="10">
        <f t="shared" si="1"/>
        <v>2.6550949278345205E-2</v>
      </c>
      <c r="AC34" s="10">
        <f t="shared" si="2"/>
        <v>3.3837547612563457</v>
      </c>
      <c r="AD34" s="10">
        <f t="shared" si="3"/>
        <v>8.4321212233702342E-2</v>
      </c>
    </row>
    <row r="35" spans="1:30" x14ac:dyDescent="0.25">
      <c r="A35" s="33" t="s">
        <v>1104</v>
      </c>
      <c r="C35" s="39">
        <v>40847</v>
      </c>
      <c r="D35" s="53" t="s">
        <v>1105</v>
      </c>
      <c r="E35" s="4" t="str">
        <f>VLOOKUP(LEFT(D35,2),Sort!$A$1:$B$58,2,FALSE)</f>
        <v>Brazil</v>
      </c>
      <c r="F35" s="4" t="s">
        <v>1007</v>
      </c>
      <c r="G35" s="18">
        <v>50755559</v>
      </c>
      <c r="H35" s="18">
        <v>43852802.979999997</v>
      </c>
      <c r="I35" s="10">
        <v>2.1137995999999999E-2</v>
      </c>
      <c r="J35" s="10">
        <v>6.4527780000000003</v>
      </c>
      <c r="K35" s="10">
        <v>4.8494539999999997</v>
      </c>
      <c r="L35" s="10">
        <v>10.614556</v>
      </c>
      <c r="M35" s="10">
        <v>10.614556</v>
      </c>
      <c r="N35" s="10">
        <v>920.37130000000002</v>
      </c>
      <c r="O35" s="10">
        <v>932.80669999999998</v>
      </c>
      <c r="P35" s="10">
        <v>4.7655510000000003</v>
      </c>
      <c r="Q35" s="10">
        <v>2.5700000000000001E-2</v>
      </c>
      <c r="R35" s="10">
        <v>-2.4682479879999999</v>
      </c>
      <c r="S35" s="10">
        <v>-8.2377300000000009</v>
      </c>
      <c r="T35" s="10">
        <v>86</v>
      </c>
      <c r="U35" s="10">
        <v>88</v>
      </c>
      <c r="V35" s="10">
        <v>86</v>
      </c>
      <c r="W35" s="10">
        <v>88</v>
      </c>
      <c r="X35" s="4" t="s">
        <v>146</v>
      </c>
      <c r="Y35" s="4" t="s">
        <v>1106</v>
      </c>
      <c r="AA35" s="10">
        <f t="shared" si="0"/>
        <v>4.6313991576054066E-3</v>
      </c>
      <c r="AB35" s="10">
        <f t="shared" si="1"/>
        <v>2.9376155465289523E-2</v>
      </c>
      <c r="AC35" s="10">
        <f t="shared" si="2"/>
        <v>3.7921718871827017</v>
      </c>
      <c r="AD35" s="10">
        <f t="shared" si="3"/>
        <v>8.0896056141082529E-2</v>
      </c>
    </row>
    <row r="36" spans="1:30" x14ac:dyDescent="0.25">
      <c r="A36" s="33" t="s">
        <v>1107</v>
      </c>
      <c r="C36" s="39">
        <v>40847</v>
      </c>
      <c r="D36" s="53" t="s">
        <v>1108</v>
      </c>
      <c r="E36" s="4" t="str">
        <f>VLOOKUP(LEFT(D36,2),Sort!$A$1:$B$58,2,FALSE)</f>
        <v>Brazil</v>
      </c>
      <c r="F36" s="4" t="s">
        <v>1007</v>
      </c>
      <c r="G36" s="18">
        <v>50755559</v>
      </c>
      <c r="H36" s="18">
        <v>50372354.530000001</v>
      </c>
      <c r="I36" s="10">
        <v>2.4280560999999999E-2</v>
      </c>
      <c r="J36" s="10">
        <v>2.201111</v>
      </c>
      <c r="K36" s="10">
        <v>1.817615</v>
      </c>
      <c r="L36" s="10">
        <v>9.9435420000000008</v>
      </c>
      <c r="M36" s="10">
        <v>9.9435420000000008</v>
      </c>
      <c r="N36" s="10">
        <v>966.59730000000002</v>
      </c>
      <c r="O36" s="10">
        <v>950.60699999999997</v>
      </c>
      <c r="P36" s="10">
        <v>1.8084009999999999</v>
      </c>
      <c r="Q36" s="10">
        <v>2.5600000000000001E-2</v>
      </c>
      <c r="R36" s="10">
        <v>0.213733859</v>
      </c>
      <c r="S36" s="10">
        <v>-2.0711700830000002</v>
      </c>
      <c r="T36" s="10">
        <v>96.5</v>
      </c>
      <c r="U36" s="10">
        <v>98.5</v>
      </c>
      <c r="V36" s="10">
        <v>96.5</v>
      </c>
      <c r="W36" s="10">
        <v>98.5</v>
      </c>
      <c r="X36" s="4" t="s">
        <v>146</v>
      </c>
      <c r="Y36" s="4" t="s">
        <v>1109</v>
      </c>
      <c r="AA36" s="10">
        <f t="shared" si="0"/>
        <v>5.5797645715017809E-3</v>
      </c>
      <c r="AB36" s="10">
        <f t="shared" si="1"/>
        <v>3.0189425792445736E-2</v>
      </c>
      <c r="AC36" s="10">
        <f t="shared" si="2"/>
        <v>4.4390727143497113</v>
      </c>
      <c r="AD36" s="10">
        <f t="shared" si="3"/>
        <v>0.10401016880649233</v>
      </c>
    </row>
    <row r="37" spans="1:30" x14ac:dyDescent="0.25">
      <c r="A37" s="33" t="s">
        <v>1110</v>
      </c>
      <c r="C37" s="39">
        <v>40847</v>
      </c>
      <c r="D37" s="53" t="s">
        <v>1111</v>
      </c>
      <c r="E37" s="4" t="str">
        <f>VLOOKUP(LEFT(D37,2),Sort!$A$1:$B$58,2,FALSE)</f>
        <v>Brazil</v>
      </c>
      <c r="F37" s="4" t="s">
        <v>1007</v>
      </c>
      <c r="G37" s="18">
        <v>50755559</v>
      </c>
      <c r="H37" s="18">
        <v>48938368.890000001</v>
      </c>
      <c r="I37" s="10">
        <v>2.3589348999999999E-2</v>
      </c>
      <c r="J37" s="10">
        <v>8.0055560000000003</v>
      </c>
      <c r="K37" s="10">
        <v>5.1262290000000004</v>
      </c>
      <c r="L37" s="10">
        <v>11.200462</v>
      </c>
      <c r="M37" s="10">
        <v>11.200462</v>
      </c>
      <c r="N37" s="10">
        <v>944.00879999999995</v>
      </c>
      <c r="O37" s="10">
        <v>964.95479999999998</v>
      </c>
      <c r="P37" s="10">
        <v>5.0044000000000004</v>
      </c>
      <c r="Q37" s="10">
        <v>2.87E-2</v>
      </c>
      <c r="R37" s="10">
        <v>-0.233958791</v>
      </c>
      <c r="S37" s="10">
        <v>-6.4330541319999996</v>
      </c>
      <c r="T37" s="10">
        <v>91.5</v>
      </c>
      <c r="U37" s="10">
        <v>93.5</v>
      </c>
      <c r="V37" s="10">
        <v>91.5</v>
      </c>
      <c r="W37" s="10">
        <v>93.5</v>
      </c>
      <c r="X37" s="4" t="s">
        <v>146</v>
      </c>
      <c r="Y37" s="4" t="s">
        <v>1112</v>
      </c>
      <c r="AA37" s="10">
        <f t="shared" si="0"/>
        <v>5.4634818396505089E-3</v>
      </c>
      <c r="AB37" s="10">
        <f t="shared" si="1"/>
        <v>3.4592439871275277E-2</v>
      </c>
      <c r="AC37" s="10">
        <f t="shared" si="2"/>
        <v>4.3777954019618956</v>
      </c>
      <c r="AD37" s="10">
        <f t="shared" si="3"/>
        <v>9.5919834449818317E-2</v>
      </c>
    </row>
    <row r="38" spans="1:30" x14ac:dyDescent="0.25">
      <c r="A38" s="33" t="s">
        <v>1113</v>
      </c>
      <c r="C38" s="39">
        <v>40847</v>
      </c>
      <c r="D38" s="53" t="s">
        <v>1114</v>
      </c>
      <c r="E38" s="4" t="str">
        <f>VLOOKUP(LEFT(D38,2),Sort!$A$1:$B$58,2,FALSE)</f>
        <v>Brazil</v>
      </c>
      <c r="F38" s="4" t="s">
        <v>1007</v>
      </c>
      <c r="G38" s="18">
        <v>84592599</v>
      </c>
      <c r="H38" s="18">
        <v>84112360.049999997</v>
      </c>
      <c r="I38" s="10">
        <v>4.0543970999999998E-2</v>
      </c>
      <c r="J38" s="10">
        <v>4.6805560000000002</v>
      </c>
      <c r="K38" s="10">
        <v>4.0984179999999997</v>
      </c>
      <c r="L38" s="10">
        <v>5.1467939999999999</v>
      </c>
      <c r="M38" s="10">
        <v>5.1467939999999999</v>
      </c>
      <c r="N38" s="10">
        <v>425.7072</v>
      </c>
      <c r="O38" s="10">
        <v>429.86810000000003</v>
      </c>
      <c r="P38" s="10">
        <v>4.0655970000000003</v>
      </c>
      <c r="Q38" s="10">
        <v>1.3599999999999999E-2</v>
      </c>
      <c r="R38" s="10">
        <v>1.7958631469999999</v>
      </c>
      <c r="S38" s="10">
        <v>-0.38612099999999999</v>
      </c>
      <c r="T38" s="10">
        <v>97.875</v>
      </c>
      <c r="U38" s="10">
        <v>98.875</v>
      </c>
      <c r="V38" s="10">
        <v>97.875</v>
      </c>
      <c r="W38" s="10">
        <v>98.875</v>
      </c>
      <c r="X38" s="4" t="s">
        <v>146</v>
      </c>
      <c r="Y38" s="4" t="s">
        <v>1115</v>
      </c>
      <c r="AA38" s="10">
        <f t="shared" si="0"/>
        <v>7.5075473396297261E-3</v>
      </c>
      <c r="AB38" s="10">
        <f t="shared" si="1"/>
        <v>6.0083286401471517E-3</v>
      </c>
      <c r="AC38" s="10">
        <f t="shared" si="2"/>
        <v>1.0234174201995871</v>
      </c>
      <c r="AD38" s="10">
        <f t="shared" si="3"/>
        <v>0.17433863230614499</v>
      </c>
    </row>
    <row r="39" spans="1:30" x14ac:dyDescent="0.25">
      <c r="A39" s="33" t="s">
        <v>1116</v>
      </c>
      <c r="C39" s="39">
        <v>40847</v>
      </c>
      <c r="D39" s="53" t="s">
        <v>1117</v>
      </c>
      <c r="E39" s="4" t="str">
        <f>VLOOKUP(LEFT(D39,2),Sort!$A$1:$B$58,2,FALSE)</f>
        <v>Brazil</v>
      </c>
      <c r="F39" s="4" t="s">
        <v>1007</v>
      </c>
      <c r="G39" s="18">
        <v>84592599</v>
      </c>
      <c r="H39" s="18">
        <v>86422795.409999996</v>
      </c>
      <c r="I39" s="10">
        <v>4.1657649999999997E-2</v>
      </c>
      <c r="J39" s="10">
        <v>4.536111</v>
      </c>
      <c r="K39" s="10">
        <v>4.0616130000000004</v>
      </c>
      <c r="L39" s="10">
        <v>3.7020499999999998</v>
      </c>
      <c r="M39" s="10">
        <v>3.7020499999999998</v>
      </c>
      <c r="N39" s="10">
        <v>285.45060000000001</v>
      </c>
      <c r="O39" s="10">
        <v>288.88409999999999</v>
      </c>
      <c r="P39" s="10">
        <v>4.0325139999999999</v>
      </c>
      <c r="Q39" s="10">
        <v>1.12E-2</v>
      </c>
      <c r="R39" s="10">
        <v>1.5615755950000001</v>
      </c>
      <c r="S39" s="10">
        <v>2.5127160000000002</v>
      </c>
      <c r="T39" s="10">
        <v>100.25</v>
      </c>
      <c r="U39" s="10">
        <v>101.75</v>
      </c>
      <c r="V39" s="10">
        <v>100.25</v>
      </c>
      <c r="W39" s="10">
        <v>101.75</v>
      </c>
      <c r="X39" s="4" t="s">
        <v>146</v>
      </c>
      <c r="Y39" s="4" t="s">
        <v>1118</v>
      </c>
      <c r="AA39" s="10">
        <f t="shared" si="0"/>
        <v>7.6444960504797165E-3</v>
      </c>
      <c r="AB39" s="10">
        <f t="shared" si="1"/>
        <v>5.2071889009965835E-3</v>
      </c>
      <c r="AC39" s="10">
        <f t="shared" si="2"/>
        <v>0.24744607067642921</v>
      </c>
      <c r="AD39" s="10">
        <f t="shared" si="3"/>
        <v>5.9713268500962133E-2</v>
      </c>
    </row>
    <row r="40" spans="1:30" x14ac:dyDescent="0.25">
      <c r="A40" s="33" t="s">
        <v>1119</v>
      </c>
      <c r="C40" s="39">
        <v>40847</v>
      </c>
      <c r="D40" s="53" t="s">
        <v>1120</v>
      </c>
      <c r="E40" s="4" t="str">
        <f>VLOOKUP(LEFT(D40,2),Sort!$A$1:$B$58,2,FALSE)</f>
        <v>Brazil</v>
      </c>
      <c r="F40" s="4" t="s">
        <v>1007</v>
      </c>
      <c r="G40" s="18">
        <v>126888898</v>
      </c>
      <c r="H40" s="18">
        <v>130004725.90000001</v>
      </c>
      <c r="I40" s="10">
        <v>6.2665079999999998E-2</v>
      </c>
      <c r="J40" s="10">
        <v>3.3888889999999998</v>
      </c>
      <c r="K40" s="10">
        <v>3.1477520000000001</v>
      </c>
      <c r="L40" s="10">
        <v>3.005172</v>
      </c>
      <c r="M40" s="10">
        <v>3.005172</v>
      </c>
      <c r="N40" s="10">
        <v>249.26159999999999</v>
      </c>
      <c r="O40" s="10">
        <v>252.0401</v>
      </c>
      <c r="P40" s="10">
        <v>3.1413060000000002</v>
      </c>
      <c r="Q40" s="10">
        <v>1.11E-2</v>
      </c>
      <c r="R40" s="10">
        <v>2.060919497</v>
      </c>
      <c r="S40" s="10">
        <v>3.876325193</v>
      </c>
      <c r="T40" s="10">
        <v>102</v>
      </c>
      <c r="U40" s="10">
        <v>103.5</v>
      </c>
      <c r="V40" s="10">
        <v>102</v>
      </c>
      <c r="W40" s="10">
        <v>103.5</v>
      </c>
      <c r="X40" s="4" t="s">
        <v>146</v>
      </c>
      <c r="Y40" s="4" t="s">
        <v>1121</v>
      </c>
      <c r="AA40" s="10">
        <f t="shared" si="0"/>
        <v>5.5864862150964995E-3</v>
      </c>
      <c r="AB40" s="10">
        <f t="shared" si="1"/>
        <v>6.3585957688364727E-3</v>
      </c>
      <c r="AC40" s="10">
        <f t="shared" si="2"/>
        <v>0.3247561588700712</v>
      </c>
      <c r="AD40" s="10">
        <f t="shared" si="3"/>
        <v>9.1370837512226674E-2</v>
      </c>
    </row>
    <row r="41" spans="1:30" x14ac:dyDescent="0.25">
      <c r="A41" s="33" t="s">
        <v>1122</v>
      </c>
      <c r="C41" s="39">
        <v>40847</v>
      </c>
      <c r="D41" s="53" t="s">
        <v>1123</v>
      </c>
      <c r="E41" s="4" t="str">
        <f>VLOOKUP(LEFT(D41,2),Sort!$A$1:$B$58,2,FALSE)</f>
        <v>Brazil</v>
      </c>
      <c r="F41" s="4" t="s">
        <v>1007</v>
      </c>
      <c r="G41" s="18">
        <v>270696316</v>
      </c>
      <c r="H41" s="18">
        <v>279608992.19999999</v>
      </c>
      <c r="I41" s="10">
        <v>0.13477756099999999</v>
      </c>
      <c r="J41" s="10">
        <v>9.2111110000000007</v>
      </c>
      <c r="K41" s="10">
        <v>7.1075999999999997</v>
      </c>
      <c r="L41" s="10">
        <v>5.4966650000000001</v>
      </c>
      <c r="M41" s="10">
        <v>5.4966650000000001</v>
      </c>
      <c r="N41" s="10">
        <v>351.04500000000002</v>
      </c>
      <c r="O41" s="10">
        <v>361.4221</v>
      </c>
      <c r="P41" s="10">
        <v>6.884684</v>
      </c>
      <c r="Q41" s="10">
        <v>1.1173999999999999</v>
      </c>
      <c r="R41" s="10">
        <v>5.4450416199999996</v>
      </c>
      <c r="S41" s="10">
        <v>7.1246333159999997</v>
      </c>
      <c r="T41" s="10">
        <v>101.375</v>
      </c>
      <c r="U41" s="10">
        <v>102.875</v>
      </c>
      <c r="V41" s="10">
        <v>101.375</v>
      </c>
      <c r="W41" s="10">
        <v>102.875</v>
      </c>
      <c r="X41" s="4" t="s">
        <v>146</v>
      </c>
      <c r="Y41" s="4" t="s">
        <v>1124</v>
      </c>
      <c r="AA41" s="10">
        <f t="shared" si="0"/>
        <v>4.182409319741718E-2</v>
      </c>
      <c r="AB41" s="10">
        <f t="shared" si="1"/>
        <v>2.1330816424731992E-2</v>
      </c>
      <c r="AC41" s="10">
        <f t="shared" si="2"/>
        <v>1.0016003139308371</v>
      </c>
      <c r="AD41" s="10">
        <f t="shared" si="3"/>
        <v>0.19533006668967029</v>
      </c>
    </row>
    <row r="42" spans="1:30" x14ac:dyDescent="0.25">
      <c r="A42" s="33" t="s">
        <v>1125</v>
      </c>
      <c r="C42" s="39">
        <v>40847</v>
      </c>
      <c r="D42" s="53" t="s">
        <v>1126</v>
      </c>
      <c r="E42" s="4" t="str">
        <f>VLOOKUP(LEFT(D42,2),Sort!$A$1:$B$58,2,FALSE)</f>
        <v>Brazil</v>
      </c>
      <c r="F42" s="4" t="s">
        <v>1007</v>
      </c>
      <c r="G42" s="18">
        <v>126888898</v>
      </c>
      <c r="H42" s="18">
        <v>135945593.09999999</v>
      </c>
      <c r="I42" s="10">
        <v>6.5528706000000006E-2</v>
      </c>
      <c r="J42" s="10">
        <v>7.9083329999999998</v>
      </c>
      <c r="K42" s="10">
        <v>6.2489119999999998</v>
      </c>
      <c r="L42" s="10">
        <v>5.413043</v>
      </c>
      <c r="M42" s="10">
        <v>5.413043</v>
      </c>
      <c r="N42" s="10">
        <v>367.08819999999997</v>
      </c>
      <c r="O42" s="10">
        <v>377.27359999999999</v>
      </c>
      <c r="P42" s="10">
        <v>6.0914549999999998</v>
      </c>
      <c r="Q42" s="10">
        <v>1.7500000000000002E-2</v>
      </c>
      <c r="R42" s="10">
        <v>3.402096657</v>
      </c>
      <c r="S42" s="10">
        <v>6.6749848360000001</v>
      </c>
      <c r="T42" s="10">
        <v>106.5</v>
      </c>
      <c r="U42" s="10">
        <v>108.5</v>
      </c>
      <c r="V42" s="10">
        <v>106.5</v>
      </c>
      <c r="W42" s="10">
        <v>108.5</v>
      </c>
      <c r="X42" s="4" t="s">
        <v>146</v>
      </c>
      <c r="Y42" s="4" t="s">
        <v>1127</v>
      </c>
      <c r="AA42" s="10">
        <f t="shared" si="0"/>
        <v>1.7878124749110633E-2</v>
      </c>
      <c r="AB42" s="10">
        <f t="shared" si="1"/>
        <v>1.0213243482354592E-2</v>
      </c>
      <c r="AC42" s="10">
        <f t="shared" si="2"/>
        <v>0.50833517547731533</v>
      </c>
      <c r="AD42" s="10">
        <f t="shared" si="3"/>
        <v>0.10016200002899497</v>
      </c>
    </row>
    <row r="43" spans="1:30" x14ac:dyDescent="0.25">
      <c r="A43" s="33" t="s">
        <v>1128</v>
      </c>
      <c r="C43" s="39">
        <v>40847</v>
      </c>
      <c r="D43" s="53" t="s">
        <v>1129</v>
      </c>
      <c r="E43" s="4" t="str">
        <f>VLOOKUP(LEFT(D43,2),Sort!$A$1:$B$58,2,FALSE)</f>
        <v>Brazil</v>
      </c>
      <c r="F43" s="4" t="s">
        <v>1007</v>
      </c>
      <c r="G43" s="18">
        <v>160725938</v>
      </c>
      <c r="H43" s="18">
        <v>167576881.09999999</v>
      </c>
      <c r="I43" s="10">
        <v>8.0775668999999994E-2</v>
      </c>
      <c r="J43" s="10">
        <v>3.2194440000000002</v>
      </c>
      <c r="K43" s="10">
        <v>2.9665439999999998</v>
      </c>
      <c r="L43" s="10">
        <v>3.0212759999999999</v>
      </c>
      <c r="M43" s="10">
        <v>3.0212759999999999</v>
      </c>
      <c r="N43" s="10">
        <v>255.81979999999999</v>
      </c>
      <c r="O43" s="10">
        <v>257.91370000000001</v>
      </c>
      <c r="P43" s="10">
        <v>2.9577</v>
      </c>
      <c r="Q43" s="10">
        <v>-0.34649999999999997</v>
      </c>
      <c r="R43" s="10">
        <v>1.5585107600000001</v>
      </c>
      <c r="S43" s="10">
        <v>2.615722324</v>
      </c>
      <c r="T43" s="10">
        <v>103</v>
      </c>
      <c r="U43" s="10">
        <v>104.5</v>
      </c>
      <c r="V43" s="10">
        <v>103</v>
      </c>
      <c r="W43" s="10">
        <v>104.5</v>
      </c>
      <c r="X43" s="4" t="s">
        <v>146</v>
      </c>
      <c r="Y43" s="4" t="s">
        <v>1130</v>
      </c>
      <c r="AA43" s="10">
        <f t="shared" si="0"/>
        <v>6.78647073033094E-3</v>
      </c>
      <c r="AB43" s="10">
        <f t="shared" si="1"/>
        <v>8.2401904050512353E-3</v>
      </c>
      <c r="AC43" s="10">
        <f t="shared" si="2"/>
        <v>0.42836810573244949</v>
      </c>
      <c r="AD43" s="10">
        <f t="shared" si="3"/>
        <v>0.11891551185729062</v>
      </c>
    </row>
    <row r="44" spans="1:30" x14ac:dyDescent="0.25">
      <c r="A44" s="33" t="s">
        <v>1131</v>
      </c>
      <c r="C44" s="39">
        <v>40847</v>
      </c>
      <c r="D44" s="53" t="s">
        <v>1132</v>
      </c>
      <c r="E44" s="4" t="str">
        <f>VLOOKUP(LEFT(D44,2),Sort!$A$1:$B$58,2,FALSE)</f>
        <v>Brazil</v>
      </c>
      <c r="F44" s="4" t="s">
        <v>1007</v>
      </c>
      <c r="G44" s="18">
        <v>111662230</v>
      </c>
      <c r="H44" s="18">
        <v>113741939</v>
      </c>
      <c r="I44" s="10">
        <v>5.4826066E-2</v>
      </c>
      <c r="J44" s="10">
        <v>9.1999999999999993</v>
      </c>
      <c r="K44" s="10">
        <v>7.2763220000000004</v>
      </c>
      <c r="L44" s="10">
        <v>5.1328360000000002</v>
      </c>
      <c r="M44" s="10">
        <v>5.1328360000000002</v>
      </c>
      <c r="N44" s="10">
        <v>314.87029999999999</v>
      </c>
      <c r="O44" s="10">
        <v>323.39999999999998</v>
      </c>
      <c r="P44" s="10">
        <v>7.0457229999999997</v>
      </c>
      <c r="Q44" s="10">
        <v>-0.23019999999999999</v>
      </c>
      <c r="R44" s="10">
        <v>4.2664214170000001</v>
      </c>
      <c r="S44" s="10">
        <v>7.4857248470000002</v>
      </c>
      <c r="T44" s="10">
        <v>100.25</v>
      </c>
      <c r="U44" s="10">
        <v>101.75</v>
      </c>
      <c r="V44" s="10">
        <v>100.25</v>
      </c>
      <c r="W44" s="10">
        <v>101.75</v>
      </c>
      <c r="X44" s="4" t="s">
        <v>146</v>
      </c>
      <c r="Y44" s="4" t="s">
        <v>1133</v>
      </c>
      <c r="AA44" s="10">
        <f t="shared" si="0"/>
        <v>1.7417465463105259E-2</v>
      </c>
      <c r="AB44" s="10">
        <f t="shared" si="1"/>
        <v>8.1027994614407163E-3</v>
      </c>
      <c r="AC44" s="10">
        <f t="shared" si="2"/>
        <v>0.36457699078547889</v>
      </c>
      <c r="AD44" s="10">
        <f t="shared" si="3"/>
        <v>7.8589253114360186E-2</v>
      </c>
    </row>
    <row r="45" spans="1:30" x14ac:dyDescent="0.25">
      <c r="A45" s="33" t="s">
        <v>1134</v>
      </c>
      <c r="C45" s="39">
        <v>40847</v>
      </c>
      <c r="D45" s="53" t="s">
        <v>1135</v>
      </c>
      <c r="E45" s="4" t="str">
        <f>VLOOKUP(LEFT(D45,2),Sort!$A$1:$B$58,2,FALSE)</f>
        <v>Brazil</v>
      </c>
      <c r="F45" s="4" t="s">
        <v>1007</v>
      </c>
      <c r="G45" s="18">
        <v>253777796</v>
      </c>
      <c r="H45" s="18">
        <v>256526174</v>
      </c>
      <c r="I45" s="10">
        <v>0.123651145</v>
      </c>
      <c r="J45" s="10">
        <v>10.225</v>
      </c>
      <c r="K45" s="10">
        <v>7.698569</v>
      </c>
      <c r="L45" s="10">
        <v>5.7429959999999998</v>
      </c>
      <c r="M45" s="10">
        <v>5.7429959999999998</v>
      </c>
      <c r="N45" s="10">
        <v>359.75659999999999</v>
      </c>
      <c r="O45" s="10">
        <v>372.53359999999998</v>
      </c>
      <c r="P45" s="10">
        <v>7.4276299999999997</v>
      </c>
      <c r="Q45" s="10">
        <v>-0.47620000000000001</v>
      </c>
      <c r="R45" s="10">
        <v>4.883936083</v>
      </c>
      <c r="S45" s="10">
        <v>4.3288840000000004</v>
      </c>
      <c r="T45" s="10">
        <v>99.5</v>
      </c>
      <c r="U45" s="10">
        <v>101</v>
      </c>
      <c r="V45" s="10">
        <v>99.5</v>
      </c>
      <c r="W45" s="10">
        <v>101</v>
      </c>
      <c r="X45" s="4" t="s">
        <v>146</v>
      </c>
      <c r="Y45" s="4" t="s">
        <v>1136</v>
      </c>
      <c r="AA45" s="10">
        <f t="shared" si="0"/>
        <v>4.1561777325597994E-2</v>
      </c>
      <c r="AB45" s="10">
        <f t="shared" si="1"/>
        <v>2.044689055517751E-2</v>
      </c>
      <c r="AC45" s="10">
        <f t="shared" si="2"/>
        <v>0.94716522786053736</v>
      </c>
      <c r="AD45" s="10">
        <f t="shared" si="3"/>
        <v>0.17593861691645135</v>
      </c>
    </row>
    <row r="46" spans="1:30" x14ac:dyDescent="0.25">
      <c r="A46" s="33" t="s">
        <v>1137</v>
      </c>
      <c r="C46" s="39">
        <v>40847</v>
      </c>
      <c r="D46" s="53" t="s">
        <v>1138</v>
      </c>
      <c r="E46" s="4" t="str">
        <f>VLOOKUP(LEFT(D46,2),Sort!$A$1:$B$58,2,FALSE)</f>
        <v>Brazil</v>
      </c>
      <c r="F46" s="4" t="s">
        <v>1007</v>
      </c>
      <c r="G46" s="18">
        <v>84592599</v>
      </c>
      <c r="H46" s="18">
        <v>94052871.040000007</v>
      </c>
      <c r="I46" s="10">
        <v>4.5335511000000002E-2</v>
      </c>
      <c r="J46" s="10">
        <v>8.2194439999999993</v>
      </c>
      <c r="K46" s="10">
        <v>6.6029629999999999</v>
      </c>
      <c r="L46" s="10">
        <v>4.3901120000000002</v>
      </c>
      <c r="M46" s="10">
        <v>4.3901120000000002</v>
      </c>
      <c r="N46" s="10">
        <v>258.96690000000001</v>
      </c>
      <c r="O46" s="10">
        <v>266.8415</v>
      </c>
      <c r="P46" s="10">
        <v>6.4236319999999996</v>
      </c>
      <c r="Q46" s="10">
        <v>1.4999999999999999E-2</v>
      </c>
      <c r="R46" s="10">
        <v>2.0342610959999998</v>
      </c>
      <c r="S46" s="10">
        <v>7.0306531000000003</v>
      </c>
      <c r="T46" s="10">
        <v>109.5</v>
      </c>
      <c r="U46" s="10">
        <v>111</v>
      </c>
      <c r="V46" s="10">
        <v>109.5</v>
      </c>
      <c r="W46" s="10">
        <v>111</v>
      </c>
      <c r="X46" s="4" t="s">
        <v>146</v>
      </c>
      <c r="Y46" s="4" t="s">
        <v>1139</v>
      </c>
      <c r="AA46" s="10">
        <f t="shared" si="0"/>
        <v>1.3069631469843104E-2</v>
      </c>
      <c r="AB46" s="10">
        <f t="shared" si="1"/>
        <v>5.7306611813032525E-3</v>
      </c>
      <c r="AC46" s="10">
        <f t="shared" si="2"/>
        <v>0.2487448187844789</v>
      </c>
      <c r="AD46" s="10">
        <f t="shared" si="3"/>
        <v>7.0892966880962527E-2</v>
      </c>
    </row>
    <row r="47" spans="1:30" x14ac:dyDescent="0.25">
      <c r="A47" s="33" t="s">
        <v>1140</v>
      </c>
      <c r="C47" s="39">
        <v>40847</v>
      </c>
      <c r="D47" s="53" t="s">
        <v>1141</v>
      </c>
      <c r="E47" s="4" t="str">
        <f>VLOOKUP(LEFT(D47,2),Sort!$A$1:$B$58,2,FALSE)</f>
        <v>Brazil</v>
      </c>
      <c r="F47" s="4" t="s">
        <v>1007</v>
      </c>
      <c r="G47" s="18">
        <v>50755559</v>
      </c>
      <c r="H47" s="18">
        <v>58122869.490000002</v>
      </c>
      <c r="I47" s="10">
        <v>2.8016475999999998E-2</v>
      </c>
      <c r="J47" s="10">
        <v>2.8861110000000001</v>
      </c>
      <c r="K47" s="10">
        <v>2.5789260000000001</v>
      </c>
      <c r="L47" s="10">
        <v>3.021452</v>
      </c>
      <c r="M47" s="10">
        <v>3.021452</v>
      </c>
      <c r="N47" s="10">
        <v>263.97629999999998</v>
      </c>
      <c r="O47" s="10">
        <v>266.3356</v>
      </c>
      <c r="P47" s="10">
        <v>2.5748169999999999</v>
      </c>
      <c r="Q47" s="10">
        <v>2.06E-2</v>
      </c>
      <c r="R47" s="10">
        <v>1.923481886</v>
      </c>
      <c r="S47" s="10">
        <v>1.8249443059999999</v>
      </c>
      <c r="T47" s="10">
        <v>113.5</v>
      </c>
      <c r="U47" s="10">
        <v>115</v>
      </c>
      <c r="V47" s="10">
        <v>113.5</v>
      </c>
      <c r="W47" s="10">
        <v>115</v>
      </c>
      <c r="X47" s="4" t="s">
        <v>146</v>
      </c>
      <c r="Y47" s="4" t="s">
        <v>1142</v>
      </c>
      <c r="AA47" s="10">
        <f t="shared" si="0"/>
        <v>2.0462797692880784E-3</v>
      </c>
      <c r="AB47" s="10">
        <f t="shared" si="1"/>
        <v>2.8582189171499593E-3</v>
      </c>
      <c r="AC47" s="10">
        <f t="shared" si="2"/>
        <v>0.15342809067743993</v>
      </c>
      <c r="AD47" s="10">
        <f t="shared" si="3"/>
        <v>4.5389249652698346E-2</v>
      </c>
    </row>
    <row r="48" spans="1:30" x14ac:dyDescent="0.25">
      <c r="A48" s="33" t="s">
        <v>1143</v>
      </c>
      <c r="C48" s="39">
        <v>40847</v>
      </c>
      <c r="D48" s="53" t="s">
        <v>1144</v>
      </c>
      <c r="E48" s="4" t="str">
        <f>VLOOKUP(LEFT(D48,2),Sort!$A$1:$B$58,2,FALSE)</f>
        <v>Brazil</v>
      </c>
      <c r="F48" s="4" t="s">
        <v>1007</v>
      </c>
      <c r="G48" s="18">
        <v>253777796</v>
      </c>
      <c r="H48" s="18">
        <v>296430088.10000002</v>
      </c>
      <c r="I48" s="10">
        <v>0.14288569200000001</v>
      </c>
      <c r="J48" s="10">
        <v>37.963889000000002</v>
      </c>
      <c r="K48" s="10">
        <v>12.699025000000001</v>
      </c>
      <c r="L48" s="10">
        <v>7.1210560000000003</v>
      </c>
      <c r="M48" s="10">
        <v>7.1210560000000003</v>
      </c>
      <c r="N48" s="10">
        <v>356.649</v>
      </c>
      <c r="O48" s="10">
        <v>433.11020000000002</v>
      </c>
      <c r="P48" s="10">
        <v>11.822899</v>
      </c>
      <c r="Q48" s="10">
        <v>-0.61799999999999999</v>
      </c>
      <c r="R48" s="10">
        <v>5.2079518739999999</v>
      </c>
      <c r="S48" s="10">
        <v>8.0321331689999997</v>
      </c>
      <c r="T48" s="10">
        <v>116.5</v>
      </c>
      <c r="U48" s="10">
        <v>118</v>
      </c>
      <c r="V48" s="10">
        <v>116.5</v>
      </c>
      <c r="W48" s="10">
        <v>118</v>
      </c>
      <c r="X48" s="4" t="s">
        <v>146</v>
      </c>
      <c r="Y48" s="4" t="s">
        <v>1145</v>
      </c>
      <c r="AA48" s="10">
        <f t="shared" si="0"/>
        <v>0.19335309796740252</v>
      </c>
      <c r="AB48" s="10">
        <f t="shared" si="1"/>
        <v>5.6895943047030773E-2</v>
      </c>
      <c r="AC48" s="10">
        <f t="shared" si="2"/>
        <v>3.6339459490345924</v>
      </c>
      <c r="AD48" s="10">
        <f t="shared" si="3"/>
        <v>0.23752668429683341</v>
      </c>
    </row>
    <row r="49" spans="1:30" x14ac:dyDescent="0.25">
      <c r="A49" s="33" t="s">
        <v>1146</v>
      </c>
      <c r="C49" s="39">
        <v>40847</v>
      </c>
      <c r="D49" s="53" t="s">
        <v>1147</v>
      </c>
      <c r="E49" s="4" t="str">
        <f>VLOOKUP(LEFT(D49,2),Sort!$A$1:$B$58,2,FALSE)</f>
        <v>Brazil</v>
      </c>
      <c r="F49" s="4" t="s">
        <v>1007</v>
      </c>
      <c r="G49" s="18">
        <v>67674079</v>
      </c>
      <c r="H49" s="18">
        <v>55736653.670000002</v>
      </c>
      <c r="I49" s="10">
        <v>2.6866267999999999E-2</v>
      </c>
      <c r="J49" s="10">
        <v>4.213889</v>
      </c>
      <c r="K49" s="10">
        <v>3.2544460000000002</v>
      </c>
      <c r="L49" s="10">
        <v>14.409988999999999</v>
      </c>
      <c r="M49" s="10">
        <v>14.409988999999999</v>
      </c>
      <c r="N49" s="10">
        <v>1365.6532999999999</v>
      </c>
      <c r="O49" s="10">
        <v>1372.5353</v>
      </c>
      <c r="P49" s="10">
        <v>3.2352110000000001</v>
      </c>
      <c r="Q49" s="10">
        <v>2.7799999999999998E-2</v>
      </c>
      <c r="R49" s="10">
        <v>-5.0258246270000004</v>
      </c>
      <c r="S49" s="10">
        <v>-13.494839000000001</v>
      </c>
      <c r="T49" s="10">
        <v>80</v>
      </c>
      <c r="U49" s="10">
        <v>81</v>
      </c>
      <c r="V49" s="10">
        <v>80</v>
      </c>
      <c r="W49" s="10">
        <v>81</v>
      </c>
      <c r="X49" s="4" t="s">
        <v>146</v>
      </c>
      <c r="Y49" s="4" t="s">
        <v>1148</v>
      </c>
      <c r="AA49" s="10">
        <f t="shared" si="0"/>
        <v>2.4762645688027004E-3</v>
      </c>
      <c r="AB49" s="10">
        <f t="shared" si="1"/>
        <v>5.0687434188536114E-2</v>
      </c>
      <c r="AC49" s="10">
        <f t="shared" si="2"/>
        <v>5.6683609184130423</v>
      </c>
      <c r="AD49" s="10">
        <f t="shared" si="3"/>
        <v>9.4639672588142029E-2</v>
      </c>
    </row>
    <row r="50" spans="1:30" x14ac:dyDescent="0.25">
      <c r="A50" s="33" t="s">
        <v>1149</v>
      </c>
      <c r="C50" s="39">
        <v>40847</v>
      </c>
      <c r="D50" s="53" t="s">
        <v>1150</v>
      </c>
      <c r="E50" s="4" t="str">
        <f>VLOOKUP(LEFT(D50,2),Sort!$A$1:$B$58,2,FALSE)</f>
        <v>Brazil</v>
      </c>
      <c r="F50" s="4" t="s">
        <v>1007</v>
      </c>
      <c r="G50" s="18">
        <v>67674079</v>
      </c>
      <c r="H50" s="18">
        <v>52116325.270000003</v>
      </c>
      <c r="I50" s="10">
        <v>2.5121192000000001E-2</v>
      </c>
      <c r="J50" s="10">
        <v>8.8861109999999996</v>
      </c>
      <c r="K50" s="10">
        <v>5.6001390000000004</v>
      </c>
      <c r="L50" s="10">
        <v>13.138396</v>
      </c>
      <c r="M50" s="10">
        <v>13.138396</v>
      </c>
      <c r="N50" s="10">
        <v>1121.3064999999999</v>
      </c>
      <c r="O50" s="10">
        <v>1145.4543000000001</v>
      </c>
      <c r="P50" s="10">
        <v>5.4493470000000004</v>
      </c>
      <c r="Q50" s="10">
        <v>3.2000000000000001E-2</v>
      </c>
      <c r="R50" s="10">
        <v>-8.6689743470000007</v>
      </c>
      <c r="S50" s="10">
        <v>-17.260733729999998</v>
      </c>
      <c r="T50" s="10">
        <v>76</v>
      </c>
      <c r="U50" s="10">
        <v>78</v>
      </c>
      <c r="V50" s="10">
        <v>76</v>
      </c>
      <c r="W50" s="10">
        <v>78</v>
      </c>
      <c r="X50" s="4" t="s">
        <v>146</v>
      </c>
      <c r="Y50" s="4" t="s">
        <v>1151</v>
      </c>
      <c r="AA50" s="10">
        <f t="shared" si="0"/>
        <v>6.3561568109200611E-3</v>
      </c>
      <c r="AB50" s="10">
        <f t="shared" si="1"/>
        <v>4.3212749602700239E-2</v>
      </c>
      <c r="AC50" s="10">
        <f t="shared" si="2"/>
        <v>4.4232820623479547</v>
      </c>
      <c r="AD50" s="10">
        <f t="shared" si="3"/>
        <v>1.3966619533763349</v>
      </c>
    </row>
    <row r="51" spans="1:30" x14ac:dyDescent="0.25">
      <c r="A51" s="33" t="s">
        <v>1152</v>
      </c>
      <c r="C51" s="39">
        <v>40847</v>
      </c>
      <c r="D51" s="53" t="s">
        <v>1153</v>
      </c>
      <c r="E51" s="4" t="str">
        <f>VLOOKUP(LEFT(D51,2),Sort!$A$1:$B$58,2,FALSE)</f>
        <v>Brazil</v>
      </c>
      <c r="F51" s="4" t="s">
        <v>1007</v>
      </c>
      <c r="G51" s="18">
        <v>50755559</v>
      </c>
      <c r="H51" s="18">
        <v>51579631.840000004</v>
      </c>
      <c r="I51" s="10">
        <v>2.4862493999999999E-2</v>
      </c>
      <c r="J51" s="10">
        <v>3.3694440000000001</v>
      </c>
      <c r="K51" s="10">
        <v>2.9893049999999999</v>
      </c>
      <c r="L51" s="10">
        <v>5.2761459999999998</v>
      </c>
      <c r="M51" s="10">
        <v>5.2761459999999998</v>
      </c>
      <c r="N51" s="10">
        <v>476.92680000000001</v>
      </c>
      <c r="O51" s="10">
        <v>480.42270000000002</v>
      </c>
      <c r="P51" s="10">
        <v>2.9830269999999999</v>
      </c>
      <c r="Q51" s="10">
        <v>1.78E-2</v>
      </c>
      <c r="R51" s="10">
        <v>0.27683633400000002</v>
      </c>
      <c r="S51" s="10">
        <v>4.0775929470000003</v>
      </c>
      <c r="T51" s="10">
        <v>100.77500000000001</v>
      </c>
      <c r="U51" s="10">
        <v>103.72499999999999</v>
      </c>
      <c r="V51" s="10">
        <v>100.77500000000001</v>
      </c>
      <c r="W51" s="10">
        <v>103.72499999999999</v>
      </c>
      <c r="X51" s="4" t="s">
        <v>146</v>
      </c>
      <c r="Y51" s="4" t="s">
        <v>1154</v>
      </c>
      <c r="AA51" s="10">
        <f t="shared" si="0"/>
        <v>2.1048810074471296E-3</v>
      </c>
      <c r="AB51" s="10">
        <f t="shared" si="1"/>
        <v>3.7770446374661001E-3</v>
      </c>
      <c r="AC51" s="10">
        <f t="shared" si="2"/>
        <v>0.70138992968549185</v>
      </c>
      <c r="AD51" s="10">
        <f t="shared" si="3"/>
        <v>3.6330368036269663E-2</v>
      </c>
    </row>
    <row r="52" spans="1:30" x14ac:dyDescent="0.25">
      <c r="A52" s="33" t="s">
        <v>1155</v>
      </c>
      <c r="C52" s="39">
        <v>40847</v>
      </c>
      <c r="D52" s="53" t="s">
        <v>1156</v>
      </c>
      <c r="E52" s="4" t="str">
        <f>VLOOKUP(LEFT(D52,2),Sort!$A$1:$B$58,2,FALSE)</f>
        <v>Brazil</v>
      </c>
      <c r="F52" s="4" t="s">
        <v>1007</v>
      </c>
      <c r="G52" s="18">
        <v>50755559</v>
      </c>
      <c r="H52" s="18">
        <v>51059740.109999999</v>
      </c>
      <c r="I52" s="10">
        <v>2.4611895000000002E-2</v>
      </c>
      <c r="J52" s="10">
        <v>4.2361110000000002</v>
      </c>
      <c r="K52" s="10">
        <v>3.6440899999999998</v>
      </c>
      <c r="L52" s="10">
        <v>5.8889649999999998</v>
      </c>
      <c r="M52" s="10">
        <v>5.8889649999999998</v>
      </c>
      <c r="N52" s="10">
        <v>512.90210000000002</v>
      </c>
      <c r="O52" s="10">
        <v>517.79880000000003</v>
      </c>
      <c r="P52" s="10">
        <v>3.622128</v>
      </c>
      <c r="Q52" s="10">
        <v>1.7299999999999999E-2</v>
      </c>
      <c r="R52" s="10">
        <v>-6.3469225000000004E-2</v>
      </c>
      <c r="S52" s="10">
        <v>4.3717309999999996</v>
      </c>
      <c r="T52" s="10">
        <v>98.95</v>
      </c>
      <c r="U52" s="10">
        <v>101.325</v>
      </c>
      <c r="V52" s="10">
        <v>98.95</v>
      </c>
      <c r="W52" s="10">
        <v>101.325</v>
      </c>
      <c r="X52" s="4" t="s">
        <v>146</v>
      </c>
      <c r="Y52" s="4" t="s">
        <v>1157</v>
      </c>
      <c r="AA52" s="10">
        <f t="shared" si="0"/>
        <v>2.5400763876364555E-3</v>
      </c>
      <c r="AB52" s="10">
        <f t="shared" si="1"/>
        <v>4.1732523619689788E-3</v>
      </c>
      <c r="AC52" s="10">
        <f t="shared" si="2"/>
        <v>0.74833732661017105</v>
      </c>
      <c r="AD52" s="10">
        <f t="shared" si="3"/>
        <v>3.5132036745247036E-2</v>
      </c>
    </row>
    <row r="53" spans="1:30" x14ac:dyDescent="0.25">
      <c r="A53" s="33" t="s">
        <v>1158</v>
      </c>
      <c r="C53" s="39">
        <v>40847</v>
      </c>
      <c r="D53" s="53" t="s">
        <v>1159</v>
      </c>
      <c r="E53" s="4" t="str">
        <f>VLOOKUP(LEFT(D53,2),Sort!$A$1:$B$58,2,FALSE)</f>
        <v>Brazil</v>
      </c>
      <c r="F53" s="4" t="s">
        <v>1007</v>
      </c>
      <c r="G53" s="18">
        <v>50755559</v>
      </c>
      <c r="H53" s="18">
        <v>51391060.729999997</v>
      </c>
      <c r="I53" s="10">
        <v>2.4771598999999998E-2</v>
      </c>
      <c r="J53" s="10">
        <v>4.016667</v>
      </c>
      <c r="K53" s="10">
        <v>3.6719089999999999</v>
      </c>
      <c r="L53" s="10">
        <v>3.2237339999999999</v>
      </c>
      <c r="M53" s="10">
        <v>3.2237339999999999</v>
      </c>
      <c r="N53" s="10">
        <v>252.7867</v>
      </c>
      <c r="O53" s="10">
        <v>255.86369999999999</v>
      </c>
      <c r="P53" s="10">
        <v>3.6519699999999999</v>
      </c>
      <c r="Q53" s="10">
        <v>9.9000000000000008E-3</v>
      </c>
      <c r="R53" s="10">
        <v>2.3056918319999999</v>
      </c>
      <c r="S53" s="10">
        <v>5.7046031770000001</v>
      </c>
      <c r="T53" s="10">
        <v>99.5</v>
      </c>
      <c r="U53" s="10">
        <v>101.5</v>
      </c>
      <c r="V53" s="10">
        <v>99.5</v>
      </c>
      <c r="W53" s="10">
        <v>101.5</v>
      </c>
      <c r="X53" s="4" t="s">
        <v>146</v>
      </c>
      <c r="Y53" s="4" t="s">
        <v>1160</v>
      </c>
      <c r="AA53" s="10">
        <f t="shared" si="0"/>
        <v>2.5760754237291288E-3</v>
      </c>
      <c r="AB53" s="10">
        <f t="shared" si="1"/>
        <v>2.6963702356028515E-3</v>
      </c>
      <c r="AC53" s="10">
        <f t="shared" si="2"/>
        <v>0.13032414081723456</v>
      </c>
      <c r="AD53" s="10">
        <f t="shared" si="3"/>
        <v>3.5421075199550865E-2</v>
      </c>
    </row>
    <row r="54" spans="1:30" x14ac:dyDescent="0.25">
      <c r="A54" s="33" t="s">
        <v>1161</v>
      </c>
      <c r="C54" s="39">
        <v>40847</v>
      </c>
      <c r="D54" s="53" t="s">
        <v>1162</v>
      </c>
      <c r="E54" s="4" t="str">
        <f>VLOOKUP(LEFT(D54,2),Sort!$A$1:$B$58,2,FALSE)</f>
        <v>Brazil</v>
      </c>
      <c r="F54" s="4" t="s">
        <v>1007</v>
      </c>
      <c r="G54" s="18">
        <v>50755559</v>
      </c>
      <c r="H54" s="18">
        <v>47528351.539999999</v>
      </c>
      <c r="I54" s="10">
        <v>2.290969E-2</v>
      </c>
      <c r="J54" s="10">
        <v>8.483333</v>
      </c>
      <c r="K54" s="10">
        <v>5.9541690000000003</v>
      </c>
      <c r="L54" s="10">
        <v>9.4566839999999992</v>
      </c>
      <c r="M54" s="10">
        <v>9.4566839999999992</v>
      </c>
      <c r="N54" s="10">
        <v>760.68060000000003</v>
      </c>
      <c r="O54" s="10">
        <v>778.39380000000006</v>
      </c>
      <c r="P54" s="10">
        <v>5.7979250000000002</v>
      </c>
      <c r="Q54" s="10">
        <v>2.52E-2</v>
      </c>
      <c r="R54" s="10">
        <v>1.3279014609999999</v>
      </c>
      <c r="S54" s="10">
        <v>-2.4986933690000002</v>
      </c>
      <c r="T54" s="10">
        <v>93.5</v>
      </c>
      <c r="U54" s="10">
        <v>94.5</v>
      </c>
      <c r="V54" s="10">
        <v>93.5</v>
      </c>
      <c r="W54" s="10">
        <v>94.5</v>
      </c>
      <c r="X54" s="4" t="s">
        <v>146</v>
      </c>
      <c r="Y54" s="4" t="s">
        <v>1163</v>
      </c>
      <c r="AA54" s="10">
        <f t="shared" si="0"/>
        <v>6.1630532376889388E-3</v>
      </c>
      <c r="AB54" s="10">
        <f t="shared" si="1"/>
        <v>2.7090256534067908E-2</v>
      </c>
      <c r="AC54" s="10">
        <f t="shared" si="2"/>
        <v>2.0093097358127929</v>
      </c>
      <c r="AD54" s="10">
        <f t="shared" si="3"/>
        <v>9.415250505594866E-2</v>
      </c>
    </row>
    <row r="55" spans="1:30" x14ac:dyDescent="0.25">
      <c r="A55" s="33" t="s">
        <v>1164</v>
      </c>
      <c r="C55" s="39">
        <v>40847</v>
      </c>
      <c r="D55" s="53" t="s">
        <v>1165</v>
      </c>
      <c r="E55" s="4" t="str">
        <f>VLOOKUP(LEFT(D55,2),Sort!$A$1:$B$58,2,FALSE)</f>
        <v>Brazil</v>
      </c>
      <c r="F55" s="4" t="s">
        <v>1007</v>
      </c>
      <c r="G55" s="18">
        <v>50755559</v>
      </c>
      <c r="H55" s="18">
        <v>49923026.729999997</v>
      </c>
      <c r="I55" s="10">
        <v>2.4063975000000001E-2</v>
      </c>
      <c r="J55" s="10">
        <v>3.7527780000000002</v>
      </c>
      <c r="K55" s="10">
        <v>3.3120500000000002</v>
      </c>
      <c r="L55" s="10">
        <v>5.7973860000000004</v>
      </c>
      <c r="M55" s="10">
        <v>5.7973860000000004</v>
      </c>
      <c r="N55" s="10">
        <v>517.85749999999996</v>
      </c>
      <c r="O55" s="10">
        <v>521.87519999999995</v>
      </c>
      <c r="P55" s="10">
        <v>3.2981210000000001</v>
      </c>
      <c r="Q55" s="10">
        <v>1.55E-2</v>
      </c>
      <c r="R55" s="10">
        <v>1.4729687890000001</v>
      </c>
      <c r="S55" s="10">
        <v>7.1468402490000003</v>
      </c>
      <c r="T55" s="10">
        <v>97</v>
      </c>
      <c r="U55" s="10">
        <v>99</v>
      </c>
      <c r="V55" s="10">
        <v>97</v>
      </c>
      <c r="W55" s="10">
        <v>99</v>
      </c>
      <c r="X55" s="4" t="s">
        <v>146</v>
      </c>
      <c r="Y55" s="4" t="s">
        <v>1166</v>
      </c>
      <c r="AA55" s="10">
        <f t="shared" si="0"/>
        <v>2.257235517471254E-3</v>
      </c>
      <c r="AB55" s="10">
        <f t="shared" si="1"/>
        <v>4.0168924138379546E-3</v>
      </c>
      <c r="AC55" s="10">
        <f t="shared" si="2"/>
        <v>0.73743769896788036</v>
      </c>
      <c r="AD55" s="10">
        <f t="shared" si="3"/>
        <v>0.10360564572782981</v>
      </c>
    </row>
    <row r="56" spans="1:30" x14ac:dyDescent="0.25">
      <c r="A56" s="33" t="s">
        <v>1167</v>
      </c>
      <c r="C56" s="39">
        <v>40847</v>
      </c>
      <c r="D56" s="53" t="s">
        <v>1168</v>
      </c>
      <c r="E56" s="4" t="str">
        <f>VLOOKUP(LEFT(D56,2),Sort!$A$1:$B$58,2,FALSE)</f>
        <v>Brazil</v>
      </c>
      <c r="F56" s="4" t="s">
        <v>1007</v>
      </c>
      <c r="G56" s="18">
        <v>84592599</v>
      </c>
      <c r="H56" s="18">
        <v>88176035.390000001</v>
      </c>
      <c r="I56" s="10">
        <v>4.2502749999999999E-2</v>
      </c>
      <c r="J56" s="10">
        <v>8.4722220000000004</v>
      </c>
      <c r="K56" s="10">
        <v>6.1492050000000003</v>
      </c>
      <c r="L56" s="10">
        <v>7.5286179999999998</v>
      </c>
      <c r="M56" s="10">
        <v>7.5286179999999998</v>
      </c>
      <c r="N56" s="10">
        <v>568.08219999999994</v>
      </c>
      <c r="O56" s="10">
        <v>583.99800000000005</v>
      </c>
      <c r="P56" s="10">
        <v>5.9859080000000002</v>
      </c>
      <c r="Q56" s="10">
        <v>2.2700000000000001E-2</v>
      </c>
      <c r="R56" s="10">
        <v>0.64026010700000002</v>
      </c>
      <c r="S56" s="10">
        <v>13.16314369</v>
      </c>
      <c r="T56" s="10">
        <v>104</v>
      </c>
      <c r="U56" s="10">
        <v>106</v>
      </c>
      <c r="V56" s="10">
        <v>104</v>
      </c>
      <c r="W56" s="10">
        <v>106</v>
      </c>
      <c r="X56" s="4" t="s">
        <v>146</v>
      </c>
      <c r="Y56" s="4" t="s">
        <v>1169</v>
      </c>
      <c r="AA56" s="10">
        <f t="shared" si="0"/>
        <v>1.1410954151860433E-2</v>
      </c>
      <c r="AB56" s="10">
        <f t="shared" si="1"/>
        <v>1.7892888093892126E-2</v>
      </c>
      <c r="AC56" s="10">
        <f t="shared" si="2"/>
        <v>1.4575373626678596</v>
      </c>
      <c r="AD56" s="10">
        <f t="shared" si="3"/>
        <v>6.3469422860029531E-2</v>
      </c>
    </row>
    <row r="57" spans="1:30" x14ac:dyDescent="0.25">
      <c r="A57" s="33" t="s">
        <v>1170</v>
      </c>
      <c r="C57" s="39">
        <v>40847</v>
      </c>
      <c r="D57" s="53" t="s">
        <v>1171</v>
      </c>
      <c r="E57" s="4" t="str">
        <f>VLOOKUP(LEFT(D57,2),Sort!$A$1:$B$58,2,FALSE)</f>
        <v>Brazil</v>
      </c>
      <c r="F57" s="4" t="s">
        <v>1007</v>
      </c>
      <c r="G57" s="18">
        <v>84592599</v>
      </c>
      <c r="H57" s="18">
        <v>89498969.739999995</v>
      </c>
      <c r="I57" s="10">
        <v>4.3140432999999999E-2</v>
      </c>
      <c r="J57" s="10">
        <v>9.233333</v>
      </c>
      <c r="K57" s="10">
        <v>6.928426</v>
      </c>
      <c r="L57" s="10">
        <v>5.8962830000000004</v>
      </c>
      <c r="M57" s="10">
        <v>5.8962830000000004</v>
      </c>
      <c r="N57" s="10">
        <v>390.59050000000002</v>
      </c>
      <c r="O57" s="10">
        <v>403.45010000000002</v>
      </c>
      <c r="P57" s="10">
        <v>6.7145890000000001</v>
      </c>
      <c r="Q57" s="10">
        <v>1.77E-2</v>
      </c>
      <c r="R57" s="10">
        <v>3.44659542</v>
      </c>
      <c r="S57" s="10">
        <v>9.2675249999999991</v>
      </c>
      <c r="T57" s="10">
        <v>104</v>
      </c>
      <c r="U57" s="10">
        <v>106</v>
      </c>
      <c r="V57" s="10">
        <v>104</v>
      </c>
      <c r="W57" s="10">
        <v>106</v>
      </c>
      <c r="X57" s="4" t="s">
        <v>146</v>
      </c>
      <c r="Y57" s="4" t="s">
        <v>1172</v>
      </c>
      <c r="AA57" s="10">
        <f t="shared" si="0"/>
        <v>1.3049835571371937E-2</v>
      </c>
      <c r="AB57" s="10">
        <f t="shared" si="1"/>
        <v>7.324085923184365E-3</v>
      </c>
      <c r="AC57" s="10">
        <f t="shared" si="2"/>
        <v>1.0220346783976633</v>
      </c>
      <c r="AD57" s="10">
        <f t="shared" si="3"/>
        <v>6.4421675694995739E-2</v>
      </c>
    </row>
    <row r="58" spans="1:30" x14ac:dyDescent="0.25">
      <c r="A58" s="33" t="s">
        <v>1173</v>
      </c>
      <c r="C58" s="39">
        <v>40847</v>
      </c>
      <c r="D58" s="53" t="s">
        <v>1174</v>
      </c>
      <c r="E58" s="4" t="str">
        <f>VLOOKUP(LEFT(D58,2),Sort!$A$1:$B$58,2,FALSE)</f>
        <v>Brazil</v>
      </c>
      <c r="F58" s="4" t="s">
        <v>1007</v>
      </c>
      <c r="G58" s="18">
        <v>143807418</v>
      </c>
      <c r="H58" s="18">
        <v>141057101.09999999</v>
      </c>
      <c r="I58" s="10">
        <v>6.7992563000000006E-2</v>
      </c>
      <c r="J58" s="10">
        <v>3.4249999999999998</v>
      </c>
      <c r="K58" s="10">
        <v>3.1352150000000001</v>
      </c>
      <c r="L58" s="10">
        <v>4.7387360000000003</v>
      </c>
      <c r="M58" s="10">
        <v>4.7387360000000003</v>
      </c>
      <c r="N58" s="10">
        <v>421.56360000000001</v>
      </c>
      <c r="O58" s="10">
        <v>424.51889999999997</v>
      </c>
      <c r="P58" s="10">
        <v>3.126341</v>
      </c>
      <c r="Q58" s="10">
        <v>1.2699999999999999E-2</v>
      </c>
      <c r="R58" s="10">
        <v>2.7225560889999998</v>
      </c>
      <c r="S58" s="10">
        <v>1.1220144E-2</v>
      </c>
      <c r="T58" s="10">
        <v>97.75</v>
      </c>
      <c r="U58" s="10">
        <v>99.25</v>
      </c>
      <c r="V58" s="10">
        <v>97.75</v>
      </c>
      <c r="W58" s="10">
        <v>99.25</v>
      </c>
      <c r="X58" s="4" t="s">
        <v>146</v>
      </c>
      <c r="Y58" s="4" t="s">
        <v>1175</v>
      </c>
      <c r="AA58" s="10">
        <f t="shared" si="0"/>
        <v>6.0372806577117842E-3</v>
      </c>
      <c r="AB58" s="10">
        <f t="shared" si="1"/>
        <v>9.2771492468993414E-3</v>
      </c>
      <c r="AC58" s="10">
        <f t="shared" si="2"/>
        <v>1.6949221413716486</v>
      </c>
      <c r="AD58" s="10">
        <f t="shared" si="3"/>
        <v>0.29347613380081439</v>
      </c>
    </row>
    <row r="59" spans="1:30" x14ac:dyDescent="0.25">
      <c r="A59" s="33" t="s">
        <v>1176</v>
      </c>
      <c r="C59" s="39">
        <v>40847</v>
      </c>
      <c r="D59" s="53" t="s">
        <v>1177</v>
      </c>
      <c r="E59" s="4" t="str">
        <f>VLOOKUP(LEFT(D59,2),Sort!$A$1:$B$58,2,FALSE)</f>
        <v>Brazil</v>
      </c>
      <c r="F59" s="4" t="s">
        <v>1007</v>
      </c>
      <c r="G59" s="18">
        <v>143807418</v>
      </c>
      <c r="H59" s="18">
        <v>139905643.80000001</v>
      </c>
      <c r="I59" s="10">
        <v>6.7437536000000006E-2</v>
      </c>
      <c r="J59" s="10">
        <v>4.197222</v>
      </c>
      <c r="K59" s="10">
        <v>3.7670979999999998</v>
      </c>
      <c r="L59" s="10">
        <v>4.7799610000000001</v>
      </c>
      <c r="M59" s="10">
        <v>4.7799610000000001</v>
      </c>
      <c r="N59" s="10">
        <v>403.13720000000001</v>
      </c>
      <c r="O59" s="10">
        <v>406.66840000000002</v>
      </c>
      <c r="P59" s="10">
        <v>3.7440259999999999</v>
      </c>
      <c r="Q59" s="10">
        <v>1.21E-2</v>
      </c>
      <c r="R59" s="10">
        <v>3.5447948679999999</v>
      </c>
      <c r="S59" s="10">
        <v>-0.16947599999999999</v>
      </c>
      <c r="T59" s="10">
        <v>96</v>
      </c>
      <c r="U59" s="10">
        <v>98</v>
      </c>
      <c r="V59" s="10">
        <v>96</v>
      </c>
      <c r="W59" s="10">
        <v>98</v>
      </c>
      <c r="X59" s="4" t="s">
        <v>146</v>
      </c>
      <c r="Y59" s="4" t="s">
        <v>1178</v>
      </c>
      <c r="AA59" s="10">
        <f t="shared" si="0"/>
        <v>7.1948415770355977E-3</v>
      </c>
      <c r="AB59" s="10">
        <f t="shared" si="1"/>
        <v>9.2814677979116862E-3</v>
      </c>
      <c r="AC59" s="10">
        <f t="shared" si="2"/>
        <v>1.6103987689262955</v>
      </c>
      <c r="AD59" s="10">
        <f t="shared" si="3"/>
        <v>0.28741447019858085</v>
      </c>
    </row>
    <row r="60" spans="1:30" x14ac:dyDescent="0.25">
      <c r="A60" s="33" t="s">
        <v>1179</v>
      </c>
      <c r="C60" s="39">
        <v>40847</v>
      </c>
      <c r="D60" s="53" t="s">
        <v>1180</v>
      </c>
      <c r="E60" s="4" t="str">
        <f>VLOOKUP(LEFT(D60,2),Sort!$A$1:$B$58,2,FALSE)</f>
        <v>Brazil</v>
      </c>
      <c r="F60" s="4" t="s">
        <v>1007</v>
      </c>
      <c r="G60" s="18">
        <v>84592599</v>
      </c>
      <c r="H60" s="18">
        <v>85441462.049999997</v>
      </c>
      <c r="I60" s="10">
        <v>4.1184626000000002E-2</v>
      </c>
      <c r="J60" s="10">
        <v>1.263889</v>
      </c>
      <c r="K60" s="10">
        <v>1.2330570000000001</v>
      </c>
      <c r="L60" s="10">
        <v>2.6279859999999999</v>
      </c>
      <c r="M60" s="10">
        <v>2.6279859999999999</v>
      </c>
      <c r="N60" s="10">
        <v>249.2139</v>
      </c>
      <c r="O60" s="10">
        <v>249.3021</v>
      </c>
      <c r="P60" s="10">
        <v>1.217282</v>
      </c>
      <c r="Q60" s="10">
        <v>1.17E-2</v>
      </c>
      <c r="R60" s="10">
        <v>0.32834427399999999</v>
      </c>
      <c r="S60" s="10">
        <v>1.959607849</v>
      </c>
      <c r="T60" s="10">
        <v>100</v>
      </c>
      <c r="U60" s="10">
        <v>102</v>
      </c>
      <c r="V60" s="10">
        <v>100</v>
      </c>
      <c r="W60" s="10">
        <v>102</v>
      </c>
      <c r="X60" s="4" t="s">
        <v>146</v>
      </c>
      <c r="Y60" s="4" t="s">
        <v>1181</v>
      </c>
      <c r="AA60" s="10">
        <f t="shared" si="0"/>
        <v>6.4205694773705651E-3</v>
      </c>
      <c r="AB60" s="10">
        <f t="shared" si="1"/>
        <v>3.6544705092238262E-3</v>
      </c>
      <c r="AC60" s="10">
        <f t="shared" si="2"/>
        <v>0.2111170073064822</v>
      </c>
      <c r="AD60" s="10">
        <f t="shared" si="3"/>
        <v>5.9180272284226593E-2</v>
      </c>
    </row>
    <row r="61" spans="1:30" x14ac:dyDescent="0.25">
      <c r="A61" s="33" t="s">
        <v>1182</v>
      </c>
      <c r="C61" s="39">
        <v>40847</v>
      </c>
      <c r="D61" s="53" t="s">
        <v>1183</v>
      </c>
      <c r="E61" s="4" t="str">
        <f>VLOOKUP(LEFT(D61,2),Sort!$A$1:$B$58,2,FALSE)</f>
        <v>Brazil</v>
      </c>
      <c r="F61" s="4" t="s">
        <v>1007</v>
      </c>
      <c r="G61" s="18">
        <v>211481497</v>
      </c>
      <c r="H61" s="18">
        <v>213481758.80000001</v>
      </c>
      <c r="I61" s="10">
        <v>0.102902809</v>
      </c>
      <c r="J61" s="10">
        <v>4.2722220000000002</v>
      </c>
      <c r="K61" s="10">
        <v>3.7724820000000001</v>
      </c>
      <c r="L61" s="10">
        <v>4.9199400000000004</v>
      </c>
      <c r="M61" s="10">
        <v>4.9199400000000004</v>
      </c>
      <c r="N61" s="10">
        <v>414.94510000000002</v>
      </c>
      <c r="O61" s="10">
        <v>419.0634</v>
      </c>
      <c r="P61" s="10">
        <v>3.746785</v>
      </c>
      <c r="Q61" s="10">
        <v>-0.23269999999999999</v>
      </c>
      <c r="R61" s="10">
        <v>1.6702357759999999</v>
      </c>
      <c r="S61" s="10">
        <v>3.3976690000000001</v>
      </c>
      <c r="T61" s="10">
        <v>99.75</v>
      </c>
      <c r="U61" s="10">
        <v>101.25</v>
      </c>
      <c r="V61" s="10">
        <v>99.75</v>
      </c>
      <c r="W61" s="10">
        <v>101.25</v>
      </c>
      <c r="X61" s="4" t="s">
        <v>146</v>
      </c>
      <c r="Y61" s="4" t="s">
        <v>1184</v>
      </c>
      <c r="AA61" s="10">
        <f t="shared" si="0"/>
        <v>1.0994286026912038E-2</v>
      </c>
      <c r="AB61" s="10">
        <f t="shared" si="1"/>
        <v>1.4577318853837897E-2</v>
      </c>
      <c r="AC61" s="10">
        <f t="shared" si="2"/>
        <v>2.5322015653529788</v>
      </c>
      <c r="AD61" s="10">
        <f t="shared" si="3"/>
        <v>0.14677899845974862</v>
      </c>
    </row>
    <row r="62" spans="1:30" x14ac:dyDescent="0.25">
      <c r="A62" s="33" t="s">
        <v>1185</v>
      </c>
      <c r="C62" s="39">
        <v>40847</v>
      </c>
      <c r="D62" s="53" t="s">
        <v>1186</v>
      </c>
      <c r="E62" s="4" t="str">
        <f>VLOOKUP(LEFT(D62,2),Sort!$A$1:$B$58,2,FALSE)</f>
        <v>Brazil</v>
      </c>
      <c r="F62" s="4" t="s">
        <v>1007</v>
      </c>
      <c r="G62" s="18">
        <v>194562977</v>
      </c>
      <c r="H62" s="18">
        <v>208356680.69999999</v>
      </c>
      <c r="I62" s="10">
        <v>0.100432411</v>
      </c>
      <c r="J62" s="10">
        <v>8.2166669999999993</v>
      </c>
      <c r="K62" s="10">
        <v>6.1795429999999998</v>
      </c>
      <c r="L62" s="10">
        <v>6.3454139999999999</v>
      </c>
      <c r="M62" s="10">
        <v>6.3454139999999999</v>
      </c>
      <c r="N62" s="10">
        <v>454.54919999999998</v>
      </c>
      <c r="O62" s="10">
        <v>466.72280000000001</v>
      </c>
      <c r="P62" s="10">
        <v>6.0169769999999998</v>
      </c>
      <c r="Q62" s="10">
        <v>-0.21390000000000001</v>
      </c>
      <c r="R62" s="10">
        <v>4.207239242</v>
      </c>
      <c r="S62" s="10">
        <v>5.8444871750000003</v>
      </c>
      <c r="T62" s="10">
        <v>105</v>
      </c>
      <c r="U62" s="10">
        <v>106.5</v>
      </c>
      <c r="V62" s="10">
        <v>105</v>
      </c>
      <c r="W62" s="10">
        <v>106.5</v>
      </c>
      <c r="X62" s="4" t="s">
        <v>146</v>
      </c>
      <c r="Y62" s="4" t="s">
        <v>1187</v>
      </c>
      <c r="AA62" s="10">
        <f t="shared" si="0"/>
        <v>2.7096687922974139E-2</v>
      </c>
      <c r="AB62" s="10">
        <f t="shared" si="1"/>
        <v>3.5635430410622324E-2</v>
      </c>
      <c r="AC62" s="10">
        <f t="shared" si="2"/>
        <v>2.7524802783139504</v>
      </c>
      <c r="AD62" s="10">
        <f t="shared" si="3"/>
        <v>0.15068331078158942</v>
      </c>
    </row>
    <row r="63" spans="1:30" x14ac:dyDescent="0.25">
      <c r="A63" s="33" t="s">
        <v>1188</v>
      </c>
      <c r="C63" s="39">
        <v>40847</v>
      </c>
      <c r="D63" s="53" t="s">
        <v>1189</v>
      </c>
      <c r="E63" s="4" t="str">
        <f>VLOOKUP(LEFT(D63,2),Sort!$A$1:$B$58,2,FALSE)</f>
        <v>Brazil</v>
      </c>
      <c r="F63" s="4" t="s">
        <v>1014</v>
      </c>
      <c r="G63" s="18">
        <v>59214819</v>
      </c>
      <c r="H63" s="18">
        <v>58502596.18</v>
      </c>
      <c r="I63" s="10">
        <v>2.8199511999999999E-2</v>
      </c>
      <c r="J63" s="10">
        <v>4.9222219999999997</v>
      </c>
      <c r="K63" s="10">
        <v>3.790435</v>
      </c>
      <c r="L63" s="10">
        <v>10.245590999999999</v>
      </c>
      <c r="M63" s="10">
        <v>10.245590999999999</v>
      </c>
      <c r="N63" s="10">
        <v>928.53020000000004</v>
      </c>
      <c r="O63" s="10">
        <v>938.18449999999996</v>
      </c>
      <c r="P63" s="10">
        <v>3.7559290000000001</v>
      </c>
      <c r="Q63" s="10">
        <v>2.8799999999999999E-2</v>
      </c>
      <c r="R63" s="10">
        <v>7.3882855120000004</v>
      </c>
      <c r="S63" s="10">
        <v>-0.80961331800000003</v>
      </c>
      <c r="T63" s="10">
        <v>98</v>
      </c>
      <c r="U63" s="10">
        <v>100</v>
      </c>
      <c r="V63" s="10">
        <v>98</v>
      </c>
      <c r="W63" s="10">
        <v>100</v>
      </c>
      <c r="X63" s="4" t="s">
        <v>146</v>
      </c>
      <c r="Y63" s="4" t="s">
        <v>1190</v>
      </c>
      <c r="AA63" s="10">
        <f t="shared" si="0"/>
        <v>3.0272150636109275E-3</v>
      </c>
      <c r="AB63" s="10">
        <f t="shared" si="1"/>
        <v>3.782752454920419E-2</v>
      </c>
      <c r="AC63" s="10">
        <f t="shared" si="2"/>
        <v>5.088179133094048</v>
      </c>
      <c r="AD63" s="10">
        <f t="shared" si="3"/>
        <v>3.9726769927894617E-2</v>
      </c>
    </row>
    <row r="64" spans="1:30" x14ac:dyDescent="0.25">
      <c r="A64" s="33" t="s">
        <v>1191</v>
      </c>
      <c r="C64" s="39">
        <v>40847</v>
      </c>
      <c r="D64" s="53" t="s">
        <v>1192</v>
      </c>
      <c r="E64" s="4" t="str">
        <f>VLOOKUP(LEFT(D64,2),Sort!$A$1:$B$58,2,FALSE)</f>
        <v>Brazil</v>
      </c>
      <c r="F64" s="4" t="s">
        <v>1007</v>
      </c>
      <c r="G64" s="18">
        <v>67674079</v>
      </c>
      <c r="H64" s="18">
        <v>64369328.369999997</v>
      </c>
      <c r="I64" s="10">
        <v>3.1027404000000001E-2</v>
      </c>
      <c r="J64" s="10">
        <v>3.980556</v>
      </c>
      <c r="K64" s="10">
        <v>3.5310190000000001</v>
      </c>
      <c r="L64" s="10">
        <v>6.4045360000000002</v>
      </c>
      <c r="M64" s="10">
        <v>6.4045360000000002</v>
      </c>
      <c r="N64" s="10">
        <v>571.92139999999995</v>
      </c>
      <c r="O64" s="10">
        <v>576.19380000000001</v>
      </c>
      <c r="P64" s="10">
        <v>3.51444</v>
      </c>
      <c r="Q64" s="10">
        <v>1.5299999999999999E-2</v>
      </c>
      <c r="R64" s="10">
        <v>3.0922354849999998</v>
      </c>
      <c r="S64" s="10">
        <v>0.84785556799999995</v>
      </c>
      <c r="T64" s="10">
        <v>95</v>
      </c>
      <c r="U64" s="10">
        <v>96</v>
      </c>
      <c r="V64" s="10">
        <v>95</v>
      </c>
      <c r="W64" s="10">
        <v>96</v>
      </c>
      <c r="X64" s="4" t="s">
        <v>146</v>
      </c>
      <c r="Y64" s="4" t="s">
        <v>1193</v>
      </c>
      <c r="AA64" s="10">
        <f t="shared" si="0"/>
        <v>3.1028309525686425E-3</v>
      </c>
      <c r="AB64" s="10">
        <f t="shared" si="1"/>
        <v>1.1111719378422485E-2</v>
      </c>
      <c r="AC64" s="10">
        <f t="shared" si="2"/>
        <v>1.0497969993940612</v>
      </c>
      <c r="AD64" s="10">
        <f t="shared" si="3"/>
        <v>0.12953810220626644</v>
      </c>
    </row>
    <row r="65" spans="1:30" x14ac:dyDescent="0.25">
      <c r="A65" s="33" t="s">
        <v>1194</v>
      </c>
      <c r="C65" s="39">
        <v>40847</v>
      </c>
      <c r="D65" s="53" t="s">
        <v>1195</v>
      </c>
      <c r="E65" s="4" t="str">
        <f>VLOOKUP(LEFT(D65,2),Sort!$A$1:$B$58,2,FALSE)</f>
        <v>Brazil</v>
      </c>
      <c r="F65" s="4" t="s">
        <v>1007</v>
      </c>
      <c r="G65" s="18">
        <v>103541341</v>
      </c>
      <c r="H65" s="18">
        <v>107693060.90000001</v>
      </c>
      <c r="I65" s="10">
        <v>5.1910377000000001E-2</v>
      </c>
      <c r="J65" s="10">
        <v>8.7027780000000003</v>
      </c>
      <c r="K65" s="10">
        <v>6.9504799999999998</v>
      </c>
      <c r="L65" s="10">
        <v>4.9455109999999998</v>
      </c>
      <c r="M65" s="10">
        <v>4.9455109999999998</v>
      </c>
      <c r="N65" s="10">
        <v>305.45240000000001</v>
      </c>
      <c r="O65" s="10">
        <v>313.03590000000003</v>
      </c>
      <c r="P65" s="10">
        <v>6.7470869999999996</v>
      </c>
      <c r="Q65" s="10">
        <v>-0.10539999999999999</v>
      </c>
      <c r="R65" s="10">
        <v>4.3154242099999998</v>
      </c>
      <c r="S65" s="10">
        <v>5.8381182989999996</v>
      </c>
      <c r="T65" s="10">
        <v>102.375</v>
      </c>
      <c r="U65" s="10">
        <v>103.875</v>
      </c>
      <c r="V65" s="10">
        <v>102.375</v>
      </c>
      <c r="W65" s="10">
        <v>103.875</v>
      </c>
      <c r="X65" s="4" t="s">
        <v>146</v>
      </c>
      <c r="Y65" s="4" t="s">
        <v>1196</v>
      </c>
      <c r="AA65" s="10">
        <f t="shared" si="0"/>
        <v>1.5752697729495016E-2</v>
      </c>
      <c r="AB65" s="10">
        <f t="shared" si="1"/>
        <v>7.3918980388084504E-3</v>
      </c>
      <c r="AC65" s="10">
        <f t="shared" si="2"/>
        <v>0.33412616068515699</v>
      </c>
      <c r="AD65" s="10">
        <f t="shared" si="3"/>
        <v>7.5963833568056513E-2</v>
      </c>
    </row>
    <row r="66" spans="1:30" x14ac:dyDescent="0.25">
      <c r="A66" s="33" t="s">
        <v>1197</v>
      </c>
      <c r="C66" s="39">
        <v>40847</v>
      </c>
      <c r="D66" s="53" t="s">
        <v>1198</v>
      </c>
      <c r="E66" s="4" t="str">
        <f>VLOOKUP(LEFT(D66,2),Sort!$A$1:$B$58,2,FALSE)</f>
        <v>Brazil</v>
      </c>
      <c r="F66" s="4" t="s">
        <v>1014</v>
      </c>
      <c r="G66" s="18">
        <v>126888898</v>
      </c>
      <c r="H66" s="18">
        <v>126302036.8</v>
      </c>
      <c r="I66" s="10">
        <v>6.0880304000000003E-2</v>
      </c>
      <c r="J66" s="10">
        <v>9.4499999999999993</v>
      </c>
      <c r="K66" s="10">
        <v>7.3801880000000004</v>
      </c>
      <c r="L66" s="10">
        <v>5.6460039999999996</v>
      </c>
      <c r="M66" s="10">
        <v>5.6460039999999996</v>
      </c>
      <c r="N66" s="10">
        <v>361.50369999999998</v>
      </c>
      <c r="O66" s="10">
        <v>372.51920000000001</v>
      </c>
      <c r="P66" s="10">
        <v>7.14351</v>
      </c>
      <c r="Q66" s="10">
        <v>-0.4839</v>
      </c>
      <c r="R66" s="10">
        <v>9.9792364370000008</v>
      </c>
      <c r="S66" s="10">
        <v>4.2557739999999997</v>
      </c>
      <c r="T66" s="10">
        <v>99.25</v>
      </c>
      <c r="U66" s="10">
        <v>100.75</v>
      </c>
      <c r="V66" s="10">
        <v>99.25</v>
      </c>
      <c r="W66" s="10">
        <v>100.75</v>
      </c>
      <c r="X66" s="4" t="s">
        <v>146</v>
      </c>
      <c r="Y66" s="4" t="s">
        <v>1199</v>
      </c>
      <c r="AA66" s="10">
        <f t="shared" si="0"/>
        <v>1.9616891951666795E-2</v>
      </c>
      <c r="AB66" s="10">
        <f t="shared" si="1"/>
        <v>9.8971148598671153E-3</v>
      </c>
      <c r="AC66" s="10">
        <f t="shared" si="2"/>
        <v>0.46632385084350264</v>
      </c>
      <c r="AD66" s="10">
        <f t="shared" si="3"/>
        <v>8.6409904468250115E-2</v>
      </c>
    </row>
    <row r="67" spans="1:30" x14ac:dyDescent="0.25">
      <c r="A67" s="33" t="s">
        <v>1200</v>
      </c>
      <c r="C67" s="39">
        <v>40847</v>
      </c>
      <c r="D67" s="53" t="s">
        <v>1201</v>
      </c>
      <c r="E67" s="4" t="str">
        <f>VLOOKUP(LEFT(D67,2),Sort!$A$1:$B$58,2,FALSE)</f>
        <v>Brazil</v>
      </c>
      <c r="F67" s="4" t="s">
        <v>1014</v>
      </c>
      <c r="G67" s="18">
        <v>84592599</v>
      </c>
      <c r="H67" s="18">
        <v>95467447.939999998</v>
      </c>
      <c r="I67" s="10">
        <v>4.6017368000000003E-2</v>
      </c>
      <c r="J67" s="10">
        <v>6.588889</v>
      </c>
      <c r="K67" s="10">
        <v>5.2325699999999999</v>
      </c>
      <c r="L67" s="10">
        <v>5.1884199999999998</v>
      </c>
      <c r="M67" s="10">
        <v>5.1884199999999998</v>
      </c>
      <c r="N67" s="10">
        <v>373.74919999999997</v>
      </c>
      <c r="O67" s="10">
        <v>383.32279999999997</v>
      </c>
      <c r="P67" s="10">
        <v>5.1346530000000001</v>
      </c>
      <c r="Q67" s="10">
        <v>-0.3135</v>
      </c>
      <c r="R67" s="10">
        <v>5.5546888499999998</v>
      </c>
      <c r="S67" s="10">
        <v>12.470344600000001</v>
      </c>
      <c r="T67" s="10">
        <v>109.875</v>
      </c>
      <c r="U67" s="10">
        <v>111.375</v>
      </c>
      <c r="V67" s="10">
        <v>109.875</v>
      </c>
      <c r="W67" s="10">
        <v>111.375</v>
      </c>
      <c r="X67" s="4" t="s">
        <v>146</v>
      </c>
      <c r="Y67" s="4" t="s">
        <v>1202</v>
      </c>
      <c r="AA67" s="10">
        <f t="shared" si="0"/>
        <v>1.0879085009810443E-2</v>
      </c>
      <c r="AB67" s="10">
        <f t="shared" si="1"/>
        <v>6.8746012475108479E-3</v>
      </c>
      <c r="AC67" s="10">
        <f t="shared" si="2"/>
        <v>0.36270085361425114</v>
      </c>
      <c r="AD67" s="10">
        <f t="shared" si="3"/>
        <v>7.2202318925037492E-2</v>
      </c>
    </row>
    <row r="68" spans="1:30" x14ac:dyDescent="0.25">
      <c r="A68" s="33" t="s">
        <v>1203</v>
      </c>
      <c r="C68" s="39">
        <v>40847</v>
      </c>
      <c r="D68" s="53" t="s">
        <v>1204</v>
      </c>
      <c r="E68" s="4" t="str">
        <f>VLOOKUP(LEFT(D68,2),Sort!$A$1:$B$58,2,FALSE)</f>
        <v>Brazil</v>
      </c>
      <c r="F68" s="4" t="s">
        <v>1014</v>
      </c>
      <c r="G68" s="18">
        <v>84592599</v>
      </c>
      <c r="H68" s="18">
        <v>84380236.049999997</v>
      </c>
      <c r="I68" s="10">
        <v>4.0673093E-2</v>
      </c>
      <c r="J68" s="10">
        <v>29.719443999999999</v>
      </c>
      <c r="K68" s="10">
        <v>12.063426</v>
      </c>
      <c r="L68" s="10">
        <v>7.1851570000000002</v>
      </c>
      <c r="M68" s="10">
        <v>7.1851570000000002</v>
      </c>
      <c r="N68" s="10">
        <v>404.9409</v>
      </c>
      <c r="O68" s="10">
        <v>441.58859999999999</v>
      </c>
      <c r="P68" s="10">
        <v>11.240231</v>
      </c>
      <c r="Q68" s="10">
        <v>-0.2303</v>
      </c>
      <c r="R68" s="10">
        <v>8.4878829739999997</v>
      </c>
      <c r="S68" s="10">
        <v>0.50905699999999998</v>
      </c>
      <c r="T68" s="10">
        <v>97.75</v>
      </c>
      <c r="U68" s="10">
        <v>99.25</v>
      </c>
      <c r="V68" s="10">
        <v>97.75</v>
      </c>
      <c r="W68" s="10">
        <v>99.25</v>
      </c>
      <c r="X68" s="4" t="s">
        <v>146</v>
      </c>
      <c r="Y68" s="4" t="s">
        <v>1205</v>
      </c>
      <c r="AA68" s="10">
        <f t="shared" si="0"/>
        <v>5.2284128585423528E-2</v>
      </c>
      <c r="AB68" s="10">
        <f t="shared" si="1"/>
        <v>1.6341488558030252E-2</v>
      </c>
      <c r="AC68" s="10">
        <f t="shared" si="2"/>
        <v>1.0546694292078229</v>
      </c>
      <c r="AD68" s="10">
        <f t="shared" si="3"/>
        <v>0.17555716977054833</v>
      </c>
    </row>
    <row r="69" spans="1:30" x14ac:dyDescent="0.25">
      <c r="A69" s="33" t="s">
        <v>1206</v>
      </c>
      <c r="C69" s="39">
        <v>40847</v>
      </c>
      <c r="D69" s="53" t="s">
        <v>1207</v>
      </c>
      <c r="E69" s="4" t="str">
        <f>VLOOKUP(LEFT(D69,2),Sort!$A$1:$B$58,2,FALSE)</f>
        <v>Brazil</v>
      </c>
      <c r="F69" s="4" t="s">
        <v>1014</v>
      </c>
      <c r="G69" s="18">
        <v>76133339</v>
      </c>
      <c r="H69" s="18">
        <v>76966311.579999998</v>
      </c>
      <c r="I69" s="10">
        <v>3.7099421E-2</v>
      </c>
      <c r="J69" s="10">
        <v>37.919443999999999</v>
      </c>
      <c r="K69" s="10">
        <v>12.582948</v>
      </c>
      <c r="L69" s="10">
        <v>7.2467030000000001</v>
      </c>
      <c r="M69" s="10">
        <v>7.2467030000000001</v>
      </c>
      <c r="N69" s="10">
        <v>369.43950000000001</v>
      </c>
      <c r="O69" s="10">
        <v>445.23399999999998</v>
      </c>
      <c r="P69" s="10">
        <v>11.711067</v>
      </c>
      <c r="Q69" s="10">
        <v>2.0299999999999999E-2</v>
      </c>
      <c r="R69" s="10">
        <v>9.2667163670000008</v>
      </c>
      <c r="S69" s="10">
        <v>7.3858910399999997</v>
      </c>
      <c r="T69" s="10">
        <v>100.5</v>
      </c>
      <c r="U69" s="10">
        <v>102.5</v>
      </c>
      <c r="V69" s="10">
        <v>100.5</v>
      </c>
      <c r="W69" s="10">
        <v>102.5</v>
      </c>
      <c r="X69" s="4" t="s">
        <v>146</v>
      </c>
      <c r="Y69" s="4" t="s">
        <v>1208</v>
      </c>
      <c r="AA69" s="10">
        <f t="shared" ref="AA69:AA132" si="4">IF(K69&lt;1.99,($H69/$H$629)*K69,IF(AND(K69&gt;1.99,K69&lt;3.99),($H69/$H$630)*K69,IF(AND(K69&gt;3.99,K69&lt;5.99),($H69/$H$631)*K69,IF(AND(K69&gt;5.99,K69&lt;7.99),($H69/$H$632)*K69,IF(AND(K69&gt;7.99,K69&lt;9.99),($H69/$H$633)*K69,IF(K69&gt;9.99,($H69/$H$634)*K69))))))</f>
        <v>4.974409682506039E-2</v>
      </c>
      <c r="AB69" s="10">
        <f t="shared" ref="AB69:AB132" si="5">IF(M69&lt;1.99,($H69/$H$613)*M69,IF(AND(M69&gt;1.99,M69&lt;3.99),($H69/$H$614)*M69,IF(AND(M69&gt;3.99,M69&lt;5.99),($H69/$H$615)*M69,IF(AND(M69&gt;5.99,M69&lt;7.99),($H69/$H$616)*M69,IF(AND(M69&gt;7.99,M69&lt;9.99),($H69/$H$617)*M69,IF(M69&gt;9.99,($H69/$H$618)*M69))))))</f>
        <v>1.5033349462889296E-2</v>
      </c>
      <c r="AC69" s="10">
        <f t="shared" ref="AC69:AC132" si="6">IF(O69&lt;199.99,($H69/$H$621)*O69,IF(AND(O69&gt;199.99,O69&lt;399.99),($H69/$H$622)*O69,IF(AND(O69&gt;399.99,O69&lt;599.99),($H69/$H$623)*O69,IF(AND(O69&gt;599.99,O69&lt;799.99),($H69/$H$624)*O69,IF(AND(O69&gt;799.99,O69&lt;999.99),($H69/$H$625)*O69,IF(O69&gt;999.99,($H69/$H$626)*O69))))))</f>
        <v>0.96994423176902511</v>
      </c>
      <c r="AD69" s="10">
        <f t="shared" ref="AD69:AD132" si="7">IF(U69&lt;49.99,($H69/$H$637)*U69,IF(AND(U69&gt;49.99,U69&lt;79.99),($H69/$H$638)*U69,IF(AND(U69&gt;79.99,U69&lt;99.99),($H69/$H$639)*U69,IF(AND(U69&gt;99.99,U69&lt;119.99),($H69/$H$640)*U69,IF(AND(U69&gt;119.99,U69&lt;139.99),($H69/$H$641)*U69,IF(U69&gt;139.99,($H69/$H$642)*U69))))))</f>
        <v>5.3571358038588562E-2</v>
      </c>
    </row>
    <row r="70" spans="1:30" x14ac:dyDescent="0.25">
      <c r="A70" s="33" t="s">
        <v>1209</v>
      </c>
      <c r="C70" s="39">
        <v>40847</v>
      </c>
      <c r="D70" s="53" t="s">
        <v>1210</v>
      </c>
      <c r="E70" s="4" t="str">
        <f>VLOOKUP(LEFT(D70,2),Sort!$A$1:$B$58,2,FALSE)</f>
        <v>Brazil</v>
      </c>
      <c r="F70" s="4" t="s">
        <v>1014</v>
      </c>
      <c r="G70" s="18">
        <v>126888898</v>
      </c>
      <c r="H70" s="18">
        <v>140430762.90000001</v>
      </c>
      <c r="I70" s="10">
        <v>6.7690655000000002E-2</v>
      </c>
      <c r="J70" s="10">
        <v>8.5111109999999996</v>
      </c>
      <c r="K70" s="10">
        <v>6.3947419999999999</v>
      </c>
      <c r="L70" s="10">
        <v>5.6886150000000004</v>
      </c>
      <c r="M70" s="10">
        <v>5.6886150000000004</v>
      </c>
      <c r="N70" s="10">
        <v>383.35340000000002</v>
      </c>
      <c r="O70" s="10">
        <v>394.625</v>
      </c>
      <c r="P70" s="10">
        <v>6.2178969999999998</v>
      </c>
      <c r="Q70" s="10">
        <v>-0.43230000000000002</v>
      </c>
      <c r="R70" s="10">
        <v>6.7978337470000003</v>
      </c>
      <c r="S70" s="10">
        <v>11.28807089</v>
      </c>
      <c r="T70" s="10">
        <v>107.25</v>
      </c>
      <c r="U70" s="10">
        <v>108.75</v>
      </c>
      <c r="V70" s="10">
        <v>107.25</v>
      </c>
      <c r="W70" s="10">
        <v>108.75</v>
      </c>
      <c r="X70" s="4" t="s">
        <v>146</v>
      </c>
      <c r="Y70" s="4" t="s">
        <v>1211</v>
      </c>
      <c r="AA70" s="10">
        <f t="shared" si="4"/>
        <v>1.8898951184668018E-2</v>
      </c>
      <c r="AB70" s="10">
        <f t="shared" si="5"/>
        <v>1.1087301869400375E-2</v>
      </c>
      <c r="AC70" s="10">
        <f t="shared" si="6"/>
        <v>0.54925682601126546</v>
      </c>
      <c r="AD70" s="10">
        <f t="shared" si="7"/>
        <v>0.1037049858968008</v>
      </c>
    </row>
    <row r="71" spans="1:30" x14ac:dyDescent="0.25">
      <c r="A71" s="33" t="s">
        <v>1212</v>
      </c>
      <c r="C71" s="39">
        <v>40847</v>
      </c>
      <c r="D71" s="53" t="s">
        <v>1213</v>
      </c>
      <c r="E71" s="4" t="str">
        <f>VLOOKUP(LEFT(D71,2),Sort!$A$1:$B$58,2,FALSE)</f>
        <v>Brazil</v>
      </c>
      <c r="F71" s="4" t="s">
        <v>1214</v>
      </c>
      <c r="G71" s="18">
        <v>169185198</v>
      </c>
      <c r="H71" s="18">
        <v>184566952.80000001</v>
      </c>
      <c r="I71" s="10">
        <v>8.8965249999999996E-2</v>
      </c>
      <c r="J71" s="10">
        <v>8.7166669999999993</v>
      </c>
      <c r="K71" s="10">
        <v>6.7399709999999997</v>
      </c>
      <c r="L71" s="10">
        <v>5.2354159999999998</v>
      </c>
      <c r="M71" s="10">
        <v>5.2354159999999998</v>
      </c>
      <c r="N71" s="10">
        <v>334.18270000000001</v>
      </c>
      <c r="O71" s="10">
        <v>344.42230000000001</v>
      </c>
      <c r="P71" s="10">
        <v>6.5461450000000001</v>
      </c>
      <c r="Q71" s="10">
        <v>1.66E-2</v>
      </c>
      <c r="R71" s="10">
        <v>3.8116885219999999</v>
      </c>
      <c r="S71" s="10">
        <v>7.5315479979999997</v>
      </c>
      <c r="T71" s="10">
        <v>107.25</v>
      </c>
      <c r="U71" s="10">
        <v>108.75</v>
      </c>
      <c r="V71" s="10">
        <v>107.25</v>
      </c>
      <c r="W71" s="10">
        <v>108.75</v>
      </c>
      <c r="X71" s="4" t="s">
        <v>146</v>
      </c>
      <c r="Y71" s="4" t="s">
        <v>1215</v>
      </c>
      <c r="AA71" s="10">
        <f t="shared" si="4"/>
        <v>2.6179683436178384E-2</v>
      </c>
      <c r="AB71" s="10">
        <f t="shared" si="5"/>
        <v>1.3411032430483076E-2</v>
      </c>
      <c r="AC71" s="10">
        <f t="shared" si="6"/>
        <v>0.63004826138600267</v>
      </c>
      <c r="AD71" s="10">
        <f t="shared" si="7"/>
        <v>0.1362985776184194</v>
      </c>
    </row>
    <row r="72" spans="1:30" x14ac:dyDescent="0.25">
      <c r="A72" s="33" t="s">
        <v>1216</v>
      </c>
      <c r="C72" s="39">
        <v>40847</v>
      </c>
      <c r="D72" s="53" t="s">
        <v>1217</v>
      </c>
      <c r="E72" s="4" t="str">
        <f>VLOOKUP(LEFT(D72,2),Sort!$A$1:$B$58,2,FALSE)</f>
        <v>Brazil</v>
      </c>
      <c r="F72" s="4" t="s">
        <v>1214</v>
      </c>
      <c r="G72" s="18">
        <v>126888898</v>
      </c>
      <c r="H72" s="18">
        <v>138057764.09999999</v>
      </c>
      <c r="I72" s="10">
        <v>6.6546817999999994E-2</v>
      </c>
      <c r="J72" s="10">
        <v>7.8888889999999998</v>
      </c>
      <c r="K72" s="10">
        <v>6.2181699999999998</v>
      </c>
      <c r="L72" s="10">
        <v>5.3050430000000004</v>
      </c>
      <c r="M72" s="10">
        <v>5.3050430000000004</v>
      </c>
      <c r="N72" s="10">
        <v>356.6524</v>
      </c>
      <c r="O72" s="10">
        <v>367.07479999999998</v>
      </c>
      <c r="P72" s="10">
        <v>6.0620190000000003</v>
      </c>
      <c r="Q72" s="10">
        <v>-0.44009999999999999</v>
      </c>
      <c r="R72" s="10">
        <v>3.6039009389999999</v>
      </c>
      <c r="S72" s="10">
        <v>5.7985870090000002</v>
      </c>
      <c r="T72" s="10">
        <v>108</v>
      </c>
      <c r="U72" s="10">
        <v>110</v>
      </c>
      <c r="V72" s="10">
        <v>108</v>
      </c>
      <c r="W72" s="10">
        <v>110</v>
      </c>
      <c r="X72" s="4" t="s">
        <v>146</v>
      </c>
      <c r="Y72" s="4" t="s">
        <v>1218</v>
      </c>
      <c r="AA72" s="10">
        <f t="shared" si="4"/>
        <v>1.8066575798162978E-2</v>
      </c>
      <c r="AB72" s="10">
        <f t="shared" si="5"/>
        <v>1.0164986792521397E-2</v>
      </c>
      <c r="AC72" s="10">
        <f t="shared" si="6"/>
        <v>0.50227784146274457</v>
      </c>
      <c r="AD72" s="10">
        <f t="shared" si="7"/>
        <v>0.10312444794268398</v>
      </c>
    </row>
    <row r="73" spans="1:30" x14ac:dyDescent="0.25">
      <c r="A73" s="33" t="s">
        <v>1219</v>
      </c>
      <c r="C73" s="39">
        <v>40847</v>
      </c>
      <c r="D73" s="53" t="s">
        <v>1220</v>
      </c>
      <c r="E73" s="4" t="str">
        <f>VLOOKUP(LEFT(D73,2),Sort!$A$1:$B$58,2,FALSE)</f>
        <v>Brazil</v>
      </c>
      <c r="F73" s="4" t="s">
        <v>1214</v>
      </c>
      <c r="G73" s="18">
        <v>169185198</v>
      </c>
      <c r="H73" s="18">
        <v>165848490.30000001</v>
      </c>
      <c r="I73" s="10">
        <v>7.9942547000000003E-2</v>
      </c>
      <c r="J73" s="10">
        <v>38.158332999999999</v>
      </c>
      <c r="K73" s="10">
        <v>12.820936</v>
      </c>
      <c r="L73" s="10">
        <v>7.1188159999999998</v>
      </c>
      <c r="M73" s="10">
        <v>7.1188159999999998</v>
      </c>
      <c r="N73" s="10">
        <v>355.43729999999999</v>
      </c>
      <c r="O73" s="10">
        <v>430.7681</v>
      </c>
      <c r="P73" s="10">
        <v>11.924106999999999</v>
      </c>
      <c r="Q73" s="10">
        <v>-0.73970000000000002</v>
      </c>
      <c r="R73" s="10">
        <v>6.2823785870000002</v>
      </c>
      <c r="S73" s="10">
        <v>4.6998298199999997</v>
      </c>
      <c r="T73" s="10">
        <v>97.25</v>
      </c>
      <c r="U73" s="10">
        <v>99.25</v>
      </c>
      <c r="V73" s="10">
        <v>97.25</v>
      </c>
      <c r="W73" s="10">
        <v>99.25</v>
      </c>
      <c r="X73" s="4" t="s">
        <v>146</v>
      </c>
      <c r="Y73" s="4" t="s">
        <v>1221</v>
      </c>
      <c r="AA73" s="10">
        <f t="shared" si="4"/>
        <v>0.10921687057973284</v>
      </c>
      <c r="AB73" s="10">
        <f t="shared" si="5"/>
        <v>3.1822471519659605E-2</v>
      </c>
      <c r="AC73" s="10">
        <f t="shared" si="6"/>
        <v>2.0221474763555132</v>
      </c>
      <c r="AD73" s="10">
        <f t="shared" si="7"/>
        <v>0.34505582030528398</v>
      </c>
    </row>
    <row r="74" spans="1:30" x14ac:dyDescent="0.25">
      <c r="A74" s="33" t="s">
        <v>1222</v>
      </c>
      <c r="C74" s="39">
        <v>40847</v>
      </c>
      <c r="D74" s="53" t="s">
        <v>1223</v>
      </c>
      <c r="E74" s="4" t="str">
        <f>VLOOKUP(LEFT(D74,2),Sort!$A$1:$B$58,2,FALSE)</f>
        <v>Brazil</v>
      </c>
      <c r="F74" s="4" t="s">
        <v>1214</v>
      </c>
      <c r="G74" s="18">
        <v>93051859</v>
      </c>
      <c r="H74" s="18">
        <v>107230636</v>
      </c>
      <c r="I74" s="10">
        <v>5.1687478000000002E-2</v>
      </c>
      <c r="J74" s="10">
        <v>2.1194440000000001</v>
      </c>
      <c r="K74" s="10">
        <v>1.883724</v>
      </c>
      <c r="L74" s="10">
        <v>3.3417870000000001</v>
      </c>
      <c r="M74" s="10">
        <v>3.3417870000000001</v>
      </c>
      <c r="N74" s="10">
        <v>307.66309999999999</v>
      </c>
      <c r="O74" s="10">
        <v>308.77050000000003</v>
      </c>
      <c r="P74" s="10">
        <v>1.8827469999999999</v>
      </c>
      <c r="Q74" s="10">
        <v>0.45950000000000002</v>
      </c>
      <c r="R74" s="10">
        <v>2.1118701990000002</v>
      </c>
      <c r="S74" s="10">
        <v>3.2312534610000001</v>
      </c>
      <c r="T74" s="10">
        <v>111.5</v>
      </c>
      <c r="U74" s="10">
        <v>113</v>
      </c>
      <c r="V74" s="10">
        <v>111.5</v>
      </c>
      <c r="W74" s="10">
        <v>113</v>
      </c>
      <c r="X74" s="4" t="s">
        <v>146</v>
      </c>
      <c r="Y74" s="4" t="s">
        <v>1224</v>
      </c>
      <c r="AA74" s="10">
        <f t="shared" si="4"/>
        <v>1.2309995055214434E-2</v>
      </c>
      <c r="AB74" s="10">
        <f t="shared" si="5"/>
        <v>5.8321728938841638E-3</v>
      </c>
      <c r="AC74" s="10">
        <f t="shared" si="6"/>
        <v>0.32815822636114145</v>
      </c>
      <c r="AD74" s="10">
        <f t="shared" si="7"/>
        <v>8.2282114036618628E-2</v>
      </c>
    </row>
    <row r="75" spans="1:30" x14ac:dyDescent="0.25">
      <c r="A75" s="33" t="s">
        <v>1225</v>
      </c>
      <c r="C75" s="39">
        <v>40847</v>
      </c>
      <c r="D75" s="53" t="s">
        <v>1226</v>
      </c>
      <c r="E75" s="4" t="str">
        <f>VLOOKUP(LEFT(D75,2),Sort!$A$1:$B$58,2,FALSE)</f>
        <v>Brazil</v>
      </c>
      <c r="F75" s="4" t="s">
        <v>1037</v>
      </c>
      <c r="G75" s="18">
        <v>59214819</v>
      </c>
      <c r="H75" s="18">
        <v>61807523.270000003</v>
      </c>
      <c r="I75" s="10">
        <v>2.9792558E-2</v>
      </c>
      <c r="J75" s="10">
        <v>9.1194439999999997</v>
      </c>
      <c r="K75" s="10">
        <v>6.9295949999999999</v>
      </c>
      <c r="L75" s="10">
        <v>5.7503010000000003</v>
      </c>
      <c r="M75" s="10">
        <v>5.7503010000000003</v>
      </c>
      <c r="N75" s="10">
        <v>378.12580000000003</v>
      </c>
      <c r="O75" s="10">
        <v>389.20339999999999</v>
      </c>
      <c r="P75" s="10">
        <v>6.7173100000000003</v>
      </c>
      <c r="Q75" s="10">
        <v>1.66E-2</v>
      </c>
      <c r="R75" s="10">
        <v>3.199559051</v>
      </c>
      <c r="S75" s="10">
        <v>6.8078994279999998</v>
      </c>
      <c r="T75" s="10">
        <v>102</v>
      </c>
      <c r="U75" s="10">
        <v>103.5</v>
      </c>
      <c r="V75" s="10">
        <v>102</v>
      </c>
      <c r="W75" s="10">
        <v>103.5</v>
      </c>
      <c r="X75" s="4" t="s">
        <v>146</v>
      </c>
      <c r="Y75" s="4" t="s">
        <v>1227</v>
      </c>
      <c r="AA75" s="10">
        <f t="shared" si="4"/>
        <v>9.0136691865899832E-3</v>
      </c>
      <c r="AB75" s="10">
        <f t="shared" si="5"/>
        <v>4.9327487390780972E-3</v>
      </c>
      <c r="AC75" s="10">
        <f t="shared" si="6"/>
        <v>0.23842213870567258</v>
      </c>
      <c r="AD75" s="10">
        <f t="shared" si="7"/>
        <v>4.3439999020345905E-2</v>
      </c>
    </row>
    <row r="76" spans="1:30" x14ac:dyDescent="0.25">
      <c r="A76" s="33" t="s">
        <v>1228</v>
      </c>
      <c r="C76" s="39">
        <v>40847</v>
      </c>
      <c r="D76" s="53" t="s">
        <v>1229</v>
      </c>
      <c r="E76" s="4" t="str">
        <f>VLOOKUP(LEFT(D76,2),Sort!$A$1:$B$58,2,FALSE)</f>
        <v>Brazil</v>
      </c>
      <c r="F76" s="4" t="s">
        <v>1014</v>
      </c>
      <c r="G76" s="18">
        <v>67674079</v>
      </c>
      <c r="H76" s="18">
        <v>73283508.290000007</v>
      </c>
      <c r="I76" s="10">
        <v>3.5324230999999998E-2</v>
      </c>
      <c r="J76" s="10">
        <v>5.2444439999999997</v>
      </c>
      <c r="K76" s="10">
        <v>4.3781509999999999</v>
      </c>
      <c r="L76" s="10">
        <v>5.1285119999999997</v>
      </c>
      <c r="M76" s="10">
        <v>5.1285119999999997</v>
      </c>
      <c r="N76" s="10">
        <v>407.35230000000001</v>
      </c>
      <c r="O76" s="10">
        <v>413.7937</v>
      </c>
      <c r="P76" s="10">
        <v>4.3249139999999997</v>
      </c>
      <c r="Q76" s="10">
        <v>1.7999999999999999E-2</v>
      </c>
      <c r="R76" s="10">
        <v>5.3963454239999997</v>
      </c>
      <c r="S76" s="10">
        <v>5.9356740200000004</v>
      </c>
      <c r="T76" s="10">
        <v>106.5</v>
      </c>
      <c r="U76" s="10">
        <v>108.5</v>
      </c>
      <c r="V76" s="10">
        <v>106.5</v>
      </c>
      <c r="W76" s="10">
        <v>108.5</v>
      </c>
      <c r="X76" s="4" t="s">
        <v>146</v>
      </c>
      <c r="Y76" s="4" t="s">
        <v>1230</v>
      </c>
      <c r="AA76" s="10">
        <f t="shared" si="4"/>
        <v>6.9874545901699317E-3</v>
      </c>
      <c r="AB76" s="10">
        <f t="shared" si="5"/>
        <v>5.2162056215098764E-3</v>
      </c>
      <c r="AC76" s="10">
        <f t="shared" si="6"/>
        <v>0.8583173567859802</v>
      </c>
      <c r="AD76" s="10">
        <f t="shared" si="7"/>
        <v>5.3993826442527287E-2</v>
      </c>
    </row>
    <row r="77" spans="1:30" x14ac:dyDescent="0.25">
      <c r="A77" s="33" t="s">
        <v>1231</v>
      </c>
      <c r="C77" s="39">
        <v>40847</v>
      </c>
      <c r="D77" s="53" t="s">
        <v>1232</v>
      </c>
      <c r="E77" s="4" t="str">
        <f>VLOOKUP(LEFT(D77,2),Sort!$A$1:$B$58,2,FALSE)</f>
        <v>Brazil</v>
      </c>
      <c r="F77" s="4" t="s">
        <v>1014</v>
      </c>
      <c r="G77" s="18">
        <v>84592599</v>
      </c>
      <c r="H77" s="18">
        <v>86298550.030000001</v>
      </c>
      <c r="I77" s="10">
        <v>4.1597760999999997E-2</v>
      </c>
      <c r="J77" s="10">
        <v>38.005555999999999</v>
      </c>
      <c r="K77" s="10">
        <v>11.136263</v>
      </c>
      <c r="L77" s="10">
        <v>8.2045720000000006</v>
      </c>
      <c r="M77" s="10">
        <v>8.2045720000000006</v>
      </c>
      <c r="N77" s="10">
        <v>464.78899999999999</v>
      </c>
      <c r="O77" s="10">
        <v>549.93240000000003</v>
      </c>
      <c r="P77" s="10">
        <v>10.404780000000001</v>
      </c>
      <c r="Q77" s="10">
        <v>2.2499999999999999E-2</v>
      </c>
      <c r="R77" s="10">
        <v>6.9637399489999998</v>
      </c>
      <c r="S77" s="10">
        <v>5.7795035659999998</v>
      </c>
      <c r="T77" s="10">
        <v>100</v>
      </c>
      <c r="U77" s="10">
        <v>101.5</v>
      </c>
      <c r="V77" s="10">
        <v>100</v>
      </c>
      <c r="W77" s="10">
        <v>101.5</v>
      </c>
      <c r="X77" s="4" t="s">
        <v>146</v>
      </c>
      <c r="Y77" s="4" t="s">
        <v>1233</v>
      </c>
      <c r="AA77" s="10">
        <f t="shared" si="4"/>
        <v>4.9362989274183408E-2</v>
      </c>
      <c r="AB77" s="10">
        <f t="shared" si="5"/>
        <v>4.2675726027196638E-2</v>
      </c>
      <c r="AC77" s="10">
        <f t="shared" si="6"/>
        <v>1.3432924532975592</v>
      </c>
      <c r="AD77" s="10">
        <f t="shared" si="7"/>
        <v>5.948091724132102E-2</v>
      </c>
    </row>
    <row r="78" spans="1:30" x14ac:dyDescent="0.25">
      <c r="A78" s="33" t="s">
        <v>1234</v>
      </c>
      <c r="C78" s="39">
        <v>40847</v>
      </c>
      <c r="D78" s="53" t="s">
        <v>1235</v>
      </c>
      <c r="E78" s="4" t="str">
        <f>VLOOKUP(LEFT(D78,2),Sort!$A$1:$B$58,2,FALSE)</f>
        <v>Brazil</v>
      </c>
      <c r="F78" s="4" t="s">
        <v>1037</v>
      </c>
      <c r="G78" s="18">
        <v>169185198</v>
      </c>
      <c r="H78" s="18">
        <v>194184073.90000001</v>
      </c>
      <c r="I78" s="10">
        <v>9.3600908999999996E-2</v>
      </c>
      <c r="J78" s="10">
        <v>7.7416669999999996</v>
      </c>
      <c r="K78" s="10">
        <v>6.13408</v>
      </c>
      <c r="L78" s="10">
        <v>4.623958</v>
      </c>
      <c r="M78" s="10">
        <v>4.623958</v>
      </c>
      <c r="N78" s="10">
        <v>291.30189999999999</v>
      </c>
      <c r="O78" s="10">
        <v>301.42020000000002</v>
      </c>
      <c r="P78" s="10">
        <v>5.9854459999999996</v>
      </c>
      <c r="Q78" s="10">
        <v>-0.41720000000000002</v>
      </c>
      <c r="R78" s="10">
        <v>1.8047701890000001</v>
      </c>
      <c r="S78" s="10">
        <v>5.534778964</v>
      </c>
      <c r="T78" s="10">
        <v>113</v>
      </c>
      <c r="U78" s="10">
        <v>114.5</v>
      </c>
      <c r="V78" s="10">
        <v>113</v>
      </c>
      <c r="W78" s="10">
        <v>114.5</v>
      </c>
      <c r="X78" s="4" t="s">
        <v>146</v>
      </c>
      <c r="Y78" s="4" t="s">
        <v>1236</v>
      </c>
      <c r="AA78" s="10">
        <f t="shared" si="4"/>
        <v>2.5067756338554389E-2</v>
      </c>
      <c r="AB78" s="10">
        <f t="shared" si="5"/>
        <v>1.2461908654709199E-2</v>
      </c>
      <c r="AC78" s="10">
        <f t="shared" si="6"/>
        <v>0.5801156405227792</v>
      </c>
      <c r="AD78" s="10">
        <f t="shared" si="7"/>
        <v>0.1509827080886334</v>
      </c>
    </row>
    <row r="79" spans="1:30" x14ac:dyDescent="0.25">
      <c r="A79" s="33" t="s">
        <v>1237</v>
      </c>
      <c r="C79" s="39">
        <v>40847</v>
      </c>
      <c r="D79" s="53" t="s">
        <v>1238</v>
      </c>
      <c r="E79" s="4" t="str">
        <f>VLOOKUP(LEFT(D79,2),Sort!$A$1:$B$58,2,FALSE)</f>
        <v>Brazil</v>
      </c>
      <c r="F79" s="4" t="s">
        <v>1037</v>
      </c>
      <c r="G79" s="18">
        <v>50755559</v>
      </c>
      <c r="H79" s="18">
        <v>59279320.689999998</v>
      </c>
      <c r="I79" s="10">
        <v>2.8573910000000001E-2</v>
      </c>
      <c r="J79" s="10">
        <v>4.0750000000000002</v>
      </c>
      <c r="K79" s="10">
        <v>3.4624679999999999</v>
      </c>
      <c r="L79" s="10">
        <v>3.7454459999999998</v>
      </c>
      <c r="M79" s="10">
        <v>3.7454459999999998</v>
      </c>
      <c r="N79" s="10">
        <v>303.25459999999998</v>
      </c>
      <c r="O79" s="10">
        <v>308.61529999999999</v>
      </c>
      <c r="P79" s="10">
        <v>3.4443169999999999</v>
      </c>
      <c r="Q79" s="10">
        <v>-0.19520000000000001</v>
      </c>
      <c r="R79" s="10">
        <v>1.611938587</v>
      </c>
      <c r="S79" s="10">
        <v>3.1481209730000002</v>
      </c>
      <c r="T79" s="10">
        <v>113.5</v>
      </c>
      <c r="U79" s="10">
        <v>115</v>
      </c>
      <c r="V79" s="10">
        <v>113.5</v>
      </c>
      <c r="W79" s="10">
        <v>115</v>
      </c>
      <c r="X79" s="4" t="s">
        <v>146</v>
      </c>
      <c r="Y79" s="4" t="s">
        <v>1239</v>
      </c>
      <c r="AA79" s="10">
        <f t="shared" si="4"/>
        <v>2.8019996037228329E-3</v>
      </c>
      <c r="AB79" s="10">
        <f t="shared" si="5"/>
        <v>3.6135952046567167E-3</v>
      </c>
      <c r="AC79" s="10">
        <f t="shared" si="6"/>
        <v>0.18132149201002329</v>
      </c>
      <c r="AD79" s="10">
        <f t="shared" si="7"/>
        <v>4.6292344298378106E-2</v>
      </c>
    </row>
    <row r="80" spans="1:30" x14ac:dyDescent="0.25">
      <c r="A80" s="33" t="s">
        <v>1240</v>
      </c>
      <c r="C80" s="39">
        <v>40847</v>
      </c>
      <c r="D80" s="53" t="s">
        <v>1241</v>
      </c>
      <c r="E80" s="4" t="str">
        <f>VLOOKUP(LEFT(D80,2),Sort!$A$1:$B$58,2,FALSE)</f>
        <v>Brazil</v>
      </c>
      <c r="F80" s="4" t="s">
        <v>1014</v>
      </c>
      <c r="G80" s="18">
        <v>63664390</v>
      </c>
      <c r="H80" s="18">
        <v>70669462.409999996</v>
      </c>
      <c r="I80" s="10">
        <v>3.4064204000000001E-2</v>
      </c>
      <c r="J80" s="10">
        <v>5.2249999999999996</v>
      </c>
      <c r="K80" s="10">
        <v>4.4561130000000002</v>
      </c>
      <c r="L80" s="10">
        <v>3.968105</v>
      </c>
      <c r="M80" s="10">
        <v>3.968105</v>
      </c>
      <c r="N80" s="10">
        <v>291.88420000000002</v>
      </c>
      <c r="O80" s="10">
        <v>297.61869999999999</v>
      </c>
      <c r="P80" s="10">
        <v>4.404452</v>
      </c>
      <c r="Q80" s="10">
        <v>1.6E-2</v>
      </c>
      <c r="R80" s="10">
        <v>1.597907923</v>
      </c>
      <c r="S80" s="10">
        <v>8.8336962379999999</v>
      </c>
      <c r="T80" s="10">
        <v>109.25</v>
      </c>
      <c r="U80" s="10">
        <v>111.25</v>
      </c>
      <c r="V80" s="10">
        <v>109.25</v>
      </c>
      <c r="W80" s="10">
        <v>111.25</v>
      </c>
      <c r="X80" s="4" t="s">
        <v>146</v>
      </c>
      <c r="Y80" s="4" t="s">
        <v>1242</v>
      </c>
      <c r="AA80" s="10">
        <f t="shared" si="4"/>
        <v>6.8581975900255249E-3</v>
      </c>
      <c r="AB80" s="10">
        <f t="shared" si="5"/>
        <v>4.5640215473622013E-3</v>
      </c>
      <c r="AC80" s="10">
        <f t="shared" si="6"/>
        <v>0.20845898353962966</v>
      </c>
      <c r="AD80" s="10">
        <f t="shared" si="7"/>
        <v>5.3387541645424447E-2</v>
      </c>
    </row>
    <row r="81" spans="1:30" x14ac:dyDescent="0.25">
      <c r="A81" s="33" t="s">
        <v>1243</v>
      </c>
      <c r="C81" s="39">
        <v>40847</v>
      </c>
      <c r="D81" s="53" t="s">
        <v>1244</v>
      </c>
      <c r="E81" s="4" t="str">
        <f>VLOOKUP(LEFT(D81,2),Sort!$A$1:$B$58,2,FALSE)</f>
        <v>Brazil</v>
      </c>
      <c r="F81" s="4" t="s">
        <v>1014</v>
      </c>
      <c r="G81" s="18">
        <v>84592599</v>
      </c>
      <c r="H81" s="18">
        <v>92791912.609999999</v>
      </c>
      <c r="I81" s="10">
        <v>4.4727702000000001E-2</v>
      </c>
      <c r="J81" s="10">
        <v>8.1999999999999993</v>
      </c>
      <c r="K81" s="10">
        <v>6.5713949999999999</v>
      </c>
      <c r="L81" s="10">
        <v>4.7057640000000003</v>
      </c>
      <c r="M81" s="10">
        <v>4.7057640000000003</v>
      </c>
      <c r="N81" s="10">
        <v>290.89640000000003</v>
      </c>
      <c r="O81" s="10">
        <v>299.78530000000001</v>
      </c>
      <c r="P81" s="10">
        <v>6.3946540000000001</v>
      </c>
      <c r="Q81" s="10">
        <v>1.61E-2</v>
      </c>
      <c r="R81" s="10">
        <v>2.1009977520000001</v>
      </c>
      <c r="S81" s="10">
        <v>8.6543141380000002</v>
      </c>
      <c r="T81" s="10">
        <v>109.25</v>
      </c>
      <c r="U81" s="10">
        <v>111.25</v>
      </c>
      <c r="V81" s="10">
        <v>109.25</v>
      </c>
      <c r="W81" s="10">
        <v>111.25</v>
      </c>
      <c r="X81" s="4" t="s">
        <v>146</v>
      </c>
      <c r="Y81" s="4" t="s">
        <v>1245</v>
      </c>
      <c r="AA81" s="10">
        <f t="shared" si="4"/>
        <v>1.283276142065275E-2</v>
      </c>
      <c r="AB81" s="10">
        <f t="shared" si="5"/>
        <v>6.0603449436850828E-3</v>
      </c>
      <c r="AC81" s="10">
        <f t="shared" si="6"/>
        <v>0.27570781255661247</v>
      </c>
      <c r="AD81" s="10">
        <f t="shared" si="7"/>
        <v>7.0100039393025865E-2</v>
      </c>
    </row>
    <row r="82" spans="1:30" x14ac:dyDescent="0.25">
      <c r="A82" s="33" t="s">
        <v>1246</v>
      </c>
      <c r="C82" s="39">
        <v>40847</v>
      </c>
      <c r="D82" s="53" t="s">
        <v>1247</v>
      </c>
      <c r="E82" s="4" t="str">
        <f>VLOOKUP(LEFT(D82,2),Sort!$A$1:$B$58,2,FALSE)</f>
        <v>Brazil</v>
      </c>
      <c r="F82" s="4" t="s">
        <v>1014</v>
      </c>
      <c r="G82" s="18">
        <v>126888898</v>
      </c>
      <c r="H82" s="18">
        <v>126413064.59999999</v>
      </c>
      <c r="I82" s="10">
        <v>6.0933821999999999E-2</v>
      </c>
      <c r="J82" s="10">
        <v>9.3333329999999997</v>
      </c>
      <c r="K82" s="10">
        <v>6.9074010000000001</v>
      </c>
      <c r="L82" s="10">
        <v>6.8214610000000002</v>
      </c>
      <c r="M82" s="10">
        <v>6.8214610000000002</v>
      </c>
      <c r="N82" s="10">
        <v>481.23500000000001</v>
      </c>
      <c r="O82" s="10">
        <v>495.50029999999998</v>
      </c>
      <c r="P82" s="10">
        <v>6.6949059999999996</v>
      </c>
      <c r="Q82" s="10">
        <v>-0.48070000000000002</v>
      </c>
      <c r="R82" s="10">
        <v>9.6587768169999997</v>
      </c>
      <c r="S82" s="10">
        <v>1.511348058</v>
      </c>
      <c r="T82" s="10">
        <v>98.5</v>
      </c>
      <c r="U82" s="10">
        <v>99.5</v>
      </c>
      <c r="V82" s="10">
        <v>98.5</v>
      </c>
      <c r="W82" s="10">
        <v>99.5</v>
      </c>
      <c r="X82" s="4" t="s">
        <v>146</v>
      </c>
      <c r="Y82" s="4" t="s">
        <v>1248</v>
      </c>
      <c r="AA82" s="10">
        <f t="shared" si="4"/>
        <v>1.8376341365207591E-2</v>
      </c>
      <c r="AB82" s="10">
        <f t="shared" si="5"/>
        <v>2.3242560843504907E-2</v>
      </c>
      <c r="AC82" s="10">
        <f t="shared" si="6"/>
        <v>1.7729384153668892</v>
      </c>
      <c r="AD82" s="10">
        <f t="shared" si="7"/>
        <v>0.26367099622183432</v>
      </c>
    </row>
    <row r="83" spans="1:30" x14ac:dyDescent="0.25">
      <c r="A83" s="33" t="s">
        <v>1249</v>
      </c>
      <c r="C83" s="39">
        <v>40847</v>
      </c>
      <c r="D83" s="53" t="s">
        <v>1250</v>
      </c>
      <c r="E83" s="4" t="str">
        <f>VLOOKUP(LEFT(D83,2),Sort!$A$1:$B$58,2,FALSE)</f>
        <v>Brazil</v>
      </c>
      <c r="F83" s="4" t="s">
        <v>1014</v>
      </c>
      <c r="G83" s="18">
        <v>316444332</v>
      </c>
      <c r="H83" s="18">
        <v>331409512.89999998</v>
      </c>
      <c r="I83" s="10">
        <v>0.159746529</v>
      </c>
      <c r="J83" s="10">
        <v>8.5027779999999993</v>
      </c>
      <c r="K83" s="10">
        <v>6.1333820000000001</v>
      </c>
      <c r="L83" s="10">
        <v>7.1815720000000001</v>
      </c>
      <c r="M83" s="10">
        <v>7.1815720000000001</v>
      </c>
      <c r="N83" s="10">
        <v>532.80520000000001</v>
      </c>
      <c r="O83" s="10">
        <v>546.34760000000006</v>
      </c>
      <c r="P83" s="10">
        <v>5.9665879999999998</v>
      </c>
      <c r="Q83" s="10">
        <v>-1.2765</v>
      </c>
      <c r="R83" s="10">
        <v>7.806133193</v>
      </c>
      <c r="S83" s="10">
        <v>1.9089434089999999</v>
      </c>
      <c r="T83" s="10">
        <v>101</v>
      </c>
      <c r="U83" s="10">
        <v>102</v>
      </c>
      <c r="V83" s="10">
        <v>101</v>
      </c>
      <c r="W83" s="10">
        <v>102</v>
      </c>
      <c r="X83" s="4" t="s">
        <v>146</v>
      </c>
      <c r="Y83" s="4" t="s">
        <v>1251</v>
      </c>
      <c r="AA83" s="10">
        <f t="shared" si="4"/>
        <v>4.2777697544052841E-2</v>
      </c>
      <c r="AB83" s="10">
        <f t="shared" si="5"/>
        <v>6.4150361106965148E-2</v>
      </c>
      <c r="AC83" s="10">
        <f t="shared" si="6"/>
        <v>5.124975323082869</v>
      </c>
      <c r="AD83" s="10">
        <f t="shared" si="7"/>
        <v>0.22954786517496048</v>
      </c>
    </row>
    <row r="84" spans="1:30" x14ac:dyDescent="0.25">
      <c r="A84" s="33" t="s">
        <v>1252</v>
      </c>
      <c r="C84" s="39">
        <v>40847</v>
      </c>
      <c r="D84" s="53" t="s">
        <v>1253</v>
      </c>
      <c r="E84" s="4" t="str">
        <f>VLOOKUP(LEFT(D84,2),Sort!$A$1:$B$58,2,FALSE)</f>
        <v>Brazil</v>
      </c>
      <c r="F84" s="4" t="s">
        <v>1059</v>
      </c>
      <c r="G84" s="18">
        <v>50755559</v>
      </c>
      <c r="H84" s="18">
        <v>52073088.549999997</v>
      </c>
      <c r="I84" s="10">
        <v>2.5100351E-2</v>
      </c>
      <c r="J84" s="10">
        <v>4.7527780000000002</v>
      </c>
      <c r="K84" s="10">
        <v>3.6237050000000002</v>
      </c>
      <c r="L84" s="10">
        <v>9.9530689999999993</v>
      </c>
      <c r="M84" s="10">
        <v>9.9530689999999993</v>
      </c>
      <c r="N84" s="10">
        <v>904.22580000000005</v>
      </c>
      <c r="O84" s="10">
        <v>913.46010000000001</v>
      </c>
      <c r="P84" s="10">
        <v>3.5933419999999998</v>
      </c>
      <c r="Q84" s="10">
        <v>2.8400000000000002E-2</v>
      </c>
      <c r="R84" s="10">
        <v>7.1170657899999998</v>
      </c>
      <c r="S84" s="10">
        <v>-0.30030035500000002</v>
      </c>
      <c r="T84" s="10">
        <v>100</v>
      </c>
      <c r="U84" s="10">
        <v>102</v>
      </c>
      <c r="V84" s="10">
        <v>100</v>
      </c>
      <c r="W84" s="10">
        <v>102</v>
      </c>
      <c r="X84" s="4" t="s">
        <v>146</v>
      </c>
      <c r="Y84" s="4" t="s">
        <v>1254</v>
      </c>
      <c r="AA84" s="10">
        <f t="shared" si="4"/>
        <v>2.575996421778374E-3</v>
      </c>
      <c r="AB84" s="10">
        <f t="shared" si="5"/>
        <v>3.1238620059056206E-2</v>
      </c>
      <c r="AC84" s="10">
        <f t="shared" si="6"/>
        <v>4.4096276496104432</v>
      </c>
      <c r="AD84" s="10">
        <f t="shared" si="7"/>
        <v>3.6067963786320087E-2</v>
      </c>
    </row>
    <row r="85" spans="1:30" x14ac:dyDescent="0.25">
      <c r="A85" s="33" t="s">
        <v>1255</v>
      </c>
      <c r="C85" s="39">
        <v>40847</v>
      </c>
      <c r="D85" s="53" t="s">
        <v>1256</v>
      </c>
      <c r="E85" s="4" t="str">
        <f>VLOOKUP(LEFT(D85,2),Sort!$A$1:$B$58,2,FALSE)</f>
        <v>Brazil</v>
      </c>
      <c r="F85" s="4" t="s">
        <v>1059</v>
      </c>
      <c r="G85" s="18">
        <v>152266678</v>
      </c>
      <c r="H85" s="18">
        <v>142604088.90000001</v>
      </c>
      <c r="I85" s="10">
        <v>6.8738245000000003E-2</v>
      </c>
      <c r="J85" s="10">
        <v>6.2388890000000004</v>
      </c>
      <c r="K85" s="10">
        <v>4.6716660000000001</v>
      </c>
      <c r="L85" s="10">
        <v>9.7694790000000005</v>
      </c>
      <c r="M85" s="10">
        <v>9.7694790000000005</v>
      </c>
      <c r="N85" s="10">
        <v>842.1626</v>
      </c>
      <c r="O85" s="10">
        <v>853.45780000000002</v>
      </c>
      <c r="P85" s="10">
        <v>4.5942730000000003</v>
      </c>
      <c r="Q85" s="10">
        <v>-0.50680000000000003</v>
      </c>
      <c r="R85" s="10">
        <v>12.14389166</v>
      </c>
      <c r="S85" s="10">
        <v>-2.4757566350000002</v>
      </c>
      <c r="T85" s="10">
        <v>91.5</v>
      </c>
      <c r="U85" s="10">
        <v>93</v>
      </c>
      <c r="V85" s="10">
        <v>91.5</v>
      </c>
      <c r="W85" s="10">
        <v>93</v>
      </c>
      <c r="X85" s="4" t="s">
        <v>146</v>
      </c>
      <c r="Y85" s="4" t="s">
        <v>1257</v>
      </c>
      <c r="AA85" s="10">
        <f t="shared" si="4"/>
        <v>1.4508608906940909E-2</v>
      </c>
      <c r="AB85" s="10">
        <f t="shared" si="5"/>
        <v>8.3970138766987959E-2</v>
      </c>
      <c r="AC85" s="10">
        <f t="shared" si="6"/>
        <v>11.282699719422869</v>
      </c>
      <c r="AD85" s="10">
        <f t="shared" si="7"/>
        <v>0.27801117047552648</v>
      </c>
    </row>
    <row r="86" spans="1:30" x14ac:dyDescent="0.25">
      <c r="A86" s="33" t="s">
        <v>1258</v>
      </c>
      <c r="C86" s="39">
        <v>40847</v>
      </c>
      <c r="D86" s="53" t="s">
        <v>1259</v>
      </c>
      <c r="E86" s="4" t="str">
        <f>VLOOKUP(LEFT(D86,2),Sort!$A$1:$B$58,2,FALSE)</f>
        <v>Brazil</v>
      </c>
      <c r="F86" s="4" t="s">
        <v>1214</v>
      </c>
      <c r="G86" s="18">
        <v>211481497</v>
      </c>
      <c r="H86" s="18">
        <v>209864545.40000001</v>
      </c>
      <c r="I86" s="10">
        <v>0.101159235</v>
      </c>
      <c r="J86" s="10">
        <v>9.2444439999999997</v>
      </c>
      <c r="K86" s="10">
        <v>7.1450110000000002</v>
      </c>
      <c r="L86" s="10">
        <v>5.8547669999999998</v>
      </c>
      <c r="M86" s="10">
        <v>5.8547669999999998</v>
      </c>
      <c r="N86" s="10">
        <v>386.23079999999999</v>
      </c>
      <c r="O86" s="10">
        <v>396.57499999999999</v>
      </c>
      <c r="P86" s="10">
        <v>6.920363</v>
      </c>
      <c r="Q86" s="10">
        <v>-0.9819</v>
      </c>
      <c r="R86" s="10">
        <v>3.8698904089999999</v>
      </c>
      <c r="S86" s="10">
        <v>2.9355439090000002</v>
      </c>
      <c r="T86" s="10">
        <v>97.75</v>
      </c>
      <c r="U86" s="10">
        <v>99.25</v>
      </c>
      <c r="V86" s="10">
        <v>97.75</v>
      </c>
      <c r="W86" s="10">
        <v>99.25</v>
      </c>
      <c r="X86" s="4" t="s">
        <v>146</v>
      </c>
      <c r="Y86" s="4" t="s">
        <v>1260</v>
      </c>
      <c r="AA86" s="10">
        <f t="shared" si="4"/>
        <v>3.1556904637345728E-2</v>
      </c>
      <c r="AB86" s="10">
        <f t="shared" si="5"/>
        <v>1.7053195304716721E-2</v>
      </c>
      <c r="AC86" s="10">
        <f t="shared" si="6"/>
        <v>0.82488426744706445</v>
      </c>
      <c r="AD86" s="10">
        <f t="shared" si="7"/>
        <v>0.43663335575139994</v>
      </c>
    </row>
    <row r="87" spans="1:30" x14ac:dyDescent="0.25">
      <c r="A87" s="33" t="s">
        <v>1261</v>
      </c>
      <c r="C87" s="39">
        <v>40847</v>
      </c>
      <c r="D87" s="53" t="s">
        <v>1262</v>
      </c>
      <c r="E87" s="4" t="str">
        <f>VLOOKUP(LEFT(D87,2),Sort!$A$1:$B$58,2,FALSE)</f>
        <v>Brazil</v>
      </c>
      <c r="F87" s="4" t="s">
        <v>1214</v>
      </c>
      <c r="G87" s="18">
        <v>253777796</v>
      </c>
      <c r="H87" s="18">
        <v>273475536.19999999</v>
      </c>
      <c r="I87" s="10">
        <v>0.131821103</v>
      </c>
      <c r="J87" s="10">
        <v>5.963889</v>
      </c>
      <c r="K87" s="10">
        <v>4.9139030000000004</v>
      </c>
      <c r="L87" s="10">
        <v>5.4608829999999999</v>
      </c>
      <c r="M87" s="10">
        <v>5.4608829999999999</v>
      </c>
      <c r="N87" s="10">
        <v>419.40179999999998</v>
      </c>
      <c r="O87" s="10">
        <v>427.07150000000001</v>
      </c>
      <c r="P87" s="10">
        <v>4.8386310000000003</v>
      </c>
      <c r="Q87" s="10">
        <v>-0.67269999999999996</v>
      </c>
      <c r="R87" s="10">
        <v>4.0690361570000002</v>
      </c>
      <c r="S87" s="10">
        <v>3.1583244970000002</v>
      </c>
      <c r="T87" s="10">
        <v>107.5</v>
      </c>
      <c r="U87" s="10">
        <v>109</v>
      </c>
      <c r="V87" s="10">
        <v>107.5</v>
      </c>
      <c r="W87" s="10">
        <v>109</v>
      </c>
      <c r="X87" s="4" t="s">
        <v>146</v>
      </c>
      <c r="Y87" s="4" t="s">
        <v>1263</v>
      </c>
      <c r="AA87" s="10">
        <f t="shared" si="4"/>
        <v>2.9266249600495592E-2</v>
      </c>
      <c r="AB87" s="10">
        <f t="shared" si="5"/>
        <v>2.0727094577059939E-2</v>
      </c>
      <c r="AC87" s="10">
        <f t="shared" si="6"/>
        <v>3.3058020255538074</v>
      </c>
      <c r="AD87" s="10">
        <f t="shared" si="7"/>
        <v>0.20241984893741627</v>
      </c>
    </row>
    <row r="88" spans="1:30" x14ac:dyDescent="0.25">
      <c r="A88" s="33" t="s">
        <v>1264</v>
      </c>
      <c r="C88" s="39">
        <v>40847</v>
      </c>
      <c r="D88" s="53" t="s">
        <v>1265</v>
      </c>
      <c r="E88" s="4" t="str">
        <f>VLOOKUP(LEFT(D88,2),Sort!$A$1:$B$58,2,FALSE)</f>
        <v>Brazil</v>
      </c>
      <c r="F88" s="4" t="s">
        <v>1214</v>
      </c>
      <c r="G88" s="18">
        <v>211481497</v>
      </c>
      <c r="H88" s="18">
        <v>230520706.69999999</v>
      </c>
      <c r="I88" s="10">
        <v>0.11111595</v>
      </c>
      <c r="J88" s="10">
        <v>8.2166669999999993</v>
      </c>
      <c r="K88" s="10">
        <v>6.3018349999999996</v>
      </c>
      <c r="L88" s="10">
        <v>5.6884119999999996</v>
      </c>
      <c r="M88" s="10">
        <v>5.6884119999999996</v>
      </c>
      <c r="N88" s="10">
        <v>388.84899999999999</v>
      </c>
      <c r="O88" s="10">
        <v>399.79969999999997</v>
      </c>
      <c r="P88" s="10">
        <v>6.1345210000000003</v>
      </c>
      <c r="Q88" s="10">
        <v>-0.66579999999999995</v>
      </c>
      <c r="R88" s="10">
        <v>4.1013401680000001</v>
      </c>
      <c r="S88" s="10">
        <v>3.1361549869999998</v>
      </c>
      <c r="T88" s="10">
        <v>107</v>
      </c>
      <c r="U88" s="10">
        <v>108.5</v>
      </c>
      <c r="V88" s="10">
        <v>107</v>
      </c>
      <c r="W88" s="10">
        <v>108.5</v>
      </c>
      <c r="X88" s="4" t="s">
        <v>146</v>
      </c>
      <c r="Y88" s="4" t="s">
        <v>1266</v>
      </c>
      <c r="AA88" s="10">
        <f t="shared" si="4"/>
        <v>3.0572389996539894E-2</v>
      </c>
      <c r="AB88" s="10">
        <f t="shared" si="5"/>
        <v>1.8199441512335671E-2</v>
      </c>
      <c r="AC88" s="10">
        <f t="shared" si="6"/>
        <v>0.91344208934755233</v>
      </c>
      <c r="AD88" s="10">
        <f t="shared" si="7"/>
        <v>0.16984305636288655</v>
      </c>
    </row>
    <row r="89" spans="1:30" x14ac:dyDescent="0.25">
      <c r="A89" s="33" t="s">
        <v>1267</v>
      </c>
      <c r="C89" s="39">
        <v>40847</v>
      </c>
      <c r="D89" s="53" t="s">
        <v>1268</v>
      </c>
      <c r="E89" s="4" t="str">
        <f>VLOOKUP(LEFT(D89,2),Sort!$A$1:$B$58,2,FALSE)</f>
        <v>Brazil</v>
      </c>
      <c r="F89" s="4" t="s">
        <v>1081</v>
      </c>
      <c r="G89" s="18">
        <v>54985189</v>
      </c>
      <c r="H89" s="18">
        <v>57033768.890000001</v>
      </c>
      <c r="I89" s="10">
        <v>2.7491505999999999E-2</v>
      </c>
      <c r="J89" s="10">
        <v>37.713889000000002</v>
      </c>
      <c r="K89" s="10">
        <v>12.210171000000001</v>
      </c>
      <c r="L89" s="10">
        <v>8.1461659999999991</v>
      </c>
      <c r="M89" s="10">
        <v>8.1461659999999991</v>
      </c>
      <c r="N89" s="10">
        <v>460.43</v>
      </c>
      <c r="O89" s="10">
        <v>541.33219999999994</v>
      </c>
      <c r="P89" s="10">
        <v>11.401816999999999</v>
      </c>
      <c r="Q89" s="10">
        <v>1.67E-2</v>
      </c>
      <c r="R89" s="10">
        <v>1.925923227</v>
      </c>
      <c r="S89" s="10">
        <v>3.0456671100000001</v>
      </c>
      <c r="T89" s="10">
        <v>103.5</v>
      </c>
      <c r="U89" s="10">
        <v>105.5</v>
      </c>
      <c r="V89" s="10">
        <v>103.5</v>
      </c>
      <c r="W89" s="10">
        <v>105.5</v>
      </c>
      <c r="X89" s="4" t="s">
        <v>146</v>
      </c>
      <c r="Y89" s="4" t="s">
        <v>1269</v>
      </c>
      <c r="AA89" s="10">
        <f t="shared" si="4"/>
        <v>3.5769452376877529E-2</v>
      </c>
      <c r="AB89" s="10">
        <f t="shared" si="5"/>
        <v>2.800314544998327E-2</v>
      </c>
      <c r="AC89" s="10">
        <f t="shared" si="6"/>
        <v>0.87388382504656992</v>
      </c>
      <c r="AD89" s="10">
        <f t="shared" si="7"/>
        <v>4.0859462292473239E-2</v>
      </c>
    </row>
    <row r="90" spans="1:30" x14ac:dyDescent="0.25">
      <c r="A90" s="33" t="s">
        <v>1270</v>
      </c>
      <c r="C90" s="39">
        <v>40847</v>
      </c>
      <c r="D90" s="53" t="s">
        <v>1271</v>
      </c>
      <c r="E90" s="4" t="str">
        <f>VLOOKUP(LEFT(D90,2),Sort!$A$1:$B$58,2,FALSE)</f>
        <v>Brazil</v>
      </c>
      <c r="F90" s="4" t="s">
        <v>1014</v>
      </c>
      <c r="G90" s="18">
        <v>50755559</v>
      </c>
      <c r="H90" s="18">
        <v>47403929.869999997</v>
      </c>
      <c r="I90" s="10">
        <v>2.2849715999999999E-2</v>
      </c>
      <c r="J90" s="10">
        <v>8.713889</v>
      </c>
      <c r="K90" s="10">
        <v>5.6914930000000004</v>
      </c>
      <c r="L90" s="10">
        <v>10.536721</v>
      </c>
      <c r="M90" s="10">
        <v>10.536721</v>
      </c>
      <c r="N90" s="10">
        <v>864.36519999999996</v>
      </c>
      <c r="O90" s="10">
        <v>885.68050000000005</v>
      </c>
      <c r="P90" s="10">
        <v>5.5402639999999996</v>
      </c>
      <c r="Q90" s="10">
        <v>2.75E-2</v>
      </c>
      <c r="R90" s="10">
        <v>11.28294264</v>
      </c>
      <c r="S90" s="10">
        <v>-5.6015182880000003</v>
      </c>
      <c r="T90" s="10">
        <v>90.75</v>
      </c>
      <c r="U90" s="10">
        <v>92.75</v>
      </c>
      <c r="V90" s="10">
        <v>90.75</v>
      </c>
      <c r="W90" s="10">
        <v>92.75</v>
      </c>
      <c r="X90" s="4" t="s">
        <v>146</v>
      </c>
      <c r="Y90" s="4" t="s">
        <v>1272</v>
      </c>
      <c r="AA90" s="10">
        <f t="shared" si="4"/>
        <v>5.8757399088472054E-3</v>
      </c>
      <c r="AB90" s="10">
        <f t="shared" si="5"/>
        <v>3.1522132850445438E-2</v>
      </c>
      <c r="AC90" s="10">
        <f t="shared" si="6"/>
        <v>3.8921577105958653</v>
      </c>
      <c r="AD90" s="10">
        <f t="shared" si="7"/>
        <v>9.2167028230017226E-2</v>
      </c>
    </row>
    <row r="91" spans="1:30" x14ac:dyDescent="0.25">
      <c r="A91" s="33" t="s">
        <v>1273</v>
      </c>
      <c r="C91" s="39">
        <v>40847</v>
      </c>
      <c r="D91" s="53" t="s">
        <v>1274</v>
      </c>
      <c r="E91" s="4" t="str">
        <f>VLOOKUP(LEFT(D91,2),Sort!$A$1:$B$58,2,FALSE)</f>
        <v>Brazil</v>
      </c>
      <c r="F91" s="4" t="s">
        <v>1059</v>
      </c>
      <c r="G91" s="18">
        <v>126888898</v>
      </c>
      <c r="H91" s="18">
        <v>123380067.2</v>
      </c>
      <c r="I91" s="10">
        <v>5.9471851999999999E-2</v>
      </c>
      <c r="J91" s="10">
        <v>9.463889</v>
      </c>
      <c r="K91" s="10">
        <v>7.1102860000000003</v>
      </c>
      <c r="L91" s="10">
        <v>6.6435199999999996</v>
      </c>
      <c r="M91" s="10">
        <v>6.6435199999999996</v>
      </c>
      <c r="N91" s="10">
        <v>460.99509999999998</v>
      </c>
      <c r="O91" s="10">
        <v>474.99520000000001</v>
      </c>
      <c r="P91" s="10">
        <v>6.8864419999999997</v>
      </c>
      <c r="Q91" s="10">
        <v>1.0581</v>
      </c>
      <c r="R91" s="10">
        <v>7.6234698700000001</v>
      </c>
      <c r="S91" s="10">
        <v>0.49664799999999998</v>
      </c>
      <c r="T91" s="10">
        <v>97</v>
      </c>
      <c r="U91" s="10">
        <v>99</v>
      </c>
      <c r="V91" s="10">
        <v>97</v>
      </c>
      <c r="W91" s="10">
        <v>99</v>
      </c>
      <c r="X91" s="4" t="s">
        <v>146</v>
      </c>
      <c r="Y91" s="4" t="s">
        <v>1275</v>
      </c>
      <c r="AA91" s="10">
        <f t="shared" si="4"/>
        <v>1.846224428712932E-2</v>
      </c>
      <c r="AB91" s="10">
        <f t="shared" si="5"/>
        <v>2.2093161400017988E-2</v>
      </c>
      <c r="AC91" s="10">
        <f t="shared" si="6"/>
        <v>1.6587922281851191</v>
      </c>
      <c r="AD91" s="10">
        <f t="shared" si="7"/>
        <v>0.25605161324318276</v>
      </c>
    </row>
    <row r="92" spans="1:30" x14ac:dyDescent="0.25">
      <c r="A92" s="33" t="s">
        <v>1276</v>
      </c>
      <c r="C92" s="39">
        <v>40847</v>
      </c>
      <c r="D92" s="53" t="s">
        <v>1277</v>
      </c>
      <c r="E92" s="4" t="str">
        <f>VLOOKUP(LEFT(D92,2),Sort!$A$1:$B$58,2,FALSE)</f>
        <v>Brazil</v>
      </c>
      <c r="F92" s="4" t="s">
        <v>1007</v>
      </c>
      <c r="G92" s="18">
        <v>211481497</v>
      </c>
      <c r="H92" s="18">
        <v>214893103.80000001</v>
      </c>
      <c r="I92" s="10">
        <v>0.10358310799999999</v>
      </c>
      <c r="J92" s="10">
        <v>9.2194439999999993</v>
      </c>
      <c r="K92" s="10">
        <v>7.1623590000000004</v>
      </c>
      <c r="L92" s="10">
        <v>5.538691</v>
      </c>
      <c r="M92" s="10">
        <v>5.538691</v>
      </c>
      <c r="N92" s="10">
        <v>355.0915</v>
      </c>
      <c r="O92" s="10">
        <v>365.02620000000002</v>
      </c>
      <c r="P92" s="10">
        <v>6.9371</v>
      </c>
      <c r="Q92" s="10">
        <v>1.5699999999999999E-2</v>
      </c>
      <c r="R92" s="10">
        <v>3.5116260079999999</v>
      </c>
      <c r="S92" s="10">
        <v>5.0705792440000002</v>
      </c>
      <c r="T92" s="10">
        <v>100</v>
      </c>
      <c r="U92" s="10">
        <v>101.5</v>
      </c>
      <c r="V92" s="10">
        <v>100</v>
      </c>
      <c r="W92" s="10">
        <v>101.5</v>
      </c>
      <c r="X92" s="4" t="s">
        <v>146</v>
      </c>
      <c r="Y92" s="4" t="s">
        <v>1278</v>
      </c>
      <c r="AA92" s="10">
        <f t="shared" si="4"/>
        <v>3.2391494397220173E-2</v>
      </c>
      <c r="AB92" s="10">
        <f t="shared" si="5"/>
        <v>1.6519111713461127E-2</v>
      </c>
      <c r="AC92" s="10">
        <f t="shared" si="6"/>
        <v>0.77745476345407905</v>
      </c>
      <c r="AD92" s="10">
        <f t="shared" si="7"/>
        <v>0.14811417942033769</v>
      </c>
    </row>
    <row r="93" spans="1:30" x14ac:dyDescent="0.25">
      <c r="A93" s="33" t="s">
        <v>1279</v>
      </c>
      <c r="C93" s="39">
        <v>40847</v>
      </c>
      <c r="D93" s="53" t="s">
        <v>1280</v>
      </c>
      <c r="E93" s="4" t="str">
        <f>VLOOKUP(LEFT(D93,2),Sort!$A$1:$B$58,2,FALSE)</f>
        <v>Brazil</v>
      </c>
      <c r="F93" s="4" t="s">
        <v>1007</v>
      </c>
      <c r="G93" s="18">
        <v>169185198</v>
      </c>
      <c r="H93" s="18">
        <v>171386485.19999999</v>
      </c>
      <c r="I93" s="10">
        <v>8.2611980000000002E-2</v>
      </c>
      <c r="J93" s="10">
        <v>8.4499999999999993</v>
      </c>
      <c r="K93" s="10">
        <v>6.6393079999999998</v>
      </c>
      <c r="L93" s="10">
        <v>5.8579160000000003</v>
      </c>
      <c r="M93" s="10">
        <v>5.8579160000000003</v>
      </c>
      <c r="N93" s="10">
        <v>401.42829999999998</v>
      </c>
      <c r="O93" s="10">
        <v>410.91660000000002</v>
      </c>
      <c r="P93" s="10">
        <v>6.4545380000000003</v>
      </c>
      <c r="Q93" s="10">
        <v>-0.96079999999999999</v>
      </c>
      <c r="R93" s="10">
        <v>1.2313736390000001</v>
      </c>
      <c r="S93" s="10">
        <v>3.86428715</v>
      </c>
      <c r="T93" s="10">
        <v>100.75</v>
      </c>
      <c r="U93" s="10">
        <v>102.25</v>
      </c>
      <c r="V93" s="10">
        <v>100.75</v>
      </c>
      <c r="W93" s="10">
        <v>102.25</v>
      </c>
      <c r="X93" s="4" t="s">
        <v>146</v>
      </c>
      <c r="Y93" s="4" t="s">
        <v>1281</v>
      </c>
      <c r="AA93" s="10">
        <f t="shared" si="4"/>
        <v>2.3947038329762159E-2</v>
      </c>
      <c r="AB93" s="10">
        <f t="shared" si="5"/>
        <v>1.3934031464045631E-2</v>
      </c>
      <c r="AC93" s="10">
        <f t="shared" si="6"/>
        <v>1.9933705003730062</v>
      </c>
      <c r="AD93" s="10">
        <f t="shared" si="7"/>
        <v>0.11900028595077061</v>
      </c>
    </row>
    <row r="94" spans="1:30" x14ac:dyDescent="0.25">
      <c r="A94" s="33" t="s">
        <v>1282</v>
      </c>
      <c r="C94" s="39">
        <v>40847</v>
      </c>
      <c r="D94" s="53" t="s">
        <v>1283</v>
      </c>
      <c r="E94" s="4" t="str">
        <f>VLOOKUP(LEFT(D94,2),Sort!$A$1:$B$58,2,FALSE)</f>
        <v>Brazil</v>
      </c>
      <c r="F94" s="4" t="s">
        <v>1007</v>
      </c>
      <c r="G94" s="18">
        <v>84592599</v>
      </c>
      <c r="H94" s="18">
        <v>87573077.959999993</v>
      </c>
      <c r="I94" s="10">
        <v>4.2212110999999997E-2</v>
      </c>
      <c r="J94" s="10">
        <v>10.133333</v>
      </c>
      <c r="K94" s="10">
        <v>7.5240229999999997</v>
      </c>
      <c r="L94" s="10">
        <v>5.770797</v>
      </c>
      <c r="M94" s="10">
        <v>5.770797</v>
      </c>
      <c r="N94" s="10">
        <v>363.00240000000002</v>
      </c>
      <c r="O94" s="10">
        <v>377.32400000000001</v>
      </c>
      <c r="P94" s="10">
        <v>7.264151</v>
      </c>
      <c r="Q94" s="10">
        <v>-0.70289999999999997</v>
      </c>
      <c r="R94" s="10">
        <v>4.2624392990000004</v>
      </c>
      <c r="S94" s="10">
        <v>2.0671780000000002</v>
      </c>
      <c r="T94" s="10">
        <v>101.25</v>
      </c>
      <c r="U94" s="10">
        <v>103.25</v>
      </c>
      <c r="V94" s="10">
        <v>101.25</v>
      </c>
      <c r="W94" s="10">
        <v>103.25</v>
      </c>
      <c r="X94" s="4" t="s">
        <v>146</v>
      </c>
      <c r="Y94" s="4" t="s">
        <v>1284</v>
      </c>
      <c r="AA94" s="10">
        <f t="shared" si="4"/>
        <v>1.3866700946365848E-2</v>
      </c>
      <c r="AB94" s="10">
        <f t="shared" si="5"/>
        <v>7.0139632548776943E-3</v>
      </c>
      <c r="AC94" s="10">
        <f t="shared" si="6"/>
        <v>0.32750177401845548</v>
      </c>
      <c r="AD94" s="10">
        <f t="shared" si="7"/>
        <v>6.1400059295527817E-2</v>
      </c>
    </row>
    <row r="95" spans="1:30" x14ac:dyDescent="0.25">
      <c r="A95" s="33" t="s">
        <v>1285</v>
      </c>
      <c r="C95" s="39">
        <v>40847</v>
      </c>
      <c r="D95" s="53" t="s">
        <v>1286</v>
      </c>
      <c r="E95" s="4" t="str">
        <f>VLOOKUP(LEFT(D95,2),Sort!$A$1:$B$58,2,FALSE)</f>
        <v>Brazil</v>
      </c>
      <c r="F95" s="4" t="s">
        <v>1014</v>
      </c>
      <c r="G95" s="18">
        <v>67674079</v>
      </c>
      <c r="H95" s="18">
        <v>67147490.069999993</v>
      </c>
      <c r="I95" s="10">
        <v>3.2366538E-2</v>
      </c>
      <c r="J95" s="10">
        <v>8.4083330000000007</v>
      </c>
      <c r="K95" s="10">
        <v>6.1351069999999996</v>
      </c>
      <c r="L95" s="10">
        <v>7.8731309999999999</v>
      </c>
      <c r="M95" s="10">
        <v>7.8731309999999999</v>
      </c>
      <c r="N95" s="10">
        <v>603.73030000000006</v>
      </c>
      <c r="O95" s="10">
        <v>618.56979999999999</v>
      </c>
      <c r="P95" s="10">
        <v>5.9736330000000004</v>
      </c>
      <c r="Q95" s="10">
        <v>2.2100000000000002E-2</v>
      </c>
      <c r="R95" s="10">
        <v>3.2384987180000002</v>
      </c>
      <c r="S95" s="10">
        <v>-6.0007456000000001E-2</v>
      </c>
      <c r="T95" s="10">
        <v>98.5</v>
      </c>
      <c r="U95" s="10">
        <v>100</v>
      </c>
      <c r="V95" s="10">
        <v>98.5</v>
      </c>
      <c r="W95" s="10">
        <v>100</v>
      </c>
      <c r="X95" s="4" t="s">
        <v>146</v>
      </c>
      <c r="Y95" s="4" t="s">
        <v>1287</v>
      </c>
      <c r="AA95" s="10">
        <f t="shared" si="4"/>
        <v>8.6697055139699566E-3</v>
      </c>
      <c r="AB95" s="10">
        <f t="shared" si="5"/>
        <v>1.4249245775793876E-2</v>
      </c>
      <c r="AC95" s="10">
        <f t="shared" si="6"/>
        <v>2.2558658274846723</v>
      </c>
      <c r="AD95" s="10">
        <f t="shared" si="7"/>
        <v>4.5597171124491416E-2</v>
      </c>
    </row>
    <row r="96" spans="1:30" x14ac:dyDescent="0.25">
      <c r="A96" s="33" t="s">
        <v>1288</v>
      </c>
      <c r="C96" s="39">
        <v>40847</v>
      </c>
      <c r="D96" s="53" t="s">
        <v>1289</v>
      </c>
      <c r="E96" s="4" t="str">
        <f>VLOOKUP(LEFT(D96,2),Sort!$A$1:$B$58,2,FALSE)</f>
        <v>Brazil</v>
      </c>
      <c r="F96" s="4" t="s">
        <v>1014</v>
      </c>
      <c r="G96" s="18">
        <v>126888898</v>
      </c>
      <c r="H96" s="18">
        <v>101571919.8</v>
      </c>
      <c r="I96" s="10">
        <v>4.8959854999999997E-2</v>
      </c>
      <c r="J96" s="10">
        <v>6.516667</v>
      </c>
      <c r="K96" s="10">
        <v>4.4439679999999999</v>
      </c>
      <c r="L96" s="10">
        <v>13.704629000000001</v>
      </c>
      <c r="M96" s="10">
        <v>13.704629000000001</v>
      </c>
      <c r="N96" s="10">
        <v>1227.4971</v>
      </c>
      <c r="O96" s="10">
        <v>1242.356</v>
      </c>
      <c r="P96" s="10">
        <v>4.3673760000000001</v>
      </c>
      <c r="Q96" s="10">
        <v>2.9100000000000001E-2</v>
      </c>
      <c r="R96" s="10">
        <v>18.77157304</v>
      </c>
      <c r="S96" s="10">
        <v>-19.200478</v>
      </c>
      <c r="T96" s="10">
        <v>76</v>
      </c>
      <c r="U96" s="10">
        <v>77.5</v>
      </c>
      <c r="V96" s="10">
        <v>76</v>
      </c>
      <c r="W96" s="10">
        <v>77.5</v>
      </c>
      <c r="X96" s="4" t="s">
        <v>146</v>
      </c>
      <c r="Y96" s="4" t="s">
        <v>1290</v>
      </c>
      <c r="AA96" s="10">
        <f t="shared" si="4"/>
        <v>9.8302959870819918E-3</v>
      </c>
      <c r="AB96" s="10">
        <f t="shared" si="5"/>
        <v>8.7848977659071584E-2</v>
      </c>
      <c r="AC96" s="10">
        <f t="shared" si="6"/>
        <v>9.350025691388451</v>
      </c>
      <c r="AD96" s="10">
        <f t="shared" si="7"/>
        <v>2.7045703188937074</v>
      </c>
    </row>
    <row r="97" spans="1:30" x14ac:dyDescent="0.25">
      <c r="A97" s="33" t="s">
        <v>1291</v>
      </c>
      <c r="C97" s="39">
        <v>40847</v>
      </c>
      <c r="D97" s="53" t="s">
        <v>1292</v>
      </c>
      <c r="E97" s="4" t="str">
        <f>VLOOKUP(LEFT(D97,2),Sort!$A$1:$B$58,2,FALSE)</f>
        <v>Brazil</v>
      </c>
      <c r="F97" s="4" t="s">
        <v>1059</v>
      </c>
      <c r="G97" s="18">
        <v>84592599</v>
      </c>
      <c r="H97" s="18">
        <v>68286200.549999997</v>
      </c>
      <c r="I97" s="10">
        <v>3.2915421E-2</v>
      </c>
      <c r="J97" s="10">
        <v>8.5027779999999993</v>
      </c>
      <c r="K97" s="10">
        <v>5.0512480000000002</v>
      </c>
      <c r="L97" s="10">
        <v>14.006802</v>
      </c>
      <c r="M97" s="10">
        <v>14.006802</v>
      </c>
      <c r="N97" s="10">
        <v>1215.3281999999999</v>
      </c>
      <c r="O97" s="10">
        <v>1239.9834000000001</v>
      </c>
      <c r="P97" s="10">
        <v>4.9245609999999997</v>
      </c>
      <c r="Q97" s="10">
        <v>3.27E-2</v>
      </c>
      <c r="R97" s="10">
        <v>17.01665161</v>
      </c>
      <c r="S97" s="10">
        <v>-19.166052709999999</v>
      </c>
      <c r="T97" s="10">
        <v>76</v>
      </c>
      <c r="U97" s="10">
        <v>78</v>
      </c>
      <c r="V97" s="10">
        <v>76</v>
      </c>
      <c r="W97" s="10">
        <v>78</v>
      </c>
      <c r="X97" s="4" t="s">
        <v>146</v>
      </c>
      <c r="Y97" s="4" t="s">
        <v>1293</v>
      </c>
      <c r="AA97" s="10">
        <f t="shared" si="4"/>
        <v>7.5119666485835498E-3</v>
      </c>
      <c r="AB97" s="10">
        <f t="shared" si="5"/>
        <v>6.0362567800598753E-2</v>
      </c>
      <c r="AC97" s="10">
        <f t="shared" si="6"/>
        <v>6.2739622570702336</v>
      </c>
      <c r="AD97" s="10">
        <f t="shared" si="7"/>
        <v>1.8299973713555562</v>
      </c>
    </row>
    <row r="98" spans="1:30" x14ac:dyDescent="0.25">
      <c r="A98" s="33" t="s">
        <v>1294</v>
      </c>
      <c r="C98" s="39">
        <v>40847</v>
      </c>
      <c r="D98" s="53" t="s">
        <v>1295</v>
      </c>
      <c r="E98" s="4" t="str">
        <f>VLOOKUP(LEFT(D98,2),Sort!$A$1:$B$58,2,FALSE)</f>
        <v>Brazil</v>
      </c>
      <c r="F98" s="4" t="s">
        <v>1059</v>
      </c>
      <c r="G98" s="18">
        <v>63444449</v>
      </c>
      <c r="H98" s="18">
        <v>58663865.990000002</v>
      </c>
      <c r="I98" s="10">
        <v>2.8277248000000001E-2</v>
      </c>
      <c r="J98" s="10">
        <v>5.036111</v>
      </c>
      <c r="K98" s="10">
        <v>3.674811</v>
      </c>
      <c r="L98" s="10">
        <v>12.058522</v>
      </c>
      <c r="M98" s="10">
        <v>12.058522</v>
      </c>
      <c r="N98" s="10">
        <v>1106.4887000000001</v>
      </c>
      <c r="O98" s="10">
        <v>1116.3768</v>
      </c>
      <c r="P98" s="10">
        <v>3.6384460000000001</v>
      </c>
      <c r="Q98" s="10">
        <v>2.8899999999999999E-2</v>
      </c>
      <c r="R98" s="10">
        <v>17.46602373</v>
      </c>
      <c r="S98" s="10">
        <v>-9.3337719920000008</v>
      </c>
      <c r="T98" s="10">
        <v>88</v>
      </c>
      <c r="U98" s="10">
        <v>91</v>
      </c>
      <c r="V98" s="10">
        <v>88</v>
      </c>
      <c r="W98" s="10">
        <v>91</v>
      </c>
      <c r="X98" s="4" t="s">
        <v>146</v>
      </c>
      <c r="Y98" s="4" t="s">
        <v>1296</v>
      </c>
      <c r="AA98" s="10">
        <f t="shared" si="4"/>
        <v>2.9429627867693089E-3</v>
      </c>
      <c r="AB98" s="10">
        <f t="shared" si="5"/>
        <v>4.4643735607450323E-2</v>
      </c>
      <c r="AC98" s="10">
        <f t="shared" si="6"/>
        <v>4.8526007819418258</v>
      </c>
      <c r="AD98" s="10">
        <f t="shared" si="7"/>
        <v>0.11190755097998878</v>
      </c>
    </row>
    <row r="99" spans="1:30" x14ac:dyDescent="0.25">
      <c r="A99" s="33" t="s">
        <v>1297</v>
      </c>
      <c r="C99" s="39">
        <v>40847</v>
      </c>
      <c r="D99" s="53" t="s">
        <v>1298</v>
      </c>
      <c r="E99" s="4" t="str">
        <f>VLOOKUP(LEFT(D99,2),Sort!$A$1:$B$58,2,FALSE)</f>
        <v>Brazil</v>
      </c>
      <c r="F99" s="4" t="s">
        <v>1059</v>
      </c>
      <c r="G99" s="18">
        <v>63315022</v>
      </c>
      <c r="H99" s="18">
        <v>58297306.509999998</v>
      </c>
      <c r="I99" s="10">
        <v>2.8100558000000001E-2</v>
      </c>
      <c r="J99" s="10">
        <v>8.0333330000000007</v>
      </c>
      <c r="K99" s="10">
        <v>4.8523509999999996</v>
      </c>
      <c r="L99" s="10">
        <v>13.129523000000001</v>
      </c>
      <c r="M99" s="10">
        <v>13.129523000000001</v>
      </c>
      <c r="N99" s="10">
        <v>1136.3945000000001</v>
      </c>
      <c r="O99" s="10">
        <v>1161.0444</v>
      </c>
      <c r="P99" s="10">
        <v>4.7401689999999999</v>
      </c>
      <c r="Q99" s="10">
        <v>2.2547000000000001</v>
      </c>
      <c r="R99" s="10">
        <v>11.973650879999999</v>
      </c>
      <c r="S99" s="10">
        <v>-9.7048779009999997</v>
      </c>
      <c r="T99" s="10">
        <v>87</v>
      </c>
      <c r="U99" s="10">
        <v>89</v>
      </c>
      <c r="V99" s="10">
        <v>87</v>
      </c>
      <c r="W99" s="10">
        <v>89</v>
      </c>
      <c r="X99" s="4" t="s">
        <v>146</v>
      </c>
      <c r="Y99" s="4" t="s">
        <v>1299</v>
      </c>
      <c r="AA99" s="10">
        <f t="shared" si="4"/>
        <v>6.1605957022582529E-3</v>
      </c>
      <c r="AB99" s="10">
        <f t="shared" si="5"/>
        <v>4.8305124465799522E-2</v>
      </c>
      <c r="AC99" s="10">
        <f t="shared" si="6"/>
        <v>5.0152247389957516</v>
      </c>
      <c r="AD99" s="10">
        <f t="shared" si="7"/>
        <v>0.10876416140655797</v>
      </c>
    </row>
    <row r="100" spans="1:30" x14ac:dyDescent="0.25">
      <c r="A100" s="33" t="s">
        <v>1300</v>
      </c>
      <c r="C100" s="39">
        <v>40847</v>
      </c>
      <c r="D100" s="53" t="s">
        <v>1301</v>
      </c>
      <c r="E100" s="4" t="str">
        <f>VLOOKUP(LEFT(D100,2),Sort!$A$1:$B$58,2,FALSE)</f>
        <v>Brazil</v>
      </c>
      <c r="F100" s="4" t="s">
        <v>1214</v>
      </c>
      <c r="G100" s="18">
        <v>66828153</v>
      </c>
      <c r="H100" s="18">
        <v>56010345.729999997</v>
      </c>
      <c r="I100" s="10">
        <v>2.6998194E-2</v>
      </c>
      <c r="J100" s="10">
        <v>6.4527780000000003</v>
      </c>
      <c r="K100" s="10">
        <v>4.6965570000000003</v>
      </c>
      <c r="L100" s="10">
        <v>11.888116999999999</v>
      </c>
      <c r="M100" s="10">
        <v>11.888116999999999</v>
      </c>
      <c r="N100" s="10">
        <v>1047.7274</v>
      </c>
      <c r="O100" s="10">
        <v>1061.9409000000001</v>
      </c>
      <c r="P100" s="10">
        <v>4.616644</v>
      </c>
      <c r="Q100" s="10">
        <v>0.47870000000000001</v>
      </c>
      <c r="R100" s="10">
        <v>-7.647564859</v>
      </c>
      <c r="S100" s="10">
        <v>-13.810857</v>
      </c>
      <c r="T100" s="10">
        <v>83.375</v>
      </c>
      <c r="U100" s="10">
        <v>86.125</v>
      </c>
      <c r="V100" s="10">
        <v>83.375</v>
      </c>
      <c r="W100" s="10">
        <v>86.125</v>
      </c>
      <c r="X100" s="4" t="s">
        <v>146</v>
      </c>
      <c r="Y100" s="4" t="s">
        <v>1302</v>
      </c>
      <c r="AA100" s="10">
        <f t="shared" si="4"/>
        <v>5.7288817932714458E-3</v>
      </c>
      <c r="AB100" s="10">
        <f t="shared" si="5"/>
        <v>4.2022036104775971E-2</v>
      </c>
      <c r="AC100" s="10">
        <f t="shared" si="6"/>
        <v>4.4071890716714872</v>
      </c>
      <c r="AD100" s="10">
        <f t="shared" si="7"/>
        <v>0.10112180375423188</v>
      </c>
    </row>
    <row r="101" spans="1:30" x14ac:dyDescent="0.25">
      <c r="A101" s="33" t="s">
        <v>1303</v>
      </c>
      <c r="C101" s="39">
        <v>40847</v>
      </c>
      <c r="D101" s="53" t="s">
        <v>1304</v>
      </c>
      <c r="E101" s="4" t="str">
        <f>VLOOKUP(LEFT(D101,2),Sort!$A$1:$B$58,2,FALSE)</f>
        <v>Brazil</v>
      </c>
      <c r="F101" s="4" t="s">
        <v>1014</v>
      </c>
      <c r="G101" s="18">
        <v>59214819</v>
      </c>
      <c r="H101" s="18">
        <v>48414282.939999998</v>
      </c>
      <c r="I101" s="10">
        <v>2.3336728000000001E-2</v>
      </c>
      <c r="J101" s="10">
        <v>7.2833329999999998</v>
      </c>
      <c r="K101" s="10">
        <v>5.0879950000000003</v>
      </c>
      <c r="L101" s="10">
        <v>12.119631</v>
      </c>
      <c r="M101" s="10">
        <v>12.119631</v>
      </c>
      <c r="N101" s="10">
        <v>1049.4553000000001</v>
      </c>
      <c r="O101" s="10">
        <v>1066.7230999999999</v>
      </c>
      <c r="P101" s="10">
        <v>4.9772730000000003</v>
      </c>
      <c r="Q101" s="10">
        <v>2.76E-2</v>
      </c>
      <c r="R101" s="10">
        <v>-1.940616737</v>
      </c>
      <c r="S101" s="10">
        <v>-14.814791</v>
      </c>
      <c r="T101" s="10">
        <v>80</v>
      </c>
      <c r="U101" s="10">
        <v>81</v>
      </c>
      <c r="V101" s="10">
        <v>80</v>
      </c>
      <c r="W101" s="10">
        <v>81</v>
      </c>
      <c r="X101" s="4" t="s">
        <v>146</v>
      </c>
      <c r="Y101" s="4" t="s">
        <v>1305</v>
      </c>
      <c r="AA101" s="10">
        <f t="shared" si="4"/>
        <v>5.364659846952103E-3</v>
      </c>
      <c r="AB101" s="10">
        <f t="shared" si="5"/>
        <v>3.7030422632522389E-2</v>
      </c>
      <c r="AC101" s="10">
        <f t="shared" si="6"/>
        <v>3.8266459764531016</v>
      </c>
      <c r="AD101" s="10">
        <f t="shared" si="7"/>
        <v>8.2206440184934573E-2</v>
      </c>
    </row>
    <row r="102" spans="1:30" x14ac:dyDescent="0.25">
      <c r="A102" s="33" t="s">
        <v>1306</v>
      </c>
      <c r="C102" s="39">
        <v>40847</v>
      </c>
      <c r="D102" s="53" t="s">
        <v>1307</v>
      </c>
      <c r="E102" s="4" t="str">
        <f>VLOOKUP(LEFT(D102,2),Sort!$A$1:$B$58,2,FALSE)</f>
        <v>Brazil</v>
      </c>
      <c r="F102" s="4" t="s">
        <v>1014</v>
      </c>
      <c r="G102" s="18">
        <v>67674079</v>
      </c>
      <c r="H102" s="18">
        <v>64577520.229999997</v>
      </c>
      <c r="I102" s="10">
        <v>3.1127756999999999E-2</v>
      </c>
      <c r="J102" s="10">
        <v>5.9944439999999997</v>
      </c>
      <c r="K102" s="10">
        <v>4.5887460000000004</v>
      </c>
      <c r="L102" s="10">
        <v>9.5434760000000001</v>
      </c>
      <c r="M102" s="10">
        <v>9.5434760000000001</v>
      </c>
      <c r="N102" s="10">
        <v>826.76120000000003</v>
      </c>
      <c r="O102" s="10">
        <v>837.82569999999998</v>
      </c>
      <c r="P102" s="10">
        <v>4.5184249999999997</v>
      </c>
      <c r="Q102" s="10">
        <v>2.58E-2</v>
      </c>
      <c r="R102" s="10">
        <v>0.57159293300000003</v>
      </c>
      <c r="S102" s="10">
        <v>-4.7033422979999999</v>
      </c>
      <c r="T102" s="10">
        <v>95.375</v>
      </c>
      <c r="U102" s="10">
        <v>97</v>
      </c>
      <c r="V102" s="10">
        <v>95.375</v>
      </c>
      <c r="W102" s="10">
        <v>97</v>
      </c>
      <c r="X102" s="4" t="s">
        <v>146</v>
      </c>
      <c r="Y102" s="4" t="s">
        <v>1308</v>
      </c>
      <c r="AA102" s="10">
        <f t="shared" si="4"/>
        <v>6.4535308945923671E-3</v>
      </c>
      <c r="AB102" s="10">
        <f t="shared" si="5"/>
        <v>3.7145776279907949E-2</v>
      </c>
      <c r="AC102" s="10">
        <f t="shared" si="6"/>
        <v>5.0157287505742998</v>
      </c>
      <c r="AD102" s="10">
        <f t="shared" si="7"/>
        <v>0.131310791095158</v>
      </c>
    </row>
    <row r="103" spans="1:30" x14ac:dyDescent="0.25">
      <c r="A103" s="33" t="s">
        <v>1309</v>
      </c>
      <c r="C103" s="39">
        <v>40847</v>
      </c>
      <c r="D103" s="53" t="s">
        <v>1310</v>
      </c>
      <c r="E103" s="4" t="str">
        <f>VLOOKUP(LEFT(D103,2),Sort!$A$1:$B$58,2,FALSE)</f>
        <v>Brazil</v>
      </c>
      <c r="F103" s="4" t="s">
        <v>1081</v>
      </c>
      <c r="G103" s="18">
        <v>59214819</v>
      </c>
      <c r="H103" s="18">
        <v>68689190.040000007</v>
      </c>
      <c r="I103" s="10">
        <v>3.3109670000000001E-2</v>
      </c>
      <c r="J103" s="10">
        <v>8.233333</v>
      </c>
      <c r="K103" s="10">
        <v>6.2918310000000002</v>
      </c>
      <c r="L103" s="10">
        <v>5.232424</v>
      </c>
      <c r="M103" s="10">
        <v>5.232424</v>
      </c>
      <c r="N103" s="10">
        <v>342.93799999999999</v>
      </c>
      <c r="O103" s="10">
        <v>354.58</v>
      </c>
      <c r="P103" s="10">
        <v>6.1254929999999996</v>
      </c>
      <c r="Q103" s="10">
        <v>1.7999999999999999E-2</v>
      </c>
      <c r="R103" s="10">
        <v>3.1875443529999998</v>
      </c>
      <c r="S103" s="10">
        <v>5.2805107040000001</v>
      </c>
      <c r="T103" s="10">
        <v>114</v>
      </c>
      <c r="U103" s="10">
        <v>115</v>
      </c>
      <c r="V103" s="10">
        <v>114</v>
      </c>
      <c r="W103" s="10">
        <v>115</v>
      </c>
      <c r="X103" s="4" t="s">
        <v>146</v>
      </c>
      <c r="Y103" s="4" t="s">
        <v>1311</v>
      </c>
      <c r="AA103" s="10">
        <f t="shared" si="4"/>
        <v>9.0953175199769889E-3</v>
      </c>
      <c r="AB103" s="10">
        <f t="shared" si="5"/>
        <v>4.9882521577677965E-3</v>
      </c>
      <c r="AC103" s="10">
        <f t="shared" si="6"/>
        <v>0.24139665278450187</v>
      </c>
      <c r="AD103" s="10">
        <f t="shared" si="7"/>
        <v>5.3640689500087532E-2</v>
      </c>
    </row>
    <row r="104" spans="1:30" x14ac:dyDescent="0.25">
      <c r="A104" s="33" t="s">
        <v>1312</v>
      </c>
      <c r="C104" s="39">
        <v>40847</v>
      </c>
      <c r="D104" s="53" t="s">
        <v>1313</v>
      </c>
      <c r="E104" s="4" t="str">
        <f>VLOOKUP(LEFT(D104,2),Sort!$A$1:$B$58,2,FALSE)</f>
        <v>Brazil</v>
      </c>
      <c r="F104" s="4" t="s">
        <v>1024</v>
      </c>
      <c r="G104" s="18">
        <v>433621662</v>
      </c>
      <c r="H104" s="18">
        <v>441937081.5</v>
      </c>
      <c r="I104" s="10">
        <v>0.213023199</v>
      </c>
      <c r="J104" s="10">
        <v>6.5777780000000003</v>
      </c>
      <c r="K104" s="10">
        <v>4.8495869999999996</v>
      </c>
      <c r="L104" s="10">
        <v>8.6241500000000002</v>
      </c>
      <c r="M104" s="10">
        <v>8.6241500000000002</v>
      </c>
      <c r="N104" s="10">
        <v>717.64940000000001</v>
      </c>
      <c r="O104" s="10">
        <v>730.5702</v>
      </c>
      <c r="P104" s="10">
        <v>4.7616579999999997</v>
      </c>
      <c r="Q104" s="10">
        <v>-0.44</v>
      </c>
      <c r="R104" s="10">
        <v>10.323718850000001</v>
      </c>
      <c r="S104" s="10">
        <v>-0.34262100000000001</v>
      </c>
      <c r="T104" s="10">
        <v>98.376000000000005</v>
      </c>
      <c r="U104" s="10">
        <v>99.375</v>
      </c>
      <c r="V104" s="10">
        <v>98.376000000000005</v>
      </c>
      <c r="W104" s="10">
        <v>99.375</v>
      </c>
      <c r="X104" s="4" t="s">
        <v>146</v>
      </c>
      <c r="Y104" s="4" t="s">
        <v>1314</v>
      </c>
      <c r="AA104" s="10">
        <f t="shared" si="4"/>
        <v>4.6675309731357556E-2</v>
      </c>
      <c r="AB104" s="10">
        <f t="shared" si="5"/>
        <v>0.22971969651821855</v>
      </c>
      <c r="AC104" s="10">
        <f t="shared" si="6"/>
        <v>17.535460102025134</v>
      </c>
      <c r="AD104" s="10">
        <f t="shared" si="7"/>
        <v>0.92062953682332527</v>
      </c>
    </row>
    <row r="105" spans="1:30" x14ac:dyDescent="0.25">
      <c r="A105" s="33" t="s">
        <v>1315</v>
      </c>
      <c r="C105" s="39">
        <v>40847</v>
      </c>
      <c r="D105" s="53" t="s">
        <v>1316</v>
      </c>
      <c r="E105" s="4" t="str">
        <f>VLOOKUP(LEFT(D105,2),Sort!$A$1:$B$58,2,FALSE)</f>
        <v>Brazil</v>
      </c>
      <c r="F105" s="4" t="s">
        <v>1014</v>
      </c>
      <c r="G105" s="18">
        <v>84592599</v>
      </c>
      <c r="H105" s="18">
        <v>84987364.739999995</v>
      </c>
      <c r="I105" s="10">
        <v>4.0965741999999999E-2</v>
      </c>
      <c r="J105" s="10">
        <v>11.422222</v>
      </c>
      <c r="K105" s="10">
        <v>8.4126379999999994</v>
      </c>
      <c r="L105" s="10">
        <v>5.7579630000000002</v>
      </c>
      <c r="M105" s="10">
        <v>5.7579630000000002</v>
      </c>
      <c r="N105" s="10">
        <v>355.17140000000001</v>
      </c>
      <c r="O105" s="10">
        <v>361.37479999999999</v>
      </c>
      <c r="P105" s="10">
        <v>8.0823180000000008</v>
      </c>
      <c r="Q105" s="10">
        <v>1.66E-2</v>
      </c>
      <c r="R105" s="10">
        <v>8.6126125649999992</v>
      </c>
      <c r="S105" s="10">
        <v>3.880866299</v>
      </c>
      <c r="T105" s="10">
        <v>100</v>
      </c>
      <c r="U105" s="10">
        <v>102</v>
      </c>
      <c r="V105" s="10">
        <v>100</v>
      </c>
      <c r="W105" s="10">
        <v>102</v>
      </c>
      <c r="X105" s="4" t="s">
        <v>146</v>
      </c>
      <c r="Y105" s="4" t="s">
        <v>1317</v>
      </c>
      <c r="AA105" s="10">
        <f t="shared" si="4"/>
        <v>0.1460523996854379</v>
      </c>
      <c r="AB105" s="10">
        <f t="shared" si="5"/>
        <v>6.7917283580733205E-3</v>
      </c>
      <c r="AC105" s="10">
        <f t="shared" si="6"/>
        <v>0.30439733098716637</v>
      </c>
      <c r="AD105" s="10">
        <f t="shared" si="7"/>
        <v>5.8865745802533093E-2</v>
      </c>
    </row>
    <row r="106" spans="1:30" x14ac:dyDescent="0.25">
      <c r="A106" s="33" t="s">
        <v>1318</v>
      </c>
      <c r="C106" s="39">
        <v>40847</v>
      </c>
      <c r="D106" s="53" t="s">
        <v>1319</v>
      </c>
      <c r="E106" s="4" t="str">
        <f>VLOOKUP(LEFT(D106,2),Sort!$A$1:$B$58,2,FALSE)</f>
        <v>Brazil</v>
      </c>
      <c r="F106" s="4" t="s">
        <v>1014</v>
      </c>
      <c r="G106" s="18">
        <v>253777796</v>
      </c>
      <c r="H106" s="18">
        <v>270703716.69999999</v>
      </c>
      <c r="I106" s="10">
        <v>0.130485027</v>
      </c>
      <c r="J106" s="10">
        <v>7.0065280000000003</v>
      </c>
      <c r="K106" s="10">
        <v>5.4891969999999999</v>
      </c>
      <c r="L106" s="10">
        <v>5.2845959999999996</v>
      </c>
      <c r="M106" s="10">
        <v>5.2845959999999996</v>
      </c>
      <c r="N106" s="10">
        <v>371.13729999999998</v>
      </c>
      <c r="O106" s="10">
        <v>367.2423</v>
      </c>
      <c r="P106" s="10">
        <v>5.3502109999999998</v>
      </c>
      <c r="Q106" s="10">
        <v>1.6500000000000001E-2</v>
      </c>
      <c r="R106" s="10">
        <v>6.2174209380000001</v>
      </c>
      <c r="S106" s="10">
        <v>5.5714344230000004</v>
      </c>
      <c r="T106" s="10">
        <v>104.5</v>
      </c>
      <c r="U106" s="10">
        <v>106</v>
      </c>
      <c r="V106" s="10">
        <v>104.5</v>
      </c>
      <c r="W106" s="10">
        <v>106</v>
      </c>
      <c r="X106" s="4" t="s">
        <v>146</v>
      </c>
      <c r="Y106" s="4" t="s">
        <v>1320</v>
      </c>
      <c r="AA106" s="10">
        <f t="shared" si="4"/>
        <v>3.2361231949879526E-2</v>
      </c>
      <c r="AB106" s="10">
        <f t="shared" si="5"/>
        <v>1.9854688829013277E-2</v>
      </c>
      <c r="AC106" s="10">
        <f t="shared" si="6"/>
        <v>0.98531598856125013</v>
      </c>
      <c r="AD106" s="10">
        <f t="shared" si="7"/>
        <v>0.19485349493228035</v>
      </c>
    </row>
    <row r="107" spans="1:30" x14ac:dyDescent="0.25">
      <c r="A107" s="33" t="s">
        <v>1321</v>
      </c>
      <c r="C107" s="39">
        <v>40847</v>
      </c>
      <c r="D107" s="53" t="s">
        <v>1322</v>
      </c>
      <c r="E107" s="4" t="str">
        <f>VLOOKUP(LEFT(D107,2),Sort!$A$1:$B$58,2,FALSE)</f>
        <v>Brazil</v>
      </c>
      <c r="F107" s="4" t="s">
        <v>1014</v>
      </c>
      <c r="G107" s="18">
        <v>84592599</v>
      </c>
      <c r="H107" s="18">
        <v>86725037.150000006</v>
      </c>
      <c r="I107" s="10">
        <v>4.1803337000000003E-2</v>
      </c>
      <c r="J107" s="10">
        <v>38.158332999999999</v>
      </c>
      <c r="K107" s="10">
        <v>12.358449999999999</v>
      </c>
      <c r="L107" s="10">
        <v>7.3714250000000003</v>
      </c>
      <c r="M107" s="10">
        <v>7.3714250000000003</v>
      </c>
      <c r="N107" s="10">
        <v>380.69819999999999</v>
      </c>
      <c r="O107" s="10">
        <v>458.83710000000002</v>
      </c>
      <c r="P107" s="10">
        <v>11.508380000000001</v>
      </c>
      <c r="Q107" s="10">
        <v>2.0299999999999999E-2</v>
      </c>
      <c r="R107" s="10">
        <v>5.2170210849999998</v>
      </c>
      <c r="S107" s="10">
        <v>7.63717135</v>
      </c>
      <c r="T107" s="10">
        <v>101.5</v>
      </c>
      <c r="U107" s="10">
        <v>102.5</v>
      </c>
      <c r="V107" s="10">
        <v>101.5</v>
      </c>
      <c r="W107" s="10">
        <v>102.5</v>
      </c>
      <c r="X107" s="4" t="s">
        <v>146</v>
      </c>
      <c r="Y107" s="4" t="s">
        <v>1323</v>
      </c>
      <c r="AA107" s="10">
        <f t="shared" si="4"/>
        <v>5.5051223183760142E-2</v>
      </c>
      <c r="AB107" s="10">
        <f t="shared" si="5"/>
        <v>1.7231003149387185E-2</v>
      </c>
      <c r="AC107" s="10">
        <f t="shared" si="6"/>
        <v>1.1263173893867053</v>
      </c>
      <c r="AD107" s="10">
        <f t="shared" si="7"/>
        <v>6.0363786710026263E-2</v>
      </c>
    </row>
    <row r="108" spans="1:30" x14ac:dyDescent="0.25">
      <c r="A108" s="33" t="s">
        <v>1324</v>
      </c>
      <c r="C108" s="39">
        <v>40847</v>
      </c>
      <c r="D108" s="53" t="s">
        <v>1325</v>
      </c>
      <c r="E108" s="4" t="str">
        <f>VLOOKUP(LEFT(D108,2),Sort!$A$1:$B$58,2,FALSE)</f>
        <v>Brazil</v>
      </c>
      <c r="F108" s="4" t="s">
        <v>1014</v>
      </c>
      <c r="G108" s="18">
        <v>84592599</v>
      </c>
      <c r="H108" s="18">
        <v>91134426.370000005</v>
      </c>
      <c r="I108" s="10">
        <v>4.3928757999999998E-2</v>
      </c>
      <c r="J108" s="10">
        <v>8.4666669999999993</v>
      </c>
      <c r="K108" s="10">
        <v>6.5523759999999998</v>
      </c>
      <c r="L108" s="10">
        <v>5.7189920000000001</v>
      </c>
      <c r="M108" s="10">
        <v>5.7189920000000001</v>
      </c>
      <c r="N108" s="10">
        <v>387.22359999999998</v>
      </c>
      <c r="O108" s="10">
        <v>398.4425</v>
      </c>
      <c r="P108" s="10">
        <v>6.3723150000000004</v>
      </c>
      <c r="Q108" s="10">
        <v>1.8100000000000002E-2</v>
      </c>
      <c r="R108" s="10">
        <v>3.3759816319999998</v>
      </c>
      <c r="S108" s="10">
        <v>4.7425187050000002</v>
      </c>
      <c r="T108" s="10">
        <v>107.5</v>
      </c>
      <c r="U108" s="10">
        <v>108.5</v>
      </c>
      <c r="V108" s="10">
        <v>107.5</v>
      </c>
      <c r="W108" s="10">
        <v>108.5</v>
      </c>
      <c r="X108" s="4" t="s">
        <v>146</v>
      </c>
      <c r="Y108" s="4" t="s">
        <v>1326</v>
      </c>
      <c r="AA108" s="10">
        <f t="shared" si="4"/>
        <v>1.2567060215988777E-2</v>
      </c>
      <c r="AB108" s="10">
        <f t="shared" si="5"/>
        <v>7.233675591957118E-3</v>
      </c>
      <c r="AC108" s="10">
        <f t="shared" si="6"/>
        <v>0.35989576278977753</v>
      </c>
      <c r="AD108" s="10">
        <f t="shared" si="7"/>
        <v>6.7146026646114076E-2</v>
      </c>
    </row>
    <row r="109" spans="1:30" x14ac:dyDescent="0.25">
      <c r="A109" s="33" t="s">
        <v>1327</v>
      </c>
      <c r="C109" s="39">
        <v>40847</v>
      </c>
      <c r="D109" s="53" t="s">
        <v>1328</v>
      </c>
      <c r="E109" s="4" t="str">
        <f>VLOOKUP(LEFT(D109,2),Sort!$A$1:$B$58,2,FALSE)</f>
        <v>Brazil</v>
      </c>
      <c r="F109" s="4" t="s">
        <v>1024</v>
      </c>
      <c r="G109" s="18">
        <v>422962994</v>
      </c>
      <c r="H109" s="18">
        <v>438165692.5</v>
      </c>
      <c r="I109" s="10">
        <v>0.21120530800000001</v>
      </c>
      <c r="J109" s="10">
        <v>4.233333</v>
      </c>
      <c r="K109" s="10">
        <v>3.8751609999999999</v>
      </c>
      <c r="L109" s="10">
        <v>3.0720559999999999</v>
      </c>
      <c r="M109" s="10">
        <v>3.0720559999999999</v>
      </c>
      <c r="N109" s="10">
        <v>231.29230000000001</v>
      </c>
      <c r="O109" s="10">
        <v>234.51560000000001</v>
      </c>
      <c r="P109" s="10">
        <v>3.851302</v>
      </c>
      <c r="Q109" s="10">
        <v>0.2737</v>
      </c>
      <c r="R109" s="10">
        <v>3.8925632640000001</v>
      </c>
      <c r="S109" s="10">
        <v>4.5374670000000004</v>
      </c>
      <c r="T109" s="10">
        <v>102.56100000000001</v>
      </c>
      <c r="U109" s="10">
        <v>103.161</v>
      </c>
      <c r="V109" s="10">
        <v>102.56100000000001</v>
      </c>
      <c r="W109" s="10">
        <v>103.161</v>
      </c>
      <c r="X109" s="4" t="s">
        <v>146</v>
      </c>
      <c r="Y109" s="4" t="s">
        <v>1329</v>
      </c>
      <c r="AA109" s="10">
        <f t="shared" si="4"/>
        <v>2.3179667600170571E-2</v>
      </c>
      <c r="AB109" s="10">
        <f t="shared" si="5"/>
        <v>2.1907874343477143E-2</v>
      </c>
      <c r="AC109" s="10">
        <f t="shared" si="6"/>
        <v>1.0184476732264658</v>
      </c>
      <c r="AD109" s="10">
        <f t="shared" si="7"/>
        <v>0.3069460362409851</v>
      </c>
    </row>
    <row r="110" spans="1:30" x14ac:dyDescent="0.25">
      <c r="A110" s="33" t="s">
        <v>1330</v>
      </c>
      <c r="C110" s="39">
        <v>40847</v>
      </c>
      <c r="D110" s="53" t="s">
        <v>1331</v>
      </c>
      <c r="E110" s="4" t="str">
        <f>VLOOKUP(LEFT(D110,2),Sort!$A$1:$B$58,2,FALSE)</f>
        <v>Brazil</v>
      </c>
      <c r="F110" s="4" t="s">
        <v>1024</v>
      </c>
      <c r="G110" s="18">
        <v>422962994</v>
      </c>
      <c r="H110" s="18">
        <v>462058051.5</v>
      </c>
      <c r="I110" s="10">
        <v>0.22272194100000001</v>
      </c>
      <c r="J110" s="10">
        <v>8.2166669999999993</v>
      </c>
      <c r="K110" s="10">
        <v>6.633292</v>
      </c>
      <c r="L110" s="10">
        <v>4.4763599999999997</v>
      </c>
      <c r="M110" s="10">
        <v>4.4763599999999997</v>
      </c>
      <c r="N110" s="10">
        <v>267.6438</v>
      </c>
      <c r="O110" s="10">
        <v>275.05829999999997</v>
      </c>
      <c r="P110" s="10">
        <v>6.4525300000000003</v>
      </c>
      <c r="Q110" s="10">
        <v>0.81389999999999996</v>
      </c>
      <c r="R110" s="10">
        <v>4.6571491170000003</v>
      </c>
      <c r="S110" s="10">
        <v>8.7955598049999999</v>
      </c>
      <c r="T110" s="10">
        <v>107.598</v>
      </c>
      <c r="U110" s="10">
        <v>108.666</v>
      </c>
      <c r="V110" s="10">
        <v>107.598</v>
      </c>
      <c r="W110" s="10">
        <v>108.666</v>
      </c>
      <c r="X110" s="4" t="s">
        <v>146</v>
      </c>
      <c r="Y110" s="4" t="s">
        <v>1332</v>
      </c>
      <c r="AA110" s="10">
        <f t="shared" si="4"/>
        <v>6.4502727424595535E-2</v>
      </c>
      <c r="AB110" s="10">
        <f t="shared" si="5"/>
        <v>2.8706392814755649E-2</v>
      </c>
      <c r="AC110" s="10">
        <f t="shared" si="6"/>
        <v>1.2596500541948314</v>
      </c>
      <c r="AD110" s="10">
        <f t="shared" si="7"/>
        <v>0.34095600148291794</v>
      </c>
    </row>
    <row r="111" spans="1:30" x14ac:dyDescent="0.25">
      <c r="A111" s="33" t="s">
        <v>1333</v>
      </c>
      <c r="C111" s="39">
        <v>40847</v>
      </c>
      <c r="D111" s="53" t="s">
        <v>1334</v>
      </c>
      <c r="E111" s="4" t="str">
        <f>VLOOKUP(LEFT(D111,2),Sort!$A$1:$B$58,2,FALSE)</f>
        <v>Brazil</v>
      </c>
      <c r="F111" s="4" t="s">
        <v>1024</v>
      </c>
      <c r="G111" s="18">
        <v>422962994</v>
      </c>
      <c r="H111" s="18">
        <v>450947634.10000002</v>
      </c>
      <c r="I111" s="10">
        <v>0.21736648</v>
      </c>
      <c r="J111" s="10">
        <v>9.233333</v>
      </c>
      <c r="K111" s="10">
        <v>7.3838270000000001</v>
      </c>
      <c r="L111" s="10">
        <v>4.5262779999999996</v>
      </c>
      <c r="M111" s="10">
        <v>4.5262779999999996</v>
      </c>
      <c r="N111" s="10">
        <v>253.59</v>
      </c>
      <c r="O111" s="10">
        <v>261.7876</v>
      </c>
      <c r="P111" s="10">
        <v>7.1486270000000003</v>
      </c>
      <c r="Q111" s="10">
        <v>0.90280000000000005</v>
      </c>
      <c r="R111" s="10">
        <v>5.1346937219999997</v>
      </c>
      <c r="S111" s="10">
        <v>8.2788339999999998</v>
      </c>
      <c r="T111" s="10">
        <v>105.18300000000001</v>
      </c>
      <c r="U111" s="10">
        <v>106.34</v>
      </c>
      <c r="V111" s="10">
        <v>105.18300000000001</v>
      </c>
      <c r="W111" s="10">
        <v>106.34</v>
      </c>
      <c r="X111" s="4" t="s">
        <v>146</v>
      </c>
      <c r="Y111" s="4" t="s">
        <v>1335</v>
      </c>
      <c r="AA111" s="10">
        <f t="shared" si="4"/>
        <v>7.0074506242461601E-2</v>
      </c>
      <c r="AB111" s="10">
        <f t="shared" si="5"/>
        <v>2.8328554318900006E-2</v>
      </c>
      <c r="AC111" s="10">
        <f t="shared" si="6"/>
        <v>1.1700483195420002</v>
      </c>
      <c r="AD111" s="10">
        <f t="shared" si="7"/>
        <v>0.32563485526799529</v>
      </c>
    </row>
    <row r="112" spans="1:30" x14ac:dyDescent="0.25">
      <c r="A112" s="33" t="s">
        <v>1336</v>
      </c>
      <c r="C112" s="39">
        <v>40847</v>
      </c>
      <c r="D112" s="53" t="s">
        <v>1337</v>
      </c>
      <c r="E112" s="4" t="str">
        <f>VLOOKUP(LEFT(D112,2),Sort!$A$1:$B$58,2,FALSE)</f>
        <v>Brazil</v>
      </c>
      <c r="F112" s="4" t="s">
        <v>1024</v>
      </c>
      <c r="G112" s="18">
        <v>296074096</v>
      </c>
      <c r="H112" s="18">
        <v>322495173.89999998</v>
      </c>
      <c r="I112" s="10">
        <v>0.15544962500000001</v>
      </c>
      <c r="J112" s="10">
        <v>6.3277780000000003</v>
      </c>
      <c r="K112" s="10">
        <v>5.3386240000000003</v>
      </c>
      <c r="L112" s="10">
        <v>4.2763999999999998</v>
      </c>
      <c r="M112" s="10">
        <v>4.2763999999999998</v>
      </c>
      <c r="N112" s="10">
        <v>290.23689999999999</v>
      </c>
      <c r="O112" s="10">
        <v>296.48829999999998</v>
      </c>
      <c r="P112" s="10">
        <v>5.245546</v>
      </c>
      <c r="Q112" s="10">
        <v>0.55600000000000005</v>
      </c>
      <c r="R112" s="10">
        <v>3.279712317</v>
      </c>
      <c r="S112" s="10">
        <v>6.0224467480000001</v>
      </c>
      <c r="T112" s="10">
        <v>107.91200000000001</v>
      </c>
      <c r="U112" s="10">
        <v>108.774</v>
      </c>
      <c r="V112" s="10">
        <v>107.91200000000001</v>
      </c>
      <c r="W112" s="10">
        <v>108.774</v>
      </c>
      <c r="X112" s="4" t="s">
        <v>146</v>
      </c>
      <c r="Y112" s="4" t="s">
        <v>1338</v>
      </c>
      <c r="AA112" s="10">
        <f t="shared" si="4"/>
        <v>3.7495104192135163E-2</v>
      </c>
      <c r="AB112" s="10">
        <f t="shared" si="5"/>
        <v>1.9140735215393893E-2</v>
      </c>
      <c r="AC112" s="10">
        <f t="shared" si="6"/>
        <v>0.94767493168165551</v>
      </c>
      <c r="AD112" s="10">
        <f t="shared" si="7"/>
        <v>0.23820805067207512</v>
      </c>
    </row>
    <row r="113" spans="1:30" x14ac:dyDescent="0.25">
      <c r="A113" s="33" t="s">
        <v>1339</v>
      </c>
      <c r="C113" s="39">
        <v>40847</v>
      </c>
      <c r="D113" s="53" t="s">
        <v>1340</v>
      </c>
      <c r="E113" s="4" t="str">
        <f>VLOOKUP(LEFT(D113,2),Sort!$A$1:$B$58,2,FALSE)</f>
        <v>Brazil</v>
      </c>
      <c r="F113" s="4" t="s">
        <v>1024</v>
      </c>
      <c r="G113" s="18">
        <v>152114411</v>
      </c>
      <c r="H113" s="18">
        <v>169165485.80000001</v>
      </c>
      <c r="I113" s="10">
        <v>8.1541410999999994E-2</v>
      </c>
      <c r="J113" s="10">
        <v>4.9249999999999998</v>
      </c>
      <c r="K113" s="10">
        <v>4.3117049999999999</v>
      </c>
      <c r="L113" s="10">
        <v>3.4017430000000002</v>
      </c>
      <c r="M113" s="10">
        <v>3.4017430000000002</v>
      </c>
      <c r="N113" s="10">
        <v>244.0643</v>
      </c>
      <c r="O113" s="10">
        <v>249.18440000000001</v>
      </c>
      <c r="P113" s="10">
        <v>4.2702020000000003</v>
      </c>
      <c r="Q113" s="10">
        <v>1.5299999999999999E-2</v>
      </c>
      <c r="R113" s="10">
        <v>3.9500645369999998</v>
      </c>
      <c r="S113" s="10">
        <v>5.4271862349999997</v>
      </c>
      <c r="T113" s="10">
        <v>110.75</v>
      </c>
      <c r="U113" s="10">
        <v>112.25</v>
      </c>
      <c r="V113" s="10">
        <v>110.75</v>
      </c>
      <c r="W113" s="10">
        <v>112.25</v>
      </c>
      <c r="X113" s="4" t="s">
        <v>146</v>
      </c>
      <c r="Y113" s="4" t="s">
        <v>1341</v>
      </c>
      <c r="AA113" s="10">
        <f t="shared" si="4"/>
        <v>1.5884838732899871E-2</v>
      </c>
      <c r="AB113" s="10">
        <f t="shared" si="5"/>
        <v>9.3658242303471251E-3</v>
      </c>
      <c r="AC113" s="10">
        <f t="shared" si="6"/>
        <v>0.41779306159535479</v>
      </c>
      <c r="AD113" s="10">
        <f t="shared" si="7"/>
        <v>0.12894551050070119</v>
      </c>
    </row>
    <row r="114" spans="1:30" x14ac:dyDescent="0.25">
      <c r="A114" s="33" t="s">
        <v>1342</v>
      </c>
      <c r="C114" s="39">
        <v>40847</v>
      </c>
      <c r="D114" s="53" t="s">
        <v>1343</v>
      </c>
      <c r="E114" s="4" t="str">
        <f>VLOOKUP(LEFT(D114,2),Sort!$A$1:$B$58,2,FALSE)</f>
        <v>Brazil</v>
      </c>
      <c r="F114" s="4" t="s">
        <v>1024</v>
      </c>
      <c r="G114" s="18">
        <v>169185198</v>
      </c>
      <c r="H114" s="18">
        <v>197073686</v>
      </c>
      <c r="I114" s="10">
        <v>9.4993764999999994E-2</v>
      </c>
      <c r="J114" s="10">
        <v>29.233332999999998</v>
      </c>
      <c r="K114" s="10">
        <v>13.901242999999999</v>
      </c>
      <c r="L114" s="10">
        <v>5.5503260000000001</v>
      </c>
      <c r="M114" s="10">
        <v>5.5503260000000001</v>
      </c>
      <c r="N114" s="10">
        <v>243.9273</v>
      </c>
      <c r="O114" s="10">
        <v>267.5335</v>
      </c>
      <c r="P114" s="10">
        <v>12.893297</v>
      </c>
      <c r="Q114" s="10">
        <v>2.1804999999999999</v>
      </c>
      <c r="R114" s="10">
        <v>9.9984873170000004</v>
      </c>
      <c r="S114" s="10">
        <v>18.180440999999998</v>
      </c>
      <c r="T114" s="10">
        <v>114.684</v>
      </c>
      <c r="U114" s="10">
        <v>117.241</v>
      </c>
      <c r="V114" s="10">
        <v>114.684</v>
      </c>
      <c r="W114" s="10">
        <v>117.241</v>
      </c>
      <c r="X114" s="4" t="s">
        <v>146</v>
      </c>
      <c r="Y114" s="4" t="s">
        <v>1344</v>
      </c>
      <c r="AA114" s="10">
        <f t="shared" si="4"/>
        <v>0.1407151144484923</v>
      </c>
      <c r="AB114" s="10">
        <f t="shared" si="5"/>
        <v>1.5181133751233819E-2</v>
      </c>
      <c r="AC114" s="10">
        <f t="shared" si="6"/>
        <v>0.52255911028483948</v>
      </c>
      <c r="AD114" s="10">
        <f t="shared" si="7"/>
        <v>0.15689758886471403</v>
      </c>
    </row>
    <row r="115" spans="1:30" x14ac:dyDescent="0.25">
      <c r="A115" s="33" t="s">
        <v>1345</v>
      </c>
      <c r="C115" s="39">
        <v>40847</v>
      </c>
      <c r="D115" s="53" t="s">
        <v>1346</v>
      </c>
      <c r="E115" s="4" t="str">
        <f>VLOOKUP(LEFT(D115,2),Sort!$A$1:$B$58,2,FALSE)</f>
        <v>Brazil</v>
      </c>
      <c r="F115" s="4" t="s">
        <v>1024</v>
      </c>
      <c r="G115" s="18">
        <v>253777796</v>
      </c>
      <c r="H115" s="18">
        <v>300325754.89999998</v>
      </c>
      <c r="I115" s="10">
        <v>0.144763487</v>
      </c>
      <c r="J115" s="10">
        <v>28.213889000000002</v>
      </c>
      <c r="K115" s="10">
        <v>13.644385</v>
      </c>
      <c r="L115" s="10">
        <v>5.5503349999999996</v>
      </c>
      <c r="M115" s="10">
        <v>5.5503349999999996</v>
      </c>
      <c r="N115" s="10">
        <v>249.1069</v>
      </c>
      <c r="O115" s="10">
        <v>269.68630000000002</v>
      </c>
      <c r="P115" s="10">
        <v>12.670075000000001</v>
      </c>
      <c r="Q115" s="10">
        <v>2.2738999999999998</v>
      </c>
      <c r="R115" s="10">
        <v>9.9635688410000007</v>
      </c>
      <c r="S115" s="10">
        <v>18.196753080000001</v>
      </c>
      <c r="T115" s="10">
        <v>116.375</v>
      </c>
      <c r="U115" s="10">
        <v>118.762</v>
      </c>
      <c r="V115" s="10">
        <v>116.375</v>
      </c>
      <c r="W115" s="10">
        <v>118.762</v>
      </c>
      <c r="X115" s="4" t="s">
        <v>146</v>
      </c>
      <c r="Y115" s="4" t="s">
        <v>1347</v>
      </c>
      <c r="AA115" s="10">
        <f t="shared" si="4"/>
        <v>0.21047717995377646</v>
      </c>
      <c r="AB115" s="10">
        <f t="shared" si="5"/>
        <v>2.3134965096653141E-2</v>
      </c>
      <c r="AC115" s="10">
        <f t="shared" si="6"/>
        <v>0.80274955811766135</v>
      </c>
      <c r="AD115" s="10">
        <f t="shared" si="7"/>
        <v>0.24220226266471839</v>
      </c>
    </row>
    <row r="116" spans="1:30" x14ac:dyDescent="0.25">
      <c r="A116" s="33" t="s">
        <v>1348</v>
      </c>
      <c r="C116" s="39">
        <v>40847</v>
      </c>
      <c r="D116" s="53" t="s">
        <v>1349</v>
      </c>
      <c r="E116" s="4" t="str">
        <f>VLOOKUP(LEFT(D116,2),Sort!$A$1:$B$58,2,FALSE)</f>
        <v>Brazil</v>
      </c>
      <c r="F116" s="4" t="s">
        <v>1024</v>
      </c>
      <c r="G116" s="18">
        <v>67318790</v>
      </c>
      <c r="H116" s="18">
        <v>77270750.900000006</v>
      </c>
      <c r="I116" s="10">
        <v>3.7246168000000003E-2</v>
      </c>
      <c r="J116" s="10">
        <v>2.8666670000000001</v>
      </c>
      <c r="K116" s="10">
        <v>2.597172</v>
      </c>
      <c r="L116" s="10">
        <v>2.2275</v>
      </c>
      <c r="M116" s="10">
        <v>2.2275</v>
      </c>
      <c r="N116" s="10">
        <v>184.8767</v>
      </c>
      <c r="O116" s="10">
        <v>187.0609</v>
      </c>
      <c r="P116" s="10">
        <v>2.5930010000000001</v>
      </c>
      <c r="Q116" s="10">
        <v>1.8800000000000001E-2</v>
      </c>
      <c r="R116" s="10">
        <v>2.7782619350000002</v>
      </c>
      <c r="S116" s="10">
        <v>3.2032328360000002</v>
      </c>
      <c r="T116" s="10">
        <v>113.75</v>
      </c>
      <c r="U116" s="10">
        <v>115.25</v>
      </c>
      <c r="V116" s="10">
        <v>113.75</v>
      </c>
      <c r="W116" s="10">
        <v>115.25</v>
      </c>
      <c r="X116" s="4" t="s">
        <v>146</v>
      </c>
      <c r="Y116" s="4" t="s">
        <v>1350</v>
      </c>
      <c r="AA116" s="10">
        <f t="shared" si="4"/>
        <v>2.73964901599273E-3</v>
      </c>
      <c r="AB116" s="10">
        <f t="shared" si="5"/>
        <v>2.8013384893933197E-3</v>
      </c>
      <c r="AC116" s="10">
        <f t="shared" si="6"/>
        <v>0.50647545872568089</v>
      </c>
      <c r="AD116" s="10">
        <f t="shared" si="7"/>
        <v>6.047337159374333E-2</v>
      </c>
    </row>
    <row r="117" spans="1:30" x14ac:dyDescent="0.25">
      <c r="A117" s="33" t="s">
        <v>1351</v>
      </c>
      <c r="C117" s="39">
        <v>40847</v>
      </c>
      <c r="D117" s="53" t="s">
        <v>1352</v>
      </c>
      <c r="E117" s="4" t="str">
        <f>VLOOKUP(LEFT(D117,2),Sort!$A$1:$B$58,2,FALSE)</f>
        <v>Brazil</v>
      </c>
      <c r="F117" s="4" t="s">
        <v>1024</v>
      </c>
      <c r="G117" s="18">
        <v>465259294</v>
      </c>
      <c r="H117" s="18">
        <v>566783524.5</v>
      </c>
      <c r="I117" s="10">
        <v>0.27320187600000001</v>
      </c>
      <c r="J117" s="10">
        <v>7.3666669999999996</v>
      </c>
      <c r="K117" s="10">
        <v>5.827172</v>
      </c>
      <c r="L117" s="10">
        <v>4.3762790000000003</v>
      </c>
      <c r="M117" s="10">
        <v>4.3762790000000003</v>
      </c>
      <c r="N117" s="10">
        <v>273.55900000000003</v>
      </c>
      <c r="O117" s="10">
        <v>285.81169999999997</v>
      </c>
      <c r="P117" s="10">
        <v>5.698137</v>
      </c>
      <c r="Q117" s="10">
        <v>0.72</v>
      </c>
      <c r="R117" s="10">
        <v>4.7422518780000003</v>
      </c>
      <c r="S117" s="10">
        <v>7.9460166299999999</v>
      </c>
      <c r="T117" s="10">
        <v>120.771</v>
      </c>
      <c r="U117" s="10">
        <v>121.822</v>
      </c>
      <c r="V117" s="10">
        <v>120.771</v>
      </c>
      <c r="W117" s="10">
        <v>121.822</v>
      </c>
      <c r="X117" s="4" t="s">
        <v>146</v>
      </c>
      <c r="Y117" s="4" t="s">
        <v>1353</v>
      </c>
      <c r="AA117" s="10">
        <f t="shared" si="4"/>
        <v>7.1927847718954482E-2</v>
      </c>
      <c r="AB117" s="10">
        <f t="shared" si="5"/>
        <v>3.4425423681910886E-2</v>
      </c>
      <c r="AC117" s="10">
        <f t="shared" si="6"/>
        <v>1.6055573884824237</v>
      </c>
      <c r="AD117" s="10">
        <f t="shared" si="7"/>
        <v>8.0388593490046603</v>
      </c>
    </row>
    <row r="118" spans="1:30" x14ac:dyDescent="0.25">
      <c r="A118" s="33" t="s">
        <v>1354</v>
      </c>
      <c r="C118" s="39">
        <v>40847</v>
      </c>
      <c r="D118" s="53" t="s">
        <v>1355</v>
      </c>
      <c r="E118" s="4" t="str">
        <f>VLOOKUP(LEFT(D118,2),Sort!$A$1:$B$58,2,FALSE)</f>
        <v>Brazil</v>
      </c>
      <c r="F118" s="4" t="s">
        <v>1024</v>
      </c>
      <c r="G118" s="18">
        <v>97582638</v>
      </c>
      <c r="H118" s="18">
        <v>122297135.09999999</v>
      </c>
      <c r="I118" s="10">
        <v>5.8949855000000002E-2</v>
      </c>
      <c r="J118" s="10">
        <v>7.1027779999999998</v>
      </c>
      <c r="K118" s="10">
        <v>5.5035879999999997</v>
      </c>
      <c r="L118" s="10">
        <v>4.4022889999999997</v>
      </c>
      <c r="M118" s="10">
        <v>4.4022889999999997</v>
      </c>
      <c r="N118" s="10">
        <v>281.1035</v>
      </c>
      <c r="O118" s="10">
        <v>294.53559999999999</v>
      </c>
      <c r="P118" s="10">
        <v>5.3870690000000003</v>
      </c>
      <c r="Q118" s="10">
        <v>1.8599999999999998E-2</v>
      </c>
      <c r="R118" s="10">
        <v>4.286560315</v>
      </c>
      <c r="S118" s="10">
        <v>6.3924514309999996</v>
      </c>
      <c r="T118" s="10">
        <v>122</v>
      </c>
      <c r="U118" s="10">
        <v>124</v>
      </c>
      <c r="V118" s="10">
        <v>122</v>
      </c>
      <c r="W118" s="10">
        <v>124</v>
      </c>
      <c r="X118" s="4" t="s">
        <v>146</v>
      </c>
      <c r="Y118" s="4" t="s">
        <v>1356</v>
      </c>
      <c r="AA118" s="10">
        <f t="shared" si="4"/>
        <v>1.4658320356269926E-2</v>
      </c>
      <c r="AB118" s="10">
        <f t="shared" si="5"/>
        <v>7.4722588450134584E-3</v>
      </c>
      <c r="AC118" s="10">
        <f t="shared" si="6"/>
        <v>0.35701189890624124</v>
      </c>
      <c r="AD118" s="10">
        <f t="shared" si="7"/>
        <v>1.7655883563133148</v>
      </c>
    </row>
    <row r="119" spans="1:30" x14ac:dyDescent="0.25">
      <c r="A119" s="33" t="s">
        <v>1357</v>
      </c>
      <c r="C119" s="39">
        <v>40847</v>
      </c>
      <c r="D119" s="53" t="s">
        <v>1358</v>
      </c>
      <c r="E119" s="4" t="str">
        <f>VLOOKUP(LEFT(D119,2),Sort!$A$1:$B$58,2,FALSE)</f>
        <v>Brazil</v>
      </c>
      <c r="F119" s="4" t="s">
        <v>1024</v>
      </c>
      <c r="G119" s="18">
        <v>63314177</v>
      </c>
      <c r="H119" s="18">
        <v>71904020.260000005</v>
      </c>
      <c r="I119" s="10">
        <v>3.4659288000000003E-2</v>
      </c>
      <c r="J119" s="10">
        <v>1.663889</v>
      </c>
      <c r="K119" s="10">
        <v>1.5335080000000001</v>
      </c>
      <c r="L119" s="10">
        <v>2.055968</v>
      </c>
      <c r="M119" s="10">
        <v>2.055968</v>
      </c>
      <c r="N119" s="10">
        <v>185.97210000000001</v>
      </c>
      <c r="O119" s="10">
        <v>186.62620000000001</v>
      </c>
      <c r="P119" s="10">
        <v>1.5298290000000001</v>
      </c>
      <c r="Q119" s="10">
        <v>2.23E-2</v>
      </c>
      <c r="R119" s="10">
        <v>1.5284852929999999</v>
      </c>
      <c r="S119" s="10">
        <v>2.191721738</v>
      </c>
      <c r="T119" s="10">
        <v>110.5</v>
      </c>
      <c r="U119" s="10">
        <v>111.5</v>
      </c>
      <c r="V119" s="10">
        <v>110.5</v>
      </c>
      <c r="W119" s="10">
        <v>111.5</v>
      </c>
      <c r="X119" s="4" t="s">
        <v>146</v>
      </c>
      <c r="Y119" s="4" t="s">
        <v>1359</v>
      </c>
      <c r="AA119" s="10">
        <f t="shared" si="4"/>
        <v>6.719871132638105E-3</v>
      </c>
      <c r="AB119" s="10">
        <f t="shared" si="5"/>
        <v>2.4060368078407607E-3</v>
      </c>
      <c r="AC119" s="10">
        <f t="shared" si="6"/>
        <v>0.47020369827941888</v>
      </c>
      <c r="AD119" s="10">
        <f t="shared" si="7"/>
        <v>5.4442261399518938E-2</v>
      </c>
    </row>
    <row r="120" spans="1:30" x14ac:dyDescent="0.25">
      <c r="A120" s="33" t="s">
        <v>1360</v>
      </c>
      <c r="C120" s="39">
        <v>40847</v>
      </c>
      <c r="D120" s="53" t="s">
        <v>1361</v>
      </c>
      <c r="E120" s="4" t="str">
        <f>VLOOKUP(LEFT(D120,2),Sort!$A$1:$B$58,2,FALSE)</f>
        <v>Brazil</v>
      </c>
      <c r="F120" s="4" t="s">
        <v>1024</v>
      </c>
      <c r="G120" s="18">
        <v>118429638</v>
      </c>
      <c r="H120" s="18">
        <v>120975875.2</v>
      </c>
      <c r="I120" s="10">
        <v>5.831298E-2</v>
      </c>
      <c r="J120" s="10">
        <v>3.5155439999999998</v>
      </c>
      <c r="K120" s="10">
        <v>3.079548</v>
      </c>
      <c r="L120" s="10">
        <v>4.6903629999999996</v>
      </c>
      <c r="M120" s="10">
        <v>4.6903629999999996</v>
      </c>
      <c r="N120" s="10">
        <v>414.08240000000001</v>
      </c>
      <c r="O120" s="10">
        <v>384.37650000000002</v>
      </c>
      <c r="P120" s="10">
        <v>3.049687</v>
      </c>
      <c r="Q120" s="10">
        <v>-0.71479999999999999</v>
      </c>
      <c r="R120" s="10">
        <v>8.6798485579999998</v>
      </c>
      <c r="S120" s="10">
        <v>1.8360070390000001</v>
      </c>
      <c r="T120" s="10">
        <v>100.75</v>
      </c>
      <c r="U120" s="10">
        <v>101.75</v>
      </c>
      <c r="V120" s="10">
        <v>100.75</v>
      </c>
      <c r="W120" s="10">
        <v>101.75</v>
      </c>
      <c r="X120" s="4" t="s">
        <v>146</v>
      </c>
      <c r="Y120" s="4" t="s">
        <v>1362</v>
      </c>
      <c r="AA120" s="10">
        <f t="shared" si="4"/>
        <v>5.0858650625473546E-3</v>
      </c>
      <c r="AB120" s="10">
        <f t="shared" si="5"/>
        <v>7.8752128865124359E-3</v>
      </c>
      <c r="AC120" s="10">
        <f t="shared" si="6"/>
        <v>0.46087612788440768</v>
      </c>
      <c r="AD120" s="10">
        <f t="shared" si="7"/>
        <v>8.3587494291125539E-2</v>
      </c>
    </row>
    <row r="121" spans="1:30" x14ac:dyDescent="0.25">
      <c r="A121" s="33" t="s">
        <v>1363</v>
      </c>
      <c r="C121" s="39">
        <v>40847</v>
      </c>
      <c r="D121" s="53" t="s">
        <v>1364</v>
      </c>
      <c r="E121" s="4" t="str">
        <f>VLOOKUP(LEFT(D121,2),Sort!$A$1:$B$58,2,FALSE)</f>
        <v>Brazil</v>
      </c>
      <c r="F121" s="4" t="s">
        <v>1037</v>
      </c>
      <c r="G121" s="18">
        <v>84016692</v>
      </c>
      <c r="H121" s="18">
        <v>67178054.829999998</v>
      </c>
      <c r="I121" s="10">
        <v>3.2381269999999997E-2</v>
      </c>
      <c r="J121" s="10">
        <v>37.488889</v>
      </c>
      <c r="K121" s="10">
        <v>6.8653250000000003</v>
      </c>
      <c r="L121" s="10">
        <v>13.8161</v>
      </c>
      <c r="M121" s="10">
        <v>13.8161</v>
      </c>
      <c r="N121" s="10">
        <v>1028.5663999999999</v>
      </c>
      <c r="O121" s="10">
        <v>1158.7715000000001</v>
      </c>
      <c r="P121" s="10">
        <v>6.5367790000000001</v>
      </c>
      <c r="Q121" s="10">
        <v>3.8699999999999998E-2</v>
      </c>
      <c r="R121" s="10">
        <v>-0.16820580500000001</v>
      </c>
      <c r="S121" s="10">
        <v>-10.260093149999999</v>
      </c>
      <c r="T121" s="10">
        <v>79</v>
      </c>
      <c r="U121" s="10">
        <v>82</v>
      </c>
      <c r="V121" s="10">
        <v>79</v>
      </c>
      <c r="W121" s="10">
        <v>82</v>
      </c>
      <c r="X121" s="4" t="s">
        <v>146</v>
      </c>
      <c r="Y121" s="4" t="s">
        <v>1365</v>
      </c>
      <c r="AA121" s="10">
        <f t="shared" si="4"/>
        <v>9.7060147410682439E-3</v>
      </c>
      <c r="AB121" s="10">
        <f t="shared" si="5"/>
        <v>5.8574509424354784E-2</v>
      </c>
      <c r="AC121" s="10">
        <f t="shared" si="6"/>
        <v>5.7679078194506399</v>
      </c>
      <c r="AD121" s="10">
        <f t="shared" si="7"/>
        <v>0.11547516627575589</v>
      </c>
    </row>
    <row r="122" spans="1:30" x14ac:dyDescent="0.25">
      <c r="A122" s="33" t="s">
        <v>1366</v>
      </c>
      <c r="C122" s="39">
        <v>40847</v>
      </c>
      <c r="D122" s="53" t="s">
        <v>1367</v>
      </c>
      <c r="E122" s="4" t="str">
        <f>VLOOKUP(LEFT(D122,2),Sort!$A$1:$B$58,2,FALSE)</f>
        <v>Brazil</v>
      </c>
      <c r="F122" s="4" t="s">
        <v>1014</v>
      </c>
      <c r="G122" s="18">
        <v>109970378</v>
      </c>
      <c r="H122" s="18">
        <v>103517254.59999999</v>
      </c>
      <c r="I122" s="10">
        <v>4.9897548E-2</v>
      </c>
      <c r="J122" s="10">
        <v>9.2277780000000007</v>
      </c>
      <c r="K122" s="10">
        <v>6.9849389999999998</v>
      </c>
      <c r="L122" s="10">
        <v>6.7580809999999998</v>
      </c>
      <c r="M122" s="10">
        <v>6.7580809999999998</v>
      </c>
      <c r="N122" s="10">
        <v>476.87439999999998</v>
      </c>
      <c r="O122" s="10">
        <v>488.29329999999999</v>
      </c>
      <c r="P122" s="10">
        <v>6.7671640000000002</v>
      </c>
      <c r="Q122" s="10">
        <v>-2.0638000000000001</v>
      </c>
      <c r="R122" s="10">
        <v>4.0994686329999999</v>
      </c>
      <c r="S122" s="10">
        <v>-4.4995737000000001E-2</v>
      </c>
      <c r="T122" s="10">
        <v>92.5</v>
      </c>
      <c r="U122" s="10">
        <v>94</v>
      </c>
      <c r="V122" s="10">
        <v>92.5</v>
      </c>
      <c r="W122" s="10">
        <v>94</v>
      </c>
      <c r="X122" s="4" t="s">
        <v>146</v>
      </c>
      <c r="Y122" s="4" t="s">
        <v>1368</v>
      </c>
      <c r="AA122" s="10">
        <f t="shared" si="4"/>
        <v>1.5216955970328693E-2</v>
      </c>
      <c r="AB122" s="10">
        <f t="shared" si="5"/>
        <v>1.8856051440766637E-2</v>
      </c>
      <c r="AC122" s="10">
        <f t="shared" si="6"/>
        <v>1.4307089016248806</v>
      </c>
      <c r="AD122" s="10">
        <f t="shared" si="7"/>
        <v>0.2039801554703575</v>
      </c>
    </row>
    <row r="123" spans="1:30" x14ac:dyDescent="0.25">
      <c r="A123" s="33" t="s">
        <v>1369</v>
      </c>
      <c r="C123" s="39">
        <v>40847</v>
      </c>
      <c r="D123" s="53" t="s">
        <v>1370</v>
      </c>
      <c r="E123" s="4" t="str">
        <f>VLOOKUP(LEFT(D123,2),Sort!$A$1:$B$58,2,FALSE)</f>
        <v>Brazil</v>
      </c>
      <c r="F123" s="4" t="s">
        <v>1014</v>
      </c>
      <c r="G123" s="18">
        <v>50755559</v>
      </c>
      <c r="H123" s="18">
        <v>49316075.009999998</v>
      </c>
      <c r="I123" s="10">
        <v>2.3771410999999999E-2</v>
      </c>
      <c r="J123" s="10">
        <v>5.4777779999999998</v>
      </c>
      <c r="K123" s="10">
        <v>4.4681990000000003</v>
      </c>
      <c r="L123" s="10">
        <v>7.6009310000000001</v>
      </c>
      <c r="M123" s="10">
        <v>7.6009310000000001</v>
      </c>
      <c r="N123" s="10">
        <v>647.72249999999997</v>
      </c>
      <c r="O123" s="10">
        <v>655.5489</v>
      </c>
      <c r="P123" s="10">
        <v>4.4135059999999999</v>
      </c>
      <c r="Q123" s="10">
        <v>2.1100000000000001E-2</v>
      </c>
      <c r="R123" s="10">
        <v>2.6941015070000001</v>
      </c>
      <c r="S123" s="10">
        <v>0.80747371499999998</v>
      </c>
      <c r="T123" s="10">
        <v>97</v>
      </c>
      <c r="U123" s="10">
        <v>99</v>
      </c>
      <c r="V123" s="10">
        <v>97</v>
      </c>
      <c r="W123" s="10">
        <v>99</v>
      </c>
      <c r="X123" s="4" t="s">
        <v>146</v>
      </c>
      <c r="Y123" s="4" t="s">
        <v>1371</v>
      </c>
      <c r="AA123" s="10">
        <f t="shared" si="4"/>
        <v>4.7989146051201628E-3</v>
      </c>
      <c r="AB123" s="10">
        <f t="shared" si="5"/>
        <v>1.0103454980006747E-2</v>
      </c>
      <c r="AC123" s="10">
        <f t="shared" si="6"/>
        <v>1.7558538586681509</v>
      </c>
      <c r="AD123" s="10">
        <f t="shared" si="7"/>
        <v>0.10234603410178973</v>
      </c>
    </row>
    <row r="124" spans="1:30" x14ac:dyDescent="0.25">
      <c r="A124" s="33" t="s">
        <v>1372</v>
      </c>
      <c r="C124" s="39">
        <v>40847</v>
      </c>
      <c r="D124" s="53" t="s">
        <v>1373</v>
      </c>
      <c r="E124" s="4" t="str">
        <f>VLOOKUP(LEFT(D124,2),Sort!$A$1:$B$58,2,FALSE)</f>
        <v>Brazil</v>
      </c>
      <c r="F124" s="4" t="s">
        <v>1014</v>
      </c>
      <c r="G124" s="18">
        <v>50755559</v>
      </c>
      <c r="H124" s="18">
        <v>54298579.219999999</v>
      </c>
      <c r="I124" s="10">
        <v>2.6173086000000002E-2</v>
      </c>
      <c r="J124" s="10">
        <v>8.2388890000000004</v>
      </c>
      <c r="K124" s="10">
        <v>5.7012790000000004</v>
      </c>
      <c r="L124" s="10">
        <v>8.3873650000000008</v>
      </c>
      <c r="M124" s="10">
        <v>8.3873650000000008</v>
      </c>
      <c r="N124" s="10">
        <v>658.32799999999997</v>
      </c>
      <c r="O124" s="10">
        <v>676.49469999999997</v>
      </c>
      <c r="P124" s="10">
        <v>5.5577480000000001</v>
      </c>
      <c r="Q124" s="10">
        <v>2.47E-2</v>
      </c>
      <c r="R124" s="10">
        <v>7.2576362100000003</v>
      </c>
      <c r="S124" s="10">
        <v>4.2821931040000001</v>
      </c>
      <c r="T124" s="10">
        <v>104.5</v>
      </c>
      <c r="U124" s="10">
        <v>106.5</v>
      </c>
      <c r="V124" s="10">
        <v>104.5</v>
      </c>
      <c r="W124" s="10">
        <v>106.5</v>
      </c>
      <c r="X124" s="4" t="s">
        <v>146</v>
      </c>
      <c r="Y124" s="4" t="s">
        <v>1374</v>
      </c>
      <c r="AA124" s="10">
        <f t="shared" si="4"/>
        <v>6.7419072056534657E-3</v>
      </c>
      <c r="AB124" s="10">
        <f t="shared" si="5"/>
        <v>2.7449566985698663E-2</v>
      </c>
      <c r="AC124" s="10">
        <f t="shared" si="6"/>
        <v>1.9950217432179198</v>
      </c>
      <c r="AD124" s="10">
        <f t="shared" si="7"/>
        <v>3.9268669764357653E-2</v>
      </c>
    </row>
    <row r="125" spans="1:30" x14ac:dyDescent="0.25">
      <c r="A125" s="33" t="s">
        <v>1375</v>
      </c>
      <c r="C125" s="39">
        <v>40847</v>
      </c>
      <c r="D125" s="53" t="s">
        <v>1376</v>
      </c>
      <c r="E125" s="4" t="str">
        <f>VLOOKUP(LEFT(D125,2),Sort!$A$1:$B$58,2,FALSE)</f>
        <v>Brazil</v>
      </c>
      <c r="F125" s="4" t="s">
        <v>1014</v>
      </c>
      <c r="G125" s="18">
        <v>84592599</v>
      </c>
      <c r="H125" s="18">
        <v>88813416.939999998</v>
      </c>
      <c r="I125" s="10">
        <v>4.2809980999999997E-2</v>
      </c>
      <c r="J125" s="10">
        <v>9.5833329999999997</v>
      </c>
      <c r="K125" s="10">
        <v>6.4715319999999998</v>
      </c>
      <c r="L125" s="10">
        <v>7.9206700000000003</v>
      </c>
      <c r="M125" s="10">
        <v>7.9206700000000003</v>
      </c>
      <c r="N125" s="10">
        <v>586.47260000000006</v>
      </c>
      <c r="O125" s="10">
        <v>607.11350000000004</v>
      </c>
      <c r="P125" s="10">
        <v>6.2722490000000004</v>
      </c>
      <c r="Q125" s="10">
        <v>2.2200000000000001E-2</v>
      </c>
      <c r="R125" s="10">
        <v>11.88363414</v>
      </c>
      <c r="S125" s="10">
        <v>3.1789329999999998</v>
      </c>
      <c r="T125" s="10">
        <v>101.5</v>
      </c>
      <c r="U125" s="10">
        <v>103</v>
      </c>
      <c r="V125" s="10">
        <v>101.5</v>
      </c>
      <c r="W125" s="10">
        <v>103</v>
      </c>
      <c r="X125" s="4" t="s">
        <v>146</v>
      </c>
      <c r="Y125" s="4" t="s">
        <v>1377</v>
      </c>
      <c r="AA125" s="10">
        <f t="shared" si="4"/>
        <v>1.2095897636194912E-2</v>
      </c>
      <c r="AB125" s="10">
        <f t="shared" si="5"/>
        <v>1.8960732655304822E-2</v>
      </c>
      <c r="AC125" s="10">
        <f t="shared" si="6"/>
        <v>2.9284865794097481</v>
      </c>
      <c r="AD125" s="10">
        <f t="shared" si="7"/>
        <v>6.2118923330217998E-2</v>
      </c>
    </row>
    <row r="126" spans="1:30" x14ac:dyDescent="0.25">
      <c r="A126" s="33" t="s">
        <v>1378</v>
      </c>
      <c r="C126" s="39">
        <v>40847</v>
      </c>
      <c r="D126" s="53" t="s">
        <v>1379</v>
      </c>
      <c r="E126" s="4" t="str">
        <f>VLOOKUP(LEFT(D126,2),Sort!$A$1:$B$58,2,FALSE)</f>
        <v>Brazil</v>
      </c>
      <c r="F126" s="4" t="s">
        <v>1081</v>
      </c>
      <c r="G126" s="18">
        <v>302338178</v>
      </c>
      <c r="H126" s="18">
        <v>303555929.69999999</v>
      </c>
      <c r="I126" s="10">
        <v>0.14632050099999999</v>
      </c>
      <c r="J126" s="10">
        <v>8.9722220000000004</v>
      </c>
      <c r="K126" s="10">
        <v>7.1831250000000004</v>
      </c>
      <c r="L126" s="10">
        <v>5.3226979999999999</v>
      </c>
      <c r="M126" s="10">
        <v>5.3226979999999999</v>
      </c>
      <c r="N126" s="10">
        <v>338.12349999999998</v>
      </c>
      <c r="O126" s="10">
        <v>346.48809999999997</v>
      </c>
      <c r="P126" s="10">
        <v>6.9645029999999997</v>
      </c>
      <c r="Q126" s="10">
        <v>-0.23319999999999999</v>
      </c>
      <c r="R126" s="10">
        <v>6.1807222470000003</v>
      </c>
      <c r="S126" s="10">
        <v>9.1922167669999997</v>
      </c>
      <c r="T126" s="10">
        <v>100.25</v>
      </c>
      <c r="U126" s="10">
        <v>101.25</v>
      </c>
      <c r="V126" s="10">
        <v>100.25</v>
      </c>
      <c r="W126" s="10">
        <v>101.25</v>
      </c>
      <c r="X126" s="4" t="s">
        <v>146</v>
      </c>
      <c r="Y126" s="4" t="s">
        <v>1380</v>
      </c>
      <c r="AA126" s="10">
        <f t="shared" si="4"/>
        <v>4.5888574381185009E-2</v>
      </c>
      <c r="AB126" s="10">
        <f t="shared" si="5"/>
        <v>2.2424750585401883E-2</v>
      </c>
      <c r="AC126" s="10">
        <f t="shared" si="6"/>
        <v>1.0424510166275263</v>
      </c>
      <c r="AD126" s="10">
        <f t="shared" si="7"/>
        <v>0.20870933230237121</v>
      </c>
    </row>
    <row r="127" spans="1:30" x14ac:dyDescent="0.25">
      <c r="A127" s="33" t="s">
        <v>1381</v>
      </c>
      <c r="C127" s="39">
        <v>40847</v>
      </c>
      <c r="D127" s="53" t="s">
        <v>1382</v>
      </c>
      <c r="E127" s="4" t="str">
        <f>VLOOKUP(LEFT(D127,2),Sort!$A$1:$B$58,2,FALSE)</f>
        <v>Brazil</v>
      </c>
      <c r="F127" s="4" t="s">
        <v>1214</v>
      </c>
      <c r="G127" s="18">
        <v>67674079</v>
      </c>
      <c r="H127" s="18">
        <v>75703326.269999996</v>
      </c>
      <c r="I127" s="10">
        <v>3.6490635E-2</v>
      </c>
      <c r="J127" s="10">
        <v>6.2083329999999997</v>
      </c>
      <c r="K127" s="10">
        <v>5.0227170000000001</v>
      </c>
      <c r="L127" s="10">
        <v>5.1103129999999997</v>
      </c>
      <c r="M127" s="10">
        <v>5.1103129999999997</v>
      </c>
      <c r="N127" s="10">
        <v>377.14589999999998</v>
      </c>
      <c r="O127" s="10">
        <v>385.1703</v>
      </c>
      <c r="P127" s="10">
        <v>4.9373639999999996</v>
      </c>
      <c r="Q127" s="10">
        <v>-0.2051</v>
      </c>
      <c r="R127" s="10">
        <v>4.9871939010000004</v>
      </c>
      <c r="S127" s="10">
        <v>4.9598194449999999</v>
      </c>
      <c r="T127" s="10">
        <v>109.75</v>
      </c>
      <c r="U127" s="10">
        <v>111.25</v>
      </c>
      <c r="V127" s="10">
        <v>109.75</v>
      </c>
      <c r="W127" s="10">
        <v>111.25</v>
      </c>
      <c r="X127" s="4" t="s">
        <v>146</v>
      </c>
      <c r="Y127" s="4" t="s">
        <v>1383</v>
      </c>
      <c r="AA127" s="10">
        <f t="shared" si="4"/>
        <v>8.2808645585040093E-3</v>
      </c>
      <c r="AB127" s="10">
        <f t="shared" si="5"/>
        <v>5.3693230900839451E-3</v>
      </c>
      <c r="AC127" s="10">
        <f t="shared" si="6"/>
        <v>0.28899901777523673</v>
      </c>
      <c r="AD127" s="10">
        <f t="shared" si="7"/>
        <v>5.7190395201943335E-2</v>
      </c>
    </row>
    <row r="128" spans="1:30" x14ac:dyDescent="0.25">
      <c r="A128" s="33" t="s">
        <v>1384</v>
      </c>
      <c r="C128" s="39">
        <v>40847</v>
      </c>
      <c r="D128" s="53" t="s">
        <v>1385</v>
      </c>
      <c r="E128" s="4" t="str">
        <f>VLOOKUP(LEFT(D128,2),Sort!$A$1:$B$58,2,FALSE)</f>
        <v>Brazil</v>
      </c>
      <c r="F128" s="4" t="s">
        <v>1214</v>
      </c>
      <c r="G128" s="18">
        <v>169185198</v>
      </c>
      <c r="H128" s="18">
        <v>172416071.90000001</v>
      </c>
      <c r="I128" s="10">
        <v>8.3108263000000002E-2</v>
      </c>
      <c r="J128" s="10">
        <v>8.8666669999999996</v>
      </c>
      <c r="K128" s="10">
        <v>7.3847420000000001</v>
      </c>
      <c r="L128" s="10">
        <v>4.2463230000000003</v>
      </c>
      <c r="M128" s="10">
        <v>4.2463230000000003</v>
      </c>
      <c r="N128" s="10">
        <v>232.46340000000001</v>
      </c>
      <c r="O128" s="10">
        <v>237.5128</v>
      </c>
      <c r="P128" s="10">
        <v>7.1575009999999999</v>
      </c>
      <c r="Q128" s="10">
        <v>0.6129</v>
      </c>
      <c r="R128" s="10">
        <v>4.9663438019999999</v>
      </c>
      <c r="S128" s="10">
        <v>6.2212036409999998</v>
      </c>
      <c r="T128" s="10">
        <v>101.29300000000001</v>
      </c>
      <c r="U128" s="10">
        <v>102.76900000000001</v>
      </c>
      <c r="V128" s="10">
        <v>101.29300000000001</v>
      </c>
      <c r="W128" s="10">
        <v>102.76900000000001</v>
      </c>
      <c r="X128" s="4" t="s">
        <v>146</v>
      </c>
      <c r="Y128" s="4" t="s">
        <v>1386</v>
      </c>
      <c r="AA128" s="10">
        <f t="shared" si="4"/>
        <v>2.6795723903389895E-2</v>
      </c>
      <c r="AB128" s="10">
        <f t="shared" si="5"/>
        <v>1.0161266628218656E-2</v>
      </c>
      <c r="AC128" s="10">
        <f t="shared" si="6"/>
        <v>0.40587600670092167</v>
      </c>
      <c r="AD128" s="10">
        <f t="shared" si="7"/>
        <v>0.12032281754691786</v>
      </c>
    </row>
    <row r="129" spans="1:30" x14ac:dyDescent="0.25">
      <c r="A129" s="33" t="s">
        <v>1387</v>
      </c>
      <c r="C129" s="39">
        <v>40847</v>
      </c>
      <c r="D129" s="53" t="s">
        <v>1388</v>
      </c>
      <c r="E129" s="4" t="str">
        <f>VLOOKUP(LEFT(D129,2),Sort!$A$1:$B$58,2,FALSE)</f>
        <v>Brazil</v>
      </c>
      <c r="F129" s="4" t="s">
        <v>1214</v>
      </c>
      <c r="G129" s="18">
        <v>169185198</v>
      </c>
      <c r="H129" s="18">
        <v>185080147.40000001</v>
      </c>
      <c r="I129" s="10">
        <v>8.9212620000000006E-2</v>
      </c>
      <c r="J129" s="10">
        <v>7.8694439999999997</v>
      </c>
      <c r="K129" s="10">
        <v>6.5015020000000003</v>
      </c>
      <c r="L129" s="10">
        <v>4.1163860000000003</v>
      </c>
      <c r="M129" s="10">
        <v>4.1163860000000003</v>
      </c>
      <c r="N129" s="10">
        <v>238.15100000000001</v>
      </c>
      <c r="O129" s="10">
        <v>245.2355</v>
      </c>
      <c r="P129" s="10">
        <v>6.334282</v>
      </c>
      <c r="Q129" s="10">
        <v>0.54279999999999995</v>
      </c>
      <c r="R129" s="10">
        <v>4.2835425799999998</v>
      </c>
      <c r="S129" s="10">
        <v>6.0549975519999997</v>
      </c>
      <c r="T129" s="10">
        <v>108.645</v>
      </c>
      <c r="U129" s="10">
        <v>110.045</v>
      </c>
      <c r="V129" s="10">
        <v>108.645</v>
      </c>
      <c r="W129" s="10">
        <v>110.045</v>
      </c>
      <c r="X129" s="4" t="s">
        <v>146</v>
      </c>
      <c r="Y129" s="4" t="s">
        <v>1389</v>
      </c>
      <c r="AA129" s="10">
        <f t="shared" si="4"/>
        <v>2.5323629912378583E-2</v>
      </c>
      <c r="AB129" s="10">
        <f t="shared" si="5"/>
        <v>1.0573846559116262E-2</v>
      </c>
      <c r="AC129" s="10">
        <f t="shared" si="6"/>
        <v>0.44985420861953168</v>
      </c>
      <c r="AD129" s="10">
        <f t="shared" si="7"/>
        <v>0.13830512305606155</v>
      </c>
    </row>
    <row r="130" spans="1:30" x14ac:dyDescent="0.25">
      <c r="A130" s="33" t="s">
        <v>1390</v>
      </c>
      <c r="C130" s="39">
        <v>40847</v>
      </c>
      <c r="D130" s="53" t="s">
        <v>1391</v>
      </c>
      <c r="E130" s="4" t="str">
        <f>VLOOKUP(LEFT(D130,2),Sort!$A$1:$B$58,2,FALSE)</f>
        <v>Brazil</v>
      </c>
      <c r="F130" s="4" t="s">
        <v>1214</v>
      </c>
      <c r="G130" s="18">
        <v>169185198</v>
      </c>
      <c r="H130" s="18">
        <v>192460756.90000001</v>
      </c>
      <c r="I130" s="10">
        <v>9.2770232999999994E-2</v>
      </c>
      <c r="J130" s="10">
        <v>4.1888889999999996</v>
      </c>
      <c r="K130" s="10">
        <v>3.6817129999999998</v>
      </c>
      <c r="L130" s="10">
        <v>3.0120420000000001</v>
      </c>
      <c r="M130" s="10">
        <v>3.0120420000000001</v>
      </c>
      <c r="N130" s="10">
        <v>226.58860000000001</v>
      </c>
      <c r="O130" s="10">
        <v>231.19220000000001</v>
      </c>
      <c r="P130" s="10">
        <v>3.6594890000000002</v>
      </c>
      <c r="Q130" s="10">
        <v>0.2974</v>
      </c>
      <c r="R130" s="10">
        <v>2.9802201679999998</v>
      </c>
      <c r="S130" s="10">
        <v>5.3205099899999997</v>
      </c>
      <c r="T130" s="10">
        <v>111.813</v>
      </c>
      <c r="U130" s="10">
        <v>112.648</v>
      </c>
      <c r="V130" s="10">
        <v>111.813</v>
      </c>
      <c r="W130" s="10">
        <v>112.648</v>
      </c>
      <c r="X130" s="4" t="s">
        <v>146</v>
      </c>
      <c r="Y130" s="4" t="s">
        <v>1392</v>
      </c>
      <c r="AA130" s="10">
        <f t="shared" si="4"/>
        <v>9.673223079443561E-3</v>
      </c>
      <c r="AB130" s="10">
        <f t="shared" si="5"/>
        <v>9.4348707666876488E-3</v>
      </c>
      <c r="AC130" s="10">
        <f t="shared" si="6"/>
        <v>0.44100547375447319</v>
      </c>
      <c r="AD130" s="10">
        <f t="shared" si="7"/>
        <v>0.14722236528844218</v>
      </c>
    </row>
    <row r="131" spans="1:30" x14ac:dyDescent="0.25">
      <c r="A131" s="33" t="s">
        <v>1393</v>
      </c>
      <c r="C131" s="39">
        <v>40847</v>
      </c>
      <c r="D131" s="53" t="s">
        <v>1394</v>
      </c>
      <c r="E131" s="4" t="str">
        <f>VLOOKUP(LEFT(D131,2),Sort!$A$1:$B$58,2,FALSE)</f>
        <v>Brazil</v>
      </c>
      <c r="F131" s="4" t="s">
        <v>1214</v>
      </c>
      <c r="G131" s="18">
        <v>211481497</v>
      </c>
      <c r="H131" s="18">
        <v>241474037.59999999</v>
      </c>
      <c r="I131" s="10">
        <v>0.116395691</v>
      </c>
      <c r="J131" s="10">
        <v>5.2222220000000004</v>
      </c>
      <c r="K131" s="10">
        <v>4.487025</v>
      </c>
      <c r="L131" s="10">
        <v>3.4120240000000002</v>
      </c>
      <c r="M131" s="10">
        <v>3.4120240000000002</v>
      </c>
      <c r="N131" s="10">
        <v>236.358</v>
      </c>
      <c r="O131" s="10">
        <v>241.87530000000001</v>
      </c>
      <c r="P131" s="10">
        <v>4.4349109999999996</v>
      </c>
      <c r="Q131" s="10">
        <v>0.22589999999999999</v>
      </c>
      <c r="R131" s="10">
        <v>3.8670725949999998</v>
      </c>
      <c r="S131" s="10">
        <v>5.5833823090000001</v>
      </c>
      <c r="T131" s="10">
        <v>112.446</v>
      </c>
      <c r="U131" s="10">
        <v>113.464</v>
      </c>
      <c r="V131" s="10">
        <v>112.446</v>
      </c>
      <c r="W131" s="10">
        <v>113.464</v>
      </c>
      <c r="X131" s="4" t="s">
        <v>146</v>
      </c>
      <c r="Y131" s="4" t="s">
        <v>1395</v>
      </c>
      <c r="AA131" s="10">
        <f t="shared" si="4"/>
        <v>2.3596682200425066E-2</v>
      </c>
      <c r="AB131" s="10">
        <f t="shared" si="5"/>
        <v>1.3409582735747856E-2</v>
      </c>
      <c r="AC131" s="10">
        <f t="shared" si="6"/>
        <v>0.57888270919884022</v>
      </c>
      <c r="AD131" s="10">
        <f t="shared" si="7"/>
        <v>0.18605298822974539</v>
      </c>
    </row>
    <row r="132" spans="1:30" x14ac:dyDescent="0.25">
      <c r="A132" s="33" t="s">
        <v>1396</v>
      </c>
      <c r="C132" s="39">
        <v>40847</v>
      </c>
      <c r="D132" s="53" t="s">
        <v>1397</v>
      </c>
      <c r="E132" s="4" t="str">
        <f>VLOOKUP(LEFT(D132,2),Sort!$A$1:$B$58,2,FALSE)</f>
        <v>Brazil</v>
      </c>
      <c r="F132" s="4" t="s">
        <v>1214</v>
      </c>
      <c r="G132" s="18">
        <v>422962994</v>
      </c>
      <c r="H132" s="18">
        <v>498761134.69999999</v>
      </c>
      <c r="I132" s="10">
        <v>0.240413618</v>
      </c>
      <c r="J132" s="10">
        <v>25.05</v>
      </c>
      <c r="K132" s="10">
        <v>12.804320000000001</v>
      </c>
      <c r="L132" s="10">
        <v>5.6003189999999998</v>
      </c>
      <c r="M132" s="10">
        <v>5.6003189999999998</v>
      </c>
      <c r="N132" s="10">
        <v>270.17790000000002</v>
      </c>
      <c r="O132" s="10">
        <v>281.55309999999997</v>
      </c>
      <c r="P132" s="10">
        <v>11.935504999999999</v>
      </c>
      <c r="Q132" s="10">
        <v>2.0051999999999999</v>
      </c>
      <c r="R132" s="10">
        <v>6.7677602930000003</v>
      </c>
      <c r="S132" s="10">
        <v>10.97719474</v>
      </c>
      <c r="T132" s="10">
        <v>114.827</v>
      </c>
      <c r="U132" s="10">
        <v>117.051</v>
      </c>
      <c r="V132" s="10">
        <v>114.827</v>
      </c>
      <c r="W132" s="10">
        <v>117.051</v>
      </c>
      <c r="X132" s="4" t="s">
        <v>146</v>
      </c>
      <c r="Y132" s="4" t="s">
        <v>1398</v>
      </c>
      <c r="AA132" s="10">
        <f t="shared" si="4"/>
        <v>0.32802549326211256</v>
      </c>
      <c r="AB132" s="10">
        <f t="shared" si="5"/>
        <v>3.8767022347832053E-2</v>
      </c>
      <c r="AC132" s="10">
        <f t="shared" si="6"/>
        <v>1.3918150572637493</v>
      </c>
      <c r="AD132" s="10">
        <f t="shared" si="7"/>
        <v>0.39643852224916865</v>
      </c>
    </row>
    <row r="133" spans="1:30" x14ac:dyDescent="0.25">
      <c r="A133" s="33" t="s">
        <v>1399</v>
      </c>
      <c r="C133" s="39">
        <v>40847</v>
      </c>
      <c r="D133" s="53" t="s">
        <v>1400</v>
      </c>
      <c r="E133" s="4" t="str">
        <f>VLOOKUP(LEFT(D133,2),Sort!$A$1:$B$58,2,FALSE)</f>
        <v>Brazil</v>
      </c>
      <c r="F133" s="4" t="s">
        <v>1214</v>
      </c>
      <c r="G133" s="18">
        <v>296074096</v>
      </c>
      <c r="H133" s="18">
        <v>350563036.69999999</v>
      </c>
      <c r="I133" s="10">
        <v>0.16897893999999999</v>
      </c>
      <c r="J133" s="10">
        <v>28.019444</v>
      </c>
      <c r="K133" s="10">
        <v>13.371195999999999</v>
      </c>
      <c r="L133" s="10">
        <v>5.6303140000000003</v>
      </c>
      <c r="M133" s="10">
        <v>5.6303140000000003</v>
      </c>
      <c r="N133" s="10">
        <v>258.0926</v>
      </c>
      <c r="O133" s="10">
        <v>278.4599</v>
      </c>
      <c r="P133" s="10">
        <v>12.421182999999999</v>
      </c>
      <c r="Q133" s="10">
        <v>1.8363</v>
      </c>
      <c r="R133" s="10">
        <v>7.3294619880000003</v>
      </c>
      <c r="S133" s="10">
        <v>10.962341009999999</v>
      </c>
      <c r="T133" s="10">
        <v>115.1</v>
      </c>
      <c r="U133" s="10">
        <v>117.44</v>
      </c>
      <c r="V133" s="10">
        <v>115.1</v>
      </c>
      <c r="W133" s="10">
        <v>117.44</v>
      </c>
      <c r="X133" s="4" t="s">
        <v>146</v>
      </c>
      <c r="Y133" s="4" t="s">
        <v>1401</v>
      </c>
      <c r="AA133" s="10">
        <f t="shared" ref="AA133:AA196" si="8">IF(K133&lt;1.99,($H133/$H$629)*K133,IF(AND(K133&gt;1.99,K133&lt;3.99),($H133/$H$630)*K133,IF(AND(K133&gt;3.99,K133&lt;5.99),($H133/$H$631)*K133,IF(AND(K133&gt;5.99,K133&lt;7.99),($H133/$H$632)*K133,IF(AND(K133&gt;7.99,K133&lt;9.99),($H133/$H$633)*K133,IF(K133&gt;9.99,($H133/$H$634)*K133))))))</f>
        <v>0.24076582989130796</v>
      </c>
      <c r="AB133" s="10">
        <f t="shared" ref="AB133:AB196" si="9">IF(M133&lt;1.99,($H133/$H$613)*M133,IF(AND(M133&gt;1.99,M133&lt;3.99),($H133/$H$614)*M133,IF(AND(M133&gt;3.99,M133&lt;5.99),($H133/$H$615)*M133,IF(AND(M133&gt;5.99,M133&lt;7.99),($H133/$H$616)*M133,IF(AND(M133&gt;7.99,M133&lt;9.99),($H133/$H$617)*M133,IF(M133&gt;9.99,($H133/$H$618)*M133))))))</f>
        <v>2.7394022800869139E-2</v>
      </c>
      <c r="AC133" s="10">
        <f t="shared" ref="AC133:AC196" si="10">IF(O133&lt;199.99,($H133/$H$621)*O133,IF(AND(O133&gt;199.99,O133&lt;399.99),($H133/$H$622)*O133,IF(AND(O133&gt;399.99,O133&lt;599.99),($H133/$H$623)*O133,IF(AND(O133&gt;599.99,O133&lt;799.99),($H133/$H$624)*O133,IF(AND(O133&gt;799.99,O133&lt;999.99),($H133/$H$625)*O133,IF(O133&gt;999.99,($H133/$H$626)*O133))))))</f>
        <v>0.96751431167101509</v>
      </c>
      <c r="AD133" s="10">
        <f t="shared" ref="AD133:AD196" si="11">IF(U133&lt;49.99,($H133/$H$637)*U133,IF(AND(U133&gt;49.99,U133&lt;79.99),($H133/$H$638)*U133,IF(AND(U133&gt;79.99,U133&lt;99.99),($H133/$H$639)*U133,IF(AND(U133&gt;99.99,U133&lt;119.99),($H133/$H$640)*U133,IF(AND(U133&gt;119.99,U133&lt;139.99),($H133/$H$641)*U133,IF(U133&gt;139.99,($H133/$H$642)*U133))))))</f>
        <v>0.27956981609595166</v>
      </c>
    </row>
    <row r="134" spans="1:30" x14ac:dyDescent="0.25">
      <c r="A134" s="33" t="s">
        <v>1402</v>
      </c>
      <c r="C134" s="39">
        <v>40847</v>
      </c>
      <c r="D134" s="53" t="s">
        <v>1403</v>
      </c>
      <c r="E134" s="4" t="str">
        <f>VLOOKUP(LEFT(D134,2),Sort!$A$1:$B$58,2,FALSE)</f>
        <v>Brazil</v>
      </c>
      <c r="F134" s="4" t="s">
        <v>1214</v>
      </c>
      <c r="G134" s="18">
        <v>135348158</v>
      </c>
      <c r="H134" s="18">
        <v>178099453.19999999</v>
      </c>
      <c r="I134" s="10">
        <v>8.5847775000000001E-2</v>
      </c>
      <c r="J134" s="10">
        <v>22.205556000000001</v>
      </c>
      <c r="K134" s="10">
        <v>11.653713</v>
      </c>
      <c r="L134" s="10">
        <v>5.7303410000000001</v>
      </c>
      <c r="M134" s="10">
        <v>5.7303410000000001</v>
      </c>
      <c r="N134" s="10">
        <v>297.62990000000002</v>
      </c>
      <c r="O134" s="10">
        <v>306.4282</v>
      </c>
      <c r="P134" s="10">
        <v>10.927769</v>
      </c>
      <c r="Q134" s="10">
        <v>2.1724999999999999</v>
      </c>
      <c r="R134" s="10">
        <v>7.1657675349999996</v>
      </c>
      <c r="S134" s="10">
        <v>10.2725112</v>
      </c>
      <c r="T134" s="10">
        <v>129.15700000000001</v>
      </c>
      <c r="U134" s="10">
        <v>131.416</v>
      </c>
      <c r="V134" s="10">
        <v>129.15700000000001</v>
      </c>
      <c r="W134" s="10">
        <v>131.416</v>
      </c>
      <c r="X134" s="4" t="s">
        <v>146</v>
      </c>
      <c r="Y134" s="4" t="s">
        <v>1404</v>
      </c>
      <c r="AA134" s="10">
        <f t="shared" si="8"/>
        <v>0.1066069155395004</v>
      </c>
      <c r="AB134" s="10">
        <f t="shared" si="9"/>
        <v>1.4164463429870912E-2</v>
      </c>
      <c r="AC134" s="10">
        <f t="shared" si="10"/>
        <v>0.54090367111909554</v>
      </c>
      <c r="AD134" s="10">
        <f t="shared" si="11"/>
        <v>2.7249737163582139</v>
      </c>
    </row>
    <row r="135" spans="1:30" x14ac:dyDescent="0.25">
      <c r="A135" s="33" t="s">
        <v>1405</v>
      </c>
      <c r="C135" s="39">
        <v>40847</v>
      </c>
      <c r="D135" s="53" t="s">
        <v>1406</v>
      </c>
      <c r="E135" s="4" t="str">
        <f>VLOOKUP(LEFT(D135,2),Sort!$A$1:$B$58,2,FALSE)</f>
        <v>Brazil</v>
      </c>
      <c r="F135" s="4" t="s">
        <v>1014</v>
      </c>
      <c r="G135" s="18">
        <v>50755559</v>
      </c>
      <c r="H135" s="18">
        <v>50385466.210000001</v>
      </c>
      <c r="I135" s="10">
        <v>2.4286881E-2</v>
      </c>
      <c r="J135" s="10">
        <v>6.2388890000000004</v>
      </c>
      <c r="K135" s="10">
        <v>4.3987210000000001</v>
      </c>
      <c r="L135" s="10">
        <v>10.943008000000001</v>
      </c>
      <c r="M135" s="10">
        <v>10.943008000000001</v>
      </c>
      <c r="N135" s="10">
        <v>959.51549999999997</v>
      </c>
      <c r="O135" s="10">
        <v>974.4982</v>
      </c>
      <c r="P135" s="10">
        <v>4.3285359999999997</v>
      </c>
      <c r="Q135" s="10">
        <v>-0.47210000000000002</v>
      </c>
      <c r="R135" s="10">
        <v>6.7954641230000004</v>
      </c>
      <c r="S135" s="10">
        <v>4.9624459999999999</v>
      </c>
      <c r="T135" s="10">
        <v>96.5</v>
      </c>
      <c r="U135" s="10">
        <v>98</v>
      </c>
      <c r="V135" s="10">
        <v>96.5</v>
      </c>
      <c r="W135" s="10">
        <v>98</v>
      </c>
      <c r="X135" s="4" t="s">
        <v>146</v>
      </c>
      <c r="Y135" s="4" t="s">
        <v>1407</v>
      </c>
      <c r="AA135" s="10">
        <f t="shared" si="8"/>
        <v>4.8267378095627608E-3</v>
      </c>
      <c r="AB135" s="10">
        <f t="shared" si="9"/>
        <v>3.4796676500412758E-2</v>
      </c>
      <c r="AC135" s="10">
        <f t="shared" si="10"/>
        <v>4.5518225432753248</v>
      </c>
      <c r="AD135" s="10">
        <f t="shared" si="11"/>
        <v>0.10350913432168236</v>
      </c>
    </row>
    <row r="136" spans="1:30" x14ac:dyDescent="0.25">
      <c r="A136" s="33" t="s">
        <v>1408</v>
      </c>
      <c r="C136" s="39">
        <v>40847</v>
      </c>
      <c r="D136" s="53" t="s">
        <v>1409</v>
      </c>
      <c r="E136" s="4" t="str">
        <f>VLOOKUP(LEFT(D136,2),Sort!$A$1:$B$58,2,FALSE)</f>
        <v>Brazil</v>
      </c>
      <c r="F136" s="4" t="s">
        <v>1014</v>
      </c>
      <c r="G136" s="18">
        <v>126888898</v>
      </c>
      <c r="H136" s="18">
        <v>132947842.90000001</v>
      </c>
      <c r="I136" s="10">
        <v>6.4083725999999994E-2</v>
      </c>
      <c r="J136" s="10">
        <v>9.4222219999999997</v>
      </c>
      <c r="K136" s="10">
        <v>7.1111700000000004</v>
      </c>
      <c r="L136" s="10">
        <v>5.9433049999999996</v>
      </c>
      <c r="M136" s="10">
        <v>5.9433049999999996</v>
      </c>
      <c r="N136" s="10">
        <v>391.75420000000003</v>
      </c>
      <c r="O136" s="10">
        <v>405.51260000000002</v>
      </c>
      <c r="P136" s="10">
        <v>6.8878729999999999</v>
      </c>
      <c r="Q136" s="10">
        <v>-0.4572</v>
      </c>
      <c r="R136" s="10">
        <v>6.9132657960000001</v>
      </c>
      <c r="S136" s="10">
        <v>5.812095706</v>
      </c>
      <c r="T136" s="10">
        <v>104.25</v>
      </c>
      <c r="U136" s="10">
        <v>105.75</v>
      </c>
      <c r="V136" s="10">
        <v>104.25</v>
      </c>
      <c r="W136" s="10">
        <v>105.75</v>
      </c>
      <c r="X136" s="4" t="s">
        <v>146</v>
      </c>
      <c r="Y136" s="4" t="s">
        <v>1410</v>
      </c>
      <c r="AA136" s="10">
        <f t="shared" si="8"/>
        <v>1.989641253364266E-2</v>
      </c>
      <c r="AB136" s="10">
        <f t="shared" si="9"/>
        <v>1.0966458210647028E-2</v>
      </c>
      <c r="AC136" s="10">
        <f t="shared" si="10"/>
        <v>1.5259609389231581</v>
      </c>
      <c r="AD136" s="10">
        <f t="shared" si="11"/>
        <v>9.5470629734672102E-2</v>
      </c>
    </row>
    <row r="137" spans="1:30" x14ac:dyDescent="0.25">
      <c r="A137" s="33" t="s">
        <v>1411</v>
      </c>
      <c r="C137" s="39">
        <v>40847</v>
      </c>
      <c r="D137" s="53" t="s">
        <v>1412</v>
      </c>
      <c r="E137" s="4" t="str">
        <f>VLOOKUP(LEFT(D137,2),Sort!$A$1:$B$58,2,FALSE)</f>
        <v>Brazil</v>
      </c>
      <c r="F137" s="4" t="s">
        <v>1014</v>
      </c>
      <c r="G137" s="18">
        <v>169185198</v>
      </c>
      <c r="H137" s="18">
        <v>178827580.09999999</v>
      </c>
      <c r="I137" s="10">
        <v>8.6198748000000006E-2</v>
      </c>
      <c r="J137" s="10">
        <v>7.894444</v>
      </c>
      <c r="K137" s="10">
        <v>6.2402449999999998</v>
      </c>
      <c r="L137" s="10">
        <v>5.5940110000000001</v>
      </c>
      <c r="M137" s="10">
        <v>5.5940110000000001</v>
      </c>
      <c r="N137" s="10">
        <v>385.4452</v>
      </c>
      <c r="O137" s="10">
        <v>395.42989999999998</v>
      </c>
      <c r="P137" s="10">
        <v>6.0829579999999996</v>
      </c>
      <c r="Q137" s="10">
        <v>-0.4536</v>
      </c>
      <c r="R137" s="10">
        <v>8.2053114269999998</v>
      </c>
      <c r="S137" s="10">
        <v>6.5498439490000004</v>
      </c>
      <c r="T137" s="10">
        <v>105</v>
      </c>
      <c r="U137" s="10">
        <v>106.5</v>
      </c>
      <c r="V137" s="10">
        <v>105</v>
      </c>
      <c r="W137" s="10">
        <v>106.5</v>
      </c>
      <c r="X137" s="4" t="s">
        <v>146</v>
      </c>
      <c r="Y137" s="4" t="s">
        <v>1413</v>
      </c>
      <c r="AA137" s="10">
        <f t="shared" si="8"/>
        <v>2.3484891682787418E-2</v>
      </c>
      <c r="AB137" s="10">
        <f t="shared" si="9"/>
        <v>1.3884009125929039E-2</v>
      </c>
      <c r="AC137" s="10">
        <f t="shared" si="10"/>
        <v>0.7008621675466582</v>
      </c>
      <c r="AD137" s="10">
        <f t="shared" si="11"/>
        <v>0.12932789934068034</v>
      </c>
    </row>
    <row r="138" spans="1:30" x14ac:dyDescent="0.25">
      <c r="A138" s="33" t="s">
        <v>1414</v>
      </c>
      <c r="C138" s="39">
        <v>40847</v>
      </c>
      <c r="D138" s="53" t="s">
        <v>1415</v>
      </c>
      <c r="E138" s="4" t="str">
        <f>VLOOKUP(LEFT(D138,2),Sort!$A$1:$B$58,2,FALSE)</f>
        <v>Brazil</v>
      </c>
      <c r="F138" s="4" t="s">
        <v>1014</v>
      </c>
      <c r="G138" s="18">
        <v>126888898</v>
      </c>
      <c r="H138" s="18">
        <v>125383854.8</v>
      </c>
      <c r="I138" s="10">
        <v>6.0437721E-2</v>
      </c>
      <c r="J138" s="10">
        <v>29.422222000000001</v>
      </c>
      <c r="K138" s="10">
        <v>12.085304000000001</v>
      </c>
      <c r="L138" s="10">
        <v>7.2700069999999997</v>
      </c>
      <c r="M138" s="10">
        <v>7.2700069999999997</v>
      </c>
      <c r="N138" s="10">
        <v>414.93579999999997</v>
      </c>
      <c r="O138" s="10">
        <v>451.2962</v>
      </c>
      <c r="P138" s="10">
        <v>11.266983</v>
      </c>
      <c r="Q138" s="10">
        <v>-0.48330000000000001</v>
      </c>
      <c r="R138" s="10">
        <v>6.251495115</v>
      </c>
      <c r="S138" s="10">
        <v>4.5333160000000001</v>
      </c>
      <c r="T138" s="10">
        <v>98.25</v>
      </c>
      <c r="U138" s="10">
        <v>99.75</v>
      </c>
      <c r="V138" s="10">
        <v>98.25</v>
      </c>
      <c r="W138" s="10">
        <v>99.75</v>
      </c>
      <c r="X138" s="4" t="s">
        <v>146</v>
      </c>
      <c r="Y138" s="4" t="s">
        <v>1416</v>
      </c>
      <c r="AA138" s="10">
        <f t="shared" si="8"/>
        <v>7.7831906850432522E-2</v>
      </c>
      <c r="AB138" s="10">
        <f t="shared" si="9"/>
        <v>2.4569202666309364E-2</v>
      </c>
      <c r="AC138" s="10">
        <f t="shared" si="10"/>
        <v>1.6016258250842681</v>
      </c>
      <c r="AD138" s="10">
        <f t="shared" si="11"/>
        <v>0.26218137779190681</v>
      </c>
    </row>
    <row r="139" spans="1:30" x14ac:dyDescent="0.25">
      <c r="A139" s="33" t="s">
        <v>1417</v>
      </c>
      <c r="C139" s="39">
        <v>40847</v>
      </c>
      <c r="D139" s="53" t="s">
        <v>1418</v>
      </c>
      <c r="E139" s="4" t="str">
        <f>VLOOKUP(LEFT(D139,2),Sort!$A$1:$B$58,2,FALSE)</f>
        <v>Brazil</v>
      </c>
      <c r="F139" s="4" t="s">
        <v>1014</v>
      </c>
      <c r="G139" s="18">
        <v>67674079</v>
      </c>
      <c r="H139" s="18">
        <v>76320852.239999995</v>
      </c>
      <c r="I139" s="10">
        <v>3.6788295999999998E-2</v>
      </c>
      <c r="J139" s="10">
        <v>8.641667</v>
      </c>
      <c r="K139" s="10">
        <v>6.3744019999999999</v>
      </c>
      <c r="L139" s="10">
        <v>5.9519320000000002</v>
      </c>
      <c r="M139" s="10">
        <v>5.9519320000000002</v>
      </c>
      <c r="N139" s="10">
        <v>407.23930000000001</v>
      </c>
      <c r="O139" s="10">
        <v>420.63810000000001</v>
      </c>
      <c r="P139" s="10">
        <v>6.1969250000000002</v>
      </c>
      <c r="Q139" s="10">
        <v>1.9099999999999999E-2</v>
      </c>
      <c r="R139" s="10">
        <v>6.2188098390000004</v>
      </c>
      <c r="S139" s="10">
        <v>5.716176054</v>
      </c>
      <c r="T139" s="10">
        <v>110</v>
      </c>
      <c r="U139" s="10">
        <v>112</v>
      </c>
      <c r="V139" s="10">
        <v>110</v>
      </c>
      <c r="W139" s="10">
        <v>112</v>
      </c>
      <c r="X139" s="4" t="s">
        <v>146</v>
      </c>
      <c r="Y139" s="4" t="s">
        <v>1419</v>
      </c>
      <c r="AA139" s="10">
        <f t="shared" si="8"/>
        <v>1.0238470439943368E-2</v>
      </c>
      <c r="AB139" s="10">
        <f t="shared" si="9"/>
        <v>6.3046102951171707E-3</v>
      </c>
      <c r="AC139" s="10">
        <f t="shared" si="10"/>
        <v>0.90867710748691233</v>
      </c>
      <c r="AD139" s="10">
        <f t="shared" si="11"/>
        <v>5.8045606039564969E-2</v>
      </c>
    </row>
    <row r="140" spans="1:30" x14ac:dyDescent="0.25">
      <c r="A140" s="33" t="s">
        <v>1420</v>
      </c>
      <c r="C140" s="39">
        <v>40847</v>
      </c>
      <c r="D140" s="53" t="s">
        <v>1421</v>
      </c>
      <c r="E140" s="4" t="str">
        <f>VLOOKUP(LEFT(D140,2),Sort!$A$1:$B$58,2,FALSE)</f>
        <v>Chile</v>
      </c>
      <c r="F140" s="4" t="s">
        <v>1037</v>
      </c>
      <c r="G140" s="18">
        <v>363132389</v>
      </c>
      <c r="H140" s="18">
        <v>369767119.10000002</v>
      </c>
      <c r="I140" s="10">
        <v>0.17823572200000001</v>
      </c>
      <c r="J140" s="10">
        <v>9.786111</v>
      </c>
      <c r="K140" s="10">
        <v>7.717937</v>
      </c>
      <c r="L140" s="10">
        <v>4.92415</v>
      </c>
      <c r="M140" s="10">
        <v>4.92415</v>
      </c>
      <c r="N140" s="10">
        <v>283.02190000000002</v>
      </c>
      <c r="O140" s="10">
        <v>293.64229999999998</v>
      </c>
      <c r="P140" s="10">
        <v>7.4555490000000004</v>
      </c>
      <c r="Q140" s="10">
        <v>1.43E-2</v>
      </c>
      <c r="R140" s="10">
        <v>5.6092116589999996</v>
      </c>
      <c r="S140" s="10">
        <v>2.5535009999999998</v>
      </c>
      <c r="T140" s="10">
        <v>100.5</v>
      </c>
      <c r="U140" s="10">
        <v>102.5</v>
      </c>
      <c r="V140" s="10">
        <v>100.5</v>
      </c>
      <c r="W140" s="10">
        <v>102.5</v>
      </c>
      <c r="X140" s="4" t="s">
        <v>146</v>
      </c>
      <c r="Y140" s="4" t="s">
        <v>1422</v>
      </c>
      <c r="AA140" s="10">
        <f t="shared" si="8"/>
        <v>6.0059531432826788E-2</v>
      </c>
      <c r="AB140" s="10">
        <f t="shared" si="9"/>
        <v>2.5270663126380558E-2</v>
      </c>
      <c r="AC140" s="10">
        <f t="shared" si="10"/>
        <v>1.0761567141025352</v>
      </c>
      <c r="AD140" s="10">
        <f t="shared" si="11"/>
        <v>0.25737139173693946</v>
      </c>
    </row>
    <row r="141" spans="1:30" x14ac:dyDescent="0.25">
      <c r="A141" s="33" t="s">
        <v>1423</v>
      </c>
      <c r="C141" s="39">
        <v>40847</v>
      </c>
      <c r="D141" s="53" t="s">
        <v>1424</v>
      </c>
      <c r="E141" s="4" t="str">
        <f>VLOOKUP(LEFT(D141,2),Sort!$A$1:$B$58,2,FALSE)</f>
        <v>Chile</v>
      </c>
      <c r="F141" s="4" t="s">
        <v>1037</v>
      </c>
      <c r="G141" s="18">
        <v>361290881</v>
      </c>
      <c r="H141" s="18">
        <v>409312461.80000001</v>
      </c>
      <c r="I141" s="10">
        <v>0.197297429</v>
      </c>
      <c r="J141" s="10">
        <v>2.394444</v>
      </c>
      <c r="K141" s="10">
        <v>2.216278</v>
      </c>
      <c r="L141" s="10">
        <v>1.3266819999999999</v>
      </c>
      <c r="M141" s="10">
        <v>1.3266819999999999</v>
      </c>
      <c r="N141" s="10">
        <v>101.9726</v>
      </c>
      <c r="O141" s="10">
        <v>103.91370000000001</v>
      </c>
      <c r="P141" s="10">
        <v>2.2187749999999999</v>
      </c>
      <c r="Q141" s="10">
        <v>1.84E-2</v>
      </c>
      <c r="R141" s="10">
        <v>0.51755990900000004</v>
      </c>
      <c r="S141" s="10">
        <v>9.7453309239999992</v>
      </c>
      <c r="T141" s="10">
        <v>112.5</v>
      </c>
      <c r="U141" s="10">
        <v>114.5</v>
      </c>
      <c r="V141" s="10">
        <v>112.5</v>
      </c>
      <c r="W141" s="10">
        <v>114.5</v>
      </c>
      <c r="X141" s="4" t="s">
        <v>146</v>
      </c>
      <c r="Y141" s="4" t="s">
        <v>1425</v>
      </c>
      <c r="AA141" s="10">
        <f t="shared" si="8"/>
        <v>1.2383924215129903E-2</v>
      </c>
      <c r="AB141" s="10">
        <f t="shared" si="9"/>
        <v>0.12262929971365162</v>
      </c>
      <c r="AC141" s="10">
        <f t="shared" si="10"/>
        <v>1.4903491709634662</v>
      </c>
      <c r="AD141" s="10">
        <f t="shared" si="11"/>
        <v>0.31825011544877946</v>
      </c>
    </row>
    <row r="142" spans="1:30" x14ac:dyDescent="0.25">
      <c r="A142" s="33" t="s">
        <v>1426</v>
      </c>
      <c r="C142" s="39">
        <v>40847</v>
      </c>
      <c r="D142" s="53" t="s">
        <v>1427</v>
      </c>
      <c r="E142" s="4" t="str">
        <f>VLOOKUP(LEFT(D142,2),Sort!$A$1:$B$58,2,FALSE)</f>
        <v>Chile</v>
      </c>
      <c r="F142" s="4" t="s">
        <v>1059</v>
      </c>
      <c r="G142" s="18">
        <v>271208859</v>
      </c>
      <c r="H142" s="18">
        <v>286515209</v>
      </c>
      <c r="I142" s="10">
        <v>0.13810650699999999</v>
      </c>
      <c r="J142" s="10">
        <v>9.5583329999999993</v>
      </c>
      <c r="K142" s="10">
        <v>6.4942900000000003</v>
      </c>
      <c r="L142" s="10">
        <v>7.7242350000000002</v>
      </c>
      <c r="M142" s="10">
        <v>7.7242350000000002</v>
      </c>
      <c r="N142" s="10">
        <v>567.29740000000004</v>
      </c>
      <c r="O142" s="10">
        <v>587.33590000000004</v>
      </c>
      <c r="P142" s="10">
        <v>6.2957890000000001</v>
      </c>
      <c r="Q142" s="10">
        <v>2.1700000000000001E-2</v>
      </c>
      <c r="R142" s="10">
        <v>5.6415492159999996</v>
      </c>
      <c r="S142" s="10">
        <v>2.9979871600000001</v>
      </c>
      <c r="T142" s="10">
        <v>102</v>
      </c>
      <c r="U142" s="10">
        <v>103.5</v>
      </c>
      <c r="V142" s="10">
        <v>102</v>
      </c>
      <c r="W142" s="10">
        <v>103.5</v>
      </c>
      <c r="X142" s="4" t="s">
        <v>146</v>
      </c>
      <c r="Y142" s="4" t="s">
        <v>1428</v>
      </c>
      <c r="AA142" s="10">
        <f t="shared" si="8"/>
        <v>3.9159016813439265E-2</v>
      </c>
      <c r="AB142" s="10">
        <f t="shared" si="9"/>
        <v>5.9651006318831142E-2</v>
      </c>
      <c r="AC142" s="10">
        <f t="shared" si="10"/>
        <v>4.7631251890503208</v>
      </c>
      <c r="AD142" s="10">
        <f t="shared" si="11"/>
        <v>0.20137063806786321</v>
      </c>
    </row>
    <row r="143" spans="1:30" x14ac:dyDescent="0.25">
      <c r="A143" s="33" t="s">
        <v>1429</v>
      </c>
      <c r="C143" s="39">
        <v>40847</v>
      </c>
      <c r="D143" s="53" t="s">
        <v>1430</v>
      </c>
      <c r="E143" s="4" t="str">
        <f>VLOOKUP(LEFT(D143,2),Sort!$A$1:$B$58,2,FALSE)</f>
        <v>Chile</v>
      </c>
      <c r="F143" s="4" t="s">
        <v>1014</v>
      </c>
      <c r="G143" s="18">
        <v>419469702</v>
      </c>
      <c r="H143" s="18">
        <v>338372227.69999999</v>
      </c>
      <c r="I143" s="10">
        <v>0.16310270700000001</v>
      </c>
      <c r="J143" s="10">
        <v>4.1505359999999998</v>
      </c>
      <c r="K143" s="10">
        <v>3.0142150000000001</v>
      </c>
      <c r="L143" s="10">
        <v>14.166781</v>
      </c>
      <c r="M143" s="10">
        <v>14.166781</v>
      </c>
      <c r="N143" s="10">
        <v>1343.1824999999999</v>
      </c>
      <c r="O143" s="10">
        <v>1330.5296000000001</v>
      </c>
      <c r="P143" s="10">
        <v>2.9815399999999999</v>
      </c>
      <c r="Q143" s="10">
        <v>1.2835000000000001</v>
      </c>
      <c r="R143" s="10">
        <v>-7.3270356000000003</v>
      </c>
      <c r="S143" s="10">
        <v>-15.854153999999999</v>
      </c>
      <c r="T143" s="10">
        <v>79</v>
      </c>
      <c r="U143" s="10">
        <v>82</v>
      </c>
      <c r="V143" s="10">
        <v>79</v>
      </c>
      <c r="W143" s="10">
        <v>82</v>
      </c>
      <c r="X143" s="4" t="s">
        <v>146</v>
      </c>
      <c r="Y143" s="4" t="s">
        <v>1431</v>
      </c>
      <c r="AA143" s="10">
        <f t="shared" si="8"/>
        <v>1.3923487212534693E-2</v>
      </c>
      <c r="AB143" s="10">
        <f t="shared" si="9"/>
        <v>0.30252527084251829</v>
      </c>
      <c r="AC143" s="10">
        <f t="shared" si="10"/>
        <v>33.358946941785234</v>
      </c>
      <c r="AD143" s="10">
        <f t="shared" si="11"/>
        <v>0.58164216507361821</v>
      </c>
    </row>
    <row r="144" spans="1:30" x14ac:dyDescent="0.25">
      <c r="A144" s="33" t="s">
        <v>1432</v>
      </c>
      <c r="C144" s="39">
        <v>40847</v>
      </c>
      <c r="D144" s="53" t="s">
        <v>1433</v>
      </c>
      <c r="E144" s="4" t="str">
        <f>VLOOKUP(LEFT(D144,2),Sort!$A$1:$B$58,2,FALSE)</f>
        <v>Chile</v>
      </c>
      <c r="F144" s="4" t="s">
        <v>1007</v>
      </c>
      <c r="G144" s="18">
        <v>452014765</v>
      </c>
      <c r="H144" s="18">
        <v>416178740.60000002</v>
      </c>
      <c r="I144" s="10">
        <v>0.200607124</v>
      </c>
      <c r="J144" s="10">
        <v>4.2111109999999998</v>
      </c>
      <c r="K144" s="10">
        <v>0.107612</v>
      </c>
      <c r="L144" s="10">
        <v>4.4868600000000001</v>
      </c>
      <c r="M144" s="10">
        <v>4.4868600000000001</v>
      </c>
      <c r="N144" s="10">
        <v>373.42160000000001</v>
      </c>
      <c r="O144" s="10">
        <v>375.9744</v>
      </c>
      <c r="P144" s="10">
        <v>3.9034089999999999</v>
      </c>
      <c r="Q144" s="10">
        <v>5.5999999999999999E-3</v>
      </c>
      <c r="R144" s="10">
        <v>4.6952038429999998</v>
      </c>
      <c r="S144" s="10">
        <v>-7.20113</v>
      </c>
      <c r="T144" s="10">
        <v>92</v>
      </c>
      <c r="U144" s="10">
        <v>94</v>
      </c>
      <c r="V144" s="10">
        <v>92</v>
      </c>
      <c r="W144" s="10">
        <v>94</v>
      </c>
      <c r="X144" s="4" t="s">
        <v>146</v>
      </c>
      <c r="Y144" s="4" t="s">
        <v>1434</v>
      </c>
      <c r="AA144" s="10">
        <f t="shared" si="8"/>
        <v>2.7293694125078189E-3</v>
      </c>
      <c r="AB144" s="10">
        <f t="shared" si="9"/>
        <v>2.5916687086884282E-2</v>
      </c>
      <c r="AC144" s="10">
        <f t="shared" si="10"/>
        <v>1.5508392336818251</v>
      </c>
      <c r="AD144" s="10">
        <f t="shared" si="11"/>
        <v>0.82007781735592489</v>
      </c>
    </row>
    <row r="145" spans="1:30" x14ac:dyDescent="0.25">
      <c r="A145" s="33" t="s">
        <v>1435</v>
      </c>
      <c r="C145" s="39">
        <v>40847</v>
      </c>
      <c r="D145" s="53" t="s">
        <v>1436</v>
      </c>
      <c r="E145" s="4" t="str">
        <f>VLOOKUP(LEFT(D145,2),Sort!$A$1:$B$58,2,FALSE)</f>
        <v>Chile</v>
      </c>
      <c r="F145" s="4" t="s">
        <v>1014</v>
      </c>
      <c r="G145" s="18">
        <v>361611812</v>
      </c>
      <c r="H145" s="18">
        <v>376754910.5</v>
      </c>
      <c r="I145" s="10">
        <v>0.18160398799999999</v>
      </c>
      <c r="J145" s="10">
        <v>9.2166669999999993</v>
      </c>
      <c r="K145" s="10">
        <v>7.4656650000000004</v>
      </c>
      <c r="L145" s="10">
        <v>4.4263960000000004</v>
      </c>
      <c r="M145" s="10">
        <v>4.4263960000000004</v>
      </c>
      <c r="N145" s="10">
        <v>243.91399999999999</v>
      </c>
      <c r="O145" s="10">
        <v>250.9667</v>
      </c>
      <c r="P145" s="10">
        <v>7.2263849999999996</v>
      </c>
      <c r="Q145" s="10">
        <v>0.98370000000000002</v>
      </c>
      <c r="R145" s="10">
        <v>3.6602655510000002</v>
      </c>
      <c r="S145" s="10">
        <v>8.084685533</v>
      </c>
      <c r="T145" s="10">
        <v>102.771</v>
      </c>
      <c r="U145" s="10">
        <v>104.29600000000001</v>
      </c>
      <c r="V145" s="10">
        <v>102.771</v>
      </c>
      <c r="W145" s="10">
        <v>104.29600000000001</v>
      </c>
      <c r="X145" s="4" t="s">
        <v>146</v>
      </c>
      <c r="Y145" s="4" t="s">
        <v>1437</v>
      </c>
      <c r="AA145" s="10">
        <f t="shared" si="8"/>
        <v>5.9194293375498371E-2</v>
      </c>
      <c r="AB145" s="10">
        <f t="shared" si="9"/>
        <v>2.3145483686432079E-2</v>
      </c>
      <c r="AC145" s="10">
        <f t="shared" si="10"/>
        <v>0.93713818550621242</v>
      </c>
      <c r="AD145" s="10">
        <f t="shared" si="11"/>
        <v>0.2668300207271847</v>
      </c>
    </row>
    <row r="146" spans="1:30" x14ac:dyDescent="0.25">
      <c r="A146" s="33" t="s">
        <v>1438</v>
      </c>
      <c r="C146" s="39">
        <v>40847</v>
      </c>
      <c r="D146" s="53" t="s">
        <v>1439</v>
      </c>
      <c r="E146" s="4" t="str">
        <f>VLOOKUP(LEFT(D146,2),Sort!$A$1:$B$58,2,FALSE)</f>
        <v>Chile</v>
      </c>
      <c r="F146" s="4" t="s">
        <v>1014</v>
      </c>
      <c r="G146" s="18">
        <v>271208859</v>
      </c>
      <c r="H146" s="18">
        <v>286868233.39999998</v>
      </c>
      <c r="I146" s="10">
        <v>0.13827667199999999</v>
      </c>
      <c r="J146" s="10">
        <v>1.683333</v>
      </c>
      <c r="K146" s="10">
        <v>1.5980920000000001</v>
      </c>
      <c r="L146" s="10">
        <v>2.0867079999999998</v>
      </c>
      <c r="M146" s="10">
        <v>2.0867079999999998</v>
      </c>
      <c r="N146" s="10">
        <v>188.7525</v>
      </c>
      <c r="O146" s="10">
        <v>189.203</v>
      </c>
      <c r="P146" s="10">
        <v>1.59531</v>
      </c>
      <c r="Q146" s="10">
        <v>8.9200000000000002E-2</v>
      </c>
      <c r="R146" s="10">
        <v>0.53092302000000002</v>
      </c>
      <c r="S146" s="10">
        <v>3.4305744040000001</v>
      </c>
      <c r="T146" s="10">
        <v>104.151</v>
      </c>
      <c r="U146" s="10">
        <v>104.997</v>
      </c>
      <c r="V146" s="10">
        <v>104.151</v>
      </c>
      <c r="W146" s="10">
        <v>104.997</v>
      </c>
      <c r="X146" s="4" t="s">
        <v>146</v>
      </c>
      <c r="Y146" s="4" t="s">
        <v>1440</v>
      </c>
      <c r="AA146" s="10">
        <f t="shared" si="8"/>
        <v>2.7938685051415352E-2</v>
      </c>
      <c r="AB146" s="10">
        <f t="shared" si="9"/>
        <v>9.74264510915516E-3</v>
      </c>
      <c r="AC146" s="10">
        <f t="shared" si="10"/>
        <v>1.9018257860692349</v>
      </c>
      <c r="AD146" s="10">
        <f t="shared" si="11"/>
        <v>0.20453492005778715</v>
      </c>
    </row>
    <row r="147" spans="1:30" x14ac:dyDescent="0.25">
      <c r="A147" s="33" t="s">
        <v>1441</v>
      </c>
      <c r="C147" s="39">
        <v>40847</v>
      </c>
      <c r="D147" s="53" t="s">
        <v>1442</v>
      </c>
      <c r="E147" s="4" t="str">
        <f>VLOOKUP(LEFT(D147,2),Sort!$A$1:$B$58,2,FALSE)</f>
        <v>Chile</v>
      </c>
      <c r="F147" s="4" t="s">
        <v>1014</v>
      </c>
      <c r="G147" s="18">
        <v>361611812</v>
      </c>
      <c r="H147" s="18">
        <v>391839395.39999998</v>
      </c>
      <c r="I147" s="10">
        <v>0.188875035</v>
      </c>
      <c r="J147" s="10">
        <v>3.463889</v>
      </c>
      <c r="K147" s="10">
        <v>3.168828</v>
      </c>
      <c r="L147" s="10">
        <v>2.7220460000000002</v>
      </c>
      <c r="M147" s="10">
        <v>2.7220460000000002</v>
      </c>
      <c r="N147" s="10">
        <v>218.75899999999999</v>
      </c>
      <c r="O147" s="10">
        <v>222.1491</v>
      </c>
      <c r="P147" s="10">
        <v>3.1600130000000002</v>
      </c>
      <c r="Q147" s="10">
        <v>0.54149999999999998</v>
      </c>
      <c r="R147" s="10">
        <v>1.9036791900000001</v>
      </c>
      <c r="S147" s="10">
        <v>6.2082386620000003</v>
      </c>
      <c r="T147" s="10">
        <v>108.15600000000001</v>
      </c>
      <c r="U147" s="10">
        <v>109.533</v>
      </c>
      <c r="V147" s="10">
        <v>108.15600000000001</v>
      </c>
      <c r="W147" s="10">
        <v>109.533</v>
      </c>
      <c r="X147" s="4" t="s">
        <v>146</v>
      </c>
      <c r="Y147" s="4" t="s">
        <v>1443</v>
      </c>
      <c r="AA147" s="10">
        <f t="shared" si="8"/>
        <v>1.6950630130616519E-2</v>
      </c>
      <c r="AB147" s="10">
        <f t="shared" si="9"/>
        <v>1.7359463569912751E-2</v>
      </c>
      <c r="AC147" s="10">
        <f t="shared" si="10"/>
        <v>0.862742651062675</v>
      </c>
      <c r="AD147" s="10">
        <f t="shared" si="11"/>
        <v>0.29144807847781817</v>
      </c>
    </row>
    <row r="148" spans="1:30" x14ac:dyDescent="0.25">
      <c r="A148" s="33" t="s">
        <v>1444</v>
      </c>
      <c r="C148" s="39">
        <v>40847</v>
      </c>
      <c r="D148" s="53" t="s">
        <v>1445</v>
      </c>
      <c r="E148" s="4" t="str">
        <f>VLOOKUP(LEFT(D148,2),Sort!$A$1:$B$58,2,FALSE)</f>
        <v>Chile</v>
      </c>
      <c r="F148" s="4" t="s">
        <v>1014</v>
      </c>
      <c r="G148" s="18">
        <v>452014765</v>
      </c>
      <c r="H148" s="18">
        <v>541771590</v>
      </c>
      <c r="I148" s="10">
        <v>0.26114558399999999</v>
      </c>
      <c r="J148" s="10">
        <v>7.7388890000000004</v>
      </c>
      <c r="K148" s="10">
        <v>6.109737</v>
      </c>
      <c r="L148" s="10">
        <v>4.2763770000000001</v>
      </c>
      <c r="M148" s="10">
        <v>4.2763770000000001</v>
      </c>
      <c r="N148" s="10">
        <v>256.5958</v>
      </c>
      <c r="O148" s="10">
        <v>267.22629999999998</v>
      </c>
      <c r="P148" s="10">
        <v>5.962345</v>
      </c>
      <c r="Q148" s="10">
        <v>0.81259999999999999</v>
      </c>
      <c r="R148" s="10">
        <v>2.8805607059999998</v>
      </c>
      <c r="S148" s="10">
        <v>7.8497461560000001</v>
      </c>
      <c r="T148" s="10">
        <v>117.964</v>
      </c>
      <c r="U148" s="10">
        <v>119.408</v>
      </c>
      <c r="V148" s="10">
        <v>117.964</v>
      </c>
      <c r="W148" s="10">
        <v>119.408</v>
      </c>
      <c r="X148" s="4" t="s">
        <v>146</v>
      </c>
      <c r="Y148" s="4" t="s">
        <v>1446</v>
      </c>
      <c r="AA148" s="10">
        <f t="shared" si="8"/>
        <v>6.9661234105392308E-2</v>
      </c>
      <c r="AB148" s="10">
        <f t="shared" si="9"/>
        <v>3.2155057246168912E-2</v>
      </c>
      <c r="AC148" s="10">
        <f t="shared" si="10"/>
        <v>1.4349079395844138</v>
      </c>
      <c r="AD148" s="10">
        <f t="shared" si="11"/>
        <v>0.43929652467344454</v>
      </c>
    </row>
    <row r="149" spans="1:30" x14ac:dyDescent="0.25">
      <c r="A149" s="33" t="s">
        <v>1447</v>
      </c>
      <c r="C149" s="39">
        <v>40847</v>
      </c>
      <c r="D149" s="53" t="s">
        <v>1448</v>
      </c>
      <c r="E149" s="4" t="str">
        <f>VLOOKUP(LEFT(D149,2),Sort!$A$1:$B$58,2,FALSE)</f>
        <v>Chile</v>
      </c>
      <c r="F149" s="4" t="s">
        <v>1059</v>
      </c>
      <c r="G149" s="18">
        <v>678022147</v>
      </c>
      <c r="H149" s="18">
        <v>697119393.39999998</v>
      </c>
      <c r="I149" s="10">
        <v>0.33602657400000002</v>
      </c>
      <c r="J149" s="10">
        <v>9.213889</v>
      </c>
      <c r="K149" s="10">
        <v>7.2751640000000002</v>
      </c>
      <c r="L149" s="10">
        <v>5.0263080000000002</v>
      </c>
      <c r="M149" s="10">
        <v>5.0263080000000002</v>
      </c>
      <c r="N149" s="10">
        <v>303.95729999999998</v>
      </c>
      <c r="O149" s="10">
        <v>312.7946</v>
      </c>
      <c r="P149" s="10">
        <v>7.0448000000000004</v>
      </c>
      <c r="Q149" s="10">
        <v>1.1035999999999999</v>
      </c>
      <c r="R149" s="10">
        <v>2.1659847490000002</v>
      </c>
      <c r="S149" s="10">
        <v>7.4201926140000003</v>
      </c>
      <c r="T149" s="10">
        <v>101.24299999999999</v>
      </c>
      <c r="U149" s="10">
        <v>103.45099999999999</v>
      </c>
      <c r="V149" s="10">
        <v>101.24299999999999</v>
      </c>
      <c r="W149" s="10">
        <v>103.45099999999999</v>
      </c>
      <c r="X149" s="4" t="s">
        <v>146</v>
      </c>
      <c r="Y149" s="4" t="s">
        <v>1449</v>
      </c>
      <c r="AA149" s="10">
        <f t="shared" si="8"/>
        <v>0.10673389869801646</v>
      </c>
      <c r="AB149" s="10">
        <f t="shared" si="9"/>
        <v>4.8631015334344115E-2</v>
      </c>
      <c r="AC149" s="10">
        <f t="shared" si="10"/>
        <v>2.1612003262617052</v>
      </c>
      <c r="AD149" s="10">
        <f t="shared" si="11"/>
        <v>0.48972240512628629</v>
      </c>
    </row>
    <row r="150" spans="1:30" x14ac:dyDescent="0.25">
      <c r="A150" s="33" t="s">
        <v>1450</v>
      </c>
      <c r="C150" s="39">
        <v>40847</v>
      </c>
      <c r="D150" s="53" t="s">
        <v>1451</v>
      </c>
      <c r="E150" s="4" t="str">
        <f>VLOOKUP(LEFT(D150,2),Sort!$A$1:$B$58,2,FALSE)</f>
        <v>Chile</v>
      </c>
      <c r="F150" s="4" t="s">
        <v>1037</v>
      </c>
      <c r="G150" s="18">
        <v>452014765</v>
      </c>
      <c r="H150" s="18">
        <v>481169717.30000001</v>
      </c>
      <c r="I150" s="10">
        <v>0.23193417499999999</v>
      </c>
      <c r="J150" s="10">
        <v>8.2166669999999993</v>
      </c>
      <c r="K150" s="10">
        <v>6.541347</v>
      </c>
      <c r="L150" s="10">
        <v>4.9872930000000002</v>
      </c>
      <c r="M150" s="10">
        <v>4.9872930000000002</v>
      </c>
      <c r="N150" s="10">
        <v>318.7371</v>
      </c>
      <c r="O150" s="10">
        <v>326.98059999999998</v>
      </c>
      <c r="P150" s="10">
        <v>6.3641810000000003</v>
      </c>
      <c r="Q150" s="10">
        <v>1.5699999999999999E-2</v>
      </c>
      <c r="R150" s="10">
        <v>3.3662377700000001</v>
      </c>
      <c r="S150" s="10">
        <v>5.5538806340000004</v>
      </c>
      <c r="T150" s="10">
        <v>104.75</v>
      </c>
      <c r="U150" s="10">
        <v>106.75</v>
      </c>
      <c r="V150" s="10">
        <v>104.75</v>
      </c>
      <c r="W150" s="10">
        <v>106.75</v>
      </c>
      <c r="X150" s="4" t="s">
        <v>146</v>
      </c>
      <c r="Y150" s="4" t="s">
        <v>1452</v>
      </c>
      <c r="AA150" s="10">
        <f t="shared" si="8"/>
        <v>6.623962964431987E-2</v>
      </c>
      <c r="AB150" s="10">
        <f t="shared" si="9"/>
        <v>3.3305828784781111E-2</v>
      </c>
      <c r="AC150" s="10">
        <f t="shared" si="10"/>
        <v>1.559368963814697</v>
      </c>
      <c r="AD150" s="10">
        <f t="shared" si="11"/>
        <v>0.34879824139609455</v>
      </c>
    </row>
    <row r="151" spans="1:30" x14ac:dyDescent="0.25">
      <c r="A151" s="33" t="s">
        <v>1453</v>
      </c>
      <c r="C151" s="39">
        <v>40847</v>
      </c>
      <c r="D151" s="53" t="s">
        <v>1454</v>
      </c>
      <c r="E151" s="4" t="str">
        <f>VLOOKUP(LEFT(D151,2),Sort!$A$1:$B$58,2,FALSE)</f>
        <v>Chile</v>
      </c>
      <c r="F151" s="4" t="s">
        <v>1037</v>
      </c>
      <c r="G151" s="18">
        <v>361611812</v>
      </c>
      <c r="H151" s="18">
        <v>382124242</v>
      </c>
      <c r="I151" s="10">
        <v>0.18419212099999999</v>
      </c>
      <c r="J151" s="10">
        <v>9.1999999999999993</v>
      </c>
      <c r="K151" s="10">
        <v>7.2583299999999999</v>
      </c>
      <c r="L151" s="10">
        <v>4.8263509999999998</v>
      </c>
      <c r="M151" s="10">
        <v>4.8263509999999998</v>
      </c>
      <c r="N151" s="10">
        <v>284.22179999999997</v>
      </c>
      <c r="O151" s="10">
        <v>293.17509999999999</v>
      </c>
      <c r="P151" s="10">
        <v>7.0289910000000004</v>
      </c>
      <c r="Q151" s="10">
        <v>0.53239999999999998</v>
      </c>
      <c r="R151" s="10">
        <v>-1.4666027999999999E-2</v>
      </c>
      <c r="S151" s="10">
        <v>9.3288781870000008</v>
      </c>
      <c r="T151" s="10">
        <v>103.985</v>
      </c>
      <c r="U151" s="10">
        <v>105.869</v>
      </c>
      <c r="V151" s="10">
        <v>103.985</v>
      </c>
      <c r="W151" s="10">
        <v>105.869</v>
      </c>
      <c r="X151" s="4" t="s">
        <v>146</v>
      </c>
      <c r="Y151" s="4" t="s">
        <v>1455</v>
      </c>
      <c r="AA151" s="10">
        <f t="shared" si="8"/>
        <v>5.8370541271315725E-2</v>
      </c>
      <c r="AB151" s="10">
        <f t="shared" si="9"/>
        <v>2.5596499000180975E-2</v>
      </c>
      <c r="AC151" s="10">
        <f t="shared" si="10"/>
        <v>1.1103509923266264</v>
      </c>
      <c r="AD151" s="10">
        <f t="shared" si="11"/>
        <v>0.27471445833082048</v>
      </c>
    </row>
    <row r="152" spans="1:30" x14ac:dyDescent="0.25">
      <c r="A152" s="33" t="s">
        <v>1456</v>
      </c>
      <c r="C152" s="39">
        <v>40847</v>
      </c>
      <c r="D152" s="53" t="s">
        <v>1457</v>
      </c>
      <c r="E152" s="4" t="str">
        <f>VLOOKUP(LEFT(D152,2),Sort!$A$1:$B$58,2,FALSE)</f>
        <v>Chile</v>
      </c>
      <c r="F152" s="4" t="s">
        <v>1037</v>
      </c>
      <c r="G152" s="18">
        <v>361611812</v>
      </c>
      <c r="H152" s="18">
        <v>404299685</v>
      </c>
      <c r="I152" s="10">
        <v>0.194881163</v>
      </c>
      <c r="J152" s="10">
        <v>1.7444440000000001</v>
      </c>
      <c r="K152" s="10">
        <v>1.6202890000000001</v>
      </c>
      <c r="L152" s="10">
        <v>2.2368139999999999</v>
      </c>
      <c r="M152" s="10">
        <v>2.2368139999999999</v>
      </c>
      <c r="N152" s="10">
        <v>202.84030000000001</v>
      </c>
      <c r="O152" s="10">
        <v>203.46039999999999</v>
      </c>
      <c r="P152" s="10">
        <v>1.616403</v>
      </c>
      <c r="Q152" s="10">
        <v>8.9700000000000002E-2</v>
      </c>
      <c r="R152" s="10">
        <v>0.82009128099999995</v>
      </c>
      <c r="S152" s="10">
        <v>4.0274427529999999</v>
      </c>
      <c r="T152" s="10">
        <v>109.67100000000001</v>
      </c>
      <c r="U152" s="10">
        <v>110.396</v>
      </c>
      <c r="V152" s="10">
        <v>109.67100000000001</v>
      </c>
      <c r="W152" s="10">
        <v>110.396</v>
      </c>
      <c r="X152" s="4" t="s">
        <v>146</v>
      </c>
      <c r="Y152" s="4" t="s">
        <v>1458</v>
      </c>
      <c r="AA152" s="10">
        <f t="shared" si="8"/>
        <v>3.9922489208741682E-2</v>
      </c>
      <c r="AB152" s="10">
        <f t="shared" si="9"/>
        <v>1.4718583576585315E-2</v>
      </c>
      <c r="AC152" s="10">
        <f t="shared" si="10"/>
        <v>0.81528961381761533</v>
      </c>
      <c r="AD152" s="10">
        <f t="shared" si="11"/>
        <v>0.30308528858446526</v>
      </c>
    </row>
    <row r="153" spans="1:30" x14ac:dyDescent="0.25">
      <c r="A153" s="33" t="s">
        <v>1459</v>
      </c>
      <c r="C153" s="39">
        <v>40847</v>
      </c>
      <c r="D153" s="53" t="s">
        <v>1460</v>
      </c>
      <c r="E153" s="4" t="str">
        <f>VLOOKUP(LEFT(D153,2),Sort!$A$1:$B$58,2,FALSE)</f>
        <v>Chile</v>
      </c>
      <c r="F153" s="4" t="s">
        <v>1014</v>
      </c>
      <c r="G153" s="18">
        <v>452014765</v>
      </c>
      <c r="H153" s="18">
        <v>474752111.19999999</v>
      </c>
      <c r="I153" s="10">
        <v>0.22884075100000001</v>
      </c>
      <c r="J153" s="10">
        <v>6.2111109999999998</v>
      </c>
      <c r="K153" s="10">
        <v>5.3830299999999998</v>
      </c>
      <c r="L153" s="10">
        <v>3.8763679999999998</v>
      </c>
      <c r="M153" s="10">
        <v>3.8763679999999998</v>
      </c>
      <c r="N153" s="10">
        <v>253.6696</v>
      </c>
      <c r="O153" s="10">
        <v>257.64170000000001</v>
      </c>
      <c r="P153" s="10">
        <v>5.2877939999999999</v>
      </c>
      <c r="Q153" s="10">
        <v>0.82579999999999998</v>
      </c>
      <c r="R153" s="10">
        <v>3.1085083519999999</v>
      </c>
      <c r="S153" s="10">
        <v>8.2382679999999997</v>
      </c>
      <c r="T153" s="10">
        <v>103.658</v>
      </c>
      <c r="U153" s="10">
        <v>104.776</v>
      </c>
      <c r="V153" s="10">
        <v>103.658</v>
      </c>
      <c r="W153" s="10">
        <v>104.776</v>
      </c>
      <c r="X153" s="4" t="s">
        <v>146</v>
      </c>
      <c r="Y153" s="4" t="s">
        <v>1461</v>
      </c>
      <c r="AA153" s="10">
        <f t="shared" si="8"/>
        <v>5.565647736002332E-2</v>
      </c>
      <c r="AB153" s="10">
        <f t="shared" si="9"/>
        <v>2.9951918646721032E-2</v>
      </c>
      <c r="AC153" s="10">
        <f t="shared" si="10"/>
        <v>1.2123043782706793</v>
      </c>
      <c r="AD153" s="10">
        <f t="shared" si="11"/>
        <v>0.33778225848749605</v>
      </c>
    </row>
    <row r="154" spans="1:30" x14ac:dyDescent="0.25">
      <c r="A154" s="33" t="s">
        <v>1462</v>
      </c>
      <c r="C154" s="39">
        <v>40847</v>
      </c>
      <c r="D154" s="53" t="s">
        <v>1463</v>
      </c>
      <c r="E154" s="4" t="str">
        <f>VLOOKUP(LEFT(D154,2),Sort!$A$1:$B$58,2,FALSE)</f>
        <v>Chile</v>
      </c>
      <c r="F154" s="4" t="s">
        <v>1014</v>
      </c>
      <c r="G154" s="18">
        <v>271208859</v>
      </c>
      <c r="H154" s="18">
        <v>285531737.89999998</v>
      </c>
      <c r="I154" s="10">
        <v>0.13763245199999999</v>
      </c>
      <c r="J154" s="10">
        <v>1.625</v>
      </c>
      <c r="K154" s="10">
        <v>1.5460510000000001</v>
      </c>
      <c r="L154" s="10">
        <v>1.9872179999999999</v>
      </c>
      <c r="M154" s="10">
        <v>1.9872179999999999</v>
      </c>
      <c r="N154" s="10">
        <v>179.68430000000001</v>
      </c>
      <c r="O154" s="10">
        <v>180.07749999999999</v>
      </c>
      <c r="P154" s="10">
        <v>1.541553</v>
      </c>
      <c r="Q154" s="10">
        <v>8.6099999999999996E-2</v>
      </c>
      <c r="R154" s="10">
        <v>0.39111484499999999</v>
      </c>
      <c r="S154" s="10">
        <v>2.9824814719999999</v>
      </c>
      <c r="T154" s="10">
        <v>103.453</v>
      </c>
      <c r="U154" s="10">
        <v>104.593</v>
      </c>
      <c r="V154" s="10">
        <v>103.453</v>
      </c>
      <c r="W154" s="10">
        <v>104.593</v>
      </c>
      <c r="X154" s="4" t="s">
        <v>146</v>
      </c>
      <c r="Y154" s="4" t="s">
        <v>1464</v>
      </c>
      <c r="AA154" s="10">
        <f t="shared" si="8"/>
        <v>2.6902951598248809E-2</v>
      </c>
      <c r="AB154" s="10">
        <f t="shared" si="9"/>
        <v>0.12813634890919723</v>
      </c>
      <c r="AC154" s="10">
        <f t="shared" si="10"/>
        <v>1.8016652237395927</v>
      </c>
      <c r="AD154" s="10">
        <f t="shared" si="11"/>
        <v>0.20279868029623738</v>
      </c>
    </row>
    <row r="155" spans="1:30" x14ac:dyDescent="0.25">
      <c r="A155" s="33" t="s">
        <v>1465</v>
      </c>
      <c r="C155" s="39">
        <v>40847</v>
      </c>
      <c r="D155" s="53" t="s">
        <v>1466</v>
      </c>
      <c r="E155" s="4" t="str">
        <f>VLOOKUP(LEFT(D155,2),Sort!$A$1:$B$58,2,FALSE)</f>
        <v>Chile</v>
      </c>
      <c r="F155" s="4" t="s">
        <v>1014</v>
      </c>
      <c r="G155" s="18">
        <v>452014765</v>
      </c>
      <c r="H155" s="18">
        <v>516989500.80000001</v>
      </c>
      <c r="I155" s="10">
        <v>0.24920008299999999</v>
      </c>
      <c r="J155" s="10">
        <v>8.0055560000000003</v>
      </c>
      <c r="K155" s="10">
        <v>6.380395</v>
      </c>
      <c r="L155" s="10">
        <v>4.2263450000000002</v>
      </c>
      <c r="M155" s="10">
        <v>4.2263450000000002</v>
      </c>
      <c r="N155" s="10">
        <v>246.59710000000001</v>
      </c>
      <c r="O155" s="10">
        <v>254.5975</v>
      </c>
      <c r="P155" s="10">
        <v>6.2129709999999996</v>
      </c>
      <c r="Q155" s="10">
        <v>0.97199999999999998</v>
      </c>
      <c r="R155" s="10">
        <v>3.8247516840000002</v>
      </c>
      <c r="S155" s="10">
        <v>9.3499386080000004</v>
      </c>
      <c r="T155" s="10">
        <v>111.346</v>
      </c>
      <c r="U155" s="10">
        <v>112.782</v>
      </c>
      <c r="V155" s="10">
        <v>111.346</v>
      </c>
      <c r="W155" s="10">
        <v>112.782</v>
      </c>
      <c r="X155" s="4" t="s">
        <v>146</v>
      </c>
      <c r="Y155" s="4" t="s">
        <v>1467</v>
      </c>
      <c r="AA155" s="10">
        <f t="shared" si="8"/>
        <v>6.941953658776974E-2</v>
      </c>
      <c r="AB155" s="10">
        <f t="shared" si="9"/>
        <v>3.0325204908245151E-2</v>
      </c>
      <c r="AC155" s="10">
        <f t="shared" si="10"/>
        <v>1.3045612401026832</v>
      </c>
      <c r="AD155" s="10">
        <f t="shared" si="11"/>
        <v>0.39594023010629176</v>
      </c>
    </row>
    <row r="156" spans="1:30" x14ac:dyDescent="0.25">
      <c r="A156" s="33" t="s">
        <v>1468</v>
      </c>
      <c r="C156" s="39">
        <v>40847</v>
      </c>
      <c r="D156" s="53" t="s">
        <v>1469</v>
      </c>
      <c r="E156" s="4" t="str">
        <f>VLOOKUP(LEFT(D156,2),Sort!$A$1:$B$58,2,FALSE)</f>
        <v>Chile</v>
      </c>
      <c r="F156" s="4" t="s">
        <v>1007</v>
      </c>
      <c r="G156" s="18">
        <v>452014765</v>
      </c>
      <c r="H156" s="18">
        <v>448295058.69999999</v>
      </c>
      <c r="I156" s="10">
        <v>0.21608788100000001</v>
      </c>
      <c r="J156" s="10">
        <v>3.8861110000000001</v>
      </c>
      <c r="K156" s="10">
        <v>3.5880740000000002</v>
      </c>
      <c r="L156" s="10">
        <v>3.6795339999999999</v>
      </c>
      <c r="M156" s="10">
        <v>3.6795339999999999</v>
      </c>
      <c r="N156" s="10">
        <v>302.17899999999997</v>
      </c>
      <c r="O156" s="10">
        <v>305.37470000000002</v>
      </c>
      <c r="P156" s="10">
        <v>3.5711059999999999</v>
      </c>
      <c r="Q156" s="10">
        <v>0.26329999999999998</v>
      </c>
      <c r="R156" s="10">
        <v>4.2029961999999997E-2</v>
      </c>
      <c r="S156" s="10">
        <v>1.8293258809999999</v>
      </c>
      <c r="T156" s="10">
        <v>98.75</v>
      </c>
      <c r="U156" s="10">
        <v>100.25</v>
      </c>
      <c r="V156" s="10">
        <v>98.75</v>
      </c>
      <c r="W156" s="10">
        <v>100.25</v>
      </c>
      <c r="X156" s="4" t="s">
        <v>146</v>
      </c>
      <c r="Y156" s="4" t="s">
        <v>1470</v>
      </c>
      <c r="AA156" s="10">
        <f t="shared" si="8"/>
        <v>2.1958588802591113E-2</v>
      </c>
      <c r="AB156" s="10">
        <f t="shared" si="9"/>
        <v>2.6846613792737326E-2</v>
      </c>
      <c r="AC156" s="10">
        <f t="shared" si="10"/>
        <v>1.3568305643755187</v>
      </c>
      <c r="AD156" s="10">
        <f t="shared" si="11"/>
        <v>0.30518026735935661</v>
      </c>
    </row>
    <row r="157" spans="1:30" x14ac:dyDescent="0.25">
      <c r="A157" s="33" t="s">
        <v>1471</v>
      </c>
      <c r="C157" s="39">
        <v>40847</v>
      </c>
      <c r="D157" s="53" t="s">
        <v>1472</v>
      </c>
      <c r="E157" s="4" t="str">
        <f>VLOOKUP(LEFT(D157,2),Sort!$A$1:$B$58,2,FALSE)</f>
        <v>Chile</v>
      </c>
      <c r="F157" s="4" t="s">
        <v>1007</v>
      </c>
      <c r="G157" s="18">
        <v>271208859</v>
      </c>
      <c r="H157" s="18">
        <v>285626321.89999998</v>
      </c>
      <c r="I157" s="10">
        <v>0.137678044</v>
      </c>
      <c r="J157" s="10">
        <v>3.1</v>
      </c>
      <c r="K157" s="10">
        <v>2.7979229999999999</v>
      </c>
      <c r="L157" s="10">
        <v>3.7718479999999999</v>
      </c>
      <c r="M157" s="10">
        <v>3.7718479999999999</v>
      </c>
      <c r="N157" s="10">
        <v>334.3648</v>
      </c>
      <c r="O157" s="10">
        <v>336.11160000000001</v>
      </c>
      <c r="P157" s="10">
        <v>2.7915390000000002</v>
      </c>
      <c r="Q157" s="10">
        <v>0.48180000000000001</v>
      </c>
      <c r="R157" s="10">
        <v>-1.0624484890000001</v>
      </c>
      <c r="S157" s="10">
        <v>2.5713947039999998</v>
      </c>
      <c r="T157" s="10">
        <v>103.166</v>
      </c>
      <c r="U157" s="10">
        <v>104.645</v>
      </c>
      <c r="V157" s="10">
        <v>103.166</v>
      </c>
      <c r="W157" s="10">
        <v>104.645</v>
      </c>
      <c r="X157" s="4" t="s">
        <v>146</v>
      </c>
      <c r="Y157" s="4" t="s">
        <v>1473</v>
      </c>
      <c r="AA157" s="10">
        <f t="shared" si="8"/>
        <v>1.0909706540382919E-2</v>
      </c>
      <c r="AB157" s="10">
        <f t="shared" si="9"/>
        <v>1.7534167597000879E-2</v>
      </c>
      <c r="AC157" s="10">
        <f t="shared" si="10"/>
        <v>0.95150339333266698</v>
      </c>
      <c r="AD157" s="10">
        <f t="shared" si="11"/>
        <v>0.20296671634945451</v>
      </c>
    </row>
    <row r="158" spans="1:30" x14ac:dyDescent="0.25">
      <c r="A158" s="33" t="s">
        <v>1474</v>
      </c>
      <c r="C158" s="39">
        <v>40847</v>
      </c>
      <c r="D158" s="53" t="s">
        <v>1475</v>
      </c>
      <c r="E158" s="4" t="str">
        <f>VLOOKUP(LEFT(D158,2),Sort!$A$1:$B$58,2,FALSE)</f>
        <v>Chile</v>
      </c>
      <c r="F158" s="4" t="s">
        <v>1081</v>
      </c>
      <c r="G158" s="18">
        <v>271208859</v>
      </c>
      <c r="H158" s="18">
        <v>269453006.69999999</v>
      </c>
      <c r="I158" s="10">
        <v>0.129882157</v>
      </c>
      <c r="J158" s="10">
        <v>4.016667</v>
      </c>
      <c r="K158" s="10">
        <v>3.7344870000000001</v>
      </c>
      <c r="L158" s="10">
        <v>2.9219339999999998</v>
      </c>
      <c r="M158" s="10">
        <v>2.9219339999999998</v>
      </c>
      <c r="N158" s="10">
        <v>222.60669999999999</v>
      </c>
      <c r="O158" s="10">
        <v>225.25</v>
      </c>
      <c r="P158" s="10">
        <v>3.7140949999999999</v>
      </c>
      <c r="Q158" s="10">
        <v>0.6361</v>
      </c>
      <c r="R158" s="10">
        <v>3.188113478</v>
      </c>
      <c r="S158" s="10">
        <v>4.1751180630000002</v>
      </c>
      <c r="T158" s="10">
        <v>97.962999999999994</v>
      </c>
      <c r="U158" s="10">
        <v>99.822999999999993</v>
      </c>
      <c r="V158" s="10">
        <v>97.962999999999994</v>
      </c>
      <c r="W158" s="10">
        <v>99.822999999999993</v>
      </c>
      <c r="X158" s="4" t="s">
        <v>146</v>
      </c>
      <c r="Y158" s="4" t="s">
        <v>1476</v>
      </c>
      <c r="AA158" s="10">
        <f t="shared" si="8"/>
        <v>1.3737037030917595E-2</v>
      </c>
      <c r="AB158" s="10">
        <f t="shared" si="9"/>
        <v>1.2814043059140341E-2</v>
      </c>
      <c r="AC158" s="10">
        <f t="shared" si="10"/>
        <v>0.60155653142684129</v>
      </c>
      <c r="AD158" s="10">
        <f t="shared" si="11"/>
        <v>0.56384660664662567</v>
      </c>
    </row>
    <row r="159" spans="1:30" x14ac:dyDescent="0.25">
      <c r="A159" s="33" t="s">
        <v>1477</v>
      </c>
      <c r="C159" s="39">
        <v>40847</v>
      </c>
      <c r="D159" s="53" t="s">
        <v>1478</v>
      </c>
      <c r="E159" s="4" t="str">
        <f>VLOOKUP(LEFT(D159,2),Sort!$A$1:$B$58,2,FALSE)</f>
        <v>China</v>
      </c>
      <c r="F159" s="4" t="s">
        <v>1014</v>
      </c>
      <c r="G159" s="18">
        <v>154195032</v>
      </c>
      <c r="H159" s="18">
        <v>152952904.69999999</v>
      </c>
      <c r="I159" s="10">
        <v>7.3726597000000005E-2</v>
      </c>
      <c r="J159" s="10">
        <v>5.0305559999999998</v>
      </c>
      <c r="K159" s="10">
        <v>3.6944330000000001</v>
      </c>
      <c r="L159" s="10">
        <v>10.920616000000001</v>
      </c>
      <c r="M159" s="10">
        <v>10.920616000000001</v>
      </c>
      <c r="N159" s="10">
        <v>992.86170000000004</v>
      </c>
      <c r="O159" s="10">
        <v>1002.7918</v>
      </c>
      <c r="P159" s="10">
        <v>3.6579769999999998</v>
      </c>
      <c r="Q159" s="10">
        <v>-1.4624999999999999</v>
      </c>
      <c r="R159" s="10">
        <v>32.406376379999998</v>
      </c>
      <c r="S159" s="10">
        <v>-4.439423025</v>
      </c>
      <c r="T159" s="10">
        <v>94.5</v>
      </c>
      <c r="U159" s="10">
        <v>96.5</v>
      </c>
      <c r="V159" s="10">
        <v>94.5</v>
      </c>
      <c r="W159" s="10">
        <v>96.5</v>
      </c>
      <c r="X159" s="4" t="s">
        <v>146</v>
      </c>
      <c r="Y159" s="4" t="s">
        <v>1479</v>
      </c>
      <c r="AA159" s="10">
        <f t="shared" si="8"/>
        <v>7.714088319161475E-3</v>
      </c>
      <c r="AB159" s="10">
        <f t="shared" si="9"/>
        <v>0.10541456788578421</v>
      </c>
      <c r="AC159" s="10">
        <f t="shared" si="10"/>
        <v>11.364794426805078</v>
      </c>
      <c r="AD159" s="10">
        <f t="shared" si="11"/>
        <v>0.30940858646751224</v>
      </c>
    </row>
    <row r="160" spans="1:30" x14ac:dyDescent="0.25">
      <c r="A160" s="33" t="s">
        <v>1480</v>
      </c>
      <c r="C160" s="39">
        <v>40847</v>
      </c>
      <c r="D160" s="53" t="s">
        <v>1481</v>
      </c>
      <c r="E160" s="4" t="str">
        <f>VLOOKUP(LEFT(D160,2),Sort!$A$1:$B$58,2,FALSE)</f>
        <v>China</v>
      </c>
      <c r="F160" s="4" t="s">
        <v>1014</v>
      </c>
      <c r="G160" s="18">
        <v>334089236</v>
      </c>
      <c r="H160" s="18">
        <v>289399000.89999998</v>
      </c>
      <c r="I160" s="10">
        <v>0.13949655599999999</v>
      </c>
      <c r="J160" s="10">
        <v>5.4861110000000002</v>
      </c>
      <c r="K160" s="10">
        <v>4.173006</v>
      </c>
      <c r="L160" s="10">
        <v>11.779208000000001</v>
      </c>
      <c r="M160" s="10">
        <v>11.779208000000001</v>
      </c>
      <c r="N160" s="10">
        <v>1065.3047999999999</v>
      </c>
      <c r="O160" s="10">
        <v>1075.8782000000001</v>
      </c>
      <c r="P160" s="10">
        <v>4.1233940000000002</v>
      </c>
      <c r="Q160" s="10">
        <v>1.7916000000000001</v>
      </c>
      <c r="R160" s="10">
        <v>23.609521409999999</v>
      </c>
      <c r="S160" s="10">
        <v>-7.3939909159999999</v>
      </c>
      <c r="T160" s="10">
        <v>86.5</v>
      </c>
      <c r="U160" s="10">
        <v>88.5</v>
      </c>
      <c r="V160" s="10">
        <v>86.5</v>
      </c>
      <c r="W160" s="10">
        <v>88.5</v>
      </c>
      <c r="X160" s="4" t="s">
        <v>146</v>
      </c>
      <c r="Y160" s="4" t="s">
        <v>1482</v>
      </c>
      <c r="AA160" s="10">
        <f t="shared" si="8"/>
        <v>2.6300744783279196E-2</v>
      </c>
      <c r="AB160" s="10">
        <f t="shared" si="9"/>
        <v>0.21513391753113806</v>
      </c>
      <c r="AC160" s="10">
        <f t="shared" si="10"/>
        <v>23.070298645681909</v>
      </c>
      <c r="AD160" s="10">
        <f t="shared" si="11"/>
        <v>0.53689284654038205</v>
      </c>
    </row>
    <row r="161" spans="1:30" x14ac:dyDescent="0.25">
      <c r="A161" s="33" t="s">
        <v>1483</v>
      </c>
      <c r="C161" s="39">
        <v>40847</v>
      </c>
      <c r="D161" s="53" t="s">
        <v>1484</v>
      </c>
      <c r="E161" s="4" t="str">
        <f>VLOOKUP(LEFT(D161,2),Sort!$A$1:$B$58,2,FALSE)</f>
        <v>China</v>
      </c>
      <c r="F161" s="4" t="s">
        <v>1037</v>
      </c>
      <c r="G161" s="18">
        <v>308390064</v>
      </c>
      <c r="H161" s="18">
        <v>325618244.10000002</v>
      </c>
      <c r="I161" s="10">
        <v>0.156955012</v>
      </c>
      <c r="J161" s="10">
        <v>9.5250000000000004</v>
      </c>
      <c r="K161" s="10">
        <v>7.6030879999999996</v>
      </c>
      <c r="L161" s="10">
        <v>4.38</v>
      </c>
      <c r="M161" s="10">
        <v>4.38</v>
      </c>
      <c r="N161" s="10">
        <v>233.4983</v>
      </c>
      <c r="O161" s="10">
        <v>241.75409999999999</v>
      </c>
      <c r="P161" s="10">
        <v>7.3525580000000001</v>
      </c>
      <c r="Q161" s="10">
        <v>0.53029999999999999</v>
      </c>
      <c r="R161" s="10">
        <v>8.9315057689999993</v>
      </c>
      <c r="S161" s="10">
        <v>7.2264629999999999</v>
      </c>
      <c r="T161" s="10">
        <v>103.21149</v>
      </c>
      <c r="U161" s="10">
        <v>104.78507999999999</v>
      </c>
      <c r="V161" s="10">
        <v>103.21149</v>
      </c>
      <c r="W161" s="10">
        <v>104.78507999999999</v>
      </c>
      <c r="X161" s="4" t="s">
        <v>146</v>
      </c>
      <c r="Y161" s="4" t="s">
        <v>1485</v>
      </c>
      <c r="AA161" s="10">
        <f t="shared" si="8"/>
        <v>5.2101612910352237E-2</v>
      </c>
      <c r="AB161" s="10">
        <f t="shared" si="9"/>
        <v>1.9794289388125712E-2</v>
      </c>
      <c r="AC161" s="10">
        <f t="shared" si="10"/>
        <v>0.7802094226990447</v>
      </c>
      <c r="AD161" s="10">
        <f t="shared" si="11"/>
        <v>0.23169480447804877</v>
      </c>
    </row>
    <row r="162" spans="1:30" x14ac:dyDescent="0.25">
      <c r="A162" s="33" t="s">
        <v>1486</v>
      </c>
      <c r="C162" s="39">
        <v>40847</v>
      </c>
      <c r="D162" s="53" t="s">
        <v>1487</v>
      </c>
      <c r="E162" s="4" t="str">
        <f>VLOOKUP(LEFT(D162,2),Sort!$A$1:$B$58,2,FALSE)</f>
        <v>China</v>
      </c>
      <c r="F162" s="4" t="s">
        <v>1037</v>
      </c>
      <c r="G162" s="18">
        <v>205593376</v>
      </c>
      <c r="H162" s="18">
        <v>209105167.90000001</v>
      </c>
      <c r="I162" s="10">
        <v>0.100793198</v>
      </c>
      <c r="J162" s="10">
        <v>29.524999999999999</v>
      </c>
      <c r="K162" s="10">
        <v>13.178910999999999</v>
      </c>
      <c r="L162" s="10">
        <v>6.221552</v>
      </c>
      <c r="M162" s="10">
        <v>6.221552</v>
      </c>
      <c r="N162" s="10">
        <v>309.56819999999999</v>
      </c>
      <c r="O162" s="10">
        <v>337.15519999999998</v>
      </c>
      <c r="P162" s="10">
        <v>12.235804999999999</v>
      </c>
      <c r="Q162" s="10">
        <v>0.15529999999999999</v>
      </c>
      <c r="R162" s="10">
        <v>14.237341689999999</v>
      </c>
      <c r="S162" s="10">
        <v>4.4443489999999999</v>
      </c>
      <c r="T162" s="10">
        <v>98.68</v>
      </c>
      <c r="U162" s="10">
        <v>102.06</v>
      </c>
      <c r="V162" s="10">
        <v>98.68</v>
      </c>
      <c r="W162" s="10">
        <v>102.06</v>
      </c>
      <c r="X162" s="4" t="s">
        <v>146</v>
      </c>
      <c r="Y162" s="4" t="s">
        <v>1488</v>
      </c>
      <c r="AA162" s="10">
        <f t="shared" si="8"/>
        <v>0.14154768306939355</v>
      </c>
      <c r="AB162" s="10">
        <f t="shared" si="9"/>
        <v>3.5065345118408378E-2</v>
      </c>
      <c r="AC162" s="10">
        <f t="shared" si="10"/>
        <v>0.69875228541465162</v>
      </c>
      <c r="AD162" s="10">
        <f t="shared" si="11"/>
        <v>0.14492004032550873</v>
      </c>
    </row>
    <row r="163" spans="1:30" x14ac:dyDescent="0.25">
      <c r="A163" s="33" t="s">
        <v>1489</v>
      </c>
      <c r="C163" s="39">
        <v>40847</v>
      </c>
      <c r="D163" s="53" t="s">
        <v>1490</v>
      </c>
      <c r="E163" s="4" t="str">
        <f>VLOOKUP(LEFT(D163,2),Sort!$A$1:$B$58,2,FALSE)</f>
        <v>China</v>
      </c>
      <c r="F163" s="4" t="s">
        <v>1024</v>
      </c>
      <c r="G163" s="18">
        <v>513983441</v>
      </c>
      <c r="H163" s="18">
        <v>529884803.69999999</v>
      </c>
      <c r="I163" s="10">
        <v>0.255415897</v>
      </c>
      <c r="J163" s="10">
        <v>2.5333329999999998</v>
      </c>
      <c r="K163" s="10">
        <v>2.2298559999999998</v>
      </c>
      <c r="L163" s="10">
        <v>6.3152059999999999</v>
      </c>
      <c r="M163" s="10">
        <v>6.3152059999999999</v>
      </c>
      <c r="N163" s="10">
        <v>598.71389999999997</v>
      </c>
      <c r="O163" s="10">
        <v>600.99879999999996</v>
      </c>
      <c r="P163" s="10">
        <v>2.2310449999999999</v>
      </c>
      <c r="Q163" s="10">
        <v>-0.46460000000000001</v>
      </c>
      <c r="R163" s="10">
        <v>13.829272680000001</v>
      </c>
      <c r="S163" s="10">
        <v>1.5493965169999999</v>
      </c>
      <c r="T163" s="10">
        <v>100</v>
      </c>
      <c r="U163" s="10">
        <v>101</v>
      </c>
      <c r="V163" s="10">
        <v>100</v>
      </c>
      <c r="W163" s="10">
        <v>101</v>
      </c>
      <c r="X163" s="4" t="s">
        <v>146</v>
      </c>
      <c r="Y163" s="4" t="s">
        <v>1491</v>
      </c>
      <c r="AA163" s="10">
        <f t="shared" si="8"/>
        <v>1.6130111361734027E-2</v>
      </c>
      <c r="AB163" s="10">
        <f t="shared" si="9"/>
        <v>9.0195236676114579E-2</v>
      </c>
      <c r="AC163" s="10">
        <f t="shared" si="10"/>
        <v>17.29616575107671</v>
      </c>
      <c r="AD163" s="10">
        <f t="shared" si="11"/>
        <v>0.36342178279251663</v>
      </c>
    </row>
    <row r="164" spans="1:30" x14ac:dyDescent="0.25">
      <c r="A164" s="33" t="s">
        <v>1492</v>
      </c>
      <c r="C164" s="39">
        <v>40847</v>
      </c>
      <c r="D164" s="53" t="s">
        <v>1493</v>
      </c>
      <c r="E164" s="4" t="str">
        <f>VLOOKUP(LEFT(D164,2),Sort!$A$1:$B$58,2,FALSE)</f>
        <v>China</v>
      </c>
      <c r="F164" s="4" t="s">
        <v>1014</v>
      </c>
      <c r="G164" s="18">
        <v>256991720</v>
      </c>
      <c r="H164" s="18">
        <v>269523278.69999999</v>
      </c>
      <c r="I164" s="10">
        <v>0.12991602999999999</v>
      </c>
      <c r="J164" s="10">
        <v>3.35</v>
      </c>
      <c r="K164" s="10">
        <v>3.047231</v>
      </c>
      <c r="L164" s="10">
        <v>3.5597569999999998</v>
      </c>
      <c r="M164" s="10">
        <v>3.5597569999999998</v>
      </c>
      <c r="N164" s="10">
        <v>305.85570000000001</v>
      </c>
      <c r="O164" s="10">
        <v>308.89089999999999</v>
      </c>
      <c r="P164" s="10">
        <v>3.040816</v>
      </c>
      <c r="Q164" s="10">
        <v>0.32040000000000002</v>
      </c>
      <c r="R164" s="10">
        <v>-2.448134139</v>
      </c>
      <c r="S164" s="10">
        <v>2.140774585</v>
      </c>
      <c r="T164" s="10">
        <v>104.07</v>
      </c>
      <c r="U164" s="10">
        <v>105.68</v>
      </c>
      <c r="V164" s="10">
        <v>104.07</v>
      </c>
      <c r="W164" s="10">
        <v>105.68</v>
      </c>
      <c r="X164" s="4" t="s">
        <v>146</v>
      </c>
      <c r="Y164" s="4" t="s">
        <v>1494</v>
      </c>
      <c r="AA164" s="10">
        <f t="shared" si="8"/>
        <v>1.1211939403834558E-2</v>
      </c>
      <c r="AB164" s="10">
        <f t="shared" si="9"/>
        <v>1.561526564634845E-2</v>
      </c>
      <c r="AC164" s="10">
        <f t="shared" si="10"/>
        <v>0.82514449769874154</v>
      </c>
      <c r="AD164" s="10">
        <f t="shared" si="11"/>
        <v>0.19341813959149864</v>
      </c>
    </row>
    <row r="165" spans="1:30" x14ac:dyDescent="0.25">
      <c r="A165" s="33" t="s">
        <v>1495</v>
      </c>
      <c r="C165" s="39">
        <v>40847</v>
      </c>
      <c r="D165" s="53" t="s">
        <v>1496</v>
      </c>
      <c r="E165" s="4" t="str">
        <f>VLOOKUP(LEFT(D165,2),Sort!$A$1:$B$58,2,FALSE)</f>
        <v>China</v>
      </c>
      <c r="F165" s="4" t="s">
        <v>1014</v>
      </c>
      <c r="G165" s="18">
        <v>154195032</v>
      </c>
      <c r="H165" s="18">
        <v>166494977</v>
      </c>
      <c r="I165" s="10">
        <v>8.0254168000000001E-2</v>
      </c>
      <c r="J165" s="10">
        <v>1.625</v>
      </c>
      <c r="K165" s="10">
        <v>1.5303519999999999</v>
      </c>
      <c r="L165" s="10">
        <v>2.0302750000000001</v>
      </c>
      <c r="M165" s="10">
        <v>2.0302750000000001</v>
      </c>
      <c r="N165" s="10">
        <v>183.99</v>
      </c>
      <c r="O165" s="10">
        <v>184.44970000000001</v>
      </c>
      <c r="P165" s="10">
        <v>1.5258050000000001</v>
      </c>
      <c r="Q165" s="10">
        <v>3.4299999999999997E-2</v>
      </c>
      <c r="R165" s="10">
        <v>0.154335677</v>
      </c>
      <c r="S165" s="10">
        <v>2.2312120819999999</v>
      </c>
      <c r="T165" s="10">
        <v>105.68</v>
      </c>
      <c r="U165" s="10">
        <v>106.51</v>
      </c>
      <c r="V165" s="10">
        <v>105.68</v>
      </c>
      <c r="W165" s="10">
        <v>106.51</v>
      </c>
      <c r="X165" s="4" t="s">
        <v>146</v>
      </c>
      <c r="Y165" s="4" t="s">
        <v>1497</v>
      </c>
      <c r="AA165" s="10">
        <f t="shared" si="8"/>
        <v>1.5527952604634155E-2</v>
      </c>
      <c r="AB165" s="10">
        <f t="shared" si="9"/>
        <v>5.5015966351442949E-3</v>
      </c>
      <c r="AC165" s="10">
        <f t="shared" si="10"/>
        <v>1.076067075039842</v>
      </c>
      <c r="AD165" s="10">
        <f t="shared" si="11"/>
        <v>0.12042028103284322</v>
      </c>
    </row>
    <row r="166" spans="1:30" x14ac:dyDescent="0.25">
      <c r="A166" s="33" t="s">
        <v>1498</v>
      </c>
      <c r="C166" s="39">
        <v>40847</v>
      </c>
      <c r="D166" s="53" t="s">
        <v>1499</v>
      </c>
      <c r="E166" s="4" t="str">
        <f>VLOOKUP(LEFT(D166,2),Sort!$A$1:$B$58,2,FALSE)</f>
        <v>China</v>
      </c>
      <c r="F166" s="4" t="s">
        <v>1024</v>
      </c>
      <c r="G166" s="18">
        <v>770975161</v>
      </c>
      <c r="H166" s="18">
        <v>807781044.89999998</v>
      </c>
      <c r="I166" s="10">
        <v>0.38936787499999997</v>
      </c>
      <c r="J166" s="10">
        <v>9.230556</v>
      </c>
      <c r="K166" s="10">
        <v>7.7650930000000002</v>
      </c>
      <c r="L166" s="10">
        <v>3.58</v>
      </c>
      <c r="M166" s="10">
        <v>3.58</v>
      </c>
      <c r="N166" s="10">
        <v>159.01429999999999</v>
      </c>
      <c r="O166" s="10">
        <v>163.4682</v>
      </c>
      <c r="P166" s="10">
        <v>7.5115910000000001</v>
      </c>
      <c r="Q166" s="10">
        <v>1.2984</v>
      </c>
      <c r="R166" s="10">
        <v>4.247559141</v>
      </c>
      <c r="S166" s="10">
        <v>8.7881210000000003</v>
      </c>
      <c r="T166" s="10">
        <v>103.6288</v>
      </c>
      <c r="U166" s="10">
        <v>105.22242</v>
      </c>
      <c r="V166" s="10">
        <v>103.6288</v>
      </c>
      <c r="W166" s="10">
        <v>105.22242</v>
      </c>
      <c r="X166" s="4" t="s">
        <v>146</v>
      </c>
      <c r="Y166" s="4" t="s">
        <v>1500</v>
      </c>
      <c r="AA166" s="10">
        <f t="shared" si="8"/>
        <v>0.13200571696630775</v>
      </c>
      <c r="AB166" s="10">
        <f t="shared" si="9"/>
        <v>4.7066231609741792E-2</v>
      </c>
      <c r="AC166" s="10">
        <f t="shared" si="10"/>
        <v>4.626868884982227</v>
      </c>
      <c r="AD166" s="10">
        <f t="shared" si="11"/>
        <v>0.57717838650724673</v>
      </c>
    </row>
    <row r="167" spans="1:30" x14ac:dyDescent="0.25">
      <c r="A167" s="33" t="s">
        <v>1501</v>
      </c>
      <c r="C167" s="39">
        <v>40847</v>
      </c>
      <c r="D167" s="53" t="s">
        <v>1502</v>
      </c>
      <c r="E167" s="4" t="str">
        <f>VLOOKUP(LEFT(D167,2),Sort!$A$1:$B$58,2,FALSE)</f>
        <v>China</v>
      </c>
      <c r="F167" s="4" t="s">
        <v>1024</v>
      </c>
      <c r="G167" s="18">
        <v>154195032</v>
      </c>
      <c r="H167" s="18">
        <v>167556031.5</v>
      </c>
      <c r="I167" s="10">
        <v>8.0765618999999997E-2</v>
      </c>
      <c r="J167" s="10">
        <v>21.55</v>
      </c>
      <c r="K167" s="10">
        <v>13.311214</v>
      </c>
      <c r="L167" s="10">
        <v>4.5215860000000001</v>
      </c>
      <c r="M167" s="10">
        <v>4.5215860000000001</v>
      </c>
      <c r="N167" s="10">
        <v>180.08459999999999</v>
      </c>
      <c r="O167" s="10">
        <v>174.8691</v>
      </c>
      <c r="P167" s="10">
        <v>12.432371</v>
      </c>
      <c r="Q167" s="10">
        <v>5.2346000000000004</v>
      </c>
      <c r="R167" s="10">
        <v>-0.35051078200000002</v>
      </c>
      <c r="S167" s="10">
        <v>7.7061844830000004</v>
      </c>
      <c r="T167" s="10">
        <v>106.19</v>
      </c>
      <c r="U167" s="10">
        <v>113.38</v>
      </c>
      <c r="V167" s="10">
        <v>106.19</v>
      </c>
      <c r="W167" s="10">
        <v>113.38</v>
      </c>
      <c r="X167" s="4" t="s">
        <v>146</v>
      </c>
      <c r="Y167" s="4" t="s">
        <v>1503</v>
      </c>
      <c r="AA167" s="10">
        <f t="shared" si="8"/>
        <v>0.11456084407750515</v>
      </c>
      <c r="AB167" s="10">
        <f t="shared" si="9"/>
        <v>1.0514967529825532E-2</v>
      </c>
      <c r="AC167" s="10">
        <f t="shared" si="10"/>
        <v>1.0266759644815393</v>
      </c>
      <c r="AD167" s="10">
        <f t="shared" si="11"/>
        <v>0.12900443301059508</v>
      </c>
    </row>
    <row r="168" spans="1:30" x14ac:dyDescent="0.25">
      <c r="A168" s="33" t="s">
        <v>1504</v>
      </c>
      <c r="C168" s="39">
        <v>40847</v>
      </c>
      <c r="D168" s="53" t="s">
        <v>1505</v>
      </c>
      <c r="E168" s="4" t="str">
        <f>VLOOKUP(LEFT(D168,2),Sort!$A$1:$B$58,2,FALSE)</f>
        <v>China</v>
      </c>
      <c r="F168" s="4" t="s">
        <v>1024</v>
      </c>
      <c r="G168" s="18">
        <v>256991720</v>
      </c>
      <c r="H168" s="18">
        <v>292538418.89999998</v>
      </c>
      <c r="I168" s="10">
        <v>0.14100982400000001</v>
      </c>
      <c r="J168" s="10">
        <v>29.230556</v>
      </c>
      <c r="K168" s="10">
        <v>15.320442999999999</v>
      </c>
      <c r="L168" s="10">
        <v>4.75</v>
      </c>
      <c r="M168" s="10">
        <v>4.75</v>
      </c>
      <c r="N168" s="10">
        <v>163.90880000000001</v>
      </c>
      <c r="O168" s="10">
        <v>179.98439999999999</v>
      </c>
      <c r="P168" s="10">
        <v>14.159767</v>
      </c>
      <c r="Q168" s="10">
        <v>1.4901</v>
      </c>
      <c r="R168" s="10">
        <v>3.6731952300000001</v>
      </c>
      <c r="S168" s="10">
        <v>17.330622999999999</v>
      </c>
      <c r="T168" s="10">
        <v>112.28254</v>
      </c>
      <c r="U168" s="10">
        <v>115.70649</v>
      </c>
      <c r="V168" s="10">
        <v>112.28254</v>
      </c>
      <c r="W168" s="10">
        <v>115.70649</v>
      </c>
      <c r="X168" s="4" t="s">
        <v>146</v>
      </c>
      <c r="Y168" s="4" t="s">
        <v>1506</v>
      </c>
      <c r="AA168" s="10">
        <f t="shared" si="8"/>
        <v>0.23020391581353014</v>
      </c>
      <c r="AB168" s="10">
        <f t="shared" si="9"/>
        <v>1.9285619507104241E-2</v>
      </c>
      <c r="AC168" s="10">
        <f t="shared" si="10"/>
        <v>1.844922080840441</v>
      </c>
      <c r="AD168" s="10">
        <f t="shared" si="11"/>
        <v>0.22985224242428334</v>
      </c>
    </row>
    <row r="169" spans="1:30" x14ac:dyDescent="0.25">
      <c r="A169" s="33" t="s">
        <v>1507</v>
      </c>
      <c r="C169" s="39">
        <v>40847</v>
      </c>
      <c r="D169" s="53" t="s">
        <v>1508</v>
      </c>
      <c r="E169" s="4" t="str">
        <f>VLOOKUP(LEFT(D169,2),Sort!$A$1:$B$58,2,FALSE)</f>
        <v>China</v>
      </c>
      <c r="F169" s="4" t="s">
        <v>1014</v>
      </c>
      <c r="G169" s="18">
        <v>359788408</v>
      </c>
      <c r="H169" s="18">
        <v>370665506</v>
      </c>
      <c r="I169" s="10">
        <v>0.17866876400000001</v>
      </c>
      <c r="J169" s="10">
        <v>4.4861110000000002</v>
      </c>
      <c r="K169" s="10">
        <v>4.2064779999999997</v>
      </c>
      <c r="L169" s="10">
        <v>2.2199990000000001</v>
      </c>
      <c r="M169" s="10">
        <v>2.2199990000000001</v>
      </c>
      <c r="N169" s="10">
        <v>138.7055</v>
      </c>
      <c r="O169" s="10">
        <v>141.2681</v>
      </c>
      <c r="P169" s="10">
        <v>4.1764939999999999</v>
      </c>
      <c r="Q169" s="10">
        <v>0.59140000000000004</v>
      </c>
      <c r="R169" s="10">
        <v>3.1618456359999998</v>
      </c>
      <c r="S169" s="10">
        <v>5.1101520000000002</v>
      </c>
      <c r="T169" s="10">
        <v>102.97978999999999</v>
      </c>
      <c r="U169" s="10">
        <v>103.84383</v>
      </c>
      <c r="V169" s="10">
        <v>102.97978999999999</v>
      </c>
      <c r="W169" s="10">
        <v>103.84383</v>
      </c>
      <c r="X169" s="4" t="s">
        <v>146</v>
      </c>
      <c r="Y169" s="4" t="s">
        <v>1509</v>
      </c>
      <c r="AA169" s="10">
        <f t="shared" si="8"/>
        <v>3.3956491014105222E-2</v>
      </c>
      <c r="AB169" s="10">
        <f t="shared" si="9"/>
        <v>1.3392686240831031E-2</v>
      </c>
      <c r="AC169" s="10">
        <f t="shared" si="10"/>
        <v>1.8347907036872346</v>
      </c>
      <c r="AD169" s="10">
        <f t="shared" si="11"/>
        <v>0.26137917696006746</v>
      </c>
    </row>
    <row r="170" spans="1:30" x14ac:dyDescent="0.25">
      <c r="A170" s="33" t="s">
        <v>1510</v>
      </c>
      <c r="C170" s="39">
        <v>40847</v>
      </c>
      <c r="D170" s="53" t="s">
        <v>1511</v>
      </c>
      <c r="E170" s="4" t="str">
        <f>VLOOKUP(LEFT(D170,2),Sort!$A$1:$B$58,2,FALSE)</f>
        <v>China</v>
      </c>
      <c r="F170" s="4" t="s">
        <v>1014</v>
      </c>
      <c r="G170" s="18">
        <v>334089236</v>
      </c>
      <c r="H170" s="18">
        <v>347911008.80000001</v>
      </c>
      <c r="I170" s="10">
        <v>0.167700606</v>
      </c>
      <c r="J170" s="10">
        <v>9.4861109999999993</v>
      </c>
      <c r="K170" s="10">
        <v>7.9385680000000001</v>
      </c>
      <c r="L170" s="10">
        <v>3.78</v>
      </c>
      <c r="M170" s="10">
        <v>3.78</v>
      </c>
      <c r="N170" s="10">
        <v>174.2269</v>
      </c>
      <c r="O170" s="10">
        <v>180.46600000000001</v>
      </c>
      <c r="P170" s="10">
        <v>7.6750309999999997</v>
      </c>
      <c r="Q170" s="10">
        <v>0.16420000000000001</v>
      </c>
      <c r="R170" s="10">
        <v>3.0797635379999999</v>
      </c>
      <c r="S170" s="10">
        <v>8.1396770000000007</v>
      </c>
      <c r="T170" s="10">
        <v>104.07465000000001</v>
      </c>
      <c r="U170" s="10">
        <v>105.69441999999999</v>
      </c>
      <c r="V170" s="10">
        <v>104.07465000000001</v>
      </c>
      <c r="W170" s="10">
        <v>105.69441999999999</v>
      </c>
      <c r="X170" s="4" t="s">
        <v>146</v>
      </c>
      <c r="Y170" s="4" t="s">
        <v>1512</v>
      </c>
      <c r="AA170" s="10">
        <f t="shared" si="8"/>
        <v>5.8124972597665803E-2</v>
      </c>
      <c r="AB170" s="10">
        <f t="shared" si="9"/>
        <v>2.1403890179962422E-2</v>
      </c>
      <c r="AC170" s="10">
        <f t="shared" si="10"/>
        <v>2.2000057597403728</v>
      </c>
      <c r="AD170" s="10">
        <f t="shared" si="11"/>
        <v>0.24970563730723219</v>
      </c>
    </row>
    <row r="171" spans="1:30" x14ac:dyDescent="0.25">
      <c r="A171" s="33" t="s">
        <v>1513</v>
      </c>
      <c r="C171" s="39">
        <v>40847</v>
      </c>
      <c r="D171" s="53" t="s">
        <v>1514</v>
      </c>
      <c r="E171" s="4" t="str">
        <f>VLOOKUP(LEFT(D171,2),Sort!$A$1:$B$58,2,FALSE)</f>
        <v>China</v>
      </c>
      <c r="F171" s="4" t="s">
        <v>1014</v>
      </c>
      <c r="G171" s="18">
        <v>256991720</v>
      </c>
      <c r="H171" s="18">
        <v>281978739.69999999</v>
      </c>
      <c r="I171" s="10">
        <v>0.13591983099999999</v>
      </c>
      <c r="J171" s="10">
        <v>29.486111000000001</v>
      </c>
      <c r="K171" s="10">
        <v>15.159665</v>
      </c>
      <c r="L171" s="10">
        <v>5</v>
      </c>
      <c r="M171" s="10">
        <v>5</v>
      </c>
      <c r="N171" s="10">
        <v>187.61060000000001</v>
      </c>
      <c r="O171" s="10">
        <v>206.54329999999999</v>
      </c>
      <c r="P171" s="10">
        <v>14.021737</v>
      </c>
      <c r="Q171" s="10">
        <v>3.6701000000000001</v>
      </c>
      <c r="R171" s="10">
        <v>2.1822060919999999</v>
      </c>
      <c r="S171" s="10">
        <v>13.010807</v>
      </c>
      <c r="T171" s="10">
        <v>109.64024999999999</v>
      </c>
      <c r="U171" s="10">
        <v>114.56963</v>
      </c>
      <c r="V171" s="10">
        <v>109.64024999999999</v>
      </c>
      <c r="W171" s="10">
        <v>114.56963</v>
      </c>
      <c r="X171" s="4" t="s">
        <v>146</v>
      </c>
      <c r="Y171" s="4" t="s">
        <v>1515</v>
      </c>
      <c r="AA171" s="10">
        <f t="shared" si="8"/>
        <v>0.21956567288784995</v>
      </c>
      <c r="AB171" s="10">
        <f t="shared" si="9"/>
        <v>1.9567865032441168E-2</v>
      </c>
      <c r="AC171" s="10">
        <f t="shared" si="10"/>
        <v>0.57723956341304894</v>
      </c>
      <c r="AD171" s="10">
        <f t="shared" si="11"/>
        <v>0.21937846411834819</v>
      </c>
    </row>
    <row r="172" spans="1:30" x14ac:dyDescent="0.25">
      <c r="A172" s="33" t="s">
        <v>1516</v>
      </c>
      <c r="C172" s="39">
        <v>40847</v>
      </c>
      <c r="D172" s="53" t="s">
        <v>1517</v>
      </c>
      <c r="E172" s="4" t="str">
        <f>VLOOKUP(LEFT(D172,2),Sort!$A$1:$B$58,2,FALSE)</f>
        <v>China</v>
      </c>
      <c r="F172" s="4" t="s">
        <v>1059</v>
      </c>
      <c r="G172" s="18">
        <v>154195032</v>
      </c>
      <c r="H172" s="18">
        <v>137144702</v>
      </c>
      <c r="I172" s="10">
        <v>6.6106703000000003E-2</v>
      </c>
      <c r="J172" s="10">
        <v>3.963889</v>
      </c>
      <c r="K172" s="10">
        <v>2.979705</v>
      </c>
      <c r="L172" s="10">
        <v>15.544282000000001</v>
      </c>
      <c r="M172" s="10">
        <v>15.544282000000001</v>
      </c>
      <c r="N172" s="10">
        <v>1486.3825999999999</v>
      </c>
      <c r="O172" s="10">
        <v>1494.7080000000001</v>
      </c>
      <c r="P172" s="10">
        <v>2.9662410000000001</v>
      </c>
      <c r="Q172" s="10">
        <v>-2.1625999999999999</v>
      </c>
      <c r="R172" s="10">
        <v>25.907070529999999</v>
      </c>
      <c r="S172" s="10">
        <v>-8.5800004919999999</v>
      </c>
      <c r="T172" s="10">
        <v>88.5</v>
      </c>
      <c r="U172" s="10">
        <v>90.5</v>
      </c>
      <c r="V172" s="10">
        <v>88.5</v>
      </c>
      <c r="W172" s="10">
        <v>90.5</v>
      </c>
      <c r="X172" s="4" t="s">
        <v>146</v>
      </c>
      <c r="Y172" s="4" t="s">
        <v>1518</v>
      </c>
      <c r="AA172" s="10">
        <f t="shared" si="8"/>
        <v>5.5786791954269624E-3</v>
      </c>
      <c r="AB172" s="10">
        <f t="shared" si="9"/>
        <v>0.13453815546657211</v>
      </c>
      <c r="AC172" s="10">
        <f t="shared" si="10"/>
        <v>15.188975285985606</v>
      </c>
      <c r="AD172" s="10">
        <f t="shared" si="11"/>
        <v>0.26018061369938983</v>
      </c>
    </row>
    <row r="173" spans="1:30" x14ac:dyDescent="0.25">
      <c r="A173" s="33" t="s">
        <v>1519</v>
      </c>
      <c r="C173" s="39">
        <v>40847</v>
      </c>
      <c r="D173" s="53" t="s">
        <v>1520</v>
      </c>
      <c r="E173" s="4" t="str">
        <f>VLOOKUP(LEFT(D173,2),Sort!$A$1:$B$58,2,FALSE)</f>
        <v>China</v>
      </c>
      <c r="F173" s="4" t="s">
        <v>1014</v>
      </c>
      <c r="G173" s="18">
        <v>154195032</v>
      </c>
      <c r="H173" s="18">
        <v>139112830.40000001</v>
      </c>
      <c r="I173" s="10">
        <v>6.7055382999999996E-2</v>
      </c>
      <c r="J173" s="10">
        <v>4.5277779999999996</v>
      </c>
      <c r="K173" s="10">
        <v>3.517506</v>
      </c>
      <c r="L173" s="10">
        <v>11.178929</v>
      </c>
      <c r="M173" s="10">
        <v>11.178929</v>
      </c>
      <c r="N173" s="10">
        <v>1033.3818000000001</v>
      </c>
      <c r="O173" s="10">
        <v>1040.3605</v>
      </c>
      <c r="P173" s="10">
        <v>3.4933589999999999</v>
      </c>
      <c r="Q173" s="10">
        <v>1.7158</v>
      </c>
      <c r="R173" s="10">
        <v>20.121495530000001</v>
      </c>
      <c r="S173" s="10">
        <v>-8.0426719999999996</v>
      </c>
      <c r="T173" s="10">
        <v>86.5</v>
      </c>
      <c r="U173" s="10">
        <v>88.5</v>
      </c>
      <c r="V173" s="10">
        <v>86.5</v>
      </c>
      <c r="W173" s="10">
        <v>88.5</v>
      </c>
      <c r="X173" s="4" t="s">
        <v>146</v>
      </c>
      <c r="Y173" s="4" t="s">
        <v>1521</v>
      </c>
      <c r="AA173" s="10">
        <f t="shared" si="8"/>
        <v>6.6800715891706438E-3</v>
      </c>
      <c r="AB173" s="10">
        <f t="shared" si="9"/>
        <v>9.8143863944448934E-2</v>
      </c>
      <c r="AC173" s="10">
        <f t="shared" si="10"/>
        <v>10.723686840176052</v>
      </c>
      <c r="AD173" s="10">
        <f t="shared" si="11"/>
        <v>0.25808203646685568</v>
      </c>
    </row>
    <row r="174" spans="1:30" x14ac:dyDescent="0.25">
      <c r="A174" s="33" t="s">
        <v>1522</v>
      </c>
      <c r="C174" s="39">
        <v>40847</v>
      </c>
      <c r="D174" s="53" t="s">
        <v>1523</v>
      </c>
      <c r="E174" s="4" t="str">
        <f>VLOOKUP(LEFT(D174,2),Sort!$A$1:$B$58,2,FALSE)</f>
        <v>China</v>
      </c>
      <c r="F174" s="4" t="s">
        <v>1014</v>
      </c>
      <c r="G174" s="18">
        <v>154195032</v>
      </c>
      <c r="H174" s="18">
        <v>136042850.5</v>
      </c>
      <c r="I174" s="10">
        <v>6.5575586000000005E-2</v>
      </c>
      <c r="J174" s="10">
        <v>6.0388890000000002</v>
      </c>
      <c r="K174" s="10">
        <v>4.5973189999999997</v>
      </c>
      <c r="L174" s="10">
        <v>9.9108199999999993</v>
      </c>
      <c r="M174" s="10">
        <v>9.9108199999999993</v>
      </c>
      <c r="N174" s="10">
        <v>862.18669999999997</v>
      </c>
      <c r="O174" s="10">
        <v>870.97230000000002</v>
      </c>
      <c r="P174" s="10">
        <v>4.5245220000000002</v>
      </c>
      <c r="Q174" s="10">
        <v>-0.54169999999999996</v>
      </c>
      <c r="R174" s="10">
        <v>24.821192920000001</v>
      </c>
      <c r="S174" s="10">
        <v>-7.652178127</v>
      </c>
      <c r="T174" s="10">
        <v>85</v>
      </c>
      <c r="U174" s="10">
        <v>87</v>
      </c>
      <c r="V174" s="10">
        <v>85</v>
      </c>
      <c r="W174" s="10">
        <v>87</v>
      </c>
      <c r="X174" s="4" t="s">
        <v>146</v>
      </c>
      <c r="Y174" s="4" t="s">
        <v>1524</v>
      </c>
      <c r="AA174" s="10">
        <f t="shared" si="8"/>
        <v>1.3620792384697942E-2</v>
      </c>
      <c r="AB174" s="10">
        <f t="shared" si="9"/>
        <v>8.1265610184485873E-2</v>
      </c>
      <c r="AC174" s="10">
        <f t="shared" si="10"/>
        <v>10.984468959877725</v>
      </c>
      <c r="AD174" s="10">
        <f t="shared" si="11"/>
        <v>0.2481088724843234</v>
      </c>
    </row>
    <row r="175" spans="1:30" x14ac:dyDescent="0.25">
      <c r="A175" s="33" t="s">
        <v>1525</v>
      </c>
      <c r="C175" s="39">
        <v>40847</v>
      </c>
      <c r="D175" s="53" t="s">
        <v>1526</v>
      </c>
      <c r="E175" s="4" t="str">
        <f>VLOOKUP(LEFT(D175,2),Sort!$A$1:$B$58,2,FALSE)</f>
        <v>China</v>
      </c>
      <c r="F175" s="4" t="s">
        <v>1214</v>
      </c>
      <c r="G175" s="18">
        <v>282690892</v>
      </c>
      <c r="H175" s="18">
        <v>267614045.40000001</v>
      </c>
      <c r="I175" s="10">
        <v>0.128995738</v>
      </c>
      <c r="J175" s="10">
        <v>3.7916669999999999</v>
      </c>
      <c r="K175" s="10">
        <v>3.1377989999999998</v>
      </c>
      <c r="L175" s="10">
        <v>9.5968769999999992</v>
      </c>
      <c r="M175" s="10">
        <v>9.5968769999999992</v>
      </c>
      <c r="N175" s="10">
        <v>896.67100000000005</v>
      </c>
      <c r="O175" s="10">
        <v>902.08519999999999</v>
      </c>
      <c r="P175" s="10">
        <v>3.1246749999999999</v>
      </c>
      <c r="Q175" s="10">
        <v>2.35E-2</v>
      </c>
      <c r="R175" s="10">
        <v>31.400370989999999</v>
      </c>
      <c r="S175" s="10">
        <v>-4.8249596920000002</v>
      </c>
      <c r="T175" s="10">
        <v>93</v>
      </c>
      <c r="U175" s="10">
        <v>95</v>
      </c>
      <c r="V175" s="10">
        <v>93</v>
      </c>
      <c r="W175" s="10">
        <v>95</v>
      </c>
      <c r="X175" s="4" t="s">
        <v>146</v>
      </c>
      <c r="Y175" s="4" t="s">
        <v>1527</v>
      </c>
      <c r="AA175" s="10">
        <f t="shared" si="8"/>
        <v>1.1463391013393389E-2</v>
      </c>
      <c r="AB175" s="10">
        <f t="shared" si="9"/>
        <v>0.15479620906925226</v>
      </c>
      <c r="AC175" s="10">
        <f t="shared" si="10"/>
        <v>22.379761836442917</v>
      </c>
      <c r="AD175" s="10">
        <f t="shared" si="11"/>
        <v>0.53294185323070642</v>
      </c>
    </row>
    <row r="176" spans="1:30" x14ac:dyDescent="0.25">
      <c r="A176" s="33" t="s">
        <v>1528</v>
      </c>
      <c r="C176" s="39">
        <v>40847</v>
      </c>
      <c r="D176" s="53" t="s">
        <v>1529</v>
      </c>
      <c r="E176" s="4" t="str">
        <f>VLOOKUP(LEFT(D176,2),Sort!$A$1:$B$58,2,FALSE)</f>
        <v>China</v>
      </c>
      <c r="F176" s="4" t="s">
        <v>1014</v>
      </c>
      <c r="G176" s="18">
        <v>513983441</v>
      </c>
      <c r="H176" s="18">
        <v>510552581</v>
      </c>
      <c r="I176" s="10">
        <v>0.24609734899999999</v>
      </c>
      <c r="J176" s="10">
        <v>9.019444</v>
      </c>
      <c r="K176" s="10">
        <v>6.9981869999999997</v>
      </c>
      <c r="L176" s="10">
        <v>5.68</v>
      </c>
      <c r="M176" s="10">
        <v>5.68</v>
      </c>
      <c r="N176" s="10">
        <v>372.96910000000003</v>
      </c>
      <c r="O176" s="10">
        <v>381.65809999999999</v>
      </c>
      <c r="P176" s="10">
        <v>6.7827159999999997</v>
      </c>
      <c r="Q176" s="10">
        <v>1.1792</v>
      </c>
      <c r="R176" s="10">
        <v>10.92654141</v>
      </c>
      <c r="S176" s="10">
        <v>3.888893811</v>
      </c>
      <c r="T176" s="10">
        <v>96.689440000000005</v>
      </c>
      <c r="U176" s="10">
        <v>98.741739999999993</v>
      </c>
      <c r="V176" s="10">
        <v>96.689440000000005</v>
      </c>
      <c r="W176" s="10">
        <v>98.741739999999993</v>
      </c>
      <c r="X176" s="4" t="s">
        <v>146</v>
      </c>
      <c r="Y176" s="4" t="s">
        <v>1530</v>
      </c>
      <c r="AA176" s="10">
        <f t="shared" si="8"/>
        <v>7.5193177921980991E-2</v>
      </c>
      <c r="AB176" s="10">
        <f t="shared" si="9"/>
        <v>4.0248146624937718E-2</v>
      </c>
      <c r="AC176" s="10">
        <f t="shared" si="10"/>
        <v>1.9312725724843673</v>
      </c>
      <c r="AD176" s="10">
        <f t="shared" si="11"/>
        <v>1.0567896990410839</v>
      </c>
    </row>
    <row r="177" spans="1:30" x14ac:dyDescent="0.25">
      <c r="A177" s="33" t="s">
        <v>1531</v>
      </c>
      <c r="C177" s="39">
        <v>40847</v>
      </c>
      <c r="D177" s="53" t="s">
        <v>1532</v>
      </c>
      <c r="E177" s="4" t="str">
        <f>VLOOKUP(LEFT(D177,2),Sort!$A$1:$B$58,2,FALSE)</f>
        <v>China</v>
      </c>
      <c r="F177" s="4" t="s">
        <v>1014</v>
      </c>
      <c r="G177" s="18">
        <v>256991720</v>
      </c>
      <c r="H177" s="18">
        <v>255751735</v>
      </c>
      <c r="I177" s="10">
        <v>0.12327784899999999</v>
      </c>
      <c r="J177" s="10">
        <v>3.75</v>
      </c>
      <c r="K177" s="10">
        <v>3.4525239999999999</v>
      </c>
      <c r="L177" s="10">
        <v>3.6624270000000001</v>
      </c>
      <c r="M177" s="10">
        <v>3.6624270000000001</v>
      </c>
      <c r="N177" s="10">
        <v>304.4427</v>
      </c>
      <c r="O177" s="10">
        <v>307.5958</v>
      </c>
      <c r="P177" s="10">
        <v>3.4380449999999998</v>
      </c>
      <c r="Q177" s="10">
        <v>2.0500000000000001E-2</v>
      </c>
      <c r="R177" s="10">
        <v>3.1741655280000001</v>
      </c>
      <c r="S177" s="10">
        <v>4.0898959489999998</v>
      </c>
      <c r="T177" s="10">
        <v>98.58</v>
      </c>
      <c r="U177" s="10">
        <v>100.3</v>
      </c>
      <c r="V177" s="10">
        <v>98.58</v>
      </c>
      <c r="W177" s="10">
        <v>100.3</v>
      </c>
      <c r="X177" s="4" t="s">
        <v>146</v>
      </c>
      <c r="Y177" s="4" t="s">
        <v>1533</v>
      </c>
      <c r="AA177" s="10">
        <f t="shared" si="8"/>
        <v>1.2054088558607297E-2</v>
      </c>
      <c r="AB177" s="10">
        <f t="shared" si="9"/>
        <v>1.5244750067806966E-2</v>
      </c>
      <c r="AC177" s="10">
        <f t="shared" si="10"/>
        <v>0.77970012282205281</v>
      </c>
      <c r="AD177" s="10">
        <f t="shared" si="11"/>
        <v>0.17419177218486795</v>
      </c>
    </row>
    <row r="178" spans="1:30" x14ac:dyDescent="0.25">
      <c r="A178" s="33" t="s">
        <v>1534</v>
      </c>
      <c r="C178" s="39">
        <v>40847</v>
      </c>
      <c r="D178" s="53" t="s">
        <v>1535</v>
      </c>
      <c r="E178" s="4" t="str">
        <f>VLOOKUP(LEFT(D178,2),Sort!$A$1:$B$58,2,FALSE)</f>
        <v>China</v>
      </c>
      <c r="F178" s="4" t="s">
        <v>1037</v>
      </c>
      <c r="G178" s="18">
        <v>385487580</v>
      </c>
      <c r="H178" s="18">
        <v>366229264.30000001</v>
      </c>
      <c r="I178" s="10">
        <v>0.176530399</v>
      </c>
      <c r="J178" s="10">
        <v>37.516666999999998</v>
      </c>
      <c r="K178" s="10">
        <v>11.994115000000001</v>
      </c>
      <c r="L178" s="10">
        <v>7.5309650000000001</v>
      </c>
      <c r="M178" s="10">
        <v>7.5309650000000001</v>
      </c>
      <c r="N178" s="10">
        <v>399.91180000000003</v>
      </c>
      <c r="O178" s="10">
        <v>475.71339999999998</v>
      </c>
      <c r="P178" s="10">
        <v>11.173403</v>
      </c>
      <c r="Q178" s="10">
        <v>-0.50260000000000005</v>
      </c>
      <c r="R178" s="10">
        <v>14.545268719999999</v>
      </c>
      <c r="S178" s="10">
        <v>-4.1061579999999998</v>
      </c>
      <c r="T178" s="10">
        <v>91.5</v>
      </c>
      <c r="U178" s="10">
        <v>96.5</v>
      </c>
      <c r="V178" s="10">
        <v>91.5</v>
      </c>
      <c r="W178" s="10">
        <v>96.5</v>
      </c>
      <c r="X178" s="4" t="s">
        <v>146</v>
      </c>
      <c r="Y178" s="4" t="s">
        <v>1536</v>
      </c>
      <c r="AA178" s="10">
        <f t="shared" si="8"/>
        <v>0.22562110750463599</v>
      </c>
      <c r="AB178" s="10">
        <f t="shared" si="9"/>
        <v>7.4339269616295084E-2</v>
      </c>
      <c r="AC178" s="10">
        <f t="shared" si="10"/>
        <v>4.9312406599343293</v>
      </c>
      <c r="AD178" s="10">
        <f t="shared" si="11"/>
        <v>0.74084555119991757</v>
      </c>
    </row>
    <row r="179" spans="1:30" x14ac:dyDescent="0.25">
      <c r="A179" s="33" t="s">
        <v>1537</v>
      </c>
      <c r="C179" s="39">
        <v>40847</v>
      </c>
      <c r="D179" s="53" t="s">
        <v>1538</v>
      </c>
      <c r="E179" s="4" t="str">
        <f>VLOOKUP(LEFT(D179,2),Sort!$A$1:$B$58,2,FALSE)</f>
        <v>China</v>
      </c>
      <c r="F179" s="4" t="s">
        <v>1014</v>
      </c>
      <c r="G179" s="18">
        <v>513983441</v>
      </c>
      <c r="H179" s="18">
        <v>511706206.5</v>
      </c>
      <c r="I179" s="10">
        <v>0.24665342100000001</v>
      </c>
      <c r="J179" s="10">
        <v>4.5444440000000004</v>
      </c>
      <c r="K179" s="10">
        <v>3.9848479999999999</v>
      </c>
      <c r="L179" s="10">
        <v>5.0603040000000004</v>
      </c>
      <c r="M179" s="10">
        <v>5.0603040000000004</v>
      </c>
      <c r="N179" s="10">
        <v>421.0326</v>
      </c>
      <c r="O179" s="10">
        <v>424.96120000000002</v>
      </c>
      <c r="P179" s="10">
        <v>3.9564170000000001</v>
      </c>
      <c r="Q179" s="10">
        <v>0.41639999999999999</v>
      </c>
      <c r="R179" s="10">
        <v>5.3655114140000002</v>
      </c>
      <c r="S179" s="10">
        <v>1.7373E-2</v>
      </c>
      <c r="T179" s="10">
        <v>97.45</v>
      </c>
      <c r="U179" s="10">
        <v>98.25</v>
      </c>
      <c r="V179" s="10">
        <v>97.45</v>
      </c>
      <c r="W179" s="10">
        <v>98.25</v>
      </c>
      <c r="X179" s="4" t="s">
        <v>146</v>
      </c>
      <c r="Y179" s="4" t="s">
        <v>1539</v>
      </c>
      <c r="AA179" s="10">
        <f t="shared" si="8"/>
        <v>2.7836301235265624E-2</v>
      </c>
      <c r="AB179" s="10">
        <f t="shared" si="9"/>
        <v>3.5938038314285776E-2</v>
      </c>
      <c r="AC179" s="10">
        <f t="shared" si="10"/>
        <v>6.1549954018044035</v>
      </c>
      <c r="AD179" s="10">
        <f t="shared" si="11"/>
        <v>1.0539028113229283</v>
      </c>
    </row>
    <row r="180" spans="1:30" x14ac:dyDescent="0.25">
      <c r="A180" s="33" t="s">
        <v>1540</v>
      </c>
      <c r="C180" s="39">
        <v>40847</v>
      </c>
      <c r="D180" s="53" t="s">
        <v>1541</v>
      </c>
      <c r="E180" s="4" t="str">
        <f>VLOOKUP(LEFT(D180,2),Sort!$A$1:$B$58,2,FALSE)</f>
        <v>China</v>
      </c>
      <c r="F180" s="4" t="s">
        <v>1014</v>
      </c>
      <c r="G180" s="18">
        <v>205593376</v>
      </c>
      <c r="H180" s="18">
        <v>199899582.59999999</v>
      </c>
      <c r="I180" s="10">
        <v>9.6355908000000004E-2</v>
      </c>
      <c r="J180" s="10">
        <v>4.5611110000000004</v>
      </c>
      <c r="K180" s="10">
        <v>3.5596519999999998</v>
      </c>
      <c r="L180" s="10">
        <v>9.7424289999999996</v>
      </c>
      <c r="M180" s="10">
        <v>9.7424289999999996</v>
      </c>
      <c r="N180" s="10">
        <v>888.75850000000003</v>
      </c>
      <c r="O180" s="10">
        <v>896.09929999999997</v>
      </c>
      <c r="P180" s="10">
        <v>3.5352329999999998</v>
      </c>
      <c r="Q180" s="10">
        <v>-1.4957</v>
      </c>
      <c r="R180" s="10">
        <v>27.81814996</v>
      </c>
      <c r="S180" s="10">
        <v>-0.44086700000000001</v>
      </c>
      <c r="T180" s="10">
        <v>93.5</v>
      </c>
      <c r="U180" s="10">
        <v>95.5</v>
      </c>
      <c r="V180" s="10">
        <v>93.5</v>
      </c>
      <c r="W180" s="10">
        <v>95.5</v>
      </c>
      <c r="X180" s="4" t="s">
        <v>146</v>
      </c>
      <c r="Y180" s="4" t="s">
        <v>1542</v>
      </c>
      <c r="AA180" s="10">
        <f t="shared" si="8"/>
        <v>9.7140092490098848E-3</v>
      </c>
      <c r="AB180" s="10">
        <f t="shared" si="9"/>
        <v>0.11738176236171706</v>
      </c>
      <c r="AC180" s="10">
        <f t="shared" si="10"/>
        <v>16.606076148363446</v>
      </c>
      <c r="AD180" s="10">
        <f t="shared" si="11"/>
        <v>0.40018663298768969</v>
      </c>
    </row>
    <row r="181" spans="1:30" x14ac:dyDescent="0.25">
      <c r="A181" s="33" t="s">
        <v>1543</v>
      </c>
      <c r="C181" s="39">
        <v>40847</v>
      </c>
      <c r="D181" s="53" t="s">
        <v>1544</v>
      </c>
      <c r="E181" s="4" t="str">
        <f>VLOOKUP(LEFT(D181,2),Sort!$A$1:$B$58,2,FALSE)</f>
        <v>China</v>
      </c>
      <c r="F181" s="4" t="s">
        <v>1014</v>
      </c>
      <c r="G181" s="18">
        <v>205593376</v>
      </c>
      <c r="H181" s="18">
        <v>193035048</v>
      </c>
      <c r="I181" s="10">
        <v>9.3047054000000004E-2</v>
      </c>
      <c r="J181" s="10">
        <v>3.7722220000000002</v>
      </c>
      <c r="K181" s="10">
        <v>2.9373499999999999</v>
      </c>
      <c r="L181" s="10">
        <v>12.708513999999999</v>
      </c>
      <c r="M181" s="10">
        <v>12.708513999999999</v>
      </c>
      <c r="N181" s="10">
        <v>1208.4024999999999</v>
      </c>
      <c r="O181" s="10">
        <v>1215.0130999999999</v>
      </c>
      <c r="P181" s="10">
        <v>2.924906</v>
      </c>
      <c r="Q181" s="10">
        <v>-0.499</v>
      </c>
      <c r="R181" s="10">
        <v>22.61399505</v>
      </c>
      <c r="S181" s="10">
        <v>-6.2548301799999999</v>
      </c>
      <c r="T181" s="10">
        <v>91.5</v>
      </c>
      <c r="U181" s="10">
        <v>93.5</v>
      </c>
      <c r="V181" s="10">
        <v>91.5</v>
      </c>
      <c r="W181" s="10">
        <v>93.5</v>
      </c>
      <c r="X181" s="4" t="s">
        <v>146</v>
      </c>
      <c r="Y181" s="4" t="s">
        <v>1545</v>
      </c>
      <c r="AA181" s="10">
        <f t="shared" si="8"/>
        <v>7.7405344679787646E-3</v>
      </c>
      <c r="AB181" s="10">
        <f t="shared" si="9"/>
        <v>0.15481987308911083</v>
      </c>
      <c r="AC181" s="10">
        <f t="shared" si="10"/>
        <v>17.378416826744864</v>
      </c>
      <c r="AD181" s="10">
        <f t="shared" si="11"/>
        <v>0.37835118470726647</v>
      </c>
    </row>
    <row r="182" spans="1:30" x14ac:dyDescent="0.25">
      <c r="A182" s="33" t="s">
        <v>1546</v>
      </c>
      <c r="C182" s="39">
        <v>40847</v>
      </c>
      <c r="D182" s="53" t="s">
        <v>1547</v>
      </c>
      <c r="E182" s="4" t="str">
        <f>VLOOKUP(LEFT(D182,2),Sort!$A$1:$B$58,2,FALSE)</f>
        <v>China</v>
      </c>
      <c r="F182" s="4" t="s">
        <v>1014</v>
      </c>
      <c r="G182" s="18">
        <v>282690892</v>
      </c>
      <c r="H182" s="18">
        <v>253980098.30000001</v>
      </c>
      <c r="I182" s="10">
        <v>0.122423882</v>
      </c>
      <c r="J182" s="10">
        <v>5.4749999999999996</v>
      </c>
      <c r="K182" s="10">
        <v>3.920585</v>
      </c>
      <c r="L182" s="10">
        <v>13.494396</v>
      </c>
      <c r="M182" s="10">
        <v>13.494396</v>
      </c>
      <c r="N182" s="10">
        <v>1237.1509000000001</v>
      </c>
      <c r="O182" s="10">
        <v>1250.8404</v>
      </c>
      <c r="P182" s="10">
        <v>3.8757510000000002</v>
      </c>
      <c r="Q182" s="10">
        <v>0.5948</v>
      </c>
      <c r="R182" s="10">
        <v>19.50481898</v>
      </c>
      <c r="S182" s="10">
        <v>-10.22307704</v>
      </c>
      <c r="T182" s="10">
        <v>89.5</v>
      </c>
      <c r="U182" s="10">
        <v>91.5</v>
      </c>
      <c r="V182" s="10">
        <v>89.5</v>
      </c>
      <c r="W182" s="10">
        <v>91.5</v>
      </c>
      <c r="X182" s="4" t="s">
        <v>146</v>
      </c>
      <c r="Y182" s="4" t="s">
        <v>1548</v>
      </c>
      <c r="AA182" s="10">
        <f t="shared" si="8"/>
        <v>1.3593448428586142E-2</v>
      </c>
      <c r="AB182" s="10">
        <f t="shared" si="9"/>
        <v>0.21629620769080576</v>
      </c>
      <c r="AC182" s="10">
        <f t="shared" si="10"/>
        <v>23.539360932775885</v>
      </c>
      <c r="AD182" s="10">
        <f t="shared" si="11"/>
        <v>0.48715604996506146</v>
      </c>
    </row>
    <row r="183" spans="1:30" x14ac:dyDescent="0.25">
      <c r="A183" s="33" t="s">
        <v>1549</v>
      </c>
      <c r="C183" s="39">
        <v>40847</v>
      </c>
      <c r="D183" s="53" t="s">
        <v>1550</v>
      </c>
      <c r="E183" s="4" t="str">
        <f>VLOOKUP(LEFT(D183,2),Sort!$A$1:$B$58,2,FALSE)</f>
        <v>China</v>
      </c>
      <c r="F183" s="4" t="s">
        <v>1014</v>
      </c>
      <c r="G183" s="18">
        <v>462585097</v>
      </c>
      <c r="H183" s="18">
        <v>419506859.80000001</v>
      </c>
      <c r="I183" s="10">
        <v>0.20221134900000001</v>
      </c>
      <c r="J183" s="10">
        <v>6.3055560000000002</v>
      </c>
      <c r="K183" s="10">
        <v>4.2478259999999999</v>
      </c>
      <c r="L183" s="10">
        <v>13.526389999999999</v>
      </c>
      <c r="M183" s="10">
        <v>13.526389999999999</v>
      </c>
      <c r="N183" s="10">
        <v>1215.8904</v>
      </c>
      <c r="O183" s="10">
        <v>1233.4018000000001</v>
      </c>
      <c r="P183" s="10">
        <v>4.1784739999999996</v>
      </c>
      <c r="Q183" s="10">
        <v>0.58930000000000005</v>
      </c>
      <c r="R183" s="10">
        <v>18.83701838</v>
      </c>
      <c r="S183" s="10">
        <v>-4.5901870000000002</v>
      </c>
      <c r="T183" s="10">
        <v>88.5</v>
      </c>
      <c r="U183" s="10">
        <v>90.5</v>
      </c>
      <c r="V183" s="10">
        <v>88.5</v>
      </c>
      <c r="W183" s="10">
        <v>90.5</v>
      </c>
      <c r="X183" s="4" t="s">
        <v>146</v>
      </c>
      <c r="Y183" s="4" t="s">
        <v>1551</v>
      </c>
      <c r="AA183" s="10">
        <f t="shared" si="8"/>
        <v>3.8808583911230335E-2</v>
      </c>
      <c r="AB183" s="10">
        <f t="shared" si="9"/>
        <v>0.35811023980377765</v>
      </c>
      <c r="AC183" s="10">
        <f t="shared" si="10"/>
        <v>38.338642042364853</v>
      </c>
      <c r="AD183" s="10">
        <f t="shared" si="11"/>
        <v>0.79585686243911835</v>
      </c>
    </row>
    <row r="184" spans="1:30" x14ac:dyDescent="0.25">
      <c r="A184" s="33" t="s">
        <v>1552</v>
      </c>
      <c r="C184" s="39">
        <v>40847</v>
      </c>
      <c r="D184" s="53" t="s">
        <v>1553</v>
      </c>
      <c r="E184" s="4" t="str">
        <f>VLOOKUP(LEFT(D184,2),Sort!$A$1:$B$58,2,FALSE)</f>
        <v>China</v>
      </c>
      <c r="F184" s="4" t="s">
        <v>1014</v>
      </c>
      <c r="G184" s="18">
        <v>192743790</v>
      </c>
      <c r="H184" s="18">
        <v>190295676</v>
      </c>
      <c r="I184" s="10">
        <v>9.1726617999999996E-2</v>
      </c>
      <c r="J184" s="10">
        <v>2.8527779999999998</v>
      </c>
      <c r="K184" s="10">
        <v>2.326184</v>
      </c>
      <c r="L184" s="10">
        <v>12.160037000000001</v>
      </c>
      <c r="M184" s="10">
        <v>12.160037000000001</v>
      </c>
      <c r="N184" s="10">
        <v>1178.3415</v>
      </c>
      <c r="O184" s="10">
        <v>1181.4250999999999</v>
      </c>
      <c r="P184" s="10">
        <v>2.3220360000000002</v>
      </c>
      <c r="Q184" s="10">
        <v>-0.47110000000000002</v>
      </c>
      <c r="R184" s="10">
        <v>22.166270730000001</v>
      </c>
      <c r="S184" s="10">
        <v>-3.3915187150000001</v>
      </c>
      <c r="T184" s="10">
        <v>97</v>
      </c>
      <c r="U184" s="10">
        <v>99</v>
      </c>
      <c r="V184" s="10">
        <v>97</v>
      </c>
      <c r="W184" s="10">
        <v>99</v>
      </c>
      <c r="X184" s="4" t="s">
        <v>146</v>
      </c>
      <c r="Y184" s="4" t="s">
        <v>1554</v>
      </c>
      <c r="AA184" s="10">
        <f t="shared" si="8"/>
        <v>6.04299266799317E-3</v>
      </c>
      <c r="AB184" s="10">
        <f t="shared" si="9"/>
        <v>0.14603588403077902</v>
      </c>
      <c r="AC184" s="10">
        <f t="shared" si="10"/>
        <v>16.658204715972765</v>
      </c>
      <c r="AD184" s="10">
        <f t="shared" si="11"/>
        <v>0.39492209672748507</v>
      </c>
    </row>
    <row r="185" spans="1:30" x14ac:dyDescent="0.25">
      <c r="A185" s="33" t="s">
        <v>1555</v>
      </c>
      <c r="C185" s="39">
        <v>40847</v>
      </c>
      <c r="D185" s="53" t="s">
        <v>1556</v>
      </c>
      <c r="E185" s="4" t="str">
        <f>VLOOKUP(LEFT(D185,2),Sort!$A$1:$B$58,2,FALSE)</f>
        <v>China</v>
      </c>
      <c r="F185" s="4" t="s">
        <v>1014</v>
      </c>
      <c r="G185" s="18">
        <v>385487580</v>
      </c>
      <c r="H185" s="18">
        <v>409680946.30000001</v>
      </c>
      <c r="I185" s="10">
        <v>0.19747504699999999</v>
      </c>
      <c r="J185" s="10">
        <v>9.5277779999999996</v>
      </c>
      <c r="K185" s="10">
        <v>7.2389109999999999</v>
      </c>
      <c r="L185" s="10">
        <v>5.3299989999999999</v>
      </c>
      <c r="M185" s="10">
        <v>5.3299989999999999</v>
      </c>
      <c r="N185" s="10">
        <v>328.44619999999998</v>
      </c>
      <c r="O185" s="10">
        <v>340.22280000000001</v>
      </c>
      <c r="P185" s="10">
        <v>7.005719</v>
      </c>
      <c r="Q185" s="10">
        <v>1.218</v>
      </c>
      <c r="R185" s="10">
        <v>6.3392229430000002</v>
      </c>
      <c r="S185" s="10">
        <v>5.3803089999999996</v>
      </c>
      <c r="T185" s="10">
        <v>103.44271000000001</v>
      </c>
      <c r="U185" s="10">
        <v>104.95298</v>
      </c>
      <c r="V185" s="10">
        <v>103.44271000000001</v>
      </c>
      <c r="W185" s="10">
        <v>104.95298</v>
      </c>
      <c r="X185" s="4" t="s">
        <v>146</v>
      </c>
      <c r="Y185" s="4" t="s">
        <v>1557</v>
      </c>
      <c r="AA185" s="10">
        <f t="shared" si="8"/>
        <v>6.2412477705247799E-2</v>
      </c>
      <c r="AB185" s="10">
        <f t="shared" si="9"/>
        <v>3.0306094161324897E-2</v>
      </c>
      <c r="AC185" s="10">
        <f t="shared" si="10"/>
        <v>1.3814583420163835</v>
      </c>
      <c r="AD185" s="10">
        <f t="shared" si="11"/>
        <v>0.29197700959173728</v>
      </c>
    </row>
    <row r="186" spans="1:30" x14ac:dyDescent="0.25">
      <c r="A186" s="33" t="s">
        <v>1558</v>
      </c>
      <c r="C186" s="39">
        <v>40847</v>
      </c>
      <c r="D186" s="53" t="s">
        <v>1559</v>
      </c>
      <c r="E186" s="4" t="str">
        <f>VLOOKUP(LEFT(D186,2),Sort!$A$1:$B$58,2,FALSE)</f>
        <v>China</v>
      </c>
      <c r="F186" s="4" t="s">
        <v>1014</v>
      </c>
      <c r="G186" s="18">
        <v>693877645</v>
      </c>
      <c r="H186" s="18">
        <v>620789202</v>
      </c>
      <c r="I186" s="10">
        <v>0.29923377699999998</v>
      </c>
      <c r="J186" s="10">
        <v>3.233333</v>
      </c>
      <c r="K186" s="10">
        <v>2.3980579999999998</v>
      </c>
      <c r="L186" s="10">
        <v>18.028578</v>
      </c>
      <c r="M186" s="10">
        <v>18.028578</v>
      </c>
      <c r="N186" s="10">
        <v>1756.1445000000001</v>
      </c>
      <c r="O186" s="10">
        <v>1761.021</v>
      </c>
      <c r="P186" s="10">
        <v>2.3907370000000001</v>
      </c>
      <c r="Q186" s="10">
        <v>1.7470000000000001</v>
      </c>
      <c r="R186" s="10">
        <v>32.63053755</v>
      </c>
      <c r="S186" s="10">
        <v>-11.3094492</v>
      </c>
      <c r="T186" s="10">
        <v>86</v>
      </c>
      <c r="U186" s="10">
        <v>88</v>
      </c>
      <c r="V186" s="10">
        <v>86</v>
      </c>
      <c r="W186" s="10">
        <v>88</v>
      </c>
      <c r="X186" s="4" t="s">
        <v>146</v>
      </c>
      <c r="Y186" s="4" t="s">
        <v>1560</v>
      </c>
      <c r="AA186" s="10">
        <f t="shared" si="8"/>
        <v>2.032277083664949E-2</v>
      </c>
      <c r="AB186" s="10">
        <f t="shared" si="9"/>
        <v>0.70631982286244621</v>
      </c>
      <c r="AC186" s="10">
        <f t="shared" si="10"/>
        <v>81.003124389098303</v>
      </c>
      <c r="AD186" s="10">
        <f t="shared" si="11"/>
        <v>1.145181031180001</v>
      </c>
    </row>
    <row r="187" spans="1:30" x14ac:dyDescent="0.25">
      <c r="A187" s="33" t="s">
        <v>1561</v>
      </c>
      <c r="C187" s="39">
        <v>40847</v>
      </c>
      <c r="D187" s="53" t="s">
        <v>1562</v>
      </c>
      <c r="E187" s="4" t="str">
        <f>VLOOKUP(LEFT(D187,2),Sort!$A$1:$B$58,2,FALSE)</f>
        <v>China</v>
      </c>
      <c r="F187" s="4" t="s">
        <v>1014</v>
      </c>
      <c r="G187" s="18">
        <v>256991720</v>
      </c>
      <c r="H187" s="18">
        <v>227020060.69999999</v>
      </c>
      <c r="I187" s="10">
        <v>0.10942856300000001</v>
      </c>
      <c r="J187" s="10">
        <v>9.4499999999999993</v>
      </c>
      <c r="K187" s="10">
        <v>6.8316689999999998</v>
      </c>
      <c r="L187" s="10">
        <v>8.2964699999999993</v>
      </c>
      <c r="M187" s="10">
        <v>8.2964699999999993</v>
      </c>
      <c r="N187" s="10">
        <v>626.55029999999999</v>
      </c>
      <c r="O187" s="10">
        <v>642.81089999999995</v>
      </c>
      <c r="P187" s="10">
        <v>6.6200200000000002</v>
      </c>
      <c r="Q187" s="10">
        <v>-2.1936</v>
      </c>
      <c r="R187" s="10">
        <v>34.946320399999998</v>
      </c>
      <c r="S187" s="10">
        <v>-6.818721</v>
      </c>
      <c r="T187" s="10">
        <v>88</v>
      </c>
      <c r="U187" s="10">
        <v>90</v>
      </c>
      <c r="V187" s="10">
        <v>88</v>
      </c>
      <c r="W187" s="10">
        <v>90</v>
      </c>
      <c r="X187" s="4" t="s">
        <v>146</v>
      </c>
      <c r="Y187" s="4" t="s">
        <v>1563</v>
      </c>
      <c r="AA187" s="10">
        <f t="shared" si="8"/>
        <v>3.2639498142026123E-2</v>
      </c>
      <c r="AB187" s="10">
        <f t="shared" si="9"/>
        <v>0.11352174846567764</v>
      </c>
      <c r="AC187" s="10">
        <f t="shared" si="10"/>
        <v>7.9257840788782046</v>
      </c>
      <c r="AD187" s="10">
        <f t="shared" si="11"/>
        <v>0.4283059072520049</v>
      </c>
    </row>
    <row r="188" spans="1:30" x14ac:dyDescent="0.25">
      <c r="A188" s="33" t="s">
        <v>1564</v>
      </c>
      <c r="C188" s="39">
        <v>40847</v>
      </c>
      <c r="D188" s="53" t="s">
        <v>1565</v>
      </c>
      <c r="E188" s="4" t="str">
        <f>VLOOKUP(LEFT(D188,2),Sort!$A$1:$B$58,2,FALSE)</f>
        <v>China</v>
      </c>
      <c r="F188" s="4" t="s">
        <v>1014</v>
      </c>
      <c r="G188" s="18">
        <v>154195032</v>
      </c>
      <c r="H188" s="18">
        <v>134802865</v>
      </c>
      <c r="I188" s="10">
        <v>6.4977886999999998E-2</v>
      </c>
      <c r="J188" s="10">
        <v>4.4444439999999998</v>
      </c>
      <c r="K188" s="10">
        <v>3.6189840000000002</v>
      </c>
      <c r="L188" s="10">
        <v>10.80377</v>
      </c>
      <c r="M188" s="10">
        <v>10.80377</v>
      </c>
      <c r="N188" s="10">
        <v>998.29920000000004</v>
      </c>
      <c r="O188" s="10">
        <v>1004.8484</v>
      </c>
      <c r="P188" s="10">
        <v>3.5946009999999999</v>
      </c>
      <c r="Q188" s="10">
        <v>2.3666999999999998</v>
      </c>
      <c r="R188" s="10">
        <v>25.368397430000002</v>
      </c>
      <c r="S188" s="10">
        <v>-5.6151270000000002</v>
      </c>
      <c r="T188" s="10">
        <v>87</v>
      </c>
      <c r="U188" s="10">
        <v>89</v>
      </c>
      <c r="V188" s="10">
        <v>87</v>
      </c>
      <c r="W188" s="10">
        <v>89</v>
      </c>
      <c r="X188" s="4" t="s">
        <v>146</v>
      </c>
      <c r="Y188" s="4" t="s">
        <v>1566</v>
      </c>
      <c r="AA188" s="10">
        <f t="shared" si="8"/>
        <v>6.6598564531614472E-3</v>
      </c>
      <c r="AB188" s="10">
        <f t="shared" si="9"/>
        <v>9.1911577474317357E-2</v>
      </c>
      <c r="AC188" s="10">
        <f t="shared" si="10"/>
        <v>10.036741737332559</v>
      </c>
      <c r="AD188" s="10">
        <f t="shared" si="11"/>
        <v>0.25149910767166322</v>
      </c>
    </row>
    <row r="189" spans="1:30" x14ac:dyDescent="0.25">
      <c r="A189" s="33" t="s">
        <v>1567</v>
      </c>
      <c r="C189" s="39">
        <v>40847</v>
      </c>
      <c r="D189" s="53" t="s">
        <v>1568</v>
      </c>
      <c r="E189" s="4" t="str">
        <f>VLOOKUP(LEFT(D189,2),Sort!$A$1:$B$58,2,FALSE)</f>
        <v>China</v>
      </c>
      <c r="F189" s="4" t="s">
        <v>1059</v>
      </c>
      <c r="G189" s="18">
        <v>154195032</v>
      </c>
      <c r="H189" s="18">
        <v>111465875.5</v>
      </c>
      <c r="I189" s="10">
        <v>5.3728955000000002E-2</v>
      </c>
      <c r="J189" s="10">
        <v>3.980556</v>
      </c>
      <c r="K189" s="10">
        <v>2.8012890000000001</v>
      </c>
      <c r="L189" s="10">
        <v>21.958435999999999</v>
      </c>
      <c r="M189" s="10">
        <v>21.958435999999999</v>
      </c>
      <c r="N189" s="10">
        <v>2127.3114</v>
      </c>
      <c r="O189" s="10">
        <v>2136.8798999999999</v>
      </c>
      <c r="P189" s="10">
        <v>2.7887339999999998</v>
      </c>
      <c r="Q189" s="10">
        <v>0.05</v>
      </c>
      <c r="R189" s="10">
        <v>11.361121170000001</v>
      </c>
      <c r="S189" s="10">
        <v>-19.58136704</v>
      </c>
      <c r="T189" s="10">
        <v>72</v>
      </c>
      <c r="U189" s="10">
        <v>77</v>
      </c>
      <c r="V189" s="10">
        <v>72</v>
      </c>
      <c r="W189" s="10">
        <v>77</v>
      </c>
      <c r="X189" s="4" t="s">
        <v>146</v>
      </c>
      <c r="Y189" s="4" t="s">
        <v>1569</v>
      </c>
      <c r="AA189" s="10">
        <f t="shared" si="8"/>
        <v>4.2626426931170868E-3</v>
      </c>
      <c r="AB189" s="10">
        <f t="shared" si="9"/>
        <v>0.15446820613911263</v>
      </c>
      <c r="AC189" s="10">
        <f t="shared" si="10"/>
        <v>17.648797774899805</v>
      </c>
      <c r="AD189" s="10">
        <f t="shared" si="11"/>
        <v>2.948869615972753</v>
      </c>
    </row>
    <row r="190" spans="1:30" x14ac:dyDescent="0.25">
      <c r="A190" s="33" t="s">
        <v>1570</v>
      </c>
      <c r="C190" s="39">
        <v>40847</v>
      </c>
      <c r="D190" s="53" t="s">
        <v>1571</v>
      </c>
      <c r="E190" s="4" t="str">
        <f>VLOOKUP(LEFT(D190,2),Sort!$A$1:$B$58,2,FALSE)</f>
        <v>China</v>
      </c>
      <c r="F190" s="4" t="s">
        <v>1014</v>
      </c>
      <c r="G190" s="18">
        <v>205593376</v>
      </c>
      <c r="H190" s="18">
        <v>177403526.59999999</v>
      </c>
      <c r="I190" s="10">
        <v>8.5512324000000001E-2</v>
      </c>
      <c r="J190" s="10">
        <v>4.0027780000000002</v>
      </c>
      <c r="K190" s="10">
        <v>3.0468220000000001</v>
      </c>
      <c r="L190" s="10">
        <v>13.978680000000001</v>
      </c>
      <c r="M190" s="10">
        <v>13.978680000000001</v>
      </c>
      <c r="N190" s="10">
        <v>1328.6868999999999</v>
      </c>
      <c r="O190" s="10">
        <v>1335.1306</v>
      </c>
      <c r="P190" s="10">
        <v>3.030821</v>
      </c>
      <c r="Q190" s="10">
        <v>6.1821999999999999</v>
      </c>
      <c r="R190" s="10">
        <v>35.636043649999998</v>
      </c>
      <c r="S190" s="10">
        <v>-10.00152913</v>
      </c>
      <c r="T190" s="10">
        <v>82</v>
      </c>
      <c r="U190" s="10">
        <v>84</v>
      </c>
      <c r="V190" s="10">
        <v>82</v>
      </c>
      <c r="W190" s="10">
        <v>84</v>
      </c>
      <c r="X190" s="4" t="s">
        <v>146</v>
      </c>
      <c r="Y190" s="4" t="s">
        <v>1572</v>
      </c>
      <c r="AA190" s="10">
        <f t="shared" si="8"/>
        <v>7.3788454593058774E-3</v>
      </c>
      <c r="AB190" s="10">
        <f t="shared" si="9"/>
        <v>0.15650354508323142</v>
      </c>
      <c r="AC190" s="10">
        <f t="shared" si="10"/>
        <v>17.550079168810225</v>
      </c>
      <c r="AD190" s="10">
        <f t="shared" si="11"/>
        <v>0.31238405230551641</v>
      </c>
    </row>
    <row r="191" spans="1:30" x14ac:dyDescent="0.25">
      <c r="A191" s="33" t="s">
        <v>1573</v>
      </c>
      <c r="C191" s="39">
        <v>40847</v>
      </c>
      <c r="D191" s="53" t="s">
        <v>1574</v>
      </c>
      <c r="E191" s="4" t="str">
        <f>VLOOKUP(LEFT(D191,2),Sort!$A$1:$B$58,2,FALSE)</f>
        <v>China</v>
      </c>
      <c r="F191" s="4" t="s">
        <v>1014</v>
      </c>
      <c r="G191" s="18">
        <v>154195032</v>
      </c>
      <c r="H191" s="18">
        <v>102276280.3</v>
      </c>
      <c r="I191" s="10">
        <v>4.9299372000000001E-2</v>
      </c>
      <c r="J191" s="10">
        <v>4.2166670000000002</v>
      </c>
      <c r="K191" s="10">
        <v>2.7852549999999998</v>
      </c>
      <c r="L191" s="10">
        <v>24.253195000000002</v>
      </c>
      <c r="M191" s="10">
        <v>24.253195000000002</v>
      </c>
      <c r="N191" s="10">
        <v>2349.8928000000001</v>
      </c>
      <c r="O191" s="10">
        <v>2360.2492000000002</v>
      </c>
      <c r="P191" s="10">
        <v>2.7692890000000001</v>
      </c>
      <c r="Q191" s="10">
        <v>-5.6437999999999997</v>
      </c>
      <c r="R191" s="10">
        <v>9.7887263059999992</v>
      </c>
      <c r="S191" s="10">
        <v>-27.501266000000001</v>
      </c>
      <c r="T191" s="10">
        <v>63</v>
      </c>
      <c r="U191" s="10">
        <v>68</v>
      </c>
      <c r="V191" s="10">
        <v>63</v>
      </c>
      <c r="W191" s="10">
        <v>68</v>
      </c>
      <c r="X191" s="4" t="s">
        <v>146</v>
      </c>
      <c r="Y191" s="4" t="s">
        <v>1575</v>
      </c>
      <c r="AA191" s="10">
        <f t="shared" si="8"/>
        <v>3.8888301058195912E-3</v>
      </c>
      <c r="AB191" s="10">
        <f t="shared" si="9"/>
        <v>0.15654516215951028</v>
      </c>
      <c r="AC191" s="10">
        <f t="shared" si="10"/>
        <v>17.886520522777285</v>
      </c>
      <c r="AD191" s="10">
        <f t="shared" si="11"/>
        <v>2.3894984406054771</v>
      </c>
    </row>
    <row r="192" spans="1:30" x14ac:dyDescent="0.25">
      <c r="A192" s="33" t="s">
        <v>1576</v>
      </c>
      <c r="C192" s="39">
        <v>40847</v>
      </c>
      <c r="D192" s="53" t="s">
        <v>1580</v>
      </c>
      <c r="E192" s="4" t="str">
        <f>VLOOKUP(LEFT(D192,2),Sort!$A$1:$B$58,2,FALSE)</f>
        <v>China</v>
      </c>
      <c r="F192" s="4" t="s">
        <v>1007</v>
      </c>
      <c r="G192" s="18">
        <v>256991720</v>
      </c>
      <c r="H192" s="18">
        <v>261355760.59999999</v>
      </c>
      <c r="I192" s="10">
        <v>0.12597911000000001</v>
      </c>
      <c r="J192" s="10">
        <v>9.0749999999999993</v>
      </c>
      <c r="K192" s="10">
        <v>7.2295530000000001</v>
      </c>
      <c r="L192" s="10">
        <v>4.9394450000000001</v>
      </c>
      <c r="M192" s="10">
        <v>4.9394450000000001</v>
      </c>
      <c r="N192" s="10">
        <v>297.87279999999998</v>
      </c>
      <c r="O192" s="10">
        <v>305.2192</v>
      </c>
      <c r="P192" s="10">
        <v>7.0038080000000003</v>
      </c>
      <c r="Q192" s="10">
        <v>-1.1141000000000001</v>
      </c>
      <c r="R192" s="10">
        <v>3.6683280229999999</v>
      </c>
      <c r="S192" s="10">
        <v>4.1487680359999999</v>
      </c>
      <c r="T192" s="10">
        <v>99.52</v>
      </c>
      <c r="U192" s="10">
        <v>101.34</v>
      </c>
      <c r="V192" s="10">
        <v>99.52</v>
      </c>
      <c r="W192" s="10">
        <v>101.34</v>
      </c>
      <c r="X192" s="4" t="s">
        <v>146</v>
      </c>
      <c r="Y192" s="4" t="s">
        <v>1581</v>
      </c>
      <c r="AA192" s="10">
        <f t="shared" si="8"/>
        <v>3.976453823696232E-2</v>
      </c>
      <c r="AB192" s="10">
        <f t="shared" si="9"/>
        <v>1.7917083003913144E-2</v>
      </c>
      <c r="AC192" s="10">
        <f t="shared" si="10"/>
        <v>0.79062863476965217</v>
      </c>
      <c r="AD192" s="10">
        <f t="shared" si="11"/>
        <v>0.17985441071024444</v>
      </c>
    </row>
    <row r="193" spans="1:30" x14ac:dyDescent="0.25">
      <c r="A193" s="33" t="s">
        <v>1579</v>
      </c>
      <c r="C193" s="39">
        <v>40847</v>
      </c>
      <c r="D193" s="53" t="s">
        <v>1583</v>
      </c>
      <c r="E193" s="4" t="str">
        <f>VLOOKUP(LEFT(D193,2),Sort!$A$1:$B$58,2,FALSE)</f>
        <v>China</v>
      </c>
      <c r="F193" s="4" t="s">
        <v>1014</v>
      </c>
      <c r="G193" s="18">
        <v>179894204</v>
      </c>
      <c r="H193" s="18">
        <v>151414702.80000001</v>
      </c>
      <c r="I193" s="10">
        <v>7.2985150999999998E-2</v>
      </c>
      <c r="J193" s="10">
        <v>4.4083329999999998</v>
      </c>
      <c r="K193" s="10">
        <v>3.1361569999999999</v>
      </c>
      <c r="L193" s="10">
        <v>17.050484999999998</v>
      </c>
      <c r="M193" s="10">
        <v>17.050484999999998</v>
      </c>
      <c r="N193" s="10">
        <v>1624.0252</v>
      </c>
      <c r="O193" s="10">
        <v>1634.7908</v>
      </c>
      <c r="P193" s="10">
        <v>3.1180569999999999</v>
      </c>
      <c r="Q193" s="10">
        <v>-2.2808999999999999</v>
      </c>
      <c r="R193" s="10">
        <v>29.138564649999999</v>
      </c>
      <c r="S193" s="10">
        <v>-12.023773</v>
      </c>
      <c r="T193" s="10">
        <v>83</v>
      </c>
      <c r="U193" s="10">
        <v>87</v>
      </c>
      <c r="V193" s="10">
        <v>83</v>
      </c>
      <c r="W193" s="10">
        <v>87</v>
      </c>
      <c r="X193" s="4" t="s">
        <v>146</v>
      </c>
      <c r="Y193" s="4" t="s">
        <v>1584</v>
      </c>
      <c r="AA193" s="10">
        <f t="shared" si="8"/>
        <v>6.4825358513806997E-3</v>
      </c>
      <c r="AB193" s="10">
        <f t="shared" si="9"/>
        <v>0.16292981070000423</v>
      </c>
      <c r="AC193" s="10">
        <f t="shared" si="10"/>
        <v>18.34101283527222</v>
      </c>
      <c r="AD193" s="10">
        <f t="shared" si="11"/>
        <v>0.27614336991018085</v>
      </c>
    </row>
    <row r="194" spans="1:30" x14ac:dyDescent="0.25">
      <c r="A194" s="33" t="s">
        <v>1582</v>
      </c>
      <c r="C194" s="39">
        <v>40847</v>
      </c>
      <c r="D194" s="53" t="s">
        <v>1586</v>
      </c>
      <c r="E194" s="4" t="str">
        <f>VLOOKUP(LEFT(D194,2),Sort!$A$1:$B$58,2,FALSE)</f>
        <v>China</v>
      </c>
      <c r="F194" s="4" t="s">
        <v>1014</v>
      </c>
      <c r="G194" s="18">
        <v>334089236</v>
      </c>
      <c r="H194" s="18">
        <v>261216021.40000001</v>
      </c>
      <c r="I194" s="10">
        <v>0.12591175299999999</v>
      </c>
      <c r="J194" s="10">
        <v>3.4861110000000002</v>
      </c>
      <c r="K194" s="10">
        <v>2.5539239999999999</v>
      </c>
      <c r="L194" s="10">
        <v>21.038392000000002</v>
      </c>
      <c r="M194" s="10">
        <v>21.038392000000002</v>
      </c>
      <c r="N194" s="10">
        <v>2049.7447999999999</v>
      </c>
      <c r="O194" s="10">
        <v>2056.6648</v>
      </c>
      <c r="P194" s="10">
        <v>2.546675</v>
      </c>
      <c r="Q194" s="10">
        <v>6.8864999999999998</v>
      </c>
      <c r="R194" s="10">
        <v>24.290786369999999</v>
      </c>
      <c r="S194" s="10">
        <v>-12.654579119999999</v>
      </c>
      <c r="T194" s="10">
        <v>78</v>
      </c>
      <c r="U194" s="10">
        <v>82</v>
      </c>
      <c r="V194" s="10">
        <v>78</v>
      </c>
      <c r="W194" s="10">
        <v>82</v>
      </c>
      <c r="X194" s="4" t="s">
        <v>146</v>
      </c>
      <c r="Y194" s="4" t="s">
        <v>1587</v>
      </c>
      <c r="AA194" s="10">
        <f t="shared" si="8"/>
        <v>9.1072417016206386E-3</v>
      </c>
      <c r="AB194" s="10">
        <f t="shared" si="9"/>
        <v>0.34682318386927397</v>
      </c>
      <c r="AC194" s="10">
        <f t="shared" si="10"/>
        <v>39.80672118152544</v>
      </c>
      <c r="AD194" s="10">
        <f t="shared" si="11"/>
        <v>0.44901513718116703</v>
      </c>
    </row>
    <row r="195" spans="1:30" x14ac:dyDescent="0.25">
      <c r="A195" s="33" t="s">
        <v>1585</v>
      </c>
      <c r="C195" s="39">
        <v>40847</v>
      </c>
      <c r="D195" s="53" t="s">
        <v>1589</v>
      </c>
      <c r="E195" s="4" t="str">
        <f>VLOOKUP(LEFT(D195,2),Sort!$A$1:$B$58,2,FALSE)</f>
        <v>China</v>
      </c>
      <c r="F195" s="4" t="s">
        <v>1014</v>
      </c>
      <c r="G195" s="18">
        <v>385487580</v>
      </c>
      <c r="H195" s="18">
        <v>370785511.60000002</v>
      </c>
      <c r="I195" s="10">
        <v>0.17872660900000001</v>
      </c>
      <c r="J195" s="10">
        <v>4.427778</v>
      </c>
      <c r="K195" s="10">
        <v>3.5211079999999999</v>
      </c>
      <c r="L195" s="10">
        <v>10.21175</v>
      </c>
      <c r="M195" s="10">
        <v>10.21175</v>
      </c>
      <c r="N195" s="10">
        <v>939.58389999999997</v>
      </c>
      <c r="O195" s="10">
        <v>947.25990000000002</v>
      </c>
      <c r="P195" s="10">
        <v>3.4977689999999999</v>
      </c>
      <c r="Q195" s="10">
        <v>2.6974</v>
      </c>
      <c r="R195" s="10">
        <v>29.24575754</v>
      </c>
      <c r="S195" s="10">
        <v>0.30219632600000002</v>
      </c>
      <c r="T195" s="10">
        <v>95.5</v>
      </c>
      <c r="U195" s="10">
        <v>97.5</v>
      </c>
      <c r="V195" s="10">
        <v>95.5</v>
      </c>
      <c r="W195" s="10">
        <v>97.5</v>
      </c>
      <c r="X195" s="4" t="s">
        <v>146</v>
      </c>
      <c r="Y195" s="4" t="s">
        <v>1590</v>
      </c>
      <c r="AA195" s="10">
        <f t="shared" si="8"/>
        <v>1.7823015499894689E-2</v>
      </c>
      <c r="AB195" s="10">
        <f t="shared" si="9"/>
        <v>0.23895641681249061</v>
      </c>
      <c r="AC195" s="10">
        <f t="shared" si="10"/>
        <v>32.560488235164613</v>
      </c>
      <c r="AD195" s="10">
        <f t="shared" si="11"/>
        <v>0.75783505573500276</v>
      </c>
    </row>
    <row r="196" spans="1:30" x14ac:dyDescent="0.25">
      <c r="A196" s="33" t="s">
        <v>1588</v>
      </c>
      <c r="C196" s="39">
        <v>40847</v>
      </c>
      <c r="D196" s="53" t="s">
        <v>1592</v>
      </c>
      <c r="E196" s="4" t="str">
        <f>VLOOKUP(LEFT(D196,2),Sort!$A$1:$B$58,2,FALSE)</f>
        <v>China</v>
      </c>
      <c r="F196" s="4" t="s">
        <v>1014</v>
      </c>
      <c r="G196" s="18">
        <v>179894204</v>
      </c>
      <c r="H196" s="18">
        <v>171873921.30000001</v>
      </c>
      <c r="I196" s="10">
        <v>8.2846934999999997E-2</v>
      </c>
      <c r="J196" s="10">
        <v>4.5833329999999997</v>
      </c>
      <c r="K196" s="10">
        <v>3.56786</v>
      </c>
      <c r="L196" s="10">
        <v>10.165993</v>
      </c>
      <c r="M196" s="10">
        <v>10.165993</v>
      </c>
      <c r="N196" s="10">
        <v>930.46600000000001</v>
      </c>
      <c r="O196" s="10">
        <v>937.81830000000002</v>
      </c>
      <c r="P196" s="10">
        <v>3.5411450000000002</v>
      </c>
      <c r="Q196" s="10">
        <v>2.1638999999999999</v>
      </c>
      <c r="R196" s="10">
        <v>27.592089730000001</v>
      </c>
      <c r="S196" s="10">
        <v>-2.480858</v>
      </c>
      <c r="T196" s="10">
        <v>92</v>
      </c>
      <c r="U196" s="10">
        <v>94</v>
      </c>
      <c r="V196" s="10">
        <v>92</v>
      </c>
      <c r="W196" s="10">
        <v>94</v>
      </c>
      <c r="X196" s="4" t="s">
        <v>146</v>
      </c>
      <c r="Y196" s="4" t="s">
        <v>1593</v>
      </c>
      <c r="AA196" s="10">
        <f t="shared" si="8"/>
        <v>8.3713764711562978E-3</v>
      </c>
      <c r="AB196" s="10">
        <f t="shared" si="9"/>
        <v>0.1102695390979216</v>
      </c>
      <c r="AC196" s="10">
        <f t="shared" si="10"/>
        <v>14.942652206101094</v>
      </c>
      <c r="AD196" s="10">
        <f t="shared" si="11"/>
        <v>0.33867657448552529</v>
      </c>
    </row>
    <row r="197" spans="1:30" x14ac:dyDescent="0.25">
      <c r="A197" s="33" t="s">
        <v>1591</v>
      </c>
      <c r="C197" s="39">
        <v>40847</v>
      </c>
      <c r="D197" s="53" t="s">
        <v>1595</v>
      </c>
      <c r="E197" s="4" t="str">
        <f>VLOOKUP(LEFT(D197,2),Sort!$A$1:$B$58,2,FALSE)</f>
        <v>China</v>
      </c>
      <c r="F197" s="4" t="s">
        <v>1024</v>
      </c>
      <c r="G197" s="18">
        <v>205593376</v>
      </c>
      <c r="H197" s="18">
        <v>192499647.90000001</v>
      </c>
      <c r="I197" s="10">
        <v>9.2788979999999993E-2</v>
      </c>
      <c r="J197" s="10">
        <v>4.5250000000000004</v>
      </c>
      <c r="K197" s="10">
        <v>3.3531909999999998</v>
      </c>
      <c r="L197" s="10">
        <v>12.406679</v>
      </c>
      <c r="M197" s="10">
        <v>12.406679</v>
      </c>
      <c r="N197" s="10">
        <v>1156.2379000000001</v>
      </c>
      <c r="O197" s="10">
        <v>1164.6963000000001</v>
      </c>
      <c r="P197" s="10">
        <v>3.3305820000000002</v>
      </c>
      <c r="Q197" s="10">
        <v>-0.50249999999999995</v>
      </c>
      <c r="R197" s="10">
        <v>18.711535560000002</v>
      </c>
      <c r="S197" s="10">
        <v>-6.495368</v>
      </c>
      <c r="T197" s="10">
        <v>89</v>
      </c>
      <c r="U197" s="10">
        <v>91</v>
      </c>
      <c r="V197" s="10">
        <v>89</v>
      </c>
      <c r="W197" s="10">
        <v>91</v>
      </c>
      <c r="X197" s="4" t="s">
        <v>146</v>
      </c>
      <c r="Y197" s="4" t="s">
        <v>1596</v>
      </c>
      <c r="AA197" s="10">
        <f t="shared" ref="AA197:AA260" si="12">IF(K197&lt;1.99,($H197/$H$629)*K197,IF(AND(K197&gt;1.99,K197&lt;3.99),($H197/$H$630)*K197,IF(AND(K197&gt;3.99,K197&lt;5.99),($H197/$H$631)*K197,IF(AND(K197&gt;5.99,K197&lt;7.99),($H197/$H$632)*K197,IF(AND(K197&gt;7.99,K197&lt;9.99),($H197/$H$633)*K197,IF(K197&gt;9.99,($H197/$H$634)*K197))))))</f>
        <v>8.8118544339049476E-3</v>
      </c>
      <c r="AB197" s="10">
        <f t="shared" ref="AB197:AB260" si="13">IF(M197&lt;1.99,($H197/$H$613)*M197,IF(AND(M197&gt;1.99,M197&lt;3.99),($H197/$H$614)*M197,IF(AND(M197&gt;3.99,M197&lt;5.99),($H197/$H$615)*M197,IF(AND(M197&gt;5.99,M197&lt;7.99),($H197/$H$616)*M197,IF(AND(M197&gt;7.99,M197&lt;9.99),($H197/$H$617)*M197,IF(M197&gt;9.99,($H197/$H$618)*M197))))))</f>
        <v>0.15072359797970963</v>
      </c>
      <c r="AC197" s="10">
        <f t="shared" ref="AC197:AC260" si="14">IF(O197&lt;199.99,($H197/$H$621)*O197,IF(AND(O197&gt;199.99,O197&lt;399.99),($H197/$H$622)*O197,IF(AND(O197&gt;399.99,O197&lt;599.99),($H197/$H$623)*O197,IF(AND(O197&gt;599.99,O197&lt;799.99),($H197/$H$624)*O197,IF(AND(O197&gt;799.99,O197&lt;999.99),($H197/$H$625)*O197,IF(O197&gt;999.99,($H197/$H$626)*O197))))))</f>
        <v>16.612527644042295</v>
      </c>
      <c r="AD197" s="10">
        <f t="shared" ref="AD197:AD260" si="15">IF(U197&lt;49.99,($H197/$H$637)*U197,IF(AND(U197&gt;49.99,U197&lt;79.99),($H197/$H$638)*U197,IF(AND(U197&gt;79.99,U197&lt;99.99),($H197/$H$639)*U197,IF(AND(U197&gt;99.99,U197&lt;119.99),($H197/$H$640)*U197,IF(AND(U197&gt;119.99,U197&lt;139.99),($H197/$H$641)*U197,IF(U197&gt;139.99,($H197/$H$642)*U197))))))</f>
        <v>0.36721351035186256</v>
      </c>
    </row>
    <row r="198" spans="1:30" x14ac:dyDescent="0.25">
      <c r="A198" s="33" t="s">
        <v>1594</v>
      </c>
      <c r="C198" s="39">
        <v>40847</v>
      </c>
      <c r="D198" s="53" t="s">
        <v>1598</v>
      </c>
      <c r="E198" s="4" t="str">
        <f>VLOOKUP(LEFT(D198,2),Sort!$A$1:$B$58,2,FALSE)</f>
        <v>China</v>
      </c>
      <c r="F198" s="4" t="s">
        <v>1014</v>
      </c>
      <c r="G198" s="18">
        <v>154195032</v>
      </c>
      <c r="H198" s="18">
        <v>127034220.09999999</v>
      </c>
      <c r="I198" s="10">
        <v>6.1233231999999999E-2</v>
      </c>
      <c r="J198" s="10">
        <v>3.5416669999999999</v>
      </c>
      <c r="K198" s="10">
        <v>2.509236</v>
      </c>
      <c r="L198" s="10">
        <v>19.405975999999999</v>
      </c>
      <c r="M198" s="10">
        <v>19.405975999999999</v>
      </c>
      <c r="N198" s="10">
        <v>1884.8809000000001</v>
      </c>
      <c r="O198" s="10">
        <v>1891.4802</v>
      </c>
      <c r="P198" s="10">
        <v>2.5020989999999999</v>
      </c>
      <c r="Q198" s="10">
        <v>3.9600000000000003E-2</v>
      </c>
      <c r="R198" s="10">
        <v>18.588748769999999</v>
      </c>
      <c r="S198" s="10">
        <v>-15.06955181</v>
      </c>
      <c r="T198" s="10">
        <v>77</v>
      </c>
      <c r="U198" s="10">
        <v>81</v>
      </c>
      <c r="V198" s="10">
        <v>77</v>
      </c>
      <c r="W198" s="10">
        <v>81</v>
      </c>
      <c r="X198" s="4" t="s">
        <v>146</v>
      </c>
      <c r="Y198" s="4" t="s">
        <v>1599</v>
      </c>
      <c r="AA198" s="10">
        <f t="shared" si="12"/>
        <v>4.3515233509963894E-3</v>
      </c>
      <c r="AB198" s="10">
        <f t="shared" si="13"/>
        <v>0.15557936089141366</v>
      </c>
      <c r="AC198" s="10">
        <f t="shared" si="14"/>
        <v>17.803918865318401</v>
      </c>
      <c r="AD198" s="10">
        <f t="shared" si="15"/>
        <v>0.21570144969476363</v>
      </c>
    </row>
    <row r="199" spans="1:30" x14ac:dyDescent="0.25">
      <c r="A199" s="33" t="s">
        <v>1597</v>
      </c>
      <c r="C199" s="39">
        <v>40847</v>
      </c>
      <c r="D199" s="53" t="s">
        <v>1601</v>
      </c>
      <c r="E199" s="4" t="str">
        <f>VLOOKUP(LEFT(D199,2),Sort!$A$1:$B$58,2,FALSE)</f>
        <v>China</v>
      </c>
      <c r="F199" s="4" t="s">
        <v>1014</v>
      </c>
      <c r="G199" s="18">
        <v>308390064</v>
      </c>
      <c r="H199" s="18">
        <v>243139867.30000001</v>
      </c>
      <c r="I199" s="10">
        <v>0.117198657</v>
      </c>
      <c r="J199" s="10">
        <v>4.3527779999999998</v>
      </c>
      <c r="K199" s="10">
        <v>2.9951639999999999</v>
      </c>
      <c r="L199" s="10">
        <v>19.676703</v>
      </c>
      <c r="M199" s="10">
        <v>19.676703</v>
      </c>
      <c r="N199" s="10">
        <v>1888.2692</v>
      </c>
      <c r="O199" s="10">
        <v>1899.3569</v>
      </c>
      <c r="P199" s="10">
        <v>2.9778730000000002</v>
      </c>
      <c r="Q199" s="10">
        <v>4.58E-2</v>
      </c>
      <c r="R199" s="10">
        <v>19.764548130000001</v>
      </c>
      <c r="S199" s="10">
        <v>-16.25193982</v>
      </c>
      <c r="T199" s="10">
        <v>77</v>
      </c>
      <c r="U199" s="10">
        <v>81</v>
      </c>
      <c r="V199" s="10">
        <v>77</v>
      </c>
      <c r="W199" s="10">
        <v>81</v>
      </c>
      <c r="X199" s="4" t="s">
        <v>146</v>
      </c>
      <c r="Y199" s="4" t="s">
        <v>1602</v>
      </c>
      <c r="AA199" s="10">
        <f t="shared" si="12"/>
        <v>9.9415903880478926E-3</v>
      </c>
      <c r="AB199" s="10">
        <f t="shared" si="13"/>
        <v>0.30192861391614295</v>
      </c>
      <c r="AC199" s="10">
        <f t="shared" si="14"/>
        <v>34.21809561404379</v>
      </c>
      <c r="AD199" s="10">
        <f t="shared" si="15"/>
        <v>0.41284641110023601</v>
      </c>
    </row>
    <row r="200" spans="1:30" x14ac:dyDescent="0.25">
      <c r="A200" s="33" t="s">
        <v>1600</v>
      </c>
      <c r="C200" s="39">
        <v>40847</v>
      </c>
      <c r="D200" s="53" t="s">
        <v>1604</v>
      </c>
      <c r="E200" s="4" t="str">
        <f>VLOOKUP(LEFT(D200,2),Sort!$A$1:$B$58,2,FALSE)</f>
        <v>China</v>
      </c>
      <c r="F200" s="4" t="s">
        <v>1014</v>
      </c>
      <c r="G200" s="18">
        <v>179894204</v>
      </c>
      <c r="H200" s="18">
        <v>150406545.09999999</v>
      </c>
      <c r="I200" s="10">
        <v>7.2499197000000001E-2</v>
      </c>
      <c r="J200" s="10">
        <v>3.8833329999999999</v>
      </c>
      <c r="K200" s="10">
        <v>3.047374</v>
      </c>
      <c r="L200" s="10">
        <v>14.125147</v>
      </c>
      <c r="M200" s="10">
        <v>14.125147</v>
      </c>
      <c r="N200" s="10">
        <v>1346.8214</v>
      </c>
      <c r="O200" s="10">
        <v>1353.4521</v>
      </c>
      <c r="P200" s="10">
        <v>3.0335320000000001</v>
      </c>
      <c r="Q200" s="10">
        <v>0.63360000000000005</v>
      </c>
      <c r="R200" s="10">
        <v>31.937929650000001</v>
      </c>
      <c r="S200" s="10">
        <v>-8.8985967099999996</v>
      </c>
      <c r="T200" s="10">
        <v>82.5</v>
      </c>
      <c r="U200" s="10">
        <v>86.5</v>
      </c>
      <c r="V200" s="10">
        <v>82.5</v>
      </c>
      <c r="W200" s="10">
        <v>86.5</v>
      </c>
      <c r="X200" s="4" t="s">
        <v>146</v>
      </c>
      <c r="Y200" s="4" t="s">
        <v>1605</v>
      </c>
      <c r="AA200" s="10">
        <f t="shared" si="12"/>
        <v>6.257078106470409E-3</v>
      </c>
      <c r="AB200" s="10">
        <f t="shared" si="13"/>
        <v>0.1340773689826136</v>
      </c>
      <c r="AC200" s="10">
        <f t="shared" si="14"/>
        <v>15.083520124597642</v>
      </c>
      <c r="AD200" s="10">
        <f t="shared" si="15"/>
        <v>0.27272827293498719</v>
      </c>
    </row>
    <row r="201" spans="1:30" x14ac:dyDescent="0.25">
      <c r="A201" s="33" t="s">
        <v>1603</v>
      </c>
      <c r="C201" s="39">
        <v>40847</v>
      </c>
      <c r="D201" s="53" t="s">
        <v>1607</v>
      </c>
      <c r="E201" s="4" t="str">
        <f>VLOOKUP(LEFT(D201,2),Sort!$A$1:$B$58,2,FALSE)</f>
        <v>China</v>
      </c>
      <c r="F201" s="4" t="s">
        <v>1014</v>
      </c>
      <c r="G201" s="18">
        <v>179894204</v>
      </c>
      <c r="H201" s="18">
        <v>154134354.19999999</v>
      </c>
      <c r="I201" s="10">
        <v>7.4296081E-2</v>
      </c>
      <c r="J201" s="10">
        <v>6.3472220000000004</v>
      </c>
      <c r="K201" s="10">
        <v>4.2628709999999996</v>
      </c>
      <c r="L201" s="10">
        <v>14.162179999999999</v>
      </c>
      <c r="M201" s="10">
        <v>14.162179999999999</v>
      </c>
      <c r="N201" s="10">
        <v>1278.2422999999999</v>
      </c>
      <c r="O201" s="10">
        <v>1296.2726</v>
      </c>
      <c r="P201" s="10">
        <v>4.1961209999999998</v>
      </c>
      <c r="Q201" s="10">
        <v>3.5700000000000003E-2</v>
      </c>
      <c r="R201" s="10">
        <v>30.164157530000001</v>
      </c>
      <c r="S201" s="10">
        <v>-8.1906381069999998</v>
      </c>
      <c r="T201" s="10">
        <v>84</v>
      </c>
      <c r="U201" s="10">
        <v>87</v>
      </c>
      <c r="V201" s="10">
        <v>84</v>
      </c>
      <c r="W201" s="10">
        <v>87</v>
      </c>
      <c r="X201" s="4" t="s">
        <v>146</v>
      </c>
      <c r="Y201" s="4" t="s">
        <v>1608</v>
      </c>
      <c r="AA201" s="10">
        <f t="shared" si="12"/>
        <v>1.4309473280835743E-2</v>
      </c>
      <c r="AB201" s="10">
        <f t="shared" si="13"/>
        <v>0.13776069482128986</v>
      </c>
      <c r="AC201" s="10">
        <f t="shared" si="14"/>
        <v>14.80433383171129</v>
      </c>
      <c r="AD201" s="10">
        <f t="shared" si="15"/>
        <v>0.2811033486222147</v>
      </c>
    </row>
    <row r="202" spans="1:30" x14ac:dyDescent="0.25">
      <c r="A202" s="33" t="s">
        <v>1606</v>
      </c>
      <c r="C202" s="39">
        <v>40847</v>
      </c>
      <c r="D202" s="53" t="s">
        <v>1610</v>
      </c>
      <c r="E202" s="4" t="str">
        <f>VLOOKUP(LEFT(D202,2),Sort!$A$1:$B$58,2,FALSE)</f>
        <v>China</v>
      </c>
      <c r="F202" s="4" t="s">
        <v>1014</v>
      </c>
      <c r="G202" s="18">
        <v>179894204</v>
      </c>
      <c r="H202" s="18">
        <v>151790732.09999999</v>
      </c>
      <c r="I202" s="10">
        <v>7.3166405000000004E-2</v>
      </c>
      <c r="J202" s="10">
        <v>5.0777780000000003</v>
      </c>
      <c r="K202" s="10">
        <v>3.822451</v>
      </c>
      <c r="L202" s="10">
        <v>12.3283</v>
      </c>
      <c r="M202" s="10">
        <v>12.3283</v>
      </c>
      <c r="N202" s="10">
        <v>1132.2393999999999</v>
      </c>
      <c r="O202" s="10">
        <v>1140.8604</v>
      </c>
      <c r="P202" s="10">
        <v>3.783115</v>
      </c>
      <c r="Q202" s="10">
        <v>-1.1455</v>
      </c>
      <c r="R202" s="10">
        <v>24.532632320000001</v>
      </c>
      <c r="S202" s="10">
        <v>-11.10910522</v>
      </c>
      <c r="T202" s="10">
        <v>81</v>
      </c>
      <c r="U202" s="10">
        <v>84</v>
      </c>
      <c r="V202" s="10">
        <v>81</v>
      </c>
      <c r="W202" s="10">
        <v>84</v>
      </c>
      <c r="X202" s="4" t="s">
        <v>146</v>
      </c>
      <c r="Y202" s="4" t="s">
        <v>1611</v>
      </c>
      <c r="AA202" s="10">
        <f t="shared" si="12"/>
        <v>7.9207492605711857E-3</v>
      </c>
      <c r="AB202" s="10">
        <f t="shared" si="13"/>
        <v>0.11809845530026579</v>
      </c>
      <c r="AC202" s="10">
        <f t="shared" si="14"/>
        <v>12.831305426584041</v>
      </c>
      <c r="AD202" s="10">
        <f t="shared" si="15"/>
        <v>0.26728332240391339</v>
      </c>
    </row>
    <row r="203" spans="1:30" x14ac:dyDescent="0.25">
      <c r="A203" s="33" t="s">
        <v>1609</v>
      </c>
      <c r="C203" s="39">
        <v>40847</v>
      </c>
      <c r="D203" s="53" t="s">
        <v>1613</v>
      </c>
      <c r="E203" s="4" t="str">
        <f>VLOOKUP(LEFT(D203,2),Sort!$A$1:$B$58,2,FALSE)</f>
        <v>China</v>
      </c>
      <c r="F203" s="4" t="s">
        <v>1014</v>
      </c>
      <c r="G203" s="18">
        <v>256991720</v>
      </c>
      <c r="H203" s="18">
        <v>216933135.59999999</v>
      </c>
      <c r="I203" s="10">
        <v>0.10456644700000001</v>
      </c>
      <c r="J203" s="10">
        <v>5.75</v>
      </c>
      <c r="K203" s="10">
        <v>4.0790709999999999</v>
      </c>
      <c r="L203" s="10">
        <v>13.470874999999999</v>
      </c>
      <c r="M203" s="10">
        <v>13.470874999999999</v>
      </c>
      <c r="N203" s="10">
        <v>1226.7</v>
      </c>
      <c r="O203" s="10">
        <v>1239.4852000000001</v>
      </c>
      <c r="P203" s="10">
        <v>4.0234399999999999</v>
      </c>
      <c r="Q203" s="10">
        <v>3.1800000000000002E-2</v>
      </c>
      <c r="R203" s="10">
        <v>26.62771893</v>
      </c>
      <c r="S203" s="10">
        <v>-11.69409883</v>
      </c>
      <c r="T203" s="10">
        <v>82</v>
      </c>
      <c r="U203" s="10">
        <v>85</v>
      </c>
      <c r="V203" s="10">
        <v>82</v>
      </c>
      <c r="W203" s="10">
        <v>85</v>
      </c>
      <c r="X203" s="4" t="s">
        <v>146</v>
      </c>
      <c r="Y203" s="4" t="s">
        <v>1614</v>
      </c>
      <c r="AA203" s="10">
        <f t="shared" si="12"/>
        <v>1.9271218199395188E-2</v>
      </c>
      <c r="AB203" s="10">
        <f t="shared" si="13"/>
        <v>0.18442401279640314</v>
      </c>
      <c r="AC203" s="10">
        <f t="shared" si="14"/>
        <v>19.923256235238963</v>
      </c>
      <c r="AD203" s="10">
        <f t="shared" si="15"/>
        <v>0.38653794977038236</v>
      </c>
    </row>
    <row r="204" spans="1:30" x14ac:dyDescent="0.25">
      <c r="A204" s="33" t="s">
        <v>1612</v>
      </c>
      <c r="C204" s="39">
        <v>40847</v>
      </c>
      <c r="D204" s="53" t="s">
        <v>1616</v>
      </c>
      <c r="E204" s="4" t="str">
        <f>VLOOKUP(LEFT(D204,2),Sort!$A$1:$B$58,2,FALSE)</f>
        <v>China</v>
      </c>
      <c r="F204" s="4" t="s">
        <v>1014</v>
      </c>
      <c r="G204" s="18">
        <v>308390064</v>
      </c>
      <c r="H204" s="18">
        <v>102464739</v>
      </c>
      <c r="I204" s="10">
        <v>4.9390213000000002E-2</v>
      </c>
      <c r="J204" s="10">
        <v>5.963889</v>
      </c>
      <c r="K204" s="10">
        <v>3.728809</v>
      </c>
      <c r="L204" s="10">
        <v>30.580451</v>
      </c>
      <c r="M204" s="10">
        <v>30.580451</v>
      </c>
      <c r="N204" s="10">
        <v>2931.3586</v>
      </c>
      <c r="O204" s="10">
        <v>2946.4677000000001</v>
      </c>
      <c r="P204" s="10">
        <v>3.6752579999999999</v>
      </c>
      <c r="Q204" s="10">
        <v>1.5817000000000001</v>
      </c>
      <c r="R204" s="10">
        <v>49.092636349999999</v>
      </c>
      <c r="S204" s="10">
        <v>-62.244231050000003</v>
      </c>
      <c r="T204" s="10">
        <v>33</v>
      </c>
      <c r="U204" s="10">
        <v>35</v>
      </c>
      <c r="V204" s="10">
        <v>33</v>
      </c>
      <c r="W204" s="10">
        <v>35</v>
      </c>
      <c r="X204" s="4" t="s">
        <v>146</v>
      </c>
      <c r="Y204" s="4" t="s">
        <v>1617</v>
      </c>
      <c r="AA204" s="10">
        <f t="shared" si="12"/>
        <v>5.2158327779802428E-3</v>
      </c>
      <c r="AB204" s="10">
        <f t="shared" si="13"/>
        <v>0.19774890699971404</v>
      </c>
      <c r="AC204" s="10">
        <f t="shared" si="14"/>
        <v>22.370165859140563</v>
      </c>
      <c r="AD204" s="10">
        <f t="shared" si="15"/>
        <v>8.3335735545238183</v>
      </c>
    </row>
    <row r="205" spans="1:30" x14ac:dyDescent="0.25">
      <c r="A205" s="33" t="s">
        <v>1615</v>
      </c>
      <c r="C205" s="39">
        <v>40847</v>
      </c>
      <c r="D205" s="53" t="s">
        <v>1619</v>
      </c>
      <c r="E205" s="4" t="str">
        <f>VLOOKUP(LEFT(D205,2),Sort!$A$1:$B$58,2,FALSE)</f>
        <v>China</v>
      </c>
      <c r="F205" s="4" t="s">
        <v>1014</v>
      </c>
      <c r="G205" s="18">
        <v>205593376</v>
      </c>
      <c r="H205" s="18">
        <v>143586985.30000001</v>
      </c>
      <c r="I205" s="10">
        <v>6.9212021999999998E-2</v>
      </c>
      <c r="J205" s="10">
        <v>37.527777999999998</v>
      </c>
      <c r="K205" s="10">
        <v>7.1641709999999996</v>
      </c>
      <c r="L205" s="10">
        <v>12.841483</v>
      </c>
      <c r="M205" s="10">
        <v>12.841483</v>
      </c>
      <c r="N205" s="10">
        <v>930.90719999999999</v>
      </c>
      <c r="O205" s="10">
        <v>1053.2775999999999</v>
      </c>
      <c r="P205" s="10">
        <v>6.8018609999999997</v>
      </c>
      <c r="Q205" s="10">
        <v>4.0800000000000003E-2</v>
      </c>
      <c r="R205" s="10">
        <v>-23.288737820000001</v>
      </c>
      <c r="S205" s="10">
        <v>-30.223686000000001</v>
      </c>
      <c r="T205" s="10">
        <v>65</v>
      </c>
      <c r="U205" s="10">
        <v>80</v>
      </c>
      <c r="V205" s="10">
        <v>65</v>
      </c>
      <c r="W205" s="10">
        <v>80</v>
      </c>
      <c r="X205" s="4" t="s">
        <v>146</v>
      </c>
      <c r="Y205" s="4" t="s">
        <v>1620</v>
      </c>
      <c r="AA205" s="10">
        <f t="shared" si="12"/>
        <v>2.1648780719124912E-2</v>
      </c>
      <c r="AB205" s="10">
        <f t="shared" si="13"/>
        <v>0.1163659785579616</v>
      </c>
      <c r="AC205" s="10">
        <f t="shared" si="14"/>
        <v>11.20601002940038</v>
      </c>
      <c r="AD205" s="10">
        <f t="shared" si="15"/>
        <v>0.24079772732709598</v>
      </c>
    </row>
    <row r="206" spans="1:30" x14ac:dyDescent="0.25">
      <c r="A206" s="33" t="s">
        <v>1618</v>
      </c>
      <c r="C206" s="39">
        <v>40847</v>
      </c>
      <c r="D206" s="53" t="s">
        <v>1622</v>
      </c>
      <c r="E206" s="4" t="str">
        <f>VLOOKUP(LEFT(D206,2),Sort!$A$1:$B$58,2,FALSE)</f>
        <v>China</v>
      </c>
      <c r="F206" s="4" t="s">
        <v>1014</v>
      </c>
      <c r="G206" s="18">
        <v>205593376</v>
      </c>
      <c r="H206" s="18">
        <v>182035802.40000001</v>
      </c>
      <c r="I206" s="10">
        <v>8.7745181000000005E-2</v>
      </c>
      <c r="J206" s="10">
        <v>4.2277779999999998</v>
      </c>
      <c r="K206" s="10">
        <v>3.4078659999999998</v>
      </c>
      <c r="L206" s="10">
        <v>11.127394000000001</v>
      </c>
      <c r="M206" s="10">
        <v>11.127394000000001</v>
      </c>
      <c r="N206" s="10">
        <v>1036.9883</v>
      </c>
      <c r="O206" s="10">
        <v>1043.1025999999999</v>
      </c>
      <c r="P206" s="10">
        <v>3.3875899999999999</v>
      </c>
      <c r="Q206" s="10">
        <v>1.7477</v>
      </c>
      <c r="R206" s="10">
        <v>35.264166099999997</v>
      </c>
      <c r="S206" s="10">
        <v>-8.7997700000000005</v>
      </c>
      <c r="T206" s="10">
        <v>86.5</v>
      </c>
      <c r="U206" s="10">
        <v>88</v>
      </c>
      <c r="V206" s="10">
        <v>86.5</v>
      </c>
      <c r="W206" s="10">
        <v>88</v>
      </c>
      <c r="X206" s="4" t="s">
        <v>146</v>
      </c>
      <c r="Y206" s="4" t="s">
        <v>1623</v>
      </c>
      <c r="AA206" s="10">
        <f t="shared" si="12"/>
        <v>8.4687323036971903E-3</v>
      </c>
      <c r="AB206" s="10">
        <f t="shared" si="13"/>
        <v>0.12783390209161855</v>
      </c>
      <c r="AC206" s="10">
        <f t="shared" si="14"/>
        <v>14.069443563193019</v>
      </c>
      <c r="AD206" s="10">
        <f t="shared" si="15"/>
        <v>0.33580472603663442</v>
      </c>
    </row>
    <row r="207" spans="1:30" x14ac:dyDescent="0.25">
      <c r="A207" s="33" t="s">
        <v>1621</v>
      </c>
      <c r="C207" s="39">
        <v>40847</v>
      </c>
      <c r="D207" s="53" t="s">
        <v>1625</v>
      </c>
      <c r="E207" s="4" t="str">
        <f>VLOOKUP(LEFT(D207,2),Sort!$A$1:$B$58,2,FALSE)</f>
        <v>China</v>
      </c>
      <c r="F207" s="4" t="s">
        <v>1014</v>
      </c>
      <c r="G207" s="18">
        <v>256991720</v>
      </c>
      <c r="H207" s="18">
        <v>223814803.40000001</v>
      </c>
      <c r="I207" s="10">
        <v>0.10788356</v>
      </c>
      <c r="J207" s="10">
        <v>4.4305560000000002</v>
      </c>
      <c r="K207" s="10">
        <v>3.5175700000000001</v>
      </c>
      <c r="L207" s="10">
        <v>12.071712</v>
      </c>
      <c r="M207" s="10">
        <v>12.071712</v>
      </c>
      <c r="N207" s="10">
        <v>1125.499</v>
      </c>
      <c r="O207" s="10">
        <v>1132.7739999999999</v>
      </c>
      <c r="P207" s="10">
        <v>3.4940959999999999</v>
      </c>
      <c r="Q207" s="10">
        <v>1.7806</v>
      </c>
      <c r="R207" s="10">
        <v>36.774768229999999</v>
      </c>
      <c r="S207" s="10">
        <v>-7.3209072480000001</v>
      </c>
      <c r="T207" s="10">
        <v>86.5</v>
      </c>
      <c r="U207" s="10">
        <v>88</v>
      </c>
      <c r="V207" s="10">
        <v>86.5</v>
      </c>
      <c r="W207" s="10">
        <v>88</v>
      </c>
      <c r="X207" s="4" t="s">
        <v>146</v>
      </c>
      <c r="Y207" s="4" t="s">
        <v>1626</v>
      </c>
      <c r="AA207" s="10">
        <f t="shared" si="12"/>
        <v>1.0747578839561548E-2</v>
      </c>
      <c r="AB207" s="10">
        <f t="shared" si="13"/>
        <v>0.17051140822528746</v>
      </c>
      <c r="AC207" s="10">
        <f t="shared" si="14"/>
        <v>18.785603931723141</v>
      </c>
      <c r="AD207" s="10">
        <f t="shared" si="15"/>
        <v>0.41287520228317565</v>
      </c>
    </row>
    <row r="208" spans="1:30" x14ac:dyDescent="0.25">
      <c r="A208" s="33" t="s">
        <v>1624</v>
      </c>
      <c r="C208" s="39">
        <v>40847</v>
      </c>
      <c r="D208" s="53" t="s">
        <v>1628</v>
      </c>
      <c r="E208" s="4" t="str">
        <f>VLOOKUP(LEFT(D208,2),Sort!$A$1:$B$58,2,FALSE)</f>
        <v>China</v>
      </c>
      <c r="F208" s="4" t="s">
        <v>1014</v>
      </c>
      <c r="G208" s="18">
        <v>205593376</v>
      </c>
      <c r="H208" s="18">
        <v>172705574</v>
      </c>
      <c r="I208" s="10">
        <v>8.3247809000000006E-2</v>
      </c>
      <c r="J208" s="10">
        <v>6.4055559999999998</v>
      </c>
      <c r="K208" s="10">
        <v>4.3401069999999997</v>
      </c>
      <c r="L208" s="10">
        <v>14.268060999999999</v>
      </c>
      <c r="M208" s="10">
        <v>14.268060999999999</v>
      </c>
      <c r="N208" s="10">
        <v>1287.1125</v>
      </c>
      <c r="O208" s="10">
        <v>1305.0978</v>
      </c>
      <c r="P208" s="10">
        <v>4.2713979999999996</v>
      </c>
      <c r="Q208" s="10">
        <v>-1.1420999999999999</v>
      </c>
      <c r="R208" s="10">
        <v>28.88498654</v>
      </c>
      <c r="S208" s="10">
        <v>-11.801716000000001</v>
      </c>
      <c r="T208" s="10">
        <v>83</v>
      </c>
      <c r="U208" s="10">
        <v>85</v>
      </c>
      <c r="V208" s="10">
        <v>83</v>
      </c>
      <c r="W208" s="10">
        <v>85</v>
      </c>
      <c r="X208" s="4" t="s">
        <v>146</v>
      </c>
      <c r="Y208" s="4" t="s">
        <v>1629</v>
      </c>
      <c r="AA208" s="10">
        <f t="shared" si="12"/>
        <v>1.6324083271162873E-2</v>
      </c>
      <c r="AB208" s="10">
        <f t="shared" si="13"/>
        <v>0.1555131360508073</v>
      </c>
      <c r="AC208" s="10">
        <f t="shared" si="14"/>
        <v>16.701000667970479</v>
      </c>
      <c r="AD208" s="10">
        <f t="shared" si="15"/>
        <v>0.30773195760637434</v>
      </c>
    </row>
    <row r="209" spans="1:30" x14ac:dyDescent="0.25">
      <c r="A209" s="33" t="s">
        <v>1627</v>
      </c>
      <c r="C209" s="39">
        <v>40847</v>
      </c>
      <c r="D209" s="53" t="s">
        <v>1631</v>
      </c>
      <c r="E209" s="4" t="str">
        <f>VLOOKUP(LEFT(D209,2),Sort!$A$1:$B$58,2,FALSE)</f>
        <v>China</v>
      </c>
      <c r="F209" s="4" t="s">
        <v>1014</v>
      </c>
      <c r="G209" s="18">
        <v>154195032</v>
      </c>
      <c r="H209" s="18">
        <v>138349350.69999999</v>
      </c>
      <c r="I209" s="10">
        <v>6.6687368999999996E-2</v>
      </c>
      <c r="J209" s="10">
        <v>5.5027780000000002</v>
      </c>
      <c r="K209" s="10">
        <v>3.8830749999999998</v>
      </c>
      <c r="L209" s="10">
        <v>12.868855</v>
      </c>
      <c r="M209" s="10">
        <v>12.868855</v>
      </c>
      <c r="N209" s="10">
        <v>1173.7787000000001</v>
      </c>
      <c r="O209" s="10">
        <v>1185.3945000000001</v>
      </c>
      <c r="P209" s="10">
        <v>3.8368350000000002</v>
      </c>
      <c r="Q209" s="10">
        <v>2.9399999999999999E-2</v>
      </c>
      <c r="R209" s="10">
        <v>30.063015620000002</v>
      </c>
      <c r="S209" s="10">
        <v>-11.475720470000001</v>
      </c>
      <c r="T209" s="10">
        <v>85</v>
      </c>
      <c r="U209" s="10">
        <v>87</v>
      </c>
      <c r="V209" s="10">
        <v>85</v>
      </c>
      <c r="W209" s="10">
        <v>87</v>
      </c>
      <c r="X209" s="4" t="s">
        <v>146</v>
      </c>
      <c r="Y209" s="4" t="s">
        <v>1632</v>
      </c>
      <c r="AA209" s="10">
        <f t="shared" si="12"/>
        <v>7.3338493923340948E-3</v>
      </c>
      <c r="AB209" s="10">
        <f t="shared" si="13"/>
        <v>0.11236027675390964</v>
      </c>
      <c r="AC209" s="10">
        <f t="shared" si="14"/>
        <v>12.151590186196731</v>
      </c>
      <c r="AD209" s="10">
        <f t="shared" si="15"/>
        <v>0.25231536449697695</v>
      </c>
    </row>
    <row r="210" spans="1:30" x14ac:dyDescent="0.25">
      <c r="A210" s="33" t="s">
        <v>1630</v>
      </c>
      <c r="C210" s="39">
        <v>40847</v>
      </c>
      <c r="D210" s="53" t="s">
        <v>1634</v>
      </c>
      <c r="E210" s="4" t="str">
        <f>VLOOKUP(LEFT(D210,2),Sort!$A$1:$B$58,2,FALSE)</f>
        <v>Columbia</v>
      </c>
      <c r="F210" s="4" t="s">
        <v>1007</v>
      </c>
      <c r="G210" s="18">
        <v>495691057</v>
      </c>
      <c r="H210" s="18">
        <v>499871799.60000002</v>
      </c>
      <c r="I210" s="10">
        <v>0.24094898200000001</v>
      </c>
      <c r="J210" s="10">
        <v>4.1916669999999998</v>
      </c>
      <c r="K210" s="10">
        <v>3.7839839999999998</v>
      </c>
      <c r="L210" s="10">
        <v>3.9581979999999999</v>
      </c>
      <c r="M210" s="10">
        <v>3.9581979999999999</v>
      </c>
      <c r="N210" s="10">
        <v>321.12310000000002</v>
      </c>
      <c r="O210" s="10">
        <v>324.60509999999999</v>
      </c>
      <c r="P210" s="10">
        <v>3.7608060000000001</v>
      </c>
      <c r="Q210" s="10">
        <v>-0.11210000000000001</v>
      </c>
      <c r="R210" s="10">
        <v>2.4000377209999999</v>
      </c>
      <c r="S210" s="10">
        <v>3.7214160000000001</v>
      </c>
      <c r="T210" s="10">
        <v>99.533000000000001</v>
      </c>
      <c r="U210" s="10">
        <v>101.11199999999999</v>
      </c>
      <c r="V210" s="10">
        <v>99.533000000000001</v>
      </c>
      <c r="W210" s="10">
        <v>101.11199999999999</v>
      </c>
      <c r="X210" s="4" t="s">
        <v>146</v>
      </c>
      <c r="Y210" s="4" t="s">
        <v>1635</v>
      </c>
      <c r="AA210" s="10">
        <f t="shared" si="12"/>
        <v>2.5821829605375619E-2</v>
      </c>
      <c r="AB210" s="10">
        <f t="shared" si="13"/>
        <v>3.2202448521292205E-2</v>
      </c>
      <c r="AC210" s="10">
        <f t="shared" si="14"/>
        <v>1.6082093707752168</v>
      </c>
      <c r="AD210" s="10">
        <f t="shared" si="15"/>
        <v>0.343217523563356</v>
      </c>
    </row>
    <row r="211" spans="1:30" x14ac:dyDescent="0.25">
      <c r="A211" s="33" t="s">
        <v>1633</v>
      </c>
      <c r="C211" s="39">
        <v>40847</v>
      </c>
      <c r="D211" s="53" t="s">
        <v>1637</v>
      </c>
      <c r="E211" s="4" t="str">
        <f>VLOOKUP(LEFT(D211,2),Sort!$A$1:$B$58,2,FALSE)</f>
        <v>Columbia</v>
      </c>
      <c r="F211" s="4" t="s">
        <v>1007</v>
      </c>
      <c r="G211" s="18">
        <v>953252033</v>
      </c>
      <c r="H211" s="18">
        <v>997103218.39999998</v>
      </c>
      <c r="I211" s="10">
        <v>0.48062524400000001</v>
      </c>
      <c r="J211" s="10">
        <v>9.5833329999999997</v>
      </c>
      <c r="K211" s="10">
        <v>7.282921</v>
      </c>
      <c r="L211" s="10">
        <v>5.5082149999999999</v>
      </c>
      <c r="M211" s="10">
        <v>5.5082149999999999</v>
      </c>
      <c r="N211" s="10">
        <v>345.22710000000001</v>
      </c>
      <c r="O211" s="10">
        <v>357.24740000000003</v>
      </c>
      <c r="P211" s="10">
        <v>7.0453869999999998</v>
      </c>
      <c r="Q211" s="10">
        <v>0.1211</v>
      </c>
      <c r="R211" s="10">
        <v>6.1753968610000003</v>
      </c>
      <c r="S211" s="10">
        <v>2.7177260259999998</v>
      </c>
      <c r="T211" s="10">
        <v>102.121</v>
      </c>
      <c r="U211" s="10">
        <v>103.25</v>
      </c>
      <c r="V211" s="10">
        <v>102.121</v>
      </c>
      <c r="W211" s="10">
        <v>103.25</v>
      </c>
      <c r="X211" s="4" t="s">
        <v>146</v>
      </c>
      <c r="Y211" s="4" t="s">
        <v>1638</v>
      </c>
      <c r="AA211" s="10">
        <f t="shared" si="12"/>
        <v>0.15282631377516417</v>
      </c>
      <c r="AB211" s="10">
        <f t="shared" si="13"/>
        <v>7.6226868077897317E-2</v>
      </c>
      <c r="AC211" s="10">
        <f t="shared" si="14"/>
        <v>3.5305129400874877</v>
      </c>
      <c r="AD211" s="10">
        <f t="shared" si="15"/>
        <v>0.69909837771701444</v>
      </c>
    </row>
    <row r="212" spans="1:30" x14ac:dyDescent="0.25">
      <c r="A212" s="33" t="s">
        <v>1636</v>
      </c>
      <c r="C212" s="39">
        <v>40847</v>
      </c>
      <c r="D212" s="53" t="s">
        <v>1640</v>
      </c>
      <c r="E212" s="4" t="str">
        <f>VLOOKUP(LEFT(D212,2),Sort!$A$1:$B$58,2,FALSE)</f>
        <v>Columbia</v>
      </c>
      <c r="F212" s="4" t="s">
        <v>1007</v>
      </c>
      <c r="G212" s="18">
        <v>591016260</v>
      </c>
      <c r="H212" s="18">
        <v>612590404.29999995</v>
      </c>
      <c r="I212" s="10">
        <v>0.29528177900000002</v>
      </c>
      <c r="J212" s="10">
        <v>8.733333</v>
      </c>
      <c r="K212" s="10">
        <v>6.7727789999999999</v>
      </c>
      <c r="L212" s="10">
        <v>5.6827889999999996</v>
      </c>
      <c r="M212" s="10">
        <v>5.6827889999999996</v>
      </c>
      <c r="N212" s="10">
        <v>378.6078</v>
      </c>
      <c r="O212" s="10">
        <v>388.38630000000001</v>
      </c>
      <c r="P212" s="10">
        <v>6.577026</v>
      </c>
      <c r="Q212" s="10">
        <v>1.6400000000000001E-2</v>
      </c>
      <c r="R212" s="10">
        <v>5.0432637290000004</v>
      </c>
      <c r="S212" s="10">
        <v>5.0641642039999999</v>
      </c>
      <c r="T212" s="10">
        <v>102</v>
      </c>
      <c r="U212" s="10">
        <v>103</v>
      </c>
      <c r="V212" s="10">
        <v>102</v>
      </c>
      <c r="W212" s="10">
        <v>103</v>
      </c>
      <c r="X212" s="4" t="s">
        <v>146</v>
      </c>
      <c r="Y212" s="4" t="s">
        <v>1641</v>
      </c>
      <c r="AA212" s="10">
        <f t="shared" si="12"/>
        <v>8.7315132022313377E-2</v>
      </c>
      <c r="AB212" s="10">
        <f t="shared" si="13"/>
        <v>4.8315757799960585E-2</v>
      </c>
      <c r="AC212" s="10">
        <f t="shared" si="14"/>
        <v>2.3581026407589554</v>
      </c>
      <c r="AD212" s="10">
        <f t="shared" si="15"/>
        <v>0.42846517641863563</v>
      </c>
    </row>
    <row r="213" spans="1:30" x14ac:dyDescent="0.25">
      <c r="A213" s="33" t="s">
        <v>1639</v>
      </c>
      <c r="C213" s="39">
        <v>40847</v>
      </c>
      <c r="D213" s="53" t="s">
        <v>1643</v>
      </c>
      <c r="E213" s="4" t="str">
        <f>VLOOKUP(LEFT(D213,2),Sort!$A$1:$B$58,2,FALSE)</f>
        <v>Columbia</v>
      </c>
      <c r="F213" s="4" t="s">
        <v>1007</v>
      </c>
      <c r="G213" s="18">
        <v>381300813</v>
      </c>
      <c r="H213" s="18">
        <v>421403596</v>
      </c>
      <c r="I213" s="10">
        <v>0.20312561700000001</v>
      </c>
      <c r="J213" s="10">
        <v>5.5611110000000004</v>
      </c>
      <c r="K213" s="10">
        <v>4.5595049999999997</v>
      </c>
      <c r="L213" s="10">
        <v>5.0993300000000001</v>
      </c>
      <c r="M213" s="10">
        <v>5.0993300000000001</v>
      </c>
      <c r="N213" s="10">
        <v>395.10829999999999</v>
      </c>
      <c r="O213" s="10">
        <v>401.94830000000002</v>
      </c>
      <c r="P213" s="10">
        <v>4.5015830000000001</v>
      </c>
      <c r="Q213" s="10">
        <v>1.7299999999999999E-2</v>
      </c>
      <c r="R213" s="10">
        <v>2.3473420919999999</v>
      </c>
      <c r="S213" s="10">
        <v>4.5836755780000003</v>
      </c>
      <c r="T213" s="10">
        <v>107.5</v>
      </c>
      <c r="U213" s="10">
        <v>108.5</v>
      </c>
      <c r="V213" s="10">
        <v>107.5</v>
      </c>
      <c r="W213" s="10">
        <v>108.5</v>
      </c>
      <c r="X213" s="4" t="s">
        <v>146</v>
      </c>
      <c r="Y213" s="4" t="s">
        <v>1644</v>
      </c>
      <c r="AA213" s="10">
        <f t="shared" si="12"/>
        <v>4.1844457715354125E-2</v>
      </c>
      <c r="AB213" s="10">
        <f t="shared" si="13"/>
        <v>2.9824174381622989E-2</v>
      </c>
      <c r="AC213" s="10">
        <f t="shared" si="14"/>
        <v>4.7943109929363317</v>
      </c>
      <c r="AD213" s="10">
        <f t="shared" si="15"/>
        <v>0.31048175988847548</v>
      </c>
    </row>
    <row r="214" spans="1:30" x14ac:dyDescent="0.25">
      <c r="A214" s="33" t="s">
        <v>1642</v>
      </c>
      <c r="C214" s="39">
        <v>40847</v>
      </c>
      <c r="D214" s="53" t="s">
        <v>1646</v>
      </c>
      <c r="E214" s="4" t="str">
        <f>VLOOKUP(LEFT(D214,2),Sort!$A$1:$B$58,2,FALSE)</f>
        <v>Columbia</v>
      </c>
      <c r="F214" s="4" t="s">
        <v>1037</v>
      </c>
      <c r="G214" s="18">
        <v>581483740</v>
      </c>
      <c r="H214" s="18">
        <v>605167090.10000002</v>
      </c>
      <c r="I214" s="10">
        <v>0.29170358200000002</v>
      </c>
      <c r="J214" s="10">
        <v>2.9916670000000001</v>
      </c>
      <c r="K214" s="10">
        <v>2.615497</v>
      </c>
      <c r="L214" s="10">
        <v>7.0547649999999997</v>
      </c>
      <c r="M214" s="10">
        <v>7.0547649999999997</v>
      </c>
      <c r="N214" s="10">
        <v>665.70320000000004</v>
      </c>
      <c r="O214" s="10">
        <v>667.51549999999997</v>
      </c>
      <c r="P214" s="10">
        <v>2.6091319999999998</v>
      </c>
      <c r="Q214" s="10">
        <v>2.3400000000000001E-2</v>
      </c>
      <c r="R214" s="10">
        <v>0.86834592600000005</v>
      </c>
      <c r="S214" s="10">
        <v>3.9444070510000002</v>
      </c>
      <c r="T214" s="10">
        <v>104</v>
      </c>
      <c r="U214" s="10">
        <v>104.5</v>
      </c>
      <c r="V214" s="10">
        <v>104</v>
      </c>
      <c r="W214" s="10">
        <v>104.5</v>
      </c>
      <c r="X214" s="4" t="s">
        <v>146</v>
      </c>
      <c r="Y214" s="4" t="s">
        <v>1647</v>
      </c>
      <c r="AA214" s="10">
        <f t="shared" si="12"/>
        <v>2.1607703486913547E-2</v>
      </c>
      <c r="AB214" s="10">
        <f t="shared" si="13"/>
        <v>0.11507274420672182</v>
      </c>
      <c r="AC214" s="10">
        <f t="shared" si="14"/>
        <v>21.939737441091463</v>
      </c>
      <c r="AD214" s="10">
        <f t="shared" si="15"/>
        <v>0.42943724579457282</v>
      </c>
    </row>
    <row r="215" spans="1:30" x14ac:dyDescent="0.25">
      <c r="A215" s="33" t="s">
        <v>1645</v>
      </c>
      <c r="C215" s="39">
        <v>40847</v>
      </c>
      <c r="D215" s="53" t="s">
        <v>1649</v>
      </c>
      <c r="E215" s="4" t="str">
        <f>VLOOKUP(LEFT(D215,2),Sort!$A$1:$B$58,2,FALSE)</f>
        <v>Columbia</v>
      </c>
      <c r="F215" s="4" t="s">
        <v>1024</v>
      </c>
      <c r="G215" s="18">
        <v>1429878049</v>
      </c>
      <c r="H215" s="18">
        <v>1724691106</v>
      </c>
      <c r="I215" s="10">
        <v>0.83133828899999995</v>
      </c>
      <c r="J215" s="10">
        <v>7.7222220000000004</v>
      </c>
      <c r="K215" s="10">
        <v>6.0139269999999998</v>
      </c>
      <c r="L215" s="10">
        <v>4.5950959999999998</v>
      </c>
      <c r="M215" s="10">
        <v>4.5950959999999998</v>
      </c>
      <c r="N215" s="10">
        <v>288.77999999999997</v>
      </c>
      <c r="O215" s="10">
        <v>300.3005</v>
      </c>
      <c r="P215" s="10">
        <v>5.8700650000000003</v>
      </c>
      <c r="Q215" s="10">
        <v>-0.80500000000000005</v>
      </c>
      <c r="R215" s="10">
        <v>2.1970382490000002</v>
      </c>
      <c r="S215" s="10">
        <v>8.0626568889999994</v>
      </c>
      <c r="T215" s="10">
        <v>118.5</v>
      </c>
      <c r="U215" s="10">
        <v>119.5</v>
      </c>
      <c r="V215" s="10">
        <v>118.5</v>
      </c>
      <c r="W215" s="10">
        <v>119.5</v>
      </c>
      <c r="X215" s="4" t="s">
        <v>146</v>
      </c>
      <c r="Y215" s="4" t="s">
        <v>1650</v>
      </c>
      <c r="AA215" s="10">
        <f t="shared" si="12"/>
        <v>0.21828399656082992</v>
      </c>
      <c r="AB215" s="10">
        <f t="shared" si="13"/>
        <v>0.10999247831209283</v>
      </c>
      <c r="AC215" s="10">
        <f t="shared" si="14"/>
        <v>5.1332922684836104</v>
      </c>
      <c r="AD215" s="10">
        <f t="shared" si="15"/>
        <v>1.3995465403271268</v>
      </c>
    </row>
    <row r="216" spans="1:30" x14ac:dyDescent="0.25">
      <c r="A216" s="33" t="s">
        <v>1648</v>
      </c>
      <c r="C216" s="39">
        <v>40847</v>
      </c>
      <c r="D216" s="53" t="s">
        <v>1652</v>
      </c>
      <c r="E216" s="4" t="str">
        <f>VLOOKUP(LEFT(D216,2),Sort!$A$1:$B$58,2,FALSE)</f>
        <v>Columbia</v>
      </c>
      <c r="F216" s="4" t="s">
        <v>1007</v>
      </c>
      <c r="G216" s="18">
        <v>285975610</v>
      </c>
      <c r="H216" s="18">
        <v>297021417.89999998</v>
      </c>
      <c r="I216" s="10">
        <v>0.143170726</v>
      </c>
      <c r="J216" s="10">
        <v>9.5416670000000003</v>
      </c>
      <c r="K216" s="10">
        <v>7.3121900000000002</v>
      </c>
      <c r="L216" s="10">
        <v>5.3948239999999998</v>
      </c>
      <c r="M216" s="10">
        <v>5.3948239999999998</v>
      </c>
      <c r="N216" s="10">
        <v>334.66849999999999</v>
      </c>
      <c r="O216" s="10">
        <v>345.77550000000002</v>
      </c>
      <c r="P216" s="10">
        <v>7.0752569999999997</v>
      </c>
      <c r="Q216" s="10">
        <v>1.52E-2</v>
      </c>
      <c r="R216" s="10">
        <v>5.2633797229999999</v>
      </c>
      <c r="S216" s="10">
        <v>3.5217350000000001</v>
      </c>
      <c r="T216" s="10">
        <v>101.25</v>
      </c>
      <c r="U216" s="10">
        <v>102.25</v>
      </c>
      <c r="V216" s="10">
        <v>101.25</v>
      </c>
      <c r="W216" s="10">
        <v>102.25</v>
      </c>
      <c r="X216" s="4" t="s">
        <v>146</v>
      </c>
      <c r="Y216" s="4" t="s">
        <v>1653</v>
      </c>
      <c r="AA216" s="10">
        <f t="shared" si="12"/>
        <v>4.5707519723163281E-2</v>
      </c>
      <c r="AB216" s="10">
        <f t="shared" si="13"/>
        <v>2.2239351680209699E-2</v>
      </c>
      <c r="AC216" s="10">
        <f t="shared" si="14"/>
        <v>1.0179128521306098</v>
      </c>
      <c r="AD216" s="10">
        <f t="shared" si="15"/>
        <v>0.20623349397915849</v>
      </c>
    </row>
    <row r="217" spans="1:30" x14ac:dyDescent="0.25">
      <c r="A217" s="33" t="s">
        <v>1651</v>
      </c>
      <c r="C217" s="39">
        <v>40847</v>
      </c>
      <c r="D217" s="53" t="s">
        <v>1655</v>
      </c>
      <c r="E217" s="4" t="str">
        <f>VLOOKUP(LEFT(D217,2),Sort!$A$1:$B$58,2,FALSE)</f>
        <v>Columbia</v>
      </c>
      <c r="F217" s="4" t="s">
        <v>1014</v>
      </c>
      <c r="G217" s="18">
        <v>428963415</v>
      </c>
      <c r="H217" s="18">
        <v>494186706</v>
      </c>
      <c r="I217" s="10">
        <v>0.238208645</v>
      </c>
      <c r="J217" s="10">
        <v>4.0194450000000002</v>
      </c>
      <c r="K217" s="10">
        <v>3.3020149999999999</v>
      </c>
      <c r="L217" s="10">
        <v>5.3765809999999998</v>
      </c>
      <c r="M217" s="10">
        <v>5.3765809999999998</v>
      </c>
      <c r="N217" s="10">
        <v>467.99029999999999</v>
      </c>
      <c r="O217" s="10">
        <v>469.07089999999999</v>
      </c>
      <c r="P217" s="10">
        <v>3.280567</v>
      </c>
      <c r="Q217" s="10">
        <v>2.1100000000000001E-2</v>
      </c>
      <c r="R217" s="10">
        <v>6.1558154350000001</v>
      </c>
      <c r="S217" s="10">
        <v>5.8084309149999998</v>
      </c>
      <c r="T217" s="10">
        <v>111</v>
      </c>
      <c r="U217" s="10">
        <v>112</v>
      </c>
      <c r="V217" s="10">
        <v>111</v>
      </c>
      <c r="W217" s="10">
        <v>112</v>
      </c>
      <c r="X217" s="4" t="s">
        <v>146</v>
      </c>
      <c r="Y217" s="4" t="s">
        <v>1656</v>
      </c>
      <c r="AA217" s="10">
        <f t="shared" si="12"/>
        <v>2.2276614178545564E-2</v>
      </c>
      <c r="AB217" s="10">
        <f t="shared" si="13"/>
        <v>3.6876893246315233E-2</v>
      </c>
      <c r="AC217" s="10">
        <f t="shared" si="14"/>
        <v>6.5612610643243388</v>
      </c>
      <c r="AD217" s="10">
        <f t="shared" si="15"/>
        <v>0.3758522868201441</v>
      </c>
    </row>
    <row r="218" spans="1:30" x14ac:dyDescent="0.25">
      <c r="A218" s="33" t="s">
        <v>1654</v>
      </c>
      <c r="C218" s="39">
        <v>40847</v>
      </c>
      <c r="D218" s="53" t="s">
        <v>1658</v>
      </c>
      <c r="E218" s="4" t="str">
        <f>VLOOKUP(LEFT(D218,2),Sort!$A$1:$B$58,2,FALSE)</f>
        <v>Columbia</v>
      </c>
      <c r="F218" s="4" t="s">
        <v>1037</v>
      </c>
      <c r="G218" s="18">
        <v>714939024</v>
      </c>
      <c r="H218" s="18">
        <v>781368777.39999998</v>
      </c>
      <c r="I218" s="10">
        <v>0.37663659300000002</v>
      </c>
      <c r="J218" s="10">
        <v>5.9166670000000003</v>
      </c>
      <c r="K218" s="10">
        <v>4.573258</v>
      </c>
      <c r="L218" s="10">
        <v>7.4809599999999996</v>
      </c>
      <c r="M218" s="10">
        <v>7.4809599999999996</v>
      </c>
      <c r="N218" s="10">
        <v>622.80020000000002</v>
      </c>
      <c r="O218" s="10">
        <v>633.7595</v>
      </c>
      <c r="P218" s="10">
        <v>4.5062090000000001</v>
      </c>
      <c r="Q218" s="10">
        <v>2.4199999999999999E-2</v>
      </c>
      <c r="R218" s="10">
        <v>1.616777176</v>
      </c>
      <c r="S218" s="10">
        <v>4.197554888</v>
      </c>
      <c r="T218" s="10">
        <v>108.5</v>
      </c>
      <c r="U218" s="10">
        <v>109.5</v>
      </c>
      <c r="V218" s="10">
        <v>108.5</v>
      </c>
      <c r="W218" s="10">
        <v>109.5</v>
      </c>
      <c r="X218" s="4" t="s">
        <v>146</v>
      </c>
      <c r="Y218" s="4" t="s">
        <v>1659</v>
      </c>
      <c r="AA218" s="10">
        <f t="shared" si="12"/>
        <v>7.7822247041378495E-2</v>
      </c>
      <c r="AB218" s="10">
        <f t="shared" si="13"/>
        <v>0.15755348065488484</v>
      </c>
      <c r="AC218" s="10">
        <f t="shared" si="14"/>
        <v>26.895232603830127</v>
      </c>
      <c r="AD218" s="10">
        <f t="shared" si="15"/>
        <v>0.58100288439589143</v>
      </c>
    </row>
    <row r="219" spans="1:30" x14ac:dyDescent="0.25">
      <c r="A219" s="33" t="s">
        <v>1657</v>
      </c>
      <c r="C219" s="39">
        <v>40847</v>
      </c>
      <c r="D219" s="53" t="s">
        <v>1661</v>
      </c>
      <c r="E219" s="4" t="str">
        <f>VLOOKUP(LEFT(D219,2),Sort!$A$1:$B$58,2,FALSE)</f>
        <v>Egypt</v>
      </c>
      <c r="F219" s="4" t="s">
        <v>1007</v>
      </c>
      <c r="G219" s="18">
        <v>500000000</v>
      </c>
      <c r="H219" s="18">
        <v>485166665</v>
      </c>
      <c r="I219" s="10">
        <v>0.23386079000000001</v>
      </c>
      <c r="J219" s="10">
        <v>4.733333</v>
      </c>
      <c r="K219" s="10">
        <v>4.0399690000000001</v>
      </c>
      <c r="L219" s="10">
        <v>6.3672709999999997</v>
      </c>
      <c r="M219" s="10">
        <v>6.3672709999999997</v>
      </c>
      <c r="N219" s="10">
        <v>546.21379999999999</v>
      </c>
      <c r="O219" s="10">
        <v>551.30809999999997</v>
      </c>
      <c r="P219" s="10">
        <v>4.0075479999999999</v>
      </c>
      <c r="Q219" s="10">
        <v>1.6500000000000001E-2</v>
      </c>
      <c r="R219" s="10">
        <v>-0.56644943199999997</v>
      </c>
      <c r="S219" s="10">
        <v>-5.1366639999999997</v>
      </c>
      <c r="T219" s="10">
        <v>95.5</v>
      </c>
      <c r="U219" s="10">
        <v>97.5</v>
      </c>
      <c r="V219" s="10">
        <v>95.5</v>
      </c>
      <c r="W219" s="10">
        <v>97.5</v>
      </c>
      <c r="X219" s="4" t="s">
        <v>146</v>
      </c>
      <c r="Y219" s="4" t="s">
        <v>1662</v>
      </c>
      <c r="AA219" s="10">
        <f t="shared" si="12"/>
        <v>4.268654418067476E-2</v>
      </c>
      <c r="AB219" s="10">
        <f t="shared" si="13"/>
        <v>8.3264313182820529E-2</v>
      </c>
      <c r="AC219" s="10">
        <f t="shared" si="14"/>
        <v>7.5708230451548699</v>
      </c>
      <c r="AD219" s="10">
        <f t="shared" si="15"/>
        <v>0.99161454562897322</v>
      </c>
    </row>
    <row r="220" spans="1:30" x14ac:dyDescent="0.25">
      <c r="A220" s="33" t="s">
        <v>1660</v>
      </c>
      <c r="C220" s="39">
        <v>40847</v>
      </c>
      <c r="D220" s="53" t="s">
        <v>1664</v>
      </c>
      <c r="E220" s="4" t="str">
        <f>VLOOKUP(LEFT(D220,2),Sort!$A$1:$B$58,2,FALSE)</f>
        <v>Egypt</v>
      </c>
      <c r="F220" s="4" t="s">
        <v>1007</v>
      </c>
      <c r="G220" s="18">
        <v>300000000</v>
      </c>
      <c r="H220" s="18">
        <v>331895832</v>
      </c>
      <c r="I220" s="10">
        <v>0.15998094500000001</v>
      </c>
      <c r="J220" s="10">
        <v>3.0277780000000001</v>
      </c>
      <c r="K220" s="10">
        <v>2.5715669999999999</v>
      </c>
      <c r="L220" s="10">
        <v>5.6548939999999996</v>
      </c>
      <c r="M220" s="10">
        <v>5.6548939999999996</v>
      </c>
      <c r="N220" s="10">
        <v>524.77829999999994</v>
      </c>
      <c r="O220" s="10">
        <v>526.73860000000002</v>
      </c>
      <c r="P220" s="10">
        <v>2.5654919999999999</v>
      </c>
      <c r="Q220" s="10">
        <v>2.1999999999999999E-2</v>
      </c>
      <c r="R220" s="10">
        <v>1.542480691</v>
      </c>
      <c r="S220" s="10">
        <v>1.6711821229999999</v>
      </c>
      <c r="T220" s="10">
        <v>106.5</v>
      </c>
      <c r="U220" s="10">
        <v>108.5</v>
      </c>
      <c r="V220" s="10">
        <v>106.5</v>
      </c>
      <c r="W220" s="10">
        <v>108.5</v>
      </c>
      <c r="X220" s="4" t="s">
        <v>146</v>
      </c>
      <c r="Y220" s="4" t="s">
        <v>1665</v>
      </c>
      <c r="AA220" s="10">
        <f t="shared" si="12"/>
        <v>1.1651416454415656E-2</v>
      </c>
      <c r="AB220" s="10">
        <f t="shared" si="13"/>
        <v>2.6048537321360334E-2</v>
      </c>
      <c r="AC220" s="10">
        <f t="shared" si="14"/>
        <v>4.9482850795023152</v>
      </c>
      <c r="AD220" s="10">
        <f t="shared" si="15"/>
        <v>0.2445342256144625</v>
      </c>
    </row>
    <row r="221" spans="1:30" x14ac:dyDescent="0.25">
      <c r="A221" s="33" t="s">
        <v>1663</v>
      </c>
      <c r="C221" s="39">
        <v>40847</v>
      </c>
      <c r="D221" s="53" t="s">
        <v>1667</v>
      </c>
      <c r="E221" s="4" t="str">
        <f>VLOOKUP(LEFT(D221,2),Sort!$A$1:$B$58,2,FALSE)</f>
        <v>Hong Kong</v>
      </c>
      <c r="F221" s="4" t="s">
        <v>1007</v>
      </c>
      <c r="G221" s="18">
        <v>1058086276</v>
      </c>
      <c r="H221" s="18">
        <v>1076676746</v>
      </c>
      <c r="I221" s="10">
        <v>0.51898140000000004</v>
      </c>
      <c r="J221" s="10">
        <v>8.2722219999999993</v>
      </c>
      <c r="K221" s="10">
        <v>6.6240430000000003</v>
      </c>
      <c r="L221" s="10">
        <v>5.409999</v>
      </c>
      <c r="M221" s="10">
        <v>5.409999</v>
      </c>
      <c r="N221" s="10">
        <v>359.96690000000001</v>
      </c>
      <c r="O221" s="10">
        <v>367.56479999999999</v>
      </c>
      <c r="P221" s="10">
        <v>6.4403280000000001</v>
      </c>
      <c r="Q221" s="10">
        <v>0.27439999999999998</v>
      </c>
      <c r="R221" s="10">
        <v>2.0804252299999999</v>
      </c>
      <c r="S221" s="10">
        <v>0.93467604000000004</v>
      </c>
      <c r="T221" s="10">
        <v>100.46199</v>
      </c>
      <c r="U221" s="10">
        <v>101.45487</v>
      </c>
      <c r="V221" s="10">
        <v>100.46199</v>
      </c>
      <c r="W221" s="10">
        <v>101.45487</v>
      </c>
      <c r="X221" s="4" t="s">
        <v>146</v>
      </c>
      <c r="Y221" s="4" t="s">
        <v>1668</v>
      </c>
      <c r="AA221" s="10">
        <f t="shared" si="12"/>
        <v>0.15009315859352568</v>
      </c>
      <c r="AB221" s="10">
        <f t="shared" si="13"/>
        <v>8.084247347987264E-2</v>
      </c>
      <c r="AC221" s="10">
        <f t="shared" si="14"/>
        <v>3.9223636945837583</v>
      </c>
      <c r="AD221" s="10">
        <f t="shared" si="15"/>
        <v>0.74176501803765094</v>
      </c>
    </row>
    <row r="222" spans="1:30" x14ac:dyDescent="0.25">
      <c r="A222" s="33" t="s">
        <v>1666</v>
      </c>
      <c r="C222" s="39">
        <v>40847</v>
      </c>
      <c r="D222" s="53" t="s">
        <v>1670</v>
      </c>
      <c r="E222" s="4" t="str">
        <f>VLOOKUP(LEFT(D222,2),Sort!$A$1:$B$58,2,FALSE)</f>
        <v>Hong Kong</v>
      </c>
      <c r="F222" s="4" t="s">
        <v>1007</v>
      </c>
      <c r="G222" s="18">
        <v>253940706</v>
      </c>
      <c r="H222" s="18">
        <v>250137238</v>
      </c>
      <c r="I222" s="10">
        <v>0.12057154</v>
      </c>
      <c r="J222" s="10">
        <v>8.7027780000000003</v>
      </c>
      <c r="K222" s="10">
        <v>6.7098050000000002</v>
      </c>
      <c r="L222" s="10">
        <v>6.2258290000000001</v>
      </c>
      <c r="M222" s="10">
        <v>6.2258290000000001</v>
      </c>
      <c r="N222" s="10">
        <v>433.48419999999999</v>
      </c>
      <c r="O222" s="10">
        <v>443.88690000000003</v>
      </c>
      <c r="P222" s="10">
        <v>6.5174190000000003</v>
      </c>
      <c r="Q222" s="10">
        <v>-1.3747</v>
      </c>
      <c r="R222" s="10">
        <v>2.8814935400000001</v>
      </c>
      <c r="S222" s="10">
        <v>-0.33694099999999999</v>
      </c>
      <c r="T222" s="10">
        <v>98.23</v>
      </c>
      <c r="U222" s="10">
        <v>100.23</v>
      </c>
      <c r="V222" s="10">
        <v>98.23</v>
      </c>
      <c r="W222" s="10">
        <v>100.23</v>
      </c>
      <c r="X222" s="4" t="s">
        <v>146</v>
      </c>
      <c r="Y222" s="4" t="s">
        <v>1671</v>
      </c>
      <c r="AA222" s="10">
        <f t="shared" si="12"/>
        <v>3.5321624540269443E-2</v>
      </c>
      <c r="AB222" s="10">
        <f t="shared" si="13"/>
        <v>4.1974946785500317E-2</v>
      </c>
      <c r="AC222" s="10">
        <f t="shared" si="14"/>
        <v>3.1427399548419013</v>
      </c>
      <c r="AD222" s="10">
        <f t="shared" si="15"/>
        <v>0.17024885367720097</v>
      </c>
    </row>
    <row r="223" spans="1:30" x14ac:dyDescent="0.25">
      <c r="A223" s="33" t="s">
        <v>1669</v>
      </c>
      <c r="C223" s="39">
        <v>40847</v>
      </c>
      <c r="D223" s="53" t="s">
        <v>1673</v>
      </c>
      <c r="E223" s="4" t="str">
        <f>VLOOKUP(LEFT(D223,2),Sort!$A$1:$B$58,2,FALSE)</f>
        <v>Hong Kong</v>
      </c>
      <c r="F223" s="4" t="s">
        <v>1007</v>
      </c>
      <c r="G223" s="18">
        <v>211617255</v>
      </c>
      <c r="H223" s="18">
        <v>219088520.69999999</v>
      </c>
      <c r="I223" s="10">
        <v>0.10560538899999999</v>
      </c>
      <c r="J223" s="10">
        <v>38.005555999999999</v>
      </c>
      <c r="K223" s="10">
        <v>10.969322999999999</v>
      </c>
      <c r="L223" s="10">
        <v>8.3199760000000005</v>
      </c>
      <c r="M223" s="10">
        <v>8.3199760000000005</v>
      </c>
      <c r="N223" s="10">
        <v>476.32940000000002</v>
      </c>
      <c r="O223" s="10">
        <v>562.87289999999996</v>
      </c>
      <c r="P223" s="10">
        <v>10.255572000000001</v>
      </c>
      <c r="Q223" s="10">
        <v>2.2800000000000001E-2</v>
      </c>
      <c r="R223" s="10">
        <v>4.739424863</v>
      </c>
      <c r="S223" s="10">
        <v>-2.3291442189999998</v>
      </c>
      <c r="T223" s="10">
        <v>101.5</v>
      </c>
      <c r="U223" s="10">
        <v>104.5</v>
      </c>
      <c r="V223" s="10">
        <v>101.5</v>
      </c>
      <c r="W223" s="10">
        <v>104.5</v>
      </c>
      <c r="X223" s="4" t="s">
        <v>146</v>
      </c>
      <c r="Y223" s="4" t="s">
        <v>1674</v>
      </c>
      <c r="AA223" s="10">
        <f t="shared" si="12"/>
        <v>0.12344057083619948</v>
      </c>
      <c r="AB223" s="10">
        <f t="shared" si="13"/>
        <v>0.10986596772693438</v>
      </c>
      <c r="AC223" s="10">
        <f t="shared" si="14"/>
        <v>3.4905007142033169</v>
      </c>
      <c r="AD223" s="10">
        <f t="shared" si="15"/>
        <v>0.15546908028172574</v>
      </c>
    </row>
    <row r="224" spans="1:30" x14ac:dyDescent="0.25">
      <c r="A224" s="33" t="s">
        <v>1672</v>
      </c>
      <c r="C224" s="39">
        <v>40847</v>
      </c>
      <c r="D224" s="53" t="s">
        <v>1676</v>
      </c>
      <c r="E224" s="4" t="str">
        <f>VLOOKUP(LEFT(D224,2),Sort!$A$1:$B$58,2,FALSE)</f>
        <v>Hong Kong</v>
      </c>
      <c r="F224" s="4" t="s">
        <v>1007</v>
      </c>
      <c r="G224" s="18">
        <v>253940706</v>
      </c>
      <c r="H224" s="18">
        <v>248461582.30000001</v>
      </c>
      <c r="I224" s="10">
        <v>0.119763838</v>
      </c>
      <c r="J224" s="10">
        <v>5.6361109999999996</v>
      </c>
      <c r="K224" s="10">
        <v>0.10163700000000001</v>
      </c>
      <c r="L224" s="10">
        <v>2.235643</v>
      </c>
      <c r="M224" s="10">
        <v>2.235643</v>
      </c>
      <c r="N224" s="10">
        <v>106.5308</v>
      </c>
      <c r="O224" s="10">
        <v>106.4143</v>
      </c>
      <c r="P224" s="10">
        <v>5.3481750000000003</v>
      </c>
      <c r="Q224" s="10">
        <v>2.5000000000000001E-3</v>
      </c>
      <c r="R224" s="10">
        <v>0.32862725599999998</v>
      </c>
      <c r="S224" s="10">
        <v>1.345076581</v>
      </c>
      <c r="T224" s="10">
        <v>97.75</v>
      </c>
      <c r="U224" s="10">
        <v>98.75</v>
      </c>
      <c r="V224" s="10">
        <v>97.75</v>
      </c>
      <c r="W224" s="10">
        <v>98.75</v>
      </c>
      <c r="X224" s="4" t="s">
        <v>146</v>
      </c>
      <c r="Y224" s="4" t="s">
        <v>1677</v>
      </c>
      <c r="AA224" s="10">
        <f t="shared" si="12"/>
        <v>1.5389794113092312E-3</v>
      </c>
      <c r="AB224" s="10">
        <f t="shared" si="13"/>
        <v>9.0405414939758021E-3</v>
      </c>
      <c r="AC224" s="10">
        <f t="shared" si="14"/>
        <v>0.92644468370638666</v>
      </c>
      <c r="AD224" s="10">
        <f t="shared" si="15"/>
        <v>0.51433214784552306</v>
      </c>
    </row>
    <row r="225" spans="1:30" x14ac:dyDescent="0.25">
      <c r="A225" s="33" t="s">
        <v>1675</v>
      </c>
      <c r="C225" s="39">
        <v>40847</v>
      </c>
      <c r="D225" s="53" t="s">
        <v>1679</v>
      </c>
      <c r="E225" s="4" t="str">
        <f>VLOOKUP(LEFT(D225,2),Sort!$A$1:$B$58,2,FALSE)</f>
        <v>Hong Kong</v>
      </c>
      <c r="F225" s="4" t="s">
        <v>1214</v>
      </c>
      <c r="G225" s="18">
        <v>211617255</v>
      </c>
      <c r="H225" s="18">
        <v>197505029.30000001</v>
      </c>
      <c r="I225" s="10">
        <v>9.5201680999999996E-2</v>
      </c>
      <c r="J225" s="10">
        <v>9.4499999999999993</v>
      </c>
      <c r="K225" s="10">
        <v>6.9975750000000003</v>
      </c>
      <c r="L225" s="10">
        <v>7.2153929999999997</v>
      </c>
      <c r="M225" s="10">
        <v>7.2153929999999997</v>
      </c>
      <c r="N225" s="10">
        <v>518.44259999999997</v>
      </c>
      <c r="O225" s="10">
        <v>533.26390000000004</v>
      </c>
      <c r="P225" s="10">
        <v>6.7787430000000004</v>
      </c>
      <c r="Q225" s="10">
        <v>-1.5627</v>
      </c>
      <c r="R225" s="10">
        <v>16.450495799999999</v>
      </c>
      <c r="S225" s="10">
        <v>-2.9403540000000001</v>
      </c>
      <c r="T225" s="10">
        <v>93</v>
      </c>
      <c r="U225" s="10">
        <v>96</v>
      </c>
      <c r="V225" s="10">
        <v>93</v>
      </c>
      <c r="W225" s="10">
        <v>96</v>
      </c>
      <c r="X225" s="4" t="s">
        <v>146</v>
      </c>
      <c r="Y225" s="4" t="s">
        <v>1680</v>
      </c>
      <c r="AA225" s="10">
        <f t="shared" si="12"/>
        <v>2.908560767389259E-2</v>
      </c>
      <c r="AB225" s="10">
        <f t="shared" si="13"/>
        <v>3.8410748112877577E-2</v>
      </c>
      <c r="AC225" s="10">
        <f t="shared" si="14"/>
        <v>2.9811107603115095</v>
      </c>
      <c r="AD225" s="10">
        <f t="shared" si="15"/>
        <v>0.39746300481269176</v>
      </c>
    </row>
    <row r="226" spans="1:30" x14ac:dyDescent="0.25">
      <c r="A226" s="33" t="s">
        <v>1678</v>
      </c>
      <c r="C226" s="39">
        <v>40847</v>
      </c>
      <c r="D226" s="53" t="s">
        <v>1682</v>
      </c>
      <c r="E226" s="4" t="str">
        <f>VLOOKUP(LEFT(D226,2),Sort!$A$1:$B$58,2,FALSE)</f>
        <v>Hong Kong</v>
      </c>
      <c r="F226" s="4" t="s">
        <v>1007</v>
      </c>
      <c r="G226" s="18">
        <v>211617255</v>
      </c>
      <c r="H226" s="18">
        <v>211899852.90000001</v>
      </c>
      <c r="I226" s="10">
        <v>0.102140297</v>
      </c>
      <c r="J226" s="10">
        <v>8.641667</v>
      </c>
      <c r="K226" s="10">
        <v>6.4159290000000002</v>
      </c>
      <c r="L226" s="10">
        <v>6.8390360000000001</v>
      </c>
      <c r="M226" s="10">
        <v>6.8390360000000001</v>
      </c>
      <c r="N226" s="10">
        <v>495.94970000000001</v>
      </c>
      <c r="O226" s="10">
        <v>508.1309</v>
      </c>
      <c r="P226" s="10">
        <v>6.235614</v>
      </c>
      <c r="Q226" s="10">
        <v>-2.2080000000000002</v>
      </c>
      <c r="R226" s="10">
        <v>0.25503279299999998</v>
      </c>
      <c r="S226" s="10">
        <v>-1.3395379650000001</v>
      </c>
      <c r="T226" s="10">
        <v>97.67</v>
      </c>
      <c r="U226" s="10">
        <v>100.22</v>
      </c>
      <c r="V226" s="10">
        <v>97.67</v>
      </c>
      <c r="W226" s="10">
        <v>100.22</v>
      </c>
      <c r="X226" s="4" t="s">
        <v>146</v>
      </c>
      <c r="Y226" s="4" t="s">
        <v>1683</v>
      </c>
      <c r="AA226" s="10">
        <f t="shared" si="12"/>
        <v>2.8611631655442747E-2</v>
      </c>
      <c r="AB226" s="10">
        <f t="shared" si="13"/>
        <v>3.9060712517063383E-2</v>
      </c>
      <c r="AC226" s="10">
        <f t="shared" si="14"/>
        <v>3.0476425570694046</v>
      </c>
      <c r="AD226" s="10">
        <f t="shared" si="15"/>
        <v>0.14420926706746401</v>
      </c>
    </row>
    <row r="227" spans="1:30" x14ac:dyDescent="0.25">
      <c r="A227" s="33" t="s">
        <v>1681</v>
      </c>
      <c r="C227" s="39">
        <v>40847</v>
      </c>
      <c r="D227" s="53" t="s">
        <v>1685</v>
      </c>
      <c r="E227" s="4" t="str">
        <f>VLOOKUP(LEFT(D227,2),Sort!$A$1:$B$58,2,FALSE)</f>
        <v>Hong Kong</v>
      </c>
      <c r="F227" s="4" t="s">
        <v>1214</v>
      </c>
      <c r="G227" s="18">
        <v>317425883</v>
      </c>
      <c r="H227" s="18">
        <v>296455935.60000002</v>
      </c>
      <c r="I227" s="10">
        <v>0.142898151</v>
      </c>
      <c r="J227" s="10">
        <v>37.450000000000003</v>
      </c>
      <c r="K227" s="10">
        <v>11.455263</v>
      </c>
      <c r="L227" s="10">
        <v>8.2201160000000009</v>
      </c>
      <c r="M227" s="10">
        <v>8.2201160000000009</v>
      </c>
      <c r="N227" s="10">
        <v>469.16559999999998</v>
      </c>
      <c r="O227" s="10">
        <v>551.18110000000001</v>
      </c>
      <c r="P227" s="10">
        <v>10.702510999999999</v>
      </c>
      <c r="Q227" s="10">
        <v>-1.5580000000000001</v>
      </c>
      <c r="R227" s="10">
        <v>17.89782215</v>
      </c>
      <c r="S227" s="10">
        <v>-3.7991640000000002</v>
      </c>
      <c r="T227" s="10">
        <v>93</v>
      </c>
      <c r="U227" s="10">
        <v>96</v>
      </c>
      <c r="V227" s="10">
        <v>93</v>
      </c>
      <c r="W227" s="10">
        <v>96</v>
      </c>
      <c r="X227" s="4" t="s">
        <v>146</v>
      </c>
      <c r="Y227" s="4" t="s">
        <v>1686</v>
      </c>
      <c r="AA227" s="10">
        <f t="shared" si="12"/>
        <v>0.17443100712778151</v>
      </c>
      <c r="AB227" s="10">
        <f t="shared" si="13"/>
        <v>0.14687895883040389</v>
      </c>
      <c r="AC227" s="10">
        <f t="shared" si="14"/>
        <v>4.6250053120683816</v>
      </c>
      <c r="AD227" s="10">
        <f t="shared" si="15"/>
        <v>0.59659375447678209</v>
      </c>
    </row>
    <row r="228" spans="1:30" x14ac:dyDescent="0.25">
      <c r="A228" s="33" t="s">
        <v>1684</v>
      </c>
      <c r="C228" s="39">
        <v>40847</v>
      </c>
      <c r="D228" s="53" t="s">
        <v>1688</v>
      </c>
      <c r="E228" s="4" t="str">
        <f>VLOOKUP(LEFT(D228,2),Sort!$A$1:$B$58,2,FALSE)</f>
        <v>Hong Kong</v>
      </c>
      <c r="F228" s="4" t="e">
        <v>#N/A</v>
      </c>
      <c r="G228" s="18">
        <v>126970353</v>
      </c>
      <c r="H228" s="18">
        <v>135978370.09999999</v>
      </c>
      <c r="I228" s="10">
        <v>6.5544505000000003E-2</v>
      </c>
      <c r="J228" s="10">
        <v>9.6916670000000007</v>
      </c>
      <c r="K228" s="10">
        <v>7.9100669999999997</v>
      </c>
      <c r="L228" s="10">
        <v>3.8389500000000001</v>
      </c>
      <c r="M228" s="10">
        <v>3.8389500000000001</v>
      </c>
      <c r="N228" s="10">
        <v>176.27109999999999</v>
      </c>
      <c r="O228" s="10">
        <v>184.15119999999999</v>
      </c>
      <c r="P228" s="10">
        <v>7.64175</v>
      </c>
      <c r="Q228" s="10">
        <v>-0.46179999999999999</v>
      </c>
      <c r="R228" s="10">
        <v>3.879372424</v>
      </c>
      <c r="S228" s="10">
        <v>6.2999010000000002</v>
      </c>
      <c r="T228" s="10">
        <v>105.63</v>
      </c>
      <c r="U228" s="10">
        <v>107.31</v>
      </c>
      <c r="V228" s="10">
        <v>105.63</v>
      </c>
      <c r="W228" s="10">
        <v>107.31</v>
      </c>
      <c r="X228" s="4" t="s">
        <v>146</v>
      </c>
      <c r="Y228" s="4" t="s">
        <v>1689</v>
      </c>
      <c r="AA228" s="10">
        <f t="shared" si="12"/>
        <v>2.2636142230285934E-2</v>
      </c>
      <c r="AB228" s="10">
        <f t="shared" si="13"/>
        <v>8.4960102943303171E-3</v>
      </c>
      <c r="AC228" s="10">
        <f t="shared" si="14"/>
        <v>0.87741415965194303</v>
      </c>
      <c r="AD228" s="10">
        <f t="shared" si="15"/>
        <v>9.9087333635608094E-2</v>
      </c>
    </row>
    <row r="229" spans="1:30" x14ac:dyDescent="0.25">
      <c r="A229" s="33" t="s">
        <v>1687</v>
      </c>
      <c r="C229" s="39">
        <v>40847</v>
      </c>
      <c r="D229" s="53" t="s">
        <v>1691</v>
      </c>
      <c r="E229" s="4" t="str">
        <f>VLOOKUP(LEFT(D229,2),Sort!$A$1:$B$58,2,FALSE)</f>
        <v>Hong Kong</v>
      </c>
      <c r="F229" s="4" t="s">
        <v>1024</v>
      </c>
      <c r="G229" s="18">
        <v>421118338</v>
      </c>
      <c r="H229" s="18">
        <v>492721324.80000001</v>
      </c>
      <c r="I229" s="10">
        <v>0.237502299</v>
      </c>
      <c r="J229" s="10">
        <v>6.7611109999999996</v>
      </c>
      <c r="K229" s="10">
        <v>5.6513249999999999</v>
      </c>
      <c r="L229" s="10">
        <v>3.3392919999999999</v>
      </c>
      <c r="M229" s="10">
        <v>3.3392919999999999</v>
      </c>
      <c r="N229" s="10">
        <v>183.7645</v>
      </c>
      <c r="O229" s="10">
        <v>191.92949999999999</v>
      </c>
      <c r="P229" s="10">
        <v>5.537439</v>
      </c>
      <c r="Q229" s="10">
        <v>0.22900000000000001</v>
      </c>
      <c r="R229" s="10">
        <v>0.86735972500000003</v>
      </c>
      <c r="S229" s="10">
        <v>6.4643940349999998</v>
      </c>
      <c r="T229" s="10">
        <v>115.51</v>
      </c>
      <c r="U229" s="10">
        <v>117.48</v>
      </c>
      <c r="V229" s="10">
        <v>115.51</v>
      </c>
      <c r="W229" s="10">
        <v>117.48</v>
      </c>
      <c r="X229" s="4" t="s">
        <v>146</v>
      </c>
      <c r="Y229" s="4" t="s">
        <v>1692</v>
      </c>
      <c r="AA229" s="10">
        <f t="shared" si="12"/>
        <v>6.0642019101076715E-2</v>
      </c>
      <c r="AB229" s="10">
        <f t="shared" si="13"/>
        <v>2.6778638889777967E-2</v>
      </c>
      <c r="AC229" s="10">
        <f t="shared" si="14"/>
        <v>3.3136248997260211</v>
      </c>
      <c r="AD229" s="10">
        <f t="shared" si="15"/>
        <v>0.39307318032278538</v>
      </c>
    </row>
    <row r="230" spans="1:30" x14ac:dyDescent="0.25">
      <c r="A230" s="33" t="s">
        <v>1690</v>
      </c>
      <c r="C230" s="39">
        <v>40847</v>
      </c>
      <c r="D230" s="53" t="s">
        <v>1694</v>
      </c>
      <c r="E230" s="4" t="str">
        <f>VLOOKUP(LEFT(D230,2),Sort!$A$1:$B$58,2,FALSE)</f>
        <v>Hong Kong</v>
      </c>
      <c r="F230" s="4" t="s">
        <v>1037</v>
      </c>
      <c r="G230" s="18">
        <v>211617255</v>
      </c>
      <c r="H230" s="18">
        <v>224950318.69999999</v>
      </c>
      <c r="I230" s="10">
        <v>0.108430902</v>
      </c>
      <c r="J230" s="10">
        <v>8.3777779999999993</v>
      </c>
      <c r="K230" s="10">
        <v>7.0611560000000004</v>
      </c>
      <c r="L230" s="10">
        <v>3.7390479999999999</v>
      </c>
      <c r="M230" s="10">
        <v>3.7390479999999999</v>
      </c>
      <c r="N230" s="10">
        <v>190.89439999999999</v>
      </c>
      <c r="O230" s="10">
        <v>195.59899999999999</v>
      </c>
      <c r="P230" s="10">
        <v>6.861612</v>
      </c>
      <c r="Q230" s="10">
        <v>0.27660000000000001</v>
      </c>
      <c r="R230" s="10">
        <v>4.2253126390000002</v>
      </c>
      <c r="S230" s="10">
        <v>7.0852806270000004</v>
      </c>
      <c r="T230" s="10">
        <v>105.72</v>
      </c>
      <c r="U230" s="10">
        <v>107.21</v>
      </c>
      <c r="V230" s="10">
        <v>105.72</v>
      </c>
      <c r="W230" s="10">
        <v>107.21</v>
      </c>
      <c r="X230" s="4" t="s">
        <v>146</v>
      </c>
      <c r="Y230" s="4" t="s">
        <v>1695</v>
      </c>
      <c r="AA230" s="10">
        <f t="shared" si="12"/>
        <v>3.3428342246710381E-2</v>
      </c>
      <c r="AB230" s="10">
        <f t="shared" si="13"/>
        <v>1.3689273368702581E-2</v>
      </c>
      <c r="AC230" s="10">
        <f t="shared" si="14"/>
        <v>1.5417483674139361</v>
      </c>
      <c r="AD230" s="10">
        <f t="shared" si="15"/>
        <v>0.16376836935108463</v>
      </c>
    </row>
    <row r="231" spans="1:30" x14ac:dyDescent="0.25">
      <c r="A231" s="33" t="s">
        <v>1693</v>
      </c>
      <c r="C231" s="39">
        <v>40847</v>
      </c>
      <c r="D231" s="53" t="s">
        <v>1697</v>
      </c>
      <c r="E231" s="4" t="str">
        <f>VLOOKUP(LEFT(D231,2),Sort!$A$1:$B$58,2,FALSE)</f>
        <v>Hong Kong</v>
      </c>
      <c r="F231" s="4" t="s">
        <v>1014</v>
      </c>
      <c r="G231" s="18">
        <v>126970353</v>
      </c>
      <c r="H231" s="18">
        <v>136467205.90000001</v>
      </c>
      <c r="I231" s="10">
        <v>6.5780135000000003E-2</v>
      </c>
      <c r="J231" s="10">
        <v>1.9166669999999999</v>
      </c>
      <c r="K231" s="10">
        <v>1.823045</v>
      </c>
      <c r="L231" s="10">
        <v>1.628406</v>
      </c>
      <c r="M231" s="10">
        <v>1.628406</v>
      </c>
      <c r="N231" s="10">
        <v>139.3989</v>
      </c>
      <c r="O231" s="10">
        <v>139.91319999999999</v>
      </c>
      <c r="P231" s="10">
        <v>1.8214920000000001</v>
      </c>
      <c r="Q231" s="10">
        <v>4.3099999999999999E-2</v>
      </c>
      <c r="R231" s="10">
        <v>0.108924022</v>
      </c>
      <c r="S231" s="10">
        <v>4.6122279150000001</v>
      </c>
      <c r="T231" s="10">
        <v>106.99</v>
      </c>
      <c r="U231" s="10">
        <v>107.98</v>
      </c>
      <c r="V231" s="10">
        <v>106.99</v>
      </c>
      <c r="W231" s="10">
        <v>107.98</v>
      </c>
      <c r="X231" s="4" t="s">
        <v>146</v>
      </c>
      <c r="Y231" s="4" t="s">
        <v>1698</v>
      </c>
      <c r="AA231" s="10">
        <f t="shared" si="12"/>
        <v>1.5161683068953219E-2</v>
      </c>
      <c r="AB231" s="10">
        <f t="shared" si="13"/>
        <v>5.0183787751261817E-2</v>
      </c>
      <c r="AC231" s="10">
        <f t="shared" si="14"/>
        <v>0.66903254358739006</v>
      </c>
      <c r="AD231" s="10">
        <f t="shared" si="15"/>
        <v>0.10006443297903191</v>
      </c>
    </row>
    <row r="232" spans="1:30" x14ac:dyDescent="0.25">
      <c r="A232" s="33" t="s">
        <v>1696</v>
      </c>
      <c r="C232" s="39">
        <v>40847</v>
      </c>
      <c r="D232" s="53" t="s">
        <v>1700</v>
      </c>
      <c r="E232" s="4" t="str">
        <f>VLOOKUP(LEFT(D232,2),Sort!$A$1:$B$58,2,FALSE)</f>
        <v>Hong Kong</v>
      </c>
      <c r="F232" s="4" t="s">
        <v>1014</v>
      </c>
      <c r="G232" s="18">
        <v>126970353</v>
      </c>
      <c r="H232" s="18">
        <v>116892081.2</v>
      </c>
      <c r="I232" s="10">
        <v>5.6344502999999997E-2</v>
      </c>
      <c r="J232" s="10">
        <v>4.5250000000000004</v>
      </c>
      <c r="K232" s="10">
        <v>3.575895</v>
      </c>
      <c r="L232" s="10">
        <v>10.170242</v>
      </c>
      <c r="M232" s="10">
        <v>10.170242</v>
      </c>
      <c r="N232" s="10">
        <v>932.5942</v>
      </c>
      <c r="O232" s="10">
        <v>939.16359999999997</v>
      </c>
      <c r="P232" s="10">
        <v>3.551247</v>
      </c>
      <c r="Q232" s="10">
        <v>0.56899999999999995</v>
      </c>
      <c r="R232" s="10">
        <v>21.168083800000002</v>
      </c>
      <c r="S232" s="10">
        <v>-7.0271379999999999</v>
      </c>
      <c r="T232" s="10">
        <v>88.5</v>
      </c>
      <c r="U232" s="10">
        <v>90.5</v>
      </c>
      <c r="V232" s="10">
        <v>88.5</v>
      </c>
      <c r="W232" s="10">
        <v>90.5</v>
      </c>
      <c r="X232" s="4" t="s">
        <v>146</v>
      </c>
      <c r="Y232" s="4" t="s">
        <v>1701</v>
      </c>
      <c r="AA232" s="10">
        <f t="shared" si="12"/>
        <v>5.7062255239827579E-3</v>
      </c>
      <c r="AB232" s="10">
        <f t="shared" si="13"/>
        <v>7.5026060964681715E-2</v>
      </c>
      <c r="AC232" s="10">
        <f t="shared" si="14"/>
        <v>10.17713048213753</v>
      </c>
      <c r="AD232" s="10">
        <f t="shared" si="15"/>
        <v>0.22175886475888004</v>
      </c>
    </row>
    <row r="233" spans="1:30" x14ac:dyDescent="0.25">
      <c r="A233" s="33" t="s">
        <v>1699</v>
      </c>
      <c r="C233" s="39">
        <v>40847</v>
      </c>
      <c r="D233" s="53" t="s">
        <v>1703</v>
      </c>
      <c r="E233" s="4" t="str">
        <f>VLOOKUP(LEFT(D233,2),Sort!$A$1:$B$58,2,FALSE)</f>
        <v>Hong Kong</v>
      </c>
      <c r="F233" s="4" t="s">
        <v>1037</v>
      </c>
      <c r="G233" s="18">
        <v>317425883</v>
      </c>
      <c r="H233" s="18">
        <v>324314907.10000002</v>
      </c>
      <c r="I233" s="10">
        <v>0.156326776</v>
      </c>
      <c r="J233" s="10">
        <v>9.1138890000000004</v>
      </c>
      <c r="K233" s="10">
        <v>7.6225209999999999</v>
      </c>
      <c r="L233" s="10">
        <v>3.9209839999999998</v>
      </c>
      <c r="M233" s="10">
        <v>3.9209839999999998</v>
      </c>
      <c r="N233" s="10">
        <v>195.29820000000001</v>
      </c>
      <c r="O233" s="10">
        <v>199.929</v>
      </c>
      <c r="P233" s="10">
        <v>7.378933</v>
      </c>
      <c r="Q233" s="10">
        <v>-6.6699999999999995E-2</v>
      </c>
      <c r="R233" s="10">
        <v>3.423862513</v>
      </c>
      <c r="S233" s="10">
        <v>8.1894073850000009</v>
      </c>
      <c r="T233" s="10">
        <v>101.58</v>
      </c>
      <c r="U233" s="10">
        <v>103.13</v>
      </c>
      <c r="V233" s="10">
        <v>101.58</v>
      </c>
      <c r="W233" s="10">
        <v>103.13</v>
      </c>
      <c r="X233" s="4" t="s">
        <v>146</v>
      </c>
      <c r="Y233" s="4" t="s">
        <v>1704</v>
      </c>
      <c r="AA233" s="10">
        <f t="shared" si="12"/>
        <v>5.2025703525763037E-2</v>
      </c>
      <c r="AB233" s="10">
        <f t="shared" si="13"/>
        <v>2.0696395956392201E-2</v>
      </c>
      <c r="AC233" s="10">
        <f t="shared" si="14"/>
        <v>2.2719719199282764</v>
      </c>
      <c r="AD233" s="10">
        <f t="shared" si="15"/>
        <v>0.22712243995857442</v>
      </c>
    </row>
    <row r="234" spans="1:30" x14ac:dyDescent="0.25">
      <c r="A234" s="33" t="s">
        <v>1702</v>
      </c>
      <c r="C234" s="39">
        <v>40847</v>
      </c>
      <c r="D234" s="53" t="s">
        <v>1706</v>
      </c>
      <c r="E234" s="4" t="str">
        <f>VLOOKUP(LEFT(D234,2),Sort!$A$1:$B$58,2,FALSE)</f>
        <v>Hong Kong</v>
      </c>
      <c r="F234" s="4" t="s">
        <v>1014</v>
      </c>
      <c r="G234" s="18">
        <v>926600011</v>
      </c>
      <c r="H234" s="18">
        <v>986718338.60000002</v>
      </c>
      <c r="I234" s="10">
        <v>0.47561950800000002</v>
      </c>
      <c r="J234" s="10">
        <v>3.855556</v>
      </c>
      <c r="K234" s="10">
        <v>3.5306220000000001</v>
      </c>
      <c r="L234" s="10">
        <v>2.81134</v>
      </c>
      <c r="M234" s="10">
        <v>2.81134</v>
      </c>
      <c r="N234" s="10">
        <v>216.2518</v>
      </c>
      <c r="O234" s="10">
        <v>219.80869999999999</v>
      </c>
      <c r="P234" s="10">
        <v>3.513957</v>
      </c>
      <c r="Q234" s="10">
        <v>1.21E-2</v>
      </c>
      <c r="R234" s="10">
        <v>2.2268980229999999</v>
      </c>
      <c r="S234" s="10">
        <v>4.4459199839999997</v>
      </c>
      <c r="T234" s="10">
        <v>105.82</v>
      </c>
      <c r="U234" s="10">
        <v>106.58</v>
      </c>
      <c r="V234" s="10">
        <v>105.82</v>
      </c>
      <c r="W234" s="10">
        <v>106.58</v>
      </c>
      <c r="X234" s="4" t="s">
        <v>146</v>
      </c>
      <c r="Y234" s="4" t="s">
        <v>1707</v>
      </c>
      <c r="AA234" s="10">
        <f t="shared" si="12"/>
        <v>4.7557991601016106E-2</v>
      </c>
      <c r="AB234" s="10">
        <f t="shared" si="13"/>
        <v>4.5148082988805766E-2</v>
      </c>
      <c r="AC234" s="10">
        <f t="shared" si="14"/>
        <v>2.1496447302553872</v>
      </c>
      <c r="AD234" s="10">
        <f t="shared" si="15"/>
        <v>0.71412959530835218</v>
      </c>
    </row>
    <row r="235" spans="1:30" x14ac:dyDescent="0.25">
      <c r="A235" s="33" t="s">
        <v>1705</v>
      </c>
      <c r="C235" s="39">
        <v>40847</v>
      </c>
      <c r="D235" s="53" t="s">
        <v>1709</v>
      </c>
      <c r="E235" s="4" t="str">
        <f>VLOOKUP(LEFT(D235,2),Sort!$A$1:$B$58,2,FALSE)</f>
        <v>Hong Kong</v>
      </c>
      <c r="F235" s="4" t="s">
        <v>1014</v>
      </c>
      <c r="G235" s="18">
        <v>423234510</v>
      </c>
      <c r="H235" s="18">
        <v>474850311.69999999</v>
      </c>
      <c r="I235" s="10">
        <v>0.22888808599999999</v>
      </c>
      <c r="J235" s="10">
        <v>7.855556</v>
      </c>
      <c r="K235" s="10">
        <v>6.4941310000000003</v>
      </c>
      <c r="L235" s="10">
        <v>3.8341259999999999</v>
      </c>
      <c r="M235" s="10">
        <v>3.8341259999999999</v>
      </c>
      <c r="N235" s="10">
        <v>210.18520000000001</v>
      </c>
      <c r="O235" s="10">
        <v>217.34</v>
      </c>
      <c r="P235" s="10">
        <v>6.3274359999999996</v>
      </c>
      <c r="Q235" s="10">
        <v>0.70279999999999998</v>
      </c>
      <c r="R235" s="10">
        <v>4.1457819840000001</v>
      </c>
      <c r="S235" s="10">
        <v>8.6761874629999998</v>
      </c>
      <c r="T235" s="10">
        <v>111.36499999999999</v>
      </c>
      <c r="U235" s="10">
        <v>112.884</v>
      </c>
      <c r="V235" s="10">
        <v>111.36499999999999</v>
      </c>
      <c r="W235" s="10">
        <v>112.884</v>
      </c>
      <c r="X235" s="4" t="s">
        <v>146</v>
      </c>
      <c r="Y235" s="4" t="s">
        <v>1710</v>
      </c>
      <c r="AA235" s="10">
        <f t="shared" si="12"/>
        <v>6.4897832650607126E-2</v>
      </c>
      <c r="AB235" s="10">
        <f t="shared" si="13"/>
        <v>2.9631651095002799E-2</v>
      </c>
      <c r="AC235" s="10">
        <f t="shared" si="14"/>
        <v>1.022880743985557</v>
      </c>
      <c r="AD235" s="10">
        <f t="shared" si="15"/>
        <v>0.36399652156019746</v>
      </c>
    </row>
    <row r="236" spans="1:30" x14ac:dyDescent="0.25">
      <c r="A236" s="33" t="s">
        <v>1708</v>
      </c>
      <c r="C236" s="39">
        <v>40847</v>
      </c>
      <c r="D236" s="53" t="s">
        <v>1712</v>
      </c>
      <c r="E236" s="4" t="str">
        <f>VLOOKUP(LEFT(D236,2),Sort!$A$1:$B$58,2,FALSE)</f>
        <v>Hong Kong</v>
      </c>
      <c r="F236" s="4" t="s">
        <v>1014</v>
      </c>
      <c r="G236" s="18">
        <v>1343082661</v>
      </c>
      <c r="H236" s="18">
        <v>1429905487</v>
      </c>
      <c r="I236" s="10">
        <v>0.68924526699999999</v>
      </c>
      <c r="J236" s="10">
        <v>1.2777780000000001</v>
      </c>
      <c r="K236" s="10">
        <v>1.2345729999999999</v>
      </c>
      <c r="L236" s="10">
        <v>2.1803300000000001</v>
      </c>
      <c r="M236" s="10">
        <v>2.1803300000000001</v>
      </c>
      <c r="N236" s="10">
        <v>204.23859999999999</v>
      </c>
      <c r="O236" s="10">
        <v>204.41050000000001</v>
      </c>
      <c r="P236" s="10">
        <v>1.219282</v>
      </c>
      <c r="Q236" s="10">
        <v>3.5799999999999998E-2</v>
      </c>
      <c r="R236" s="10">
        <v>-9.8007658999999997E-2</v>
      </c>
      <c r="S236" s="10">
        <v>1.166512743</v>
      </c>
      <c r="T236" s="10">
        <v>105.02</v>
      </c>
      <c r="U236" s="10">
        <v>105.41</v>
      </c>
      <c r="V236" s="10">
        <v>105.02</v>
      </c>
      <c r="W236" s="10">
        <v>105.41</v>
      </c>
      <c r="X236" s="4" t="s">
        <v>146</v>
      </c>
      <c r="Y236" s="4" t="s">
        <v>1713</v>
      </c>
      <c r="AA236" s="10">
        <f t="shared" si="12"/>
        <v>0.10758354062739703</v>
      </c>
      <c r="AB236" s="10">
        <f t="shared" si="13"/>
        <v>5.0741383705574766E-2</v>
      </c>
      <c r="AC236" s="10">
        <f t="shared" si="14"/>
        <v>2.8969376363362418</v>
      </c>
      <c r="AD236" s="10">
        <f t="shared" si="15"/>
        <v>1.0235221884737569</v>
      </c>
    </row>
    <row r="237" spans="1:30" x14ac:dyDescent="0.25">
      <c r="A237" s="33" t="s">
        <v>1711</v>
      </c>
      <c r="C237" s="39">
        <v>40847</v>
      </c>
      <c r="D237" s="53" t="s">
        <v>1715</v>
      </c>
      <c r="E237" s="4" t="str">
        <f>VLOOKUP(LEFT(D237,2),Sort!$A$1:$B$58,2,FALSE)</f>
        <v>Hong Kong</v>
      </c>
      <c r="F237" s="4" t="s">
        <v>1014</v>
      </c>
      <c r="G237" s="18">
        <v>572848333</v>
      </c>
      <c r="H237" s="18">
        <v>628464745.5</v>
      </c>
      <c r="I237" s="10">
        <v>0.30293355399999999</v>
      </c>
      <c r="J237" s="10">
        <v>2.2250000000000001</v>
      </c>
      <c r="K237" s="10">
        <v>2.0666699999999998</v>
      </c>
      <c r="L237" s="10">
        <v>2.0262669999999998</v>
      </c>
      <c r="M237" s="10">
        <v>2.0262669999999998</v>
      </c>
      <c r="N237" s="10">
        <v>174.5067</v>
      </c>
      <c r="O237" s="10">
        <v>175.60230000000001</v>
      </c>
      <c r="P237" s="10">
        <v>2.0650149999999998</v>
      </c>
      <c r="Q237" s="10">
        <v>4.3200000000000002E-2</v>
      </c>
      <c r="R237" s="10">
        <v>0.133356963</v>
      </c>
      <c r="S237" s="10">
        <v>3.1563570140000001</v>
      </c>
      <c r="T237" s="10">
        <v>107.99</v>
      </c>
      <c r="U237" s="10">
        <v>109.14</v>
      </c>
      <c r="V237" s="10">
        <v>107.99</v>
      </c>
      <c r="W237" s="10">
        <v>109.14</v>
      </c>
      <c r="X237" s="4" t="s">
        <v>146</v>
      </c>
      <c r="Y237" s="4" t="s">
        <v>1716</v>
      </c>
      <c r="AA237" s="10">
        <f t="shared" si="12"/>
        <v>1.7730914623780111E-2</v>
      </c>
      <c r="AB237" s="10">
        <f t="shared" si="13"/>
        <v>2.0725753803206227E-2</v>
      </c>
      <c r="AC237" s="10">
        <f t="shared" si="14"/>
        <v>3.8669750913061596</v>
      </c>
      <c r="AD237" s="10">
        <f t="shared" si="15"/>
        <v>0.46577158019158765</v>
      </c>
    </row>
    <row r="238" spans="1:30" x14ac:dyDescent="0.25">
      <c r="A238" s="33" t="s">
        <v>1714</v>
      </c>
      <c r="C238" s="39">
        <v>40847</v>
      </c>
      <c r="D238" s="53" t="s">
        <v>1718</v>
      </c>
      <c r="E238" s="4" t="str">
        <f>VLOOKUP(LEFT(D238,2),Sort!$A$1:$B$58,2,FALSE)</f>
        <v>Hong Kong</v>
      </c>
      <c r="F238" s="4" t="s">
        <v>1014</v>
      </c>
      <c r="G238" s="18">
        <v>423234510</v>
      </c>
      <c r="H238" s="18">
        <v>389907729.60000002</v>
      </c>
      <c r="I238" s="10">
        <v>0.18794393000000001</v>
      </c>
      <c r="J238" s="10">
        <v>37.905555999999997</v>
      </c>
      <c r="K238" s="10">
        <v>13.041392999999999</v>
      </c>
      <c r="L238" s="10">
        <v>7.1223640000000001</v>
      </c>
      <c r="M238" s="10">
        <v>7.1223640000000001</v>
      </c>
      <c r="N238" s="10">
        <v>357.07619999999997</v>
      </c>
      <c r="O238" s="10">
        <v>430.45310000000001</v>
      </c>
      <c r="P238" s="10">
        <v>12.125636999999999</v>
      </c>
      <c r="Q238" s="10">
        <v>-0.78790000000000004</v>
      </c>
      <c r="R238" s="10">
        <v>6.9855374509999999</v>
      </c>
      <c r="S238" s="10">
        <v>5.362230652</v>
      </c>
      <c r="T238" s="10">
        <v>91.5</v>
      </c>
      <c r="U238" s="10">
        <v>93.5</v>
      </c>
      <c r="V238" s="10">
        <v>91.5</v>
      </c>
      <c r="W238" s="10">
        <v>93.5</v>
      </c>
      <c r="X238" s="4" t="s">
        <v>146</v>
      </c>
      <c r="Y238" s="4" t="s">
        <v>1719</v>
      </c>
      <c r="AA238" s="10">
        <f t="shared" si="12"/>
        <v>0.26118263612588327</v>
      </c>
      <c r="AB238" s="10">
        <f t="shared" si="13"/>
        <v>7.485152037339908E-2</v>
      </c>
      <c r="AC238" s="10">
        <f t="shared" si="14"/>
        <v>4.7505670611768309</v>
      </c>
      <c r="AD238" s="10">
        <f t="shared" si="15"/>
        <v>0.76422418078545262</v>
      </c>
    </row>
    <row r="239" spans="1:30" x14ac:dyDescent="0.25">
      <c r="A239" s="33" t="s">
        <v>1717</v>
      </c>
      <c r="C239" s="39">
        <v>40847</v>
      </c>
      <c r="D239" s="53" t="s">
        <v>1721</v>
      </c>
      <c r="E239" s="4" t="str">
        <f>VLOOKUP(LEFT(D239,2),Sort!$A$1:$B$58,2,FALSE)</f>
        <v>Hong Kong</v>
      </c>
      <c r="F239" s="4" t="s">
        <v>1014</v>
      </c>
      <c r="G239" s="18">
        <v>846469021</v>
      </c>
      <c r="H239" s="18">
        <v>850348667.89999998</v>
      </c>
      <c r="I239" s="10">
        <v>0.40988638700000002</v>
      </c>
      <c r="J239" s="10">
        <v>37.986111000000001</v>
      </c>
      <c r="K239" s="10">
        <v>15.122114</v>
      </c>
      <c r="L239" s="10">
        <v>5.9086889999999999</v>
      </c>
      <c r="M239" s="10">
        <v>5.9086889999999999</v>
      </c>
      <c r="N239" s="10">
        <v>235.29949999999999</v>
      </c>
      <c r="O239" s="10">
        <v>298.44779999999997</v>
      </c>
      <c r="P239" s="10">
        <v>13.991631</v>
      </c>
      <c r="Q239" s="10">
        <v>-0.60189999999999999</v>
      </c>
      <c r="R239" s="10">
        <v>5.1825486039999999</v>
      </c>
      <c r="S239" s="10">
        <v>7.4659007700000002</v>
      </c>
      <c r="T239" s="10">
        <v>100.375</v>
      </c>
      <c r="U239" s="10">
        <v>101.375</v>
      </c>
      <c r="V239" s="10">
        <v>100.375</v>
      </c>
      <c r="W239" s="10">
        <v>101.375</v>
      </c>
      <c r="X239" s="4" t="s">
        <v>146</v>
      </c>
      <c r="Y239" s="4" t="s">
        <v>1722</v>
      </c>
      <c r="AA239" s="10">
        <f t="shared" si="12"/>
        <v>0.66049269247132181</v>
      </c>
      <c r="AB239" s="10">
        <f t="shared" si="13"/>
        <v>6.9734106746346849E-2</v>
      </c>
      <c r="AC239" s="10">
        <f t="shared" si="14"/>
        <v>2.5153245544301619</v>
      </c>
      <c r="AD239" s="10">
        <f t="shared" si="15"/>
        <v>0.58537749100482894</v>
      </c>
    </row>
    <row r="240" spans="1:30" x14ac:dyDescent="0.25">
      <c r="A240" s="33" t="s">
        <v>1720</v>
      </c>
      <c r="C240" s="39">
        <v>40847</v>
      </c>
      <c r="D240" s="53" t="s">
        <v>1724</v>
      </c>
      <c r="E240" s="4" t="str">
        <f>VLOOKUP(LEFT(D240,2),Sort!$A$1:$B$58,2,FALSE)</f>
        <v>Hong Kong</v>
      </c>
      <c r="F240" s="4" t="s">
        <v>1014</v>
      </c>
      <c r="G240" s="18">
        <v>139183631</v>
      </c>
      <c r="H240" s="18">
        <v>178999428.80000001</v>
      </c>
      <c r="I240" s="10">
        <v>8.6281582999999995E-2</v>
      </c>
      <c r="J240" s="10">
        <v>15.747222000000001</v>
      </c>
      <c r="K240" s="10">
        <v>10.302531</v>
      </c>
      <c r="L240" s="10">
        <v>4.5215550000000002</v>
      </c>
      <c r="M240" s="10">
        <v>4.5215550000000002</v>
      </c>
      <c r="N240" s="10">
        <v>209.55959999999999</v>
      </c>
      <c r="O240" s="10">
        <v>207.1379</v>
      </c>
      <c r="P240" s="10">
        <v>9.7711129999999997</v>
      </c>
      <c r="Q240" s="10">
        <v>1.6044</v>
      </c>
      <c r="R240" s="10">
        <v>-2.6395475099999999</v>
      </c>
      <c r="S240" s="10">
        <v>10.41665575</v>
      </c>
      <c r="T240" s="10">
        <v>126.69</v>
      </c>
      <c r="U240" s="10">
        <v>133.28</v>
      </c>
      <c r="V240" s="10">
        <v>126.69</v>
      </c>
      <c r="W240" s="10">
        <v>133.28</v>
      </c>
      <c r="X240" s="4" t="s">
        <v>146</v>
      </c>
      <c r="Y240" s="4" t="s">
        <v>1725</v>
      </c>
      <c r="AA240" s="10">
        <f t="shared" si="12"/>
        <v>9.4722695619331054E-2</v>
      </c>
      <c r="AB240" s="10">
        <f t="shared" si="13"/>
        <v>1.1233020146501418E-2</v>
      </c>
      <c r="AC240" s="10">
        <f t="shared" si="14"/>
        <v>0.36748517784078677</v>
      </c>
      <c r="AD240" s="10">
        <f t="shared" si="15"/>
        <v>2.7775898508345076</v>
      </c>
    </row>
    <row r="241" spans="1:30" x14ac:dyDescent="0.25">
      <c r="A241" s="33" t="s">
        <v>1723</v>
      </c>
      <c r="C241" s="39">
        <v>40847</v>
      </c>
      <c r="D241" s="53" t="s">
        <v>1727</v>
      </c>
      <c r="E241" s="4" t="str">
        <f>VLOOKUP(LEFT(D241,2),Sort!$A$1:$B$58,2,FALSE)</f>
        <v>Hong Kong</v>
      </c>
      <c r="F241" s="4" t="s">
        <v>1014</v>
      </c>
      <c r="G241" s="18">
        <v>634851766</v>
      </c>
      <c r="H241" s="18">
        <v>783397258.10000002</v>
      </c>
      <c r="I241" s="10">
        <v>0.37761436500000001</v>
      </c>
      <c r="J241" s="10">
        <v>7.4333330000000002</v>
      </c>
      <c r="K241" s="10">
        <v>5.9698330000000004</v>
      </c>
      <c r="L241" s="10">
        <v>3.83</v>
      </c>
      <c r="M241" s="10">
        <v>3.83</v>
      </c>
      <c r="N241" s="10">
        <v>217.68219999999999</v>
      </c>
      <c r="O241" s="10">
        <v>229.0147</v>
      </c>
      <c r="P241" s="10">
        <v>5.8336439999999996</v>
      </c>
      <c r="Q241" s="10">
        <v>0.70950000000000002</v>
      </c>
      <c r="R241" s="10">
        <v>4.0387693499999999</v>
      </c>
      <c r="S241" s="10">
        <v>8.5515954609999998</v>
      </c>
      <c r="T241" s="10">
        <v>122.89012</v>
      </c>
      <c r="U241" s="10">
        <v>124.34428</v>
      </c>
      <c r="V241" s="10">
        <v>122.89012</v>
      </c>
      <c r="W241" s="10">
        <v>124.34428</v>
      </c>
      <c r="X241" s="4" t="s">
        <v>146</v>
      </c>
      <c r="Y241" s="4" t="s">
        <v>1728</v>
      </c>
      <c r="AA241" s="10">
        <f t="shared" si="12"/>
        <v>0.10185122104685415</v>
      </c>
      <c r="AB241" s="10">
        <f t="shared" si="13"/>
        <v>4.8833017840846635E-2</v>
      </c>
      <c r="AC241" s="10">
        <f t="shared" si="14"/>
        <v>1.7781730334336212</v>
      </c>
      <c r="AD241" s="10">
        <f t="shared" si="15"/>
        <v>11.341208809454924</v>
      </c>
    </row>
    <row r="242" spans="1:30" x14ac:dyDescent="0.25">
      <c r="A242" s="33" t="s">
        <v>1726</v>
      </c>
      <c r="C242" s="39">
        <v>40847</v>
      </c>
      <c r="D242" s="53" t="s">
        <v>1730</v>
      </c>
      <c r="E242" s="4" t="str">
        <f>VLOOKUP(LEFT(D242,2),Sort!$A$1:$B$58,2,FALSE)</f>
        <v>Hong Kong</v>
      </c>
      <c r="F242" s="4" t="s">
        <v>1014</v>
      </c>
      <c r="G242" s="18">
        <v>211617255</v>
      </c>
      <c r="H242" s="18">
        <v>251430690.5</v>
      </c>
      <c r="I242" s="10">
        <v>0.121195012</v>
      </c>
      <c r="J242" s="10">
        <v>5.7444439999999997</v>
      </c>
      <c r="K242" s="10">
        <v>4.7659099999999999</v>
      </c>
      <c r="L242" s="10">
        <v>3.7120060000000001</v>
      </c>
      <c r="M242" s="10">
        <v>3.7120060000000001</v>
      </c>
      <c r="N242" s="10">
        <v>250.97669999999999</v>
      </c>
      <c r="O242" s="10">
        <v>258.14109999999999</v>
      </c>
      <c r="P242" s="10">
        <v>4.6975759999999998</v>
      </c>
      <c r="Q242" s="10">
        <v>0.49109999999999998</v>
      </c>
      <c r="R242" s="10">
        <v>1.5291205400000001</v>
      </c>
      <c r="S242" s="10">
        <v>4.8073289990000001</v>
      </c>
      <c r="T242" s="10">
        <v>116.91</v>
      </c>
      <c r="U242" s="10">
        <v>119.17</v>
      </c>
      <c r="V242" s="10">
        <v>116.91</v>
      </c>
      <c r="W242" s="10">
        <v>119.17</v>
      </c>
      <c r="X242" s="4" t="s">
        <v>146</v>
      </c>
      <c r="Y242" s="4" t="s">
        <v>1731</v>
      </c>
      <c r="AA242" s="10">
        <f t="shared" si="12"/>
        <v>2.6096732581511153E-2</v>
      </c>
      <c r="AB242" s="10">
        <f t="shared" si="13"/>
        <v>1.5190067390791515E-2</v>
      </c>
      <c r="AC242" s="10">
        <f t="shared" si="14"/>
        <v>0.64328593692209302</v>
      </c>
      <c r="AD242" s="10">
        <f t="shared" si="15"/>
        <v>0.20346670093459571</v>
      </c>
    </row>
    <row r="243" spans="1:30" x14ac:dyDescent="0.25">
      <c r="A243" s="33" t="s">
        <v>1729</v>
      </c>
      <c r="C243" s="39">
        <v>40847</v>
      </c>
      <c r="D243" s="53" t="s">
        <v>1733</v>
      </c>
      <c r="E243" s="4" t="str">
        <f>VLOOKUP(LEFT(D243,2),Sort!$A$1:$B$58,2,FALSE)</f>
        <v>Hong Kong</v>
      </c>
      <c r="F243" s="4" t="s">
        <v>1014</v>
      </c>
      <c r="G243" s="18">
        <v>484344072</v>
      </c>
      <c r="H243" s="18">
        <v>644131201.10000002</v>
      </c>
      <c r="I243" s="10">
        <v>0.31048512299999997</v>
      </c>
      <c r="J243" s="10">
        <v>22.058333000000001</v>
      </c>
      <c r="K243" s="10">
        <v>12.368080000000001</v>
      </c>
      <c r="L243" s="10">
        <v>4.8714209999999998</v>
      </c>
      <c r="M243" s="10">
        <v>4.8714209999999998</v>
      </c>
      <c r="N243" s="10">
        <v>212.48580000000001</v>
      </c>
      <c r="O243" s="10">
        <v>215.42089999999999</v>
      </c>
      <c r="P243" s="10">
        <v>11.575378000000001</v>
      </c>
      <c r="Q243" s="10">
        <v>1.9241999999999999</v>
      </c>
      <c r="R243" s="10">
        <v>4.5349806770000001</v>
      </c>
      <c r="S243" s="10">
        <v>11.675801379999999</v>
      </c>
      <c r="T243" s="10">
        <v>129.69999999999999</v>
      </c>
      <c r="U243" s="10">
        <v>134.62</v>
      </c>
      <c r="V243" s="10">
        <v>129.69999999999999</v>
      </c>
      <c r="W243" s="10">
        <v>134.62</v>
      </c>
      <c r="X243" s="4" t="s">
        <v>146</v>
      </c>
      <c r="Y243" s="4" t="s">
        <v>1734</v>
      </c>
      <c r="AA243" s="10">
        <f t="shared" si="12"/>
        <v>0.40919950134650196</v>
      </c>
      <c r="AB243" s="10">
        <f t="shared" si="13"/>
        <v>4.3549891282682614E-2</v>
      </c>
      <c r="AC243" s="10">
        <f t="shared" si="14"/>
        <v>1.3752789169085917</v>
      </c>
      <c r="AD243" s="10">
        <f t="shared" si="15"/>
        <v>10.09567613465603</v>
      </c>
    </row>
    <row r="244" spans="1:30" x14ac:dyDescent="0.25">
      <c r="A244" s="33" t="s">
        <v>1732</v>
      </c>
      <c r="C244" s="39">
        <v>40847</v>
      </c>
      <c r="D244" s="53" t="s">
        <v>1736</v>
      </c>
      <c r="E244" s="4" t="str">
        <f>VLOOKUP(LEFT(D244,2),Sort!$A$1:$B$58,2,FALSE)</f>
        <v>Hong Kong</v>
      </c>
      <c r="F244" s="4" t="s">
        <v>1014</v>
      </c>
      <c r="G244" s="18">
        <v>126970353</v>
      </c>
      <c r="H244" s="18">
        <v>129205824.8</v>
      </c>
      <c r="I244" s="10">
        <v>6.2279992999999999E-2</v>
      </c>
      <c r="J244" s="10">
        <v>9.4250000000000007</v>
      </c>
      <c r="K244" s="10">
        <v>7.360735</v>
      </c>
      <c r="L244" s="10">
        <v>5.3890000000000002</v>
      </c>
      <c r="M244" s="10">
        <v>5.3890000000000002</v>
      </c>
      <c r="N244" s="10">
        <v>336.27170000000001</v>
      </c>
      <c r="O244" s="10">
        <v>347.28339999999997</v>
      </c>
      <c r="P244" s="10">
        <v>7.1252599999999999</v>
      </c>
      <c r="Q244" s="10">
        <v>0.29199999999999998</v>
      </c>
      <c r="R244" s="10">
        <v>8.7741570939999995</v>
      </c>
      <c r="S244" s="10">
        <v>7.2479110000000002</v>
      </c>
      <c r="T244" s="10">
        <v>101.32</v>
      </c>
      <c r="U244" s="10">
        <v>103.55</v>
      </c>
      <c r="V244" s="10">
        <v>101.32</v>
      </c>
      <c r="W244" s="10">
        <v>103.55</v>
      </c>
      <c r="X244" s="4" t="s">
        <v>146</v>
      </c>
      <c r="Y244" s="4" t="s">
        <v>1737</v>
      </c>
      <c r="AA244" s="10">
        <f t="shared" si="12"/>
        <v>2.0015004688552107E-2</v>
      </c>
      <c r="AB244" s="10">
        <f t="shared" si="13"/>
        <v>9.6637870449655383E-3</v>
      </c>
      <c r="AC244" s="10">
        <f t="shared" si="14"/>
        <v>0.4447282630693084</v>
      </c>
      <c r="AD244" s="10">
        <f t="shared" si="15"/>
        <v>9.0853217462153954E-2</v>
      </c>
    </row>
    <row r="245" spans="1:30" x14ac:dyDescent="0.25">
      <c r="A245" s="33" t="s">
        <v>1735</v>
      </c>
      <c r="C245" s="39">
        <v>40847</v>
      </c>
      <c r="D245" s="53" t="s">
        <v>1739</v>
      </c>
      <c r="E245" s="4" t="str">
        <f>VLOOKUP(LEFT(D245,2),Sort!$A$1:$B$58,2,FALSE)</f>
        <v>Hong Kong</v>
      </c>
      <c r="F245" s="4" t="s">
        <v>1014</v>
      </c>
      <c r="G245" s="18">
        <v>177758494</v>
      </c>
      <c r="H245" s="18">
        <v>193657510.59999999</v>
      </c>
      <c r="I245" s="10">
        <v>9.3347094000000005E-2</v>
      </c>
      <c r="J245" s="10">
        <v>4.8111110000000004</v>
      </c>
      <c r="K245" s="10">
        <v>4.1475169999999997</v>
      </c>
      <c r="L245" s="10">
        <v>4.2611999999999997</v>
      </c>
      <c r="M245" s="10">
        <v>4.2611999999999997</v>
      </c>
      <c r="N245" s="10">
        <v>333.3356</v>
      </c>
      <c r="O245" s="10">
        <v>338.69720000000001</v>
      </c>
      <c r="P245" s="10">
        <v>4.1109720000000003</v>
      </c>
      <c r="Q245" s="10">
        <v>-0.18529999999999999</v>
      </c>
      <c r="R245" s="10">
        <v>3.7579961759999998</v>
      </c>
      <c r="S245" s="10">
        <v>3.7264493320000001</v>
      </c>
      <c r="T245" s="10">
        <v>107.74</v>
      </c>
      <c r="U245" s="10">
        <v>109.1</v>
      </c>
      <c r="V245" s="10">
        <v>107.74</v>
      </c>
      <c r="W245" s="10">
        <v>109.1</v>
      </c>
      <c r="X245" s="4" t="s">
        <v>146</v>
      </c>
      <c r="Y245" s="4" t="s">
        <v>1740</v>
      </c>
      <c r="AA245" s="10">
        <f t="shared" si="12"/>
        <v>1.7492203856997589E-2</v>
      </c>
      <c r="AB245" s="10">
        <f t="shared" si="13"/>
        <v>1.1453107522614789E-2</v>
      </c>
      <c r="AC245" s="10">
        <f t="shared" si="14"/>
        <v>0.65009161435606488</v>
      </c>
      <c r="AD245" s="10">
        <f t="shared" si="15"/>
        <v>0.14347201948296129</v>
      </c>
    </row>
    <row r="246" spans="1:30" x14ac:dyDescent="0.25">
      <c r="A246" s="33" t="s">
        <v>1738</v>
      </c>
      <c r="C246" s="39">
        <v>40847</v>
      </c>
      <c r="D246" s="53" t="s">
        <v>1742</v>
      </c>
      <c r="E246" s="4" t="str">
        <f>VLOOKUP(LEFT(D246,2),Sort!$A$1:$B$58,2,FALSE)</f>
        <v>Hong Kong</v>
      </c>
      <c r="F246" s="4" t="s">
        <v>1014</v>
      </c>
      <c r="G246" s="18">
        <v>211617255</v>
      </c>
      <c r="H246" s="18">
        <v>236272428</v>
      </c>
      <c r="I246" s="10">
        <v>0.113888403</v>
      </c>
      <c r="J246" s="10">
        <v>5.536111</v>
      </c>
      <c r="K246" s="10">
        <v>4.753673</v>
      </c>
      <c r="L246" s="10">
        <v>3.36137</v>
      </c>
      <c r="M246" s="10">
        <v>3.36137</v>
      </c>
      <c r="N246" s="10">
        <v>222.04849999999999</v>
      </c>
      <c r="O246" s="10">
        <v>226.96119999999999</v>
      </c>
      <c r="P246" s="10">
        <v>4.6923820000000003</v>
      </c>
      <c r="Q246" s="10">
        <v>2.2599999999999999E-2</v>
      </c>
      <c r="R246" s="10">
        <v>5.6568619959999999</v>
      </c>
      <c r="S246" s="10">
        <v>6.7399563770000004</v>
      </c>
      <c r="T246" s="10">
        <v>109.13</v>
      </c>
      <c r="U246" s="10">
        <v>110.72</v>
      </c>
      <c r="V246" s="10">
        <v>109.13</v>
      </c>
      <c r="W246" s="10">
        <v>110.72</v>
      </c>
      <c r="X246" s="4" t="s">
        <v>146</v>
      </c>
      <c r="Y246" s="4" t="s">
        <v>1743</v>
      </c>
      <c r="AA246" s="10">
        <f t="shared" si="12"/>
        <v>2.4460445263429078E-2</v>
      </c>
      <c r="AB246" s="10">
        <f t="shared" si="13"/>
        <v>1.2925939145586717E-2</v>
      </c>
      <c r="AC246" s="10">
        <f t="shared" si="14"/>
        <v>0.53148777075196696</v>
      </c>
      <c r="AD246" s="10">
        <f t="shared" si="15"/>
        <v>0.17764264760184645</v>
      </c>
    </row>
    <row r="247" spans="1:30" x14ac:dyDescent="0.25">
      <c r="A247" s="33" t="s">
        <v>1741</v>
      </c>
      <c r="C247" s="39">
        <v>40847</v>
      </c>
      <c r="D247" s="53" t="s">
        <v>1745</v>
      </c>
      <c r="E247" s="4" t="str">
        <f>VLOOKUP(LEFT(D247,2),Sort!$A$1:$B$58,2,FALSE)</f>
        <v>Hong Kong</v>
      </c>
      <c r="F247" s="4" t="s">
        <v>1014</v>
      </c>
      <c r="G247" s="18">
        <v>317425883</v>
      </c>
      <c r="H247" s="18">
        <v>337504393.80000001</v>
      </c>
      <c r="I247" s="10">
        <v>0.16268439300000001</v>
      </c>
      <c r="J247" s="10">
        <v>8.5277779999999996</v>
      </c>
      <c r="K247" s="10">
        <v>6.8763699999999996</v>
      </c>
      <c r="L247" s="10">
        <v>4.489134</v>
      </c>
      <c r="M247" s="10">
        <v>4.489134</v>
      </c>
      <c r="N247" s="10">
        <v>263.09300000000002</v>
      </c>
      <c r="O247" s="10">
        <v>269.512</v>
      </c>
      <c r="P247" s="10">
        <v>6.6793180000000003</v>
      </c>
      <c r="Q247" s="10">
        <v>-6.1499999999999999E-2</v>
      </c>
      <c r="R247" s="10">
        <v>7.7181222869999999</v>
      </c>
      <c r="S247" s="10">
        <v>6.4851189979999999</v>
      </c>
      <c r="T247" s="10">
        <v>103.89</v>
      </c>
      <c r="U247" s="10">
        <v>105.34</v>
      </c>
      <c r="V247" s="10">
        <v>103.89</v>
      </c>
      <c r="W247" s="10">
        <v>105.34</v>
      </c>
      <c r="X247" s="4" t="s">
        <v>146</v>
      </c>
      <c r="Y247" s="4" t="s">
        <v>1746</v>
      </c>
      <c r="AA247" s="10">
        <f t="shared" si="12"/>
        <v>4.8841735656329495E-2</v>
      </c>
      <c r="AB247" s="10">
        <f t="shared" si="13"/>
        <v>2.1028053583671085E-2</v>
      </c>
      <c r="AC247" s="10">
        <f t="shared" si="14"/>
        <v>0.90154238784192808</v>
      </c>
      <c r="AD247" s="10">
        <f t="shared" si="15"/>
        <v>0.24142423339238456</v>
      </c>
    </row>
    <row r="248" spans="1:30" x14ac:dyDescent="0.25">
      <c r="A248" s="33" t="s">
        <v>1744</v>
      </c>
      <c r="C248" s="39">
        <v>40847</v>
      </c>
      <c r="D248" s="53" t="s">
        <v>1748</v>
      </c>
      <c r="E248" s="4" t="str">
        <f>VLOOKUP(LEFT(D248,2),Sort!$A$1:$B$58,2,FALSE)</f>
        <v>Hong Kong</v>
      </c>
      <c r="F248" s="4" t="s">
        <v>1014</v>
      </c>
      <c r="G248" s="18">
        <v>253940706</v>
      </c>
      <c r="H248" s="18">
        <v>251109267.09999999</v>
      </c>
      <c r="I248" s="10">
        <v>0.12104007899999999</v>
      </c>
      <c r="J248" s="10">
        <v>13.927778</v>
      </c>
      <c r="K248" s="10">
        <v>10.646414</v>
      </c>
      <c r="L248" s="10">
        <v>4.3386959999999997</v>
      </c>
      <c r="M248" s="10">
        <v>4.3386959999999997</v>
      </c>
      <c r="N248" s="10">
        <v>200.51650000000001</v>
      </c>
      <c r="O248" s="10">
        <v>190.95079999999999</v>
      </c>
      <c r="P248" s="10">
        <v>10.119935999999999</v>
      </c>
      <c r="Q248" s="10">
        <v>-9.8500000000000004E-2</v>
      </c>
      <c r="R248" s="10">
        <v>9.4439273910000008</v>
      </c>
      <c r="S248" s="10">
        <v>14.891931659999999</v>
      </c>
      <c r="T248" s="10">
        <v>98.56</v>
      </c>
      <c r="U248" s="10">
        <v>101.67</v>
      </c>
      <c r="V248" s="10">
        <v>98.56</v>
      </c>
      <c r="W248" s="10">
        <v>101.67</v>
      </c>
      <c r="X248" s="4" t="s">
        <v>146</v>
      </c>
      <c r="Y248" s="4" t="s">
        <v>1749</v>
      </c>
      <c r="AA248" s="10">
        <f t="shared" si="12"/>
        <v>0.13731708147526672</v>
      </c>
      <c r="AB248" s="10">
        <f t="shared" si="13"/>
        <v>1.5120948583631609E-2</v>
      </c>
      <c r="AC248" s="10">
        <f t="shared" si="14"/>
        <v>1.6801361529433252</v>
      </c>
      <c r="AD248" s="10">
        <f t="shared" si="15"/>
        <v>0.17336590060017451</v>
      </c>
    </row>
    <row r="249" spans="1:30" x14ac:dyDescent="0.25">
      <c r="A249" s="33" t="s">
        <v>1747</v>
      </c>
      <c r="C249" s="39">
        <v>40847</v>
      </c>
      <c r="D249" s="53" t="s">
        <v>1751</v>
      </c>
      <c r="E249" s="4" t="str">
        <f>VLOOKUP(LEFT(D249,2),Sort!$A$1:$B$58,2,FALSE)</f>
        <v>Hong Kong</v>
      </c>
      <c r="F249" s="4" t="s">
        <v>1014</v>
      </c>
      <c r="G249" s="18">
        <v>211617255</v>
      </c>
      <c r="H249" s="18">
        <v>224200840.19999999</v>
      </c>
      <c r="I249" s="10">
        <v>0.108069638</v>
      </c>
      <c r="J249" s="10">
        <v>2.4861110000000002</v>
      </c>
      <c r="K249" s="10">
        <v>2.3275220000000001</v>
      </c>
      <c r="L249" s="10">
        <v>2.7275839999999998</v>
      </c>
      <c r="M249" s="10">
        <v>2.7275839999999998</v>
      </c>
      <c r="N249" s="10">
        <v>240.6695</v>
      </c>
      <c r="O249" s="10">
        <v>242.62970000000001</v>
      </c>
      <c r="P249" s="10">
        <v>2.3286669999999998</v>
      </c>
      <c r="Q249" s="10">
        <v>5.2200000000000003E-2</v>
      </c>
      <c r="R249" s="10">
        <v>5.4770608999999998E-2</v>
      </c>
      <c r="S249" s="10">
        <v>2.7522701779999998</v>
      </c>
      <c r="T249" s="10">
        <v>105.87</v>
      </c>
      <c r="U249" s="10">
        <v>106.62</v>
      </c>
      <c r="V249" s="10">
        <v>105.87</v>
      </c>
      <c r="W249" s="10">
        <v>106.62</v>
      </c>
      <c r="X249" s="4" t="s">
        <v>146</v>
      </c>
      <c r="Y249" s="4" t="s">
        <v>1752</v>
      </c>
      <c r="AA249" s="10">
        <f t="shared" si="12"/>
        <v>7.1237736769282347E-3</v>
      </c>
      <c r="AB249" s="10">
        <f t="shared" si="13"/>
        <v>9.952864991967493E-3</v>
      </c>
      <c r="AC249" s="10">
        <f t="shared" si="14"/>
        <v>0.53915024867229977</v>
      </c>
      <c r="AD249" s="10">
        <f t="shared" si="15"/>
        <v>0.16232448360138535</v>
      </c>
    </row>
    <row r="250" spans="1:30" x14ac:dyDescent="0.25">
      <c r="A250" s="33" t="s">
        <v>1750</v>
      </c>
      <c r="C250" s="39">
        <v>40847</v>
      </c>
      <c r="D250" s="53" t="s">
        <v>1754</v>
      </c>
      <c r="E250" s="4" t="str">
        <f>VLOOKUP(LEFT(D250,2),Sort!$A$1:$B$58,2,FALSE)</f>
        <v>Hong Kong</v>
      </c>
      <c r="F250" s="4" t="s">
        <v>1059</v>
      </c>
      <c r="G250" s="18">
        <v>317425883</v>
      </c>
      <c r="H250" s="18">
        <v>324643795.19999999</v>
      </c>
      <c r="I250" s="10">
        <v>0.15648530699999999</v>
      </c>
      <c r="J250" s="10">
        <v>8.269444</v>
      </c>
      <c r="K250" s="10">
        <v>6.267379</v>
      </c>
      <c r="L250" s="10">
        <v>6.5896800000000004</v>
      </c>
      <c r="M250" s="10">
        <v>6.5896800000000004</v>
      </c>
      <c r="N250" s="10">
        <v>477.9871</v>
      </c>
      <c r="O250" s="10">
        <v>489.50529999999998</v>
      </c>
      <c r="P250" s="10">
        <v>6.098344</v>
      </c>
      <c r="Q250" s="10">
        <v>-4.9399999999999999E-2</v>
      </c>
      <c r="R250" s="10">
        <v>4.6500253010000003</v>
      </c>
      <c r="S250" s="10">
        <v>3.8739522970000002</v>
      </c>
      <c r="T250" s="10">
        <v>100.66</v>
      </c>
      <c r="U250" s="10">
        <v>102.57</v>
      </c>
      <c r="V250" s="10">
        <v>100.66</v>
      </c>
      <c r="W250" s="10">
        <v>102.57</v>
      </c>
      <c r="X250" s="4" t="s">
        <v>146</v>
      </c>
      <c r="Y250" s="4" t="s">
        <v>1755</v>
      </c>
      <c r="AA250" s="10">
        <f t="shared" si="12"/>
        <v>4.2819883921296938E-2</v>
      </c>
      <c r="AB250" s="10">
        <f t="shared" si="13"/>
        <v>5.7661514919848562E-2</v>
      </c>
      <c r="AC250" s="10">
        <f t="shared" si="14"/>
        <v>4.4980292337767063</v>
      </c>
      <c r="AD250" s="10">
        <f t="shared" si="15"/>
        <v>0.22611823051904703</v>
      </c>
    </row>
    <row r="251" spans="1:30" x14ac:dyDescent="0.25">
      <c r="A251" s="33" t="s">
        <v>1753</v>
      </c>
      <c r="C251" s="39">
        <v>40847</v>
      </c>
      <c r="D251" s="53" t="s">
        <v>1757</v>
      </c>
      <c r="E251" s="4" t="str">
        <f>VLOOKUP(LEFT(D251,2),Sort!$A$1:$B$58,2,FALSE)</f>
        <v>Hong Kong</v>
      </c>
      <c r="F251" s="4" t="s">
        <v>1014</v>
      </c>
      <c r="G251" s="18">
        <v>211617255</v>
      </c>
      <c r="H251" s="18">
        <v>210435726</v>
      </c>
      <c r="I251" s="10">
        <v>0.101434556</v>
      </c>
      <c r="J251" s="10">
        <v>3.7555559999999999</v>
      </c>
      <c r="K251" s="10">
        <v>3.3773520000000001</v>
      </c>
      <c r="L251" s="10">
        <v>4.5074810000000003</v>
      </c>
      <c r="M251" s="10">
        <v>4.5074810000000003</v>
      </c>
      <c r="N251" s="10">
        <v>388.78590000000003</v>
      </c>
      <c r="O251" s="10">
        <v>392.48070000000001</v>
      </c>
      <c r="P251" s="10">
        <v>3.363181</v>
      </c>
      <c r="Q251" s="10">
        <v>0.26569999999999999</v>
      </c>
      <c r="R251" s="10">
        <v>10.72141184</v>
      </c>
      <c r="S251" s="10">
        <v>-0.82120072600000005</v>
      </c>
      <c r="T251" s="10">
        <v>98.25</v>
      </c>
      <c r="U251" s="10">
        <v>101.25</v>
      </c>
      <c r="V251" s="10">
        <v>98.25</v>
      </c>
      <c r="W251" s="10">
        <v>101.25</v>
      </c>
      <c r="X251" s="4" t="s">
        <v>146</v>
      </c>
      <c r="Y251" s="4" t="s">
        <v>1758</v>
      </c>
      <c r="AA251" s="10">
        <f t="shared" si="12"/>
        <v>9.702304092838742E-3</v>
      </c>
      <c r="AB251" s="10">
        <f t="shared" si="13"/>
        <v>1.3164684398386193E-2</v>
      </c>
      <c r="AC251" s="10">
        <f t="shared" si="14"/>
        <v>0.81858991689995209</v>
      </c>
      <c r="AD251" s="10">
        <f t="shared" si="15"/>
        <v>0.14468470409861584</v>
      </c>
    </row>
    <row r="252" spans="1:30" x14ac:dyDescent="0.25">
      <c r="A252" s="33" t="s">
        <v>1756</v>
      </c>
      <c r="C252" s="39">
        <v>40847</v>
      </c>
      <c r="D252" s="53" t="s">
        <v>1760</v>
      </c>
      <c r="E252" s="4" t="str">
        <f>VLOOKUP(LEFT(D252,2),Sort!$A$1:$B$58,2,FALSE)</f>
        <v>Hong Kong</v>
      </c>
      <c r="F252" s="4" t="s">
        <v>1014</v>
      </c>
      <c r="G252" s="18">
        <v>529043138</v>
      </c>
      <c r="H252" s="18">
        <v>522496229.19999999</v>
      </c>
      <c r="I252" s="10">
        <v>0.25185444499999998</v>
      </c>
      <c r="J252" s="10">
        <v>8.2388890000000004</v>
      </c>
      <c r="K252" s="10">
        <v>6.242229</v>
      </c>
      <c r="L252" s="10">
        <v>6.9089039999999997</v>
      </c>
      <c r="M252" s="10">
        <v>6.9089039999999997</v>
      </c>
      <c r="N252" s="10">
        <v>510.4819</v>
      </c>
      <c r="O252" s="10">
        <v>521.74530000000004</v>
      </c>
      <c r="P252" s="10">
        <v>6.0765260000000003</v>
      </c>
      <c r="Q252" s="10">
        <v>-1.2313000000000001</v>
      </c>
      <c r="R252" s="10">
        <v>14.5238418</v>
      </c>
      <c r="S252" s="10">
        <v>-6.3990575349999999</v>
      </c>
      <c r="T252" s="10">
        <v>97</v>
      </c>
      <c r="U252" s="10">
        <v>99</v>
      </c>
      <c r="V252" s="10">
        <v>97</v>
      </c>
      <c r="W252" s="10">
        <v>99</v>
      </c>
      <c r="X252" s="4" t="s">
        <v>146</v>
      </c>
      <c r="Y252" s="4" t="s">
        <v>1761</v>
      </c>
      <c r="AA252" s="10">
        <f t="shared" si="12"/>
        <v>6.8639684449861557E-2</v>
      </c>
      <c r="AB252" s="10">
        <f t="shared" si="13"/>
        <v>9.7298676928220973E-2</v>
      </c>
      <c r="AC252" s="10">
        <f t="shared" si="14"/>
        <v>7.7161289100811974</v>
      </c>
      <c r="AD252" s="10">
        <f t="shared" si="15"/>
        <v>1.0843404889970734</v>
      </c>
    </row>
    <row r="253" spans="1:30" x14ac:dyDescent="0.25">
      <c r="A253" s="33" t="s">
        <v>1759</v>
      </c>
      <c r="C253" s="39">
        <v>40847</v>
      </c>
      <c r="D253" s="53" t="s">
        <v>1763</v>
      </c>
      <c r="E253" s="4" t="str">
        <f>VLOOKUP(LEFT(D253,2),Sort!$A$1:$B$58,2,FALSE)</f>
        <v>Hong Kong</v>
      </c>
      <c r="F253" s="4" t="s">
        <v>1014</v>
      </c>
      <c r="G253" s="18">
        <v>211617255</v>
      </c>
      <c r="H253" s="18">
        <v>234075136.19999999</v>
      </c>
      <c r="I253" s="10">
        <v>0.112829261</v>
      </c>
      <c r="J253" s="10">
        <v>1.575</v>
      </c>
      <c r="K253" s="10">
        <v>1.4425589999999999</v>
      </c>
      <c r="L253" s="10">
        <v>3.2457349999999998</v>
      </c>
      <c r="M253" s="10">
        <v>3.2457349999999998</v>
      </c>
      <c r="N253" s="10">
        <v>306.291</v>
      </c>
      <c r="O253" s="10">
        <v>306.89139999999998</v>
      </c>
      <c r="P253" s="10">
        <v>1.4388510000000001</v>
      </c>
      <c r="Q253" s="10">
        <v>-0.31669999999999998</v>
      </c>
      <c r="R253" s="10">
        <v>3.6654719880000002</v>
      </c>
      <c r="S253" s="10">
        <v>4.3172554080000003</v>
      </c>
      <c r="T253" s="10">
        <v>107</v>
      </c>
      <c r="U253" s="10">
        <v>108</v>
      </c>
      <c r="V253" s="10">
        <v>107</v>
      </c>
      <c r="W253" s="10">
        <v>108</v>
      </c>
      <c r="X253" s="4" t="s">
        <v>146</v>
      </c>
      <c r="Y253" s="4" t="s">
        <v>1764</v>
      </c>
      <c r="AA253" s="10">
        <f t="shared" si="12"/>
        <v>2.0578352154799681E-2</v>
      </c>
      <c r="AB253" s="10">
        <f t="shared" si="13"/>
        <v>1.2365198327395301E-2</v>
      </c>
      <c r="AC253" s="10">
        <f t="shared" si="14"/>
        <v>0.71198134725011708</v>
      </c>
      <c r="AD253" s="10">
        <f t="shared" si="15"/>
        <v>0.17166713383608737</v>
      </c>
    </row>
    <row r="254" spans="1:30" x14ac:dyDescent="0.25">
      <c r="A254" s="33" t="s">
        <v>1762</v>
      </c>
      <c r="C254" s="39">
        <v>40847</v>
      </c>
      <c r="D254" s="53" t="s">
        <v>1766</v>
      </c>
      <c r="E254" s="4" t="str">
        <f>VLOOKUP(LEFT(D254,2),Sort!$A$1:$B$58,2,FALSE)</f>
        <v>Hong Kong</v>
      </c>
      <c r="F254" s="4" t="s">
        <v>1014</v>
      </c>
      <c r="G254" s="18">
        <v>148132079</v>
      </c>
      <c r="H254" s="18">
        <v>125982218.09999999</v>
      </c>
      <c r="I254" s="10">
        <v>6.0726145000000002E-2</v>
      </c>
      <c r="J254" s="10">
        <v>37.994444000000001</v>
      </c>
      <c r="K254" s="10">
        <v>10.149457</v>
      </c>
      <c r="L254" s="10">
        <v>9.4765169999999994</v>
      </c>
      <c r="M254" s="10">
        <v>9.4765169999999994</v>
      </c>
      <c r="N254" s="10">
        <v>592.03989999999999</v>
      </c>
      <c r="O254" s="10">
        <v>687.84659999999997</v>
      </c>
      <c r="P254" s="10">
        <v>9.5264849999999992</v>
      </c>
      <c r="Q254" s="10">
        <v>-2.2711000000000001</v>
      </c>
      <c r="R254" s="10">
        <v>24.520757799999998</v>
      </c>
      <c r="S254" s="10">
        <v>-2.4613993399999998</v>
      </c>
      <c r="T254" s="10">
        <v>85</v>
      </c>
      <c r="U254" s="10">
        <v>90</v>
      </c>
      <c r="V254" s="10">
        <v>85</v>
      </c>
      <c r="W254" s="10">
        <v>90</v>
      </c>
      <c r="X254" s="4" t="s">
        <v>146</v>
      </c>
      <c r="Y254" s="4" t="s">
        <v>1767</v>
      </c>
      <c r="AA254" s="10">
        <f t="shared" si="12"/>
        <v>6.5676580377604488E-2</v>
      </c>
      <c r="AB254" s="10">
        <f t="shared" si="13"/>
        <v>7.1958066502538082E-2</v>
      </c>
      <c r="AC254" s="10">
        <f t="shared" si="14"/>
        <v>4.7064734626326938</v>
      </c>
      <c r="AD254" s="10">
        <f t="shared" si="15"/>
        <v>0.23768352477116775</v>
      </c>
    </row>
    <row r="255" spans="1:30" x14ac:dyDescent="0.25">
      <c r="A255" s="33" t="s">
        <v>1765</v>
      </c>
      <c r="C255" s="39">
        <v>40847</v>
      </c>
      <c r="D255" s="53" t="s">
        <v>1769</v>
      </c>
      <c r="E255" s="4" t="str">
        <f>VLOOKUP(LEFT(D255,2),Sort!$A$1:$B$58,2,FALSE)</f>
        <v>Hong Kong</v>
      </c>
      <c r="F255" s="4" t="s">
        <v>1081</v>
      </c>
      <c r="G255" s="18">
        <v>211617255</v>
      </c>
      <c r="H255" s="18">
        <v>214060551.90000001</v>
      </c>
      <c r="I255" s="10">
        <v>0.1031818</v>
      </c>
      <c r="J255" s="10">
        <v>4.3083330000000002</v>
      </c>
      <c r="K255" s="10">
        <v>3.904461</v>
      </c>
      <c r="L255" s="10">
        <v>3.8599000000000001</v>
      </c>
      <c r="M255" s="10">
        <v>3.8599000000000001</v>
      </c>
      <c r="N255" s="10">
        <v>307.88670000000002</v>
      </c>
      <c r="O255" s="10">
        <v>311.30889999999999</v>
      </c>
      <c r="P255" s="10">
        <v>3.8776269999999999</v>
      </c>
      <c r="Q255" s="10">
        <v>-0.1759</v>
      </c>
      <c r="R255" s="10">
        <v>2.931145908</v>
      </c>
      <c r="S255" s="10">
        <v>4.6406932159999998</v>
      </c>
      <c r="T255" s="10">
        <v>100.34</v>
      </c>
      <c r="U255" s="10">
        <v>101.53</v>
      </c>
      <c r="V255" s="10">
        <v>100.34</v>
      </c>
      <c r="W255" s="10">
        <v>101.53</v>
      </c>
      <c r="X255" s="4" t="s">
        <v>146</v>
      </c>
      <c r="Y255" s="4" t="s">
        <v>1770</v>
      </c>
      <c r="AA255" s="10">
        <f t="shared" si="12"/>
        <v>1.1409767978205853E-2</v>
      </c>
      <c r="AB255" s="10">
        <f t="shared" si="13"/>
        <v>1.3447620272222746E-2</v>
      </c>
      <c r="AC255" s="10">
        <f t="shared" si="14"/>
        <v>0.66047561894063733</v>
      </c>
      <c r="AD255" s="10">
        <f t="shared" si="15"/>
        <v>0.14758395446473288</v>
      </c>
    </row>
    <row r="256" spans="1:30" x14ac:dyDescent="0.25">
      <c r="A256" s="33" t="s">
        <v>1768</v>
      </c>
      <c r="C256" s="39">
        <v>40847</v>
      </c>
      <c r="D256" s="53" t="s">
        <v>1772</v>
      </c>
      <c r="E256" s="4" t="str">
        <f>VLOOKUP(LEFT(D256,2),Sort!$A$1:$B$58,2,FALSE)</f>
        <v>Hong Kong</v>
      </c>
      <c r="F256" s="4" t="s">
        <v>1081</v>
      </c>
      <c r="G256" s="18">
        <v>211617255</v>
      </c>
      <c r="H256" s="18">
        <v>223366420.59999999</v>
      </c>
      <c r="I256" s="10">
        <v>0.107667429</v>
      </c>
      <c r="J256" s="10">
        <v>3.713889</v>
      </c>
      <c r="K256" s="10">
        <v>3.331871</v>
      </c>
      <c r="L256" s="10">
        <v>3.7611309999999998</v>
      </c>
      <c r="M256" s="10">
        <v>3.7611309999999998</v>
      </c>
      <c r="N256" s="10">
        <v>315.36750000000001</v>
      </c>
      <c r="O256" s="10">
        <v>319.23149999999998</v>
      </c>
      <c r="P256" s="10">
        <v>3.3204690000000001</v>
      </c>
      <c r="Q256" s="10">
        <v>-0.14699999999999999</v>
      </c>
      <c r="R256" s="10">
        <v>2.7233409869999998</v>
      </c>
      <c r="S256" s="10">
        <v>3.7530382430000002</v>
      </c>
      <c r="T256" s="10">
        <v>104.05</v>
      </c>
      <c r="U256" s="10">
        <v>105.11</v>
      </c>
      <c r="V256" s="10">
        <v>104.05</v>
      </c>
      <c r="W256" s="10">
        <v>105.11</v>
      </c>
      <c r="X256" s="4" t="s">
        <v>146</v>
      </c>
      <c r="Y256" s="4" t="s">
        <v>1773</v>
      </c>
      <c r="AA256" s="10">
        <f t="shared" si="12"/>
        <v>1.0159799706926225E-2</v>
      </c>
      <c r="AB256" s="10">
        <f t="shared" si="13"/>
        <v>1.3673166048017134E-2</v>
      </c>
      <c r="AC256" s="10">
        <f t="shared" si="14"/>
        <v>0.70672789931761393</v>
      </c>
      <c r="AD256" s="10">
        <f t="shared" si="15"/>
        <v>0.15942999659667564</v>
      </c>
    </row>
    <row r="257" spans="1:30" x14ac:dyDescent="0.25">
      <c r="A257" s="33" t="s">
        <v>1771</v>
      </c>
      <c r="C257" s="39">
        <v>40847</v>
      </c>
      <c r="D257" s="53" t="s">
        <v>1775</v>
      </c>
      <c r="E257" s="4" t="str">
        <f>VLOOKUP(LEFT(D257,2),Sort!$A$1:$B$58,2,FALSE)</f>
        <v>Hong Kong</v>
      </c>
      <c r="F257" s="4" t="s">
        <v>1081</v>
      </c>
      <c r="G257" s="18">
        <v>211617255</v>
      </c>
      <c r="H257" s="18">
        <v>223891055.80000001</v>
      </c>
      <c r="I257" s="10">
        <v>0.107920315</v>
      </c>
      <c r="J257" s="10">
        <v>1.7</v>
      </c>
      <c r="K257" s="10">
        <v>1.6008519999999999</v>
      </c>
      <c r="L257" s="10">
        <v>2.3753660000000001</v>
      </c>
      <c r="M257" s="10">
        <v>2.3753660000000001</v>
      </c>
      <c r="N257" s="10">
        <v>217.36660000000001</v>
      </c>
      <c r="O257" s="10">
        <v>217.88229999999999</v>
      </c>
      <c r="P257" s="10">
        <v>1.598516</v>
      </c>
      <c r="Q257" s="10">
        <v>1.5800000000000002E-2</v>
      </c>
      <c r="R257" s="10">
        <v>-0.220055317</v>
      </c>
      <c r="S257" s="10">
        <v>0.94807183299999997</v>
      </c>
      <c r="T257" s="10">
        <v>104</v>
      </c>
      <c r="U257" s="10">
        <v>106</v>
      </c>
      <c r="V257" s="10">
        <v>104</v>
      </c>
      <c r="W257" s="10">
        <v>106</v>
      </c>
      <c r="X257" s="4" t="s">
        <v>146</v>
      </c>
      <c r="Y257" s="4" t="s">
        <v>1776</v>
      </c>
      <c r="AA257" s="10">
        <f t="shared" si="12"/>
        <v>2.1842867576258994E-2</v>
      </c>
      <c r="AB257" s="10">
        <f t="shared" si="13"/>
        <v>8.6556567014906168E-3</v>
      </c>
      <c r="AC257" s="10">
        <f t="shared" si="14"/>
        <v>0.48348979098865935</v>
      </c>
      <c r="AD257" s="10">
        <f t="shared" si="15"/>
        <v>0.16115757566437655</v>
      </c>
    </row>
    <row r="258" spans="1:30" x14ac:dyDescent="0.25">
      <c r="A258" s="33" t="s">
        <v>1774</v>
      </c>
      <c r="C258" s="39">
        <v>40847</v>
      </c>
      <c r="D258" s="53" t="s">
        <v>1778</v>
      </c>
      <c r="E258" s="4" t="str">
        <f>VLOOKUP(LEFT(D258,2),Sort!$A$1:$B$58,2,FALSE)</f>
        <v>Hong Kong</v>
      </c>
      <c r="F258" s="4" t="s">
        <v>1081</v>
      </c>
      <c r="G258" s="18">
        <v>126970353</v>
      </c>
      <c r="H258" s="18">
        <v>118680246.59999999</v>
      </c>
      <c r="I258" s="10">
        <v>5.7206436999999999E-2</v>
      </c>
      <c r="J258" s="10">
        <v>4.016667</v>
      </c>
      <c r="K258" s="10">
        <v>3.1000220000000001</v>
      </c>
      <c r="L258" s="10">
        <v>11.472344</v>
      </c>
      <c r="M258" s="10">
        <v>11.472344</v>
      </c>
      <c r="N258" s="10">
        <v>1077.6477</v>
      </c>
      <c r="O258" s="10">
        <v>1084.2343000000001</v>
      </c>
      <c r="P258" s="10">
        <v>3.0838429999999999</v>
      </c>
      <c r="Q258" s="10">
        <v>2.75E-2</v>
      </c>
      <c r="R258" s="10">
        <v>9.0021194149999992</v>
      </c>
      <c r="S258" s="10">
        <v>-5.529242279</v>
      </c>
      <c r="T258" s="10">
        <v>89</v>
      </c>
      <c r="U258" s="10">
        <v>93</v>
      </c>
      <c r="V258" s="10">
        <v>89</v>
      </c>
      <c r="W258" s="10">
        <v>93</v>
      </c>
      <c r="X258" s="4" t="s">
        <v>146</v>
      </c>
      <c r="Y258" s="4" t="s">
        <v>1779</v>
      </c>
      <c r="AA258" s="10">
        <f t="shared" si="12"/>
        <v>5.0225272176447283E-3</v>
      </c>
      <c r="AB258" s="10">
        <f t="shared" si="13"/>
        <v>8.5926350856524128E-2</v>
      </c>
      <c r="AC258" s="10">
        <f t="shared" si="14"/>
        <v>9.5344284407304016</v>
      </c>
      <c r="AD258" s="10">
        <f t="shared" si="15"/>
        <v>0.23137088511345008</v>
      </c>
    </row>
    <row r="259" spans="1:30" x14ac:dyDescent="0.25">
      <c r="A259" s="33" t="s">
        <v>1777</v>
      </c>
      <c r="C259" s="39">
        <v>40847</v>
      </c>
      <c r="D259" s="53" t="s">
        <v>1781</v>
      </c>
      <c r="E259" s="4" t="str">
        <f>VLOOKUP(LEFT(D259,2),Sort!$A$1:$B$58,2,FALSE)</f>
        <v>Hong Kong</v>
      </c>
      <c r="F259" s="4" t="s">
        <v>1007</v>
      </c>
      <c r="G259" s="18">
        <v>126970353</v>
      </c>
      <c r="H259" s="18">
        <v>123844052.09999999</v>
      </c>
      <c r="I259" s="10">
        <v>5.9695502999999997E-2</v>
      </c>
      <c r="J259" s="10">
        <v>5.4444439999999998</v>
      </c>
      <c r="K259" s="10">
        <v>0.17816399999999999</v>
      </c>
      <c r="L259" s="10">
        <v>1.7697480000000001</v>
      </c>
      <c r="M259" s="10">
        <v>1.7697480000000001</v>
      </c>
      <c r="N259" s="10">
        <v>65.585899999999995</v>
      </c>
      <c r="O259" s="10">
        <v>65.456400000000002</v>
      </c>
      <c r="P259" s="10">
        <v>5.2301840000000004</v>
      </c>
      <c r="Q259" s="10">
        <v>1.8E-3</v>
      </c>
      <c r="R259" s="10">
        <v>5.0036021E-2</v>
      </c>
      <c r="S259" s="10">
        <v>5.3240792130000001</v>
      </c>
      <c r="T259" s="10">
        <v>97.5</v>
      </c>
      <c r="U259" s="10">
        <v>99.5</v>
      </c>
      <c r="V259" s="10">
        <v>97.5</v>
      </c>
      <c r="W259" s="10">
        <v>99.5</v>
      </c>
      <c r="X259" s="4" t="s">
        <v>146</v>
      </c>
      <c r="Y259" s="4" t="s">
        <v>1782</v>
      </c>
      <c r="AA259" s="10">
        <f t="shared" si="12"/>
        <v>1.344673461071791E-3</v>
      </c>
      <c r="AB259" s="10">
        <f t="shared" si="13"/>
        <v>4.9494737783193847E-2</v>
      </c>
      <c r="AC259" s="10">
        <f t="shared" si="14"/>
        <v>0.28404524523801372</v>
      </c>
      <c r="AD259" s="10">
        <f t="shared" si="15"/>
        <v>0.25831257787065581</v>
      </c>
    </row>
    <row r="260" spans="1:30" x14ac:dyDescent="0.25">
      <c r="A260" s="33" t="s">
        <v>1780</v>
      </c>
      <c r="C260" s="39">
        <v>40847</v>
      </c>
      <c r="D260" s="53" t="s">
        <v>1784</v>
      </c>
      <c r="E260" s="4" t="str">
        <f>VLOOKUP(LEFT(D260,2),Sort!$A$1:$B$58,2,FALSE)</f>
        <v>Hong Kong</v>
      </c>
      <c r="F260" s="4" t="s">
        <v>1059</v>
      </c>
      <c r="G260" s="18">
        <v>126970353</v>
      </c>
      <c r="H260" s="18">
        <v>123327714.5</v>
      </c>
      <c r="I260" s="10">
        <v>5.9446617E-2</v>
      </c>
      <c r="J260" s="10">
        <v>8.9972220000000007</v>
      </c>
      <c r="K260" s="10">
        <v>7.686534</v>
      </c>
      <c r="L260" s="10">
        <v>4.0897420000000002</v>
      </c>
      <c r="M260" s="10">
        <v>4.0897420000000002</v>
      </c>
      <c r="N260" s="10">
        <v>214.3596</v>
      </c>
      <c r="O260" s="10">
        <v>217.77869999999999</v>
      </c>
      <c r="P260" s="10">
        <v>7.4418499999999996</v>
      </c>
      <c r="Q260" s="10">
        <v>-7.0900000000000005E-2</v>
      </c>
      <c r="R260" s="10">
        <v>4.5010464389999996</v>
      </c>
      <c r="S260" s="10">
        <v>8.5775981770000005</v>
      </c>
      <c r="T260" s="10">
        <v>97.12</v>
      </c>
      <c r="U260" s="10">
        <v>99.33</v>
      </c>
      <c r="V260" s="10">
        <v>97.12</v>
      </c>
      <c r="W260" s="10">
        <v>99.33</v>
      </c>
      <c r="X260" s="4" t="s">
        <v>146</v>
      </c>
      <c r="Y260" s="4" t="s">
        <v>1785</v>
      </c>
      <c r="AA260" s="10">
        <f t="shared" si="12"/>
        <v>1.9950034754455084E-2</v>
      </c>
      <c r="AB260" s="10">
        <f t="shared" si="13"/>
        <v>7.0002519227315638E-3</v>
      </c>
      <c r="AC260" s="10">
        <f t="shared" si="14"/>
        <v>0.26619794416059339</v>
      </c>
      <c r="AD260" s="10">
        <f t="shared" si="15"/>
        <v>0.25679610849520912</v>
      </c>
    </row>
    <row r="261" spans="1:30" x14ac:dyDescent="0.25">
      <c r="A261" s="33" t="s">
        <v>1783</v>
      </c>
      <c r="C261" s="39">
        <v>40847</v>
      </c>
      <c r="D261" s="53" t="s">
        <v>1787</v>
      </c>
      <c r="E261" s="4" t="str">
        <f>VLOOKUP(LEFT(D261,2),Sort!$A$1:$B$58,2,FALSE)</f>
        <v>Hong Kong</v>
      </c>
      <c r="F261" s="4" t="s">
        <v>1014</v>
      </c>
      <c r="G261" s="18">
        <v>126970353</v>
      </c>
      <c r="H261" s="18">
        <v>138792792.40000001</v>
      </c>
      <c r="I261" s="10">
        <v>6.6901117999999996E-2</v>
      </c>
      <c r="J261" s="10">
        <v>5.3472220000000004</v>
      </c>
      <c r="K261" s="10">
        <v>4.6902650000000001</v>
      </c>
      <c r="L261" s="10">
        <v>3.3118609999999999</v>
      </c>
      <c r="M261" s="10">
        <v>3.3118609999999999</v>
      </c>
      <c r="N261" s="10">
        <v>222.66040000000001</v>
      </c>
      <c r="O261" s="10">
        <v>227.4922</v>
      </c>
      <c r="P261" s="10">
        <v>4.6351750000000003</v>
      </c>
      <c r="Q261" s="10">
        <v>-0.21460000000000001</v>
      </c>
      <c r="R261" s="10">
        <v>0.28261091599999999</v>
      </c>
      <c r="S261" s="10">
        <v>6.5883068509999996</v>
      </c>
      <c r="T261" s="10">
        <v>108.49</v>
      </c>
      <c r="U261" s="10">
        <v>110.03</v>
      </c>
      <c r="V261" s="10">
        <v>108.49</v>
      </c>
      <c r="W261" s="10">
        <v>110.03</v>
      </c>
      <c r="X261" s="4" t="s">
        <v>146</v>
      </c>
      <c r="Y261" s="4" t="s">
        <v>1788</v>
      </c>
      <c r="AA261" s="10">
        <f t="shared" ref="AA261:AA324" si="16">IF(K261&lt;1.99,($H261/$H$629)*K261,IF(AND(K261&gt;1.99,K261&lt;3.99),($H261/$H$630)*K261,IF(AND(K261&gt;3.99,K261&lt;5.99),($H261/$H$631)*K261,IF(AND(K261&gt;5.99,K261&lt;7.99),($H261/$H$632)*K261,IF(AND(K261&gt;7.99,K261&lt;9.99),($H261/$H$633)*K261,IF(K261&gt;9.99,($H261/$H$634)*K261))))))</f>
        <v>1.4177064164321063E-2</v>
      </c>
      <c r="AB261" s="10">
        <f t="shared" ref="AB261:AB324" si="17">IF(M261&lt;1.99,($H261/$H$613)*M261,IF(AND(M261&gt;1.99,M261&lt;3.99),($H261/$H$614)*M261,IF(AND(M261&gt;3.99,M261&lt;5.99),($H261/$H$615)*M261,IF(AND(M261&gt;5.99,M261&lt;7.99),($H261/$H$616)*M261,IF(AND(M261&gt;7.99,M261&lt;9.99),($H261/$H$617)*M261,IF(M261&gt;9.99,($H261/$H$618)*M261))))))</f>
        <v>7.4812084809928294E-3</v>
      </c>
      <c r="AC261" s="10">
        <f t="shared" ref="AC261:AC324" si="18">IF(O261&lt;199.99,($H261/$H$621)*O261,IF(AND(O261&gt;199.99,O261&lt;399.99),($H261/$H$622)*O261,IF(AND(O261&gt;399.99,O261&lt;599.99),($H261/$H$623)*O261,IF(AND(O261&gt;599.99,O261&lt;799.99),($H261/$H$624)*O261,IF(AND(O261&gt;799.99,O261&lt;999.99),($H261/$H$625)*O261,IF(O261&gt;999.99,($H261/$H$626)*O261))))))</f>
        <v>0.3129406908490977</v>
      </c>
      <c r="AD261" s="10">
        <f t="shared" ref="AD261:AD324" si="19">IF(U261&lt;49.99,($H261/$H$637)*U261,IF(AND(U261&gt;49.99,U261&lt;79.99),($H261/$H$638)*U261,IF(AND(U261&gt;79.99,U261&lt;99.99),($H261/$H$639)*U261,IF(AND(U261&gt;99.99,U261&lt;119.99),($H261/$H$640)*U261,IF(AND(U261&gt;119.99,U261&lt;139.99),($H261/$H$641)*U261,IF(U261&gt;139.99,($H261/$H$642)*U261))))))</f>
        <v>0.10370176363781197</v>
      </c>
    </row>
    <row r="262" spans="1:30" x14ac:dyDescent="0.25">
      <c r="A262" s="33" t="s">
        <v>1786</v>
      </c>
      <c r="C262" s="39">
        <v>40847</v>
      </c>
      <c r="D262" s="53" t="s">
        <v>1790</v>
      </c>
      <c r="E262" s="4" t="str">
        <f>VLOOKUP(LEFT(D262,2),Sort!$A$1:$B$58,2,FALSE)</f>
        <v>Hong Kong</v>
      </c>
      <c r="F262" s="4" t="s">
        <v>1014</v>
      </c>
      <c r="G262" s="18">
        <v>211617255</v>
      </c>
      <c r="H262" s="18">
        <v>232991774.30000001</v>
      </c>
      <c r="I262" s="10">
        <v>0.112307057</v>
      </c>
      <c r="J262" s="10">
        <v>7.7944440000000004</v>
      </c>
      <c r="K262" s="10">
        <v>6.4719610000000003</v>
      </c>
      <c r="L262" s="10">
        <v>3.8392439999999999</v>
      </c>
      <c r="M262" s="10">
        <v>3.8392439999999999</v>
      </c>
      <c r="N262" s="10">
        <v>211.84180000000001</v>
      </c>
      <c r="O262" s="10">
        <v>218.59630000000001</v>
      </c>
      <c r="P262" s="10">
        <v>6.3075859999999997</v>
      </c>
      <c r="Q262" s="10">
        <v>-5.8799999999999998E-2</v>
      </c>
      <c r="R262" s="10">
        <v>5.578845769</v>
      </c>
      <c r="S262" s="10">
        <v>9.9218702380000003</v>
      </c>
      <c r="T262" s="10">
        <v>108.97</v>
      </c>
      <c r="U262" s="10">
        <v>111.09</v>
      </c>
      <c r="V262" s="10">
        <v>108.97</v>
      </c>
      <c r="W262" s="10">
        <v>111.09</v>
      </c>
      <c r="X262" s="4" t="s">
        <v>146</v>
      </c>
      <c r="Y262" s="4" t="s">
        <v>1791</v>
      </c>
      <c r="AA262" s="10">
        <f t="shared" si="16"/>
        <v>3.1734298391917777E-2</v>
      </c>
      <c r="AB262" s="10">
        <f t="shared" si="17"/>
        <v>1.4558580959983152E-2</v>
      </c>
      <c r="AC262" s="10">
        <f t="shared" si="18"/>
        <v>0.50479147077438768</v>
      </c>
      <c r="AD262" s="10">
        <f t="shared" si="19"/>
        <v>0.17576146805554249</v>
      </c>
    </row>
    <row r="263" spans="1:30" x14ac:dyDescent="0.25">
      <c r="A263" s="33" t="s">
        <v>1789</v>
      </c>
      <c r="C263" s="39">
        <v>40847</v>
      </c>
      <c r="D263" s="53" t="s">
        <v>1793</v>
      </c>
      <c r="E263" s="4" t="str">
        <f>VLOOKUP(LEFT(D263,2),Sort!$A$1:$B$58,2,FALSE)</f>
        <v>Hong Kong</v>
      </c>
      <c r="F263" s="4" t="s">
        <v>1014</v>
      </c>
      <c r="G263" s="18">
        <v>253940706</v>
      </c>
      <c r="H263" s="18">
        <v>280237853.19999999</v>
      </c>
      <c r="I263" s="10">
        <v>0.13508068600000001</v>
      </c>
      <c r="J263" s="10">
        <v>4.4083329999999998</v>
      </c>
      <c r="K263" s="10">
        <v>3.939378</v>
      </c>
      <c r="L263" s="10">
        <v>2.9108719999999999</v>
      </c>
      <c r="M263" s="10">
        <v>2.9108719999999999</v>
      </c>
      <c r="N263" s="10">
        <v>210.06389999999999</v>
      </c>
      <c r="O263" s="10">
        <v>214.5384</v>
      </c>
      <c r="P263" s="10">
        <v>3.9147949999999998</v>
      </c>
      <c r="Q263" s="10">
        <v>-0.17580000000000001</v>
      </c>
      <c r="R263" s="10">
        <v>2.4770609760000002</v>
      </c>
      <c r="S263" s="10">
        <v>5.8009151579999996</v>
      </c>
      <c r="T263" s="10">
        <v>109.84</v>
      </c>
      <c r="U263" s="10">
        <v>111.15</v>
      </c>
      <c r="V263" s="10">
        <v>109.84</v>
      </c>
      <c r="W263" s="10">
        <v>111.15</v>
      </c>
      <c r="X263" s="4" t="s">
        <v>146</v>
      </c>
      <c r="Y263" s="4" t="s">
        <v>1794</v>
      </c>
      <c r="AA263" s="10">
        <f t="shared" si="16"/>
        <v>1.5070703842550982E-2</v>
      </c>
      <c r="AB263" s="10">
        <f t="shared" si="17"/>
        <v>1.3276470932384536E-2</v>
      </c>
      <c r="AC263" s="10">
        <f t="shared" si="18"/>
        <v>0.59588224809109092</v>
      </c>
      <c r="AD263" s="10">
        <f t="shared" si="19"/>
        <v>0.2115165627398356</v>
      </c>
    </row>
    <row r="264" spans="1:30" x14ac:dyDescent="0.25">
      <c r="A264" s="33" t="s">
        <v>1792</v>
      </c>
      <c r="C264" s="39">
        <v>40847</v>
      </c>
      <c r="D264" s="53" t="s">
        <v>1796</v>
      </c>
      <c r="E264" s="4" t="str">
        <f>VLOOKUP(LEFT(D264,2),Sort!$A$1:$B$58,2,FALSE)</f>
        <v>Hong Kong</v>
      </c>
      <c r="F264" s="4" t="s">
        <v>1014</v>
      </c>
      <c r="G264" s="18">
        <v>211617255</v>
      </c>
      <c r="H264" s="18">
        <v>239149542.30000001</v>
      </c>
      <c r="I264" s="10">
        <v>0.115275234</v>
      </c>
      <c r="J264" s="10">
        <v>6.4583329999999997</v>
      </c>
      <c r="K264" s="10">
        <v>5.463762</v>
      </c>
      <c r="L264" s="10">
        <v>3.6899769999999998</v>
      </c>
      <c r="M264" s="10">
        <v>3.6899769999999998</v>
      </c>
      <c r="N264" s="10">
        <v>227.74979999999999</v>
      </c>
      <c r="O264" s="10">
        <v>234.7252</v>
      </c>
      <c r="P264" s="10">
        <v>5.3643619999999999</v>
      </c>
      <c r="Q264" s="10">
        <v>-4.6600000000000003E-2</v>
      </c>
      <c r="R264" s="10">
        <v>1.6938466379999999</v>
      </c>
      <c r="S264" s="10">
        <v>8.240535113</v>
      </c>
      <c r="T264" s="10">
        <v>112.75</v>
      </c>
      <c r="U264" s="10">
        <v>114.59</v>
      </c>
      <c r="V264" s="10">
        <v>112.75</v>
      </c>
      <c r="W264" s="10">
        <v>114.59</v>
      </c>
      <c r="X264" s="4" t="s">
        <v>146</v>
      </c>
      <c r="Y264" s="4" t="s">
        <v>1797</v>
      </c>
      <c r="AA264" s="10">
        <f t="shared" si="16"/>
        <v>2.8456621524040347E-2</v>
      </c>
      <c r="AB264" s="10">
        <f t="shared" si="17"/>
        <v>1.4362364889893137E-2</v>
      </c>
      <c r="AC264" s="10">
        <f t="shared" si="18"/>
        <v>0.55636254443478805</v>
      </c>
      <c r="AD264" s="10">
        <f t="shared" si="19"/>
        <v>0.1860905799692773</v>
      </c>
    </row>
    <row r="265" spans="1:30" x14ac:dyDescent="0.25">
      <c r="A265" s="33" t="s">
        <v>1795</v>
      </c>
      <c r="C265" s="39">
        <v>40847</v>
      </c>
      <c r="D265" s="53" t="s">
        <v>1799</v>
      </c>
      <c r="E265" s="4" t="str">
        <f>VLOOKUP(LEFT(D265,2),Sort!$A$1:$B$58,2,FALSE)</f>
        <v>Hong Kong</v>
      </c>
      <c r="F265" s="4" t="s">
        <v>1014</v>
      </c>
      <c r="G265" s="18">
        <v>169293804</v>
      </c>
      <c r="H265" s="18">
        <v>185870135.69999999</v>
      </c>
      <c r="I265" s="10">
        <v>8.9593411999999997E-2</v>
      </c>
      <c r="J265" s="10">
        <v>6.0083330000000004</v>
      </c>
      <c r="K265" s="10">
        <v>4.9872319999999997</v>
      </c>
      <c r="L265" s="10">
        <v>4.3113450000000002</v>
      </c>
      <c r="M265" s="10">
        <v>4.3113450000000002</v>
      </c>
      <c r="N265" s="10">
        <v>303.13909999999998</v>
      </c>
      <c r="O265" s="10">
        <v>308.95159999999998</v>
      </c>
      <c r="P265" s="10">
        <v>4.9064319999999997</v>
      </c>
      <c r="Q265" s="10">
        <v>-0.2208</v>
      </c>
      <c r="R265" s="10">
        <v>6.2480122769999999</v>
      </c>
      <c r="S265" s="10">
        <v>4.8759895489999998</v>
      </c>
      <c r="T265" s="10">
        <v>106.78</v>
      </c>
      <c r="U265" s="10">
        <v>109.51</v>
      </c>
      <c r="V265" s="10">
        <v>106.78</v>
      </c>
      <c r="W265" s="10">
        <v>109.51</v>
      </c>
      <c r="X265" s="4" t="s">
        <v>146</v>
      </c>
      <c r="Y265" s="4" t="s">
        <v>1800</v>
      </c>
      <c r="AA265" s="10">
        <f t="shared" si="16"/>
        <v>2.0187902469947682E-2</v>
      </c>
      <c r="AB265" s="10">
        <f t="shared" si="17"/>
        <v>1.1121912342282204E-2</v>
      </c>
      <c r="AC265" s="10">
        <f t="shared" si="18"/>
        <v>0.56915253891258355</v>
      </c>
      <c r="AD265" s="10">
        <f t="shared" si="19"/>
        <v>0.13822019805253599</v>
      </c>
    </row>
    <row r="266" spans="1:30" x14ac:dyDescent="0.25">
      <c r="A266" s="33" t="s">
        <v>1798</v>
      </c>
      <c r="C266" s="39">
        <v>40847</v>
      </c>
      <c r="D266" s="53" t="s">
        <v>1802</v>
      </c>
      <c r="E266" s="4" t="str">
        <f>VLOOKUP(LEFT(D266,2),Sort!$A$1:$B$58,2,FALSE)</f>
        <v>Hong Kong</v>
      </c>
      <c r="F266" s="4" t="s">
        <v>1007</v>
      </c>
      <c r="G266" s="18">
        <v>169293804</v>
      </c>
      <c r="H266" s="18">
        <v>158656510.5</v>
      </c>
      <c r="I266" s="10">
        <v>7.6475857999999994E-2</v>
      </c>
      <c r="J266" s="10">
        <v>37.463889000000002</v>
      </c>
      <c r="K266" s="10">
        <v>14.537058999999999</v>
      </c>
      <c r="L266" s="10">
        <v>6.2425430000000004</v>
      </c>
      <c r="M266" s="10">
        <v>6.2425430000000004</v>
      </c>
      <c r="N266" s="10">
        <v>271.33769999999998</v>
      </c>
      <c r="O266" s="10">
        <v>334.47949999999997</v>
      </c>
      <c r="P266" s="10">
        <v>13.466455</v>
      </c>
      <c r="Q266" s="10">
        <v>1.78E-2</v>
      </c>
      <c r="R266" s="10">
        <v>0.52584474699999995</v>
      </c>
      <c r="S266" s="10">
        <v>-1.606935526</v>
      </c>
      <c r="T266" s="10">
        <v>93.5</v>
      </c>
      <c r="U266" s="10">
        <v>96.5</v>
      </c>
      <c r="V266" s="10">
        <v>93.5</v>
      </c>
      <c r="W266" s="10">
        <v>96.5</v>
      </c>
      <c r="X266" s="4" t="s">
        <v>146</v>
      </c>
      <c r="Y266" s="4" t="s">
        <v>1803</v>
      </c>
      <c r="AA266" s="10">
        <f t="shared" si="16"/>
        <v>0.1184657817979174</v>
      </c>
      <c r="AB266" s="10">
        <f t="shared" si="17"/>
        <v>2.6695253958775478E-2</v>
      </c>
      <c r="AC266" s="10">
        <f t="shared" si="18"/>
        <v>0.52596399607645405</v>
      </c>
      <c r="AD266" s="10">
        <f t="shared" si="19"/>
        <v>0.32094641644077926</v>
      </c>
    </row>
    <row r="267" spans="1:30" x14ac:dyDescent="0.25">
      <c r="A267" s="33" t="s">
        <v>1801</v>
      </c>
      <c r="C267" s="39">
        <v>40847</v>
      </c>
      <c r="D267" s="53" t="s">
        <v>1805</v>
      </c>
      <c r="E267" s="4" t="str">
        <f>VLOOKUP(LEFT(D267,2),Sort!$A$1:$B$58,2,FALSE)</f>
        <v>Indonesia</v>
      </c>
      <c r="F267" s="4" t="s">
        <v>1014</v>
      </c>
      <c r="G267" s="18">
        <v>400000000</v>
      </c>
      <c r="H267" s="18">
        <v>186000000</v>
      </c>
      <c r="I267" s="10">
        <v>8.9656008999999995E-2</v>
      </c>
      <c r="J267" s="10">
        <v>2.5333329999999998</v>
      </c>
      <c r="K267" s="10">
        <v>1.7047369999999999</v>
      </c>
      <c r="L267" s="10">
        <v>45.524438000000004</v>
      </c>
      <c r="M267" s="10">
        <v>45.524438000000004</v>
      </c>
      <c r="N267" s="10">
        <v>4519.6370999999999</v>
      </c>
      <c r="O267" s="10">
        <v>4522.5733</v>
      </c>
      <c r="P267" s="10">
        <v>1.705082</v>
      </c>
      <c r="Q267" s="10">
        <v>-2.0623</v>
      </c>
      <c r="R267" s="10">
        <v>29.466354039999999</v>
      </c>
      <c r="S267" s="10">
        <v>-38.821307400000002</v>
      </c>
      <c r="T267" s="10">
        <v>43</v>
      </c>
      <c r="U267" s="10">
        <v>46</v>
      </c>
      <c r="V267" s="10">
        <v>43</v>
      </c>
      <c r="W267" s="10">
        <v>46</v>
      </c>
      <c r="X267" s="4" t="s">
        <v>146</v>
      </c>
      <c r="Y267" s="4" t="s">
        <v>1806</v>
      </c>
      <c r="AA267" s="10">
        <f t="shared" si="16"/>
        <v>1.9323778783383164E-2</v>
      </c>
      <c r="AB267" s="10">
        <f t="shared" si="17"/>
        <v>0.53438382576411259</v>
      </c>
      <c r="AC267" s="10">
        <f t="shared" si="18"/>
        <v>62.329212528612914</v>
      </c>
      <c r="AD267" s="10">
        <f t="shared" si="19"/>
        <v>19.881976968962334</v>
      </c>
    </row>
    <row r="268" spans="1:30" x14ac:dyDescent="0.25">
      <c r="A268" s="33" t="s">
        <v>1804</v>
      </c>
      <c r="C268" s="39">
        <v>40847</v>
      </c>
      <c r="D268" s="53" t="s">
        <v>1808</v>
      </c>
      <c r="E268" s="4" t="str">
        <f>VLOOKUP(LEFT(D268,2),Sort!$A$1:$B$58,2,FALSE)</f>
        <v>Indonesia</v>
      </c>
      <c r="F268" s="4" t="s">
        <v>1014</v>
      </c>
      <c r="G268" s="18">
        <v>450000000</v>
      </c>
      <c r="H268" s="18">
        <v>510718752</v>
      </c>
      <c r="I268" s="10">
        <v>0.24617744699999999</v>
      </c>
      <c r="J268" s="10">
        <v>3.6805560000000002</v>
      </c>
      <c r="K268" s="10">
        <v>2.8760910000000002</v>
      </c>
      <c r="L268" s="10">
        <v>8.7668649999999992</v>
      </c>
      <c r="M268" s="10">
        <v>8.7668649999999992</v>
      </c>
      <c r="N268" s="10">
        <v>816.91430000000003</v>
      </c>
      <c r="O268" s="10">
        <v>823.63530000000003</v>
      </c>
      <c r="P268" s="10">
        <v>2.8660800000000002</v>
      </c>
      <c r="Q268" s="10">
        <v>-1.2746</v>
      </c>
      <c r="R268" s="10">
        <v>11.2449797</v>
      </c>
      <c r="S268" s="10">
        <v>3.26094404</v>
      </c>
      <c r="T268" s="10">
        <v>109.5</v>
      </c>
      <c r="U268" s="10">
        <v>111.5</v>
      </c>
      <c r="V268" s="10">
        <v>109.5</v>
      </c>
      <c r="W268" s="10">
        <v>111.5</v>
      </c>
      <c r="X268" s="4" t="s">
        <v>146</v>
      </c>
      <c r="Y268" s="4" t="s">
        <v>1809</v>
      </c>
      <c r="AA268" s="10">
        <f t="shared" si="16"/>
        <v>2.0052268451009287E-2</v>
      </c>
      <c r="AB268" s="10">
        <f t="shared" si="17"/>
        <v>0.26986565206306246</v>
      </c>
      <c r="AC268" s="10">
        <f t="shared" si="18"/>
        <v>38.995613338051356</v>
      </c>
      <c r="AD268" s="10">
        <f t="shared" si="19"/>
        <v>0.38669164390920358</v>
      </c>
    </row>
    <row r="269" spans="1:30" x14ac:dyDescent="0.25">
      <c r="A269" s="33" t="s">
        <v>1807</v>
      </c>
      <c r="C269" s="39">
        <v>40847</v>
      </c>
      <c r="D269" s="53" t="s">
        <v>1813</v>
      </c>
      <c r="E269" s="4" t="str">
        <f>VLOOKUP(LEFT(D269,2),Sort!$A$1:$B$58,2,FALSE)</f>
        <v>Indonesia</v>
      </c>
      <c r="F269" s="4" t="s">
        <v>1014</v>
      </c>
      <c r="G269" s="18">
        <v>700000000</v>
      </c>
      <c r="H269" s="18">
        <v>726643750</v>
      </c>
      <c r="I269" s="10">
        <v>0.35025794999999998</v>
      </c>
      <c r="J269" s="10">
        <v>5.9249999999999998</v>
      </c>
      <c r="K269" s="10">
        <v>4.374422</v>
      </c>
      <c r="L269" s="10">
        <v>9.6196839999999995</v>
      </c>
      <c r="M269" s="10">
        <v>9.6196839999999995</v>
      </c>
      <c r="N269" s="10">
        <v>836.4271</v>
      </c>
      <c r="O269" s="10">
        <v>849.65419999999995</v>
      </c>
      <c r="P269" s="10">
        <v>4.3116919999999999</v>
      </c>
      <c r="Q269" s="10">
        <v>0.5131</v>
      </c>
      <c r="R269" s="10">
        <v>15.121534199999999</v>
      </c>
      <c r="S269" s="10">
        <v>4.0589613489999996</v>
      </c>
      <c r="T269" s="10">
        <v>103</v>
      </c>
      <c r="U269" s="10">
        <v>105</v>
      </c>
      <c r="V269" s="10">
        <v>103</v>
      </c>
      <c r="W269" s="10">
        <v>105</v>
      </c>
      <c r="X269" s="4" t="s">
        <v>146</v>
      </c>
      <c r="Y269" s="4" t="s">
        <v>1814</v>
      </c>
      <c r="AA269" s="10">
        <f t="shared" si="16"/>
        <v>6.9225201714944021E-2</v>
      </c>
      <c r="AB269" s="10">
        <f t="shared" si="17"/>
        <v>0.42131200806702152</v>
      </c>
      <c r="AC269" s="10">
        <f t="shared" si="18"/>
        <v>57.235140166702891</v>
      </c>
      <c r="AD269" s="10">
        <f t="shared" si="19"/>
        <v>0.51810640054884138</v>
      </c>
    </row>
    <row r="270" spans="1:30" x14ac:dyDescent="0.25">
      <c r="A270" s="33" t="s">
        <v>1810</v>
      </c>
      <c r="C270" s="39">
        <v>40847</v>
      </c>
      <c r="D270" s="53" t="s">
        <v>4670</v>
      </c>
      <c r="E270" s="4" t="str">
        <f>VLOOKUP(LEFT(D270,2),Sort!$A$1:$B$58,2,FALSE)</f>
        <v>Indonesia</v>
      </c>
      <c r="F270" s="4" t="s">
        <v>1014</v>
      </c>
      <c r="G270" s="18">
        <v>300000000</v>
      </c>
      <c r="H270" s="18">
        <v>332300001</v>
      </c>
      <c r="I270" s="10">
        <v>0.160175763</v>
      </c>
      <c r="J270" s="10">
        <v>5.019444</v>
      </c>
      <c r="K270" s="10">
        <v>3.5964149999999999</v>
      </c>
      <c r="L270" s="10">
        <v>10.182867999999999</v>
      </c>
      <c r="M270" s="10">
        <v>10.182867999999999</v>
      </c>
      <c r="N270" s="10">
        <v>919.41420000000005</v>
      </c>
      <c r="O270" s="10">
        <v>930.70709999999997</v>
      </c>
      <c r="P270" s="10">
        <v>3.561696</v>
      </c>
      <c r="Q270" s="10">
        <v>-1.3068</v>
      </c>
      <c r="R270" s="10">
        <v>9.8512398149999996</v>
      </c>
      <c r="S270" s="10">
        <v>2.4838793859999999</v>
      </c>
      <c r="T270" s="10">
        <v>105</v>
      </c>
      <c r="U270" s="10">
        <v>107</v>
      </c>
      <c r="V270" s="10">
        <v>105</v>
      </c>
      <c r="W270" s="10">
        <v>107</v>
      </c>
      <c r="X270" s="4" t="s">
        <v>146</v>
      </c>
      <c r="Y270" s="4" t="s">
        <v>1811</v>
      </c>
      <c r="AA270" s="10">
        <f t="shared" si="16"/>
        <v>1.6314705020939981E-2</v>
      </c>
      <c r="AB270" s="10">
        <f t="shared" si="17"/>
        <v>0.21354835196114769</v>
      </c>
      <c r="AC270" s="10">
        <f t="shared" si="18"/>
        <v>28.670968877141039</v>
      </c>
      <c r="AD270" s="10">
        <f t="shared" si="19"/>
        <v>0.24144723494627959</v>
      </c>
    </row>
    <row r="271" spans="1:30" x14ac:dyDescent="0.25">
      <c r="A271" s="33" t="s">
        <v>1812</v>
      </c>
      <c r="C271" s="39">
        <v>40847</v>
      </c>
      <c r="D271" s="53" t="s">
        <v>1816</v>
      </c>
      <c r="E271" s="4" t="str">
        <f>VLOOKUP(LEFT(D271,2),Sort!$A$1:$B$58,2,FALSE)</f>
        <v>Indonesia</v>
      </c>
      <c r="F271" s="4" t="s">
        <v>1037</v>
      </c>
      <c r="G271" s="18">
        <v>300000000</v>
      </c>
      <c r="H271" s="18">
        <v>325245834</v>
      </c>
      <c r="I271" s="10">
        <v>0.15677550300000001</v>
      </c>
      <c r="J271" s="10">
        <v>3.2388889999999999</v>
      </c>
      <c r="K271" s="10">
        <v>2.7462040000000001</v>
      </c>
      <c r="L271" s="10">
        <v>6.4663890000000004</v>
      </c>
      <c r="M271" s="10">
        <v>6.4663890000000004</v>
      </c>
      <c r="N271" s="10">
        <v>599.76329999999996</v>
      </c>
      <c r="O271" s="10">
        <v>603.25800000000004</v>
      </c>
      <c r="P271" s="10">
        <v>2.7380529999999998</v>
      </c>
      <c r="Q271" s="10">
        <v>-0.89070000000000005</v>
      </c>
      <c r="R271" s="10">
        <v>7.1341322810000003</v>
      </c>
      <c r="S271" s="10">
        <v>1.486483274</v>
      </c>
      <c r="T271" s="10">
        <v>106</v>
      </c>
      <c r="U271" s="10">
        <v>108</v>
      </c>
      <c r="V271" s="10">
        <v>106</v>
      </c>
      <c r="W271" s="10">
        <v>108</v>
      </c>
      <c r="X271" s="4" t="s">
        <v>146</v>
      </c>
      <c r="Y271" s="4" t="s">
        <v>1817</v>
      </c>
      <c r="AA271" s="10">
        <f t="shared" si="16"/>
        <v>1.2193366306442313E-2</v>
      </c>
      <c r="AB271" s="10">
        <f t="shared" si="17"/>
        <v>5.6687615015633977E-2</v>
      </c>
      <c r="AC271" s="10">
        <f t="shared" si="18"/>
        <v>10.656377608460232</v>
      </c>
      <c r="AD271" s="10">
        <f t="shared" si="19"/>
        <v>0.23853033270138438</v>
      </c>
    </row>
    <row r="272" spans="1:30" x14ac:dyDescent="0.25">
      <c r="A272" s="33" t="s">
        <v>1815</v>
      </c>
      <c r="C272" s="39">
        <v>40847</v>
      </c>
      <c r="D272" s="53" t="s">
        <v>4671</v>
      </c>
      <c r="E272" s="4" t="str">
        <f>VLOOKUP(LEFT(D272,2),Sort!$A$1:$B$58,2,FALSE)</f>
        <v>Indonesia</v>
      </c>
      <c r="F272" s="4" t="s">
        <v>1037</v>
      </c>
      <c r="G272" s="18">
        <v>300000000</v>
      </c>
      <c r="H272" s="18">
        <v>317133333</v>
      </c>
      <c r="I272" s="10">
        <v>0.152865102</v>
      </c>
      <c r="J272" s="10">
        <v>6.5111109999999996</v>
      </c>
      <c r="K272" s="10">
        <v>5.1122079999999999</v>
      </c>
      <c r="L272" s="10">
        <v>6.1966450000000002</v>
      </c>
      <c r="M272" s="10">
        <v>6.1966450000000002</v>
      </c>
      <c r="N272" s="10">
        <v>476.8623</v>
      </c>
      <c r="O272" s="10">
        <v>486.10719999999998</v>
      </c>
      <c r="P272" s="10">
        <v>5.0197139999999996</v>
      </c>
      <c r="Q272" s="10">
        <v>-2.2927</v>
      </c>
      <c r="R272" s="10">
        <v>14.38533254</v>
      </c>
      <c r="S272" s="10">
        <v>2.4111955009999999</v>
      </c>
      <c r="T272" s="10">
        <v>102.25</v>
      </c>
      <c r="U272" s="10">
        <v>104.25</v>
      </c>
      <c r="V272" s="10">
        <v>102.25</v>
      </c>
      <c r="W272" s="10">
        <v>104.25</v>
      </c>
      <c r="X272" s="4" t="s">
        <v>146</v>
      </c>
      <c r="Y272" s="4" t="s">
        <v>1819</v>
      </c>
      <c r="AA272" s="10">
        <f t="shared" si="16"/>
        <v>3.5307943090039415E-2</v>
      </c>
      <c r="AB272" s="10">
        <f t="shared" si="17"/>
        <v>5.2967945071698844E-2</v>
      </c>
      <c r="AC272" s="10">
        <f t="shared" si="18"/>
        <v>4.3634671839071135</v>
      </c>
      <c r="AD272" s="10">
        <f t="shared" si="19"/>
        <v>0.22450502780765783</v>
      </c>
    </row>
    <row r="273" spans="1:30" x14ac:dyDescent="0.25">
      <c r="A273" s="33" t="s">
        <v>1818</v>
      </c>
      <c r="C273" s="39">
        <v>40847</v>
      </c>
      <c r="D273" s="53" t="s">
        <v>1821</v>
      </c>
      <c r="E273" s="4" t="str">
        <f>VLOOKUP(LEFT(D273,2),Sort!$A$1:$B$58,2,FALSE)</f>
        <v>Indonesia</v>
      </c>
      <c r="F273" s="4" t="s">
        <v>1014</v>
      </c>
      <c r="G273" s="18">
        <v>650000000</v>
      </c>
      <c r="H273" s="18">
        <v>727517011</v>
      </c>
      <c r="I273" s="10">
        <v>0.350678881</v>
      </c>
      <c r="J273" s="10">
        <v>8.7388890000000004</v>
      </c>
      <c r="K273" s="10">
        <v>6.5692110000000001</v>
      </c>
      <c r="L273" s="10">
        <v>5.6166859999999996</v>
      </c>
      <c r="M273" s="10">
        <v>5.6166859999999996</v>
      </c>
      <c r="N273" s="10">
        <v>371.89339999999999</v>
      </c>
      <c r="O273" s="10">
        <v>384.4853</v>
      </c>
      <c r="P273" s="10">
        <v>6.3830770000000001</v>
      </c>
      <c r="Q273" s="10">
        <v>0.69320000000000004</v>
      </c>
      <c r="R273" s="10">
        <v>10.9800547</v>
      </c>
      <c r="S273" s="10">
        <v>4.5865635669999998</v>
      </c>
      <c r="T273" s="10">
        <v>110</v>
      </c>
      <c r="U273" s="10">
        <v>112</v>
      </c>
      <c r="V273" s="10">
        <v>110</v>
      </c>
      <c r="W273" s="10">
        <v>112</v>
      </c>
      <c r="X273" s="4" t="s">
        <v>146</v>
      </c>
      <c r="Y273" s="4" t="s">
        <v>1822</v>
      </c>
      <c r="AA273" s="10">
        <f t="shared" si="16"/>
        <v>0.10057934077014345</v>
      </c>
      <c r="AB273" s="10">
        <f t="shared" si="17"/>
        <v>5.6712706378613732E-2</v>
      </c>
      <c r="AC273" s="10">
        <f t="shared" si="18"/>
        <v>2.7723720097484286</v>
      </c>
      <c r="AD273" s="10">
        <f t="shared" si="19"/>
        <v>0.55331098340979235</v>
      </c>
    </row>
    <row r="274" spans="1:30" x14ac:dyDescent="0.25">
      <c r="A274" s="33" t="s">
        <v>1820</v>
      </c>
      <c r="C274" s="39">
        <v>40847</v>
      </c>
      <c r="D274" s="53" t="s">
        <v>1824</v>
      </c>
      <c r="E274" s="4" t="str">
        <f>VLOOKUP(LEFT(D274,2),Sort!$A$1:$B$58,2,FALSE)</f>
        <v>Indonesia</v>
      </c>
      <c r="F274" s="4" t="s">
        <v>1014</v>
      </c>
      <c r="G274" s="18">
        <v>395608000</v>
      </c>
      <c r="H274" s="18">
        <v>409652084</v>
      </c>
      <c r="I274" s="10">
        <v>0.19746113500000001</v>
      </c>
      <c r="J274" s="10">
        <v>3.4916670000000001</v>
      </c>
      <c r="K274" s="10">
        <v>2.9671050000000001</v>
      </c>
      <c r="L274" s="10">
        <v>7.3495150000000002</v>
      </c>
      <c r="M274" s="10">
        <v>7.3495150000000002</v>
      </c>
      <c r="N274" s="10">
        <v>680.69479999999999</v>
      </c>
      <c r="O274" s="10">
        <v>685.46770000000004</v>
      </c>
      <c r="P274" s="10">
        <v>2.9587530000000002</v>
      </c>
      <c r="Q274" s="10">
        <v>1.9945999999999999</v>
      </c>
      <c r="R274" s="10">
        <v>14.12192505</v>
      </c>
      <c r="S274" s="10">
        <v>4.8656120769999998</v>
      </c>
      <c r="T274" s="10">
        <v>103</v>
      </c>
      <c r="U274" s="10">
        <v>105</v>
      </c>
      <c r="V274" s="10">
        <v>103</v>
      </c>
      <c r="W274" s="10">
        <v>105</v>
      </c>
      <c r="X274" s="4" t="s">
        <v>146</v>
      </c>
      <c r="Y274" s="4" t="s">
        <v>1825</v>
      </c>
      <c r="AA274" s="10">
        <f t="shared" si="16"/>
        <v>1.6593086108709739E-2</v>
      </c>
      <c r="AB274" s="10">
        <f t="shared" si="17"/>
        <v>8.1149988989172639E-2</v>
      </c>
      <c r="AC274" s="10">
        <f t="shared" si="18"/>
        <v>15.250951241894327</v>
      </c>
      <c r="AD274" s="10">
        <f t="shared" si="19"/>
        <v>0.29208723906119283</v>
      </c>
    </row>
    <row r="275" spans="1:30" x14ac:dyDescent="0.25">
      <c r="A275" s="33" t="s">
        <v>1823</v>
      </c>
      <c r="C275" s="39">
        <v>40847</v>
      </c>
      <c r="D275" s="53" t="s">
        <v>1827</v>
      </c>
      <c r="E275" s="4" t="str">
        <f>VLOOKUP(LEFT(D275,2),Sort!$A$1:$B$58,2,FALSE)</f>
        <v>Indonesia</v>
      </c>
      <c r="F275" s="4" t="s">
        <v>1014</v>
      </c>
      <c r="G275" s="18">
        <v>800000000</v>
      </c>
      <c r="H275" s="18">
        <v>861863888</v>
      </c>
      <c r="I275" s="10">
        <v>0.41543697200000002</v>
      </c>
      <c r="J275" s="10">
        <v>7.9694440000000002</v>
      </c>
      <c r="K275" s="10">
        <v>6.1188390000000004</v>
      </c>
      <c r="L275" s="10">
        <v>6.177441</v>
      </c>
      <c r="M275" s="10">
        <v>6.177441</v>
      </c>
      <c r="N275" s="10">
        <v>442.38319999999999</v>
      </c>
      <c r="O275" s="10">
        <v>454.79750000000001</v>
      </c>
      <c r="P275" s="10">
        <v>5.9660039999999999</v>
      </c>
      <c r="Q275" s="10">
        <v>-0.4425</v>
      </c>
      <c r="R275" s="10">
        <v>9.0259985950000008</v>
      </c>
      <c r="S275" s="10">
        <v>4.9869357010000002</v>
      </c>
      <c r="T275" s="10">
        <v>107.5</v>
      </c>
      <c r="U275" s="10">
        <v>109</v>
      </c>
      <c r="V275" s="10">
        <v>107.5</v>
      </c>
      <c r="W275" s="10">
        <v>109</v>
      </c>
      <c r="X275" s="4" t="s">
        <v>146</v>
      </c>
      <c r="Y275" s="4" t="s">
        <v>1828</v>
      </c>
      <c r="AA275" s="10">
        <f t="shared" si="16"/>
        <v>0.11098393811514876</v>
      </c>
      <c r="AB275" s="10">
        <f t="shared" si="17"/>
        <v>0.14350330602953798</v>
      </c>
      <c r="AC275" s="10">
        <f t="shared" si="18"/>
        <v>11.094673381477421</v>
      </c>
      <c r="AD275" s="10">
        <f t="shared" si="19"/>
        <v>0.63793039932459694</v>
      </c>
    </row>
    <row r="276" spans="1:30" x14ac:dyDescent="0.25">
      <c r="A276" s="33" t="s">
        <v>1826</v>
      </c>
      <c r="C276" s="39">
        <v>40847</v>
      </c>
      <c r="D276" s="53" t="s">
        <v>1830</v>
      </c>
      <c r="E276" s="4" t="str">
        <f>VLOOKUP(LEFT(D276,2),Sort!$A$1:$B$58,2,FALSE)</f>
        <v>Indonesia</v>
      </c>
      <c r="F276" s="4" t="s">
        <v>1037</v>
      </c>
      <c r="G276" s="18">
        <v>350000000</v>
      </c>
      <c r="H276" s="18">
        <v>395806250</v>
      </c>
      <c r="I276" s="10">
        <v>0.19078714399999999</v>
      </c>
      <c r="J276" s="10">
        <v>3.0964290000000001</v>
      </c>
      <c r="K276" s="10">
        <v>2.5773510000000002</v>
      </c>
      <c r="L276" s="10">
        <v>6.9257229999999996</v>
      </c>
      <c r="M276" s="10">
        <v>6.9257229999999996</v>
      </c>
      <c r="N276" s="10">
        <v>649.85659999999996</v>
      </c>
      <c r="O276" s="10">
        <v>650.53240000000005</v>
      </c>
      <c r="P276" s="10">
        <v>2.5674480000000002</v>
      </c>
      <c r="Q276" s="10">
        <v>0.47260000000000002</v>
      </c>
      <c r="R276" s="10">
        <v>12.869595869999999</v>
      </c>
      <c r="S276" s="10">
        <v>5.7207027430000004</v>
      </c>
      <c r="T276" s="10">
        <v>110.5</v>
      </c>
      <c r="U276" s="10">
        <v>112.5</v>
      </c>
      <c r="V276" s="10">
        <v>110.5</v>
      </c>
      <c r="W276" s="10">
        <v>112.5</v>
      </c>
      <c r="X276" s="4" t="s">
        <v>146</v>
      </c>
      <c r="Y276" s="4" t="s">
        <v>1831</v>
      </c>
      <c r="AA276" s="10">
        <f t="shared" si="16"/>
        <v>1.3926285624207838E-2</v>
      </c>
      <c r="AB276" s="10">
        <f t="shared" si="17"/>
        <v>7.3886038403758028E-2</v>
      </c>
      <c r="AC276" s="10">
        <f t="shared" si="18"/>
        <v>13.984480837851924</v>
      </c>
      <c r="AD276" s="10">
        <f t="shared" si="19"/>
        <v>0.30237319304714538</v>
      </c>
    </row>
    <row r="277" spans="1:30" x14ac:dyDescent="0.25">
      <c r="A277" s="33" t="s">
        <v>1829</v>
      </c>
      <c r="C277" s="39">
        <v>40847</v>
      </c>
      <c r="D277" s="53" t="s">
        <v>1833</v>
      </c>
      <c r="E277" s="4" t="str">
        <f>VLOOKUP(LEFT(D277,2),Sort!$A$1:$B$58,2,FALSE)</f>
        <v>Israel</v>
      </c>
      <c r="F277" s="4" t="s">
        <v>1037</v>
      </c>
      <c r="G277" s="18">
        <v>1000000000</v>
      </c>
      <c r="H277" s="18">
        <v>1084250000</v>
      </c>
      <c r="I277" s="10">
        <v>0.52263187099999997</v>
      </c>
      <c r="J277" s="10">
        <v>7.2</v>
      </c>
      <c r="K277" s="10">
        <v>5.6164019999999999</v>
      </c>
      <c r="L277" s="10">
        <v>5.9105970000000001</v>
      </c>
      <c r="M277" s="10">
        <v>5.9105970000000001</v>
      </c>
      <c r="N277" s="10">
        <v>430.113</v>
      </c>
      <c r="O277" s="10">
        <v>442.209</v>
      </c>
      <c r="P277" s="10">
        <v>5.4927669999999997</v>
      </c>
      <c r="Q277" s="10">
        <v>0.24979999999999999</v>
      </c>
      <c r="R277" s="10">
        <v>0.99094480100000004</v>
      </c>
      <c r="S277" s="10">
        <v>2.1455728039999999</v>
      </c>
      <c r="T277" s="10">
        <v>106.25</v>
      </c>
      <c r="U277" s="10">
        <v>107.75</v>
      </c>
      <c r="V277" s="10">
        <v>106.25</v>
      </c>
      <c r="W277" s="10">
        <v>107.75</v>
      </c>
      <c r="X277" s="4" t="s">
        <v>146</v>
      </c>
      <c r="Y277" s="4" t="s">
        <v>1834</v>
      </c>
      <c r="AA277" s="10">
        <f t="shared" si="16"/>
        <v>0.13262018412608265</v>
      </c>
      <c r="AB277" s="10">
        <f t="shared" si="17"/>
        <v>8.8944245326905202E-2</v>
      </c>
      <c r="AC277" s="10">
        <f t="shared" si="18"/>
        <v>13.571091436677966</v>
      </c>
      <c r="AD277" s="10">
        <f t="shared" si="19"/>
        <v>0.79333173179750516</v>
      </c>
    </row>
    <row r="278" spans="1:30" x14ac:dyDescent="0.25">
      <c r="A278" s="33" t="s">
        <v>1832</v>
      </c>
      <c r="C278" s="39">
        <v>40847</v>
      </c>
      <c r="D278" s="53" t="s">
        <v>1836</v>
      </c>
      <c r="E278" s="4" t="str">
        <f>VLOOKUP(LEFT(D278,2),Sort!$A$1:$B$58,2,FALSE)</f>
        <v>Israel</v>
      </c>
      <c r="F278" s="4" t="s">
        <v>1037</v>
      </c>
      <c r="G278" s="18">
        <v>300000000</v>
      </c>
      <c r="H278" s="18">
        <v>330662499</v>
      </c>
      <c r="I278" s="10">
        <v>0.15938645200000001</v>
      </c>
      <c r="J278" s="10">
        <v>16.116667</v>
      </c>
      <c r="K278" s="10">
        <v>9.4198079999999997</v>
      </c>
      <c r="L278" s="10">
        <v>6.7955189999999996</v>
      </c>
      <c r="M278" s="10">
        <v>6.7955189999999996</v>
      </c>
      <c r="N278" s="10">
        <v>435.07920000000001</v>
      </c>
      <c r="O278" s="10">
        <v>439.13060000000002</v>
      </c>
      <c r="P278" s="10">
        <v>8.9450939999999992</v>
      </c>
      <c r="Q278" s="10">
        <v>0.47539999999999999</v>
      </c>
      <c r="R278" s="10">
        <v>2.6570068899999999</v>
      </c>
      <c r="S278" s="10">
        <v>6.100990275</v>
      </c>
      <c r="T278" s="10">
        <v>107.25</v>
      </c>
      <c r="U278" s="10">
        <v>109.25</v>
      </c>
      <c r="V278" s="10">
        <v>107.25</v>
      </c>
      <c r="W278" s="10">
        <v>109.25</v>
      </c>
      <c r="X278" s="4" t="s">
        <v>146</v>
      </c>
      <c r="Y278" s="4" t="s">
        <v>1837</v>
      </c>
      <c r="AA278" s="10">
        <f t="shared" si="16"/>
        <v>0.63628125210167796</v>
      </c>
      <c r="AB278" s="10">
        <f t="shared" si="17"/>
        <v>6.0565065434063134E-2</v>
      </c>
      <c r="AC278" s="10">
        <f t="shared" si="18"/>
        <v>4.109948815824529</v>
      </c>
      <c r="AD278" s="10">
        <f t="shared" si="19"/>
        <v>0.2453095779184544</v>
      </c>
    </row>
    <row r="279" spans="1:30" x14ac:dyDescent="0.25">
      <c r="A279" s="33" t="s">
        <v>1835</v>
      </c>
      <c r="C279" s="39">
        <v>40847</v>
      </c>
      <c r="D279" s="53" t="s">
        <v>1839</v>
      </c>
      <c r="E279" s="4" t="str">
        <f>VLOOKUP(LEFT(D279,2),Sort!$A$1:$B$58,2,FALSE)</f>
        <v>Israel</v>
      </c>
      <c r="F279" s="4" t="s">
        <v>1037</v>
      </c>
      <c r="G279" s="18">
        <v>500000000</v>
      </c>
      <c r="H279" s="18">
        <v>612369790</v>
      </c>
      <c r="I279" s="10">
        <v>0.29517543800000001</v>
      </c>
      <c r="J279" s="10">
        <v>8.2361109999999993</v>
      </c>
      <c r="K279" s="10">
        <v>5.963578</v>
      </c>
      <c r="L279" s="10">
        <v>6.0227589999999998</v>
      </c>
      <c r="M279" s="10">
        <v>6.0227589999999998</v>
      </c>
      <c r="N279" s="10">
        <v>421.9194</v>
      </c>
      <c r="O279" s="10">
        <v>437.78699999999998</v>
      </c>
      <c r="P279" s="10">
        <v>5.8109200000000003</v>
      </c>
      <c r="Q279" s="10">
        <v>0.22589999999999999</v>
      </c>
      <c r="R279" s="10">
        <v>0.80593047900000003</v>
      </c>
      <c r="S279" s="10">
        <v>2.3365977610000002</v>
      </c>
      <c r="T279" s="10">
        <v>120</v>
      </c>
      <c r="U279" s="10">
        <v>121.5</v>
      </c>
      <c r="V279" s="10">
        <v>120</v>
      </c>
      <c r="W279" s="10">
        <v>121.5</v>
      </c>
      <c r="X279" s="4" t="s">
        <v>146</v>
      </c>
      <c r="Y279" s="4" t="s">
        <v>1840</v>
      </c>
      <c r="AA279" s="10">
        <f t="shared" si="16"/>
        <v>7.9532140646565372E-2</v>
      </c>
      <c r="AB279" s="10">
        <f t="shared" si="17"/>
        <v>9.9408577412975485E-2</v>
      </c>
      <c r="AC279" s="10">
        <f t="shared" si="18"/>
        <v>7.588123440541068</v>
      </c>
      <c r="AD279" s="10">
        <f t="shared" si="19"/>
        <v>8.6624655985038483</v>
      </c>
    </row>
    <row r="280" spans="1:30" x14ac:dyDescent="0.25">
      <c r="A280" s="33" t="s">
        <v>1838</v>
      </c>
      <c r="C280" s="39">
        <v>40847</v>
      </c>
      <c r="D280" s="53" t="s">
        <v>1842</v>
      </c>
      <c r="E280" s="4" t="str">
        <f>VLOOKUP(LEFT(D280,2),Sort!$A$1:$B$58,2,FALSE)</f>
        <v>India</v>
      </c>
      <c r="F280" s="4" t="s">
        <v>1007</v>
      </c>
      <c r="G280" s="18">
        <v>321437926</v>
      </c>
      <c r="H280" s="18">
        <v>317494506.19999999</v>
      </c>
      <c r="I280" s="10">
        <v>0.15303919599999999</v>
      </c>
      <c r="J280" s="10">
        <v>4.4972219999999998</v>
      </c>
      <c r="K280" s="10">
        <v>4.0314300000000003</v>
      </c>
      <c r="L280" s="10">
        <v>4.7599470000000004</v>
      </c>
      <c r="M280" s="10">
        <v>4.7599470000000004</v>
      </c>
      <c r="N280" s="10">
        <v>392.37580000000003</v>
      </c>
      <c r="O280" s="10">
        <v>396.32429999999999</v>
      </c>
      <c r="P280" s="10">
        <v>4.0029380000000003</v>
      </c>
      <c r="Q280" s="10">
        <v>2.35E-2</v>
      </c>
      <c r="R280" s="10">
        <v>3.435981258</v>
      </c>
      <c r="S280" s="10">
        <v>2.2772966490000002</v>
      </c>
      <c r="T280" s="10">
        <v>98.76</v>
      </c>
      <c r="U280" s="10">
        <v>99.96</v>
      </c>
      <c r="V280" s="10">
        <v>98.76</v>
      </c>
      <c r="W280" s="10">
        <v>99.96</v>
      </c>
      <c r="X280" s="4" t="s">
        <v>146</v>
      </c>
      <c r="Y280" s="4" t="s">
        <v>1843</v>
      </c>
      <c r="AA280" s="10">
        <f t="shared" si="16"/>
        <v>2.7875158694582739E-2</v>
      </c>
      <c r="AB280" s="10">
        <f t="shared" si="17"/>
        <v>2.0974683036898041E-2</v>
      </c>
      <c r="AC280" s="10">
        <f t="shared" si="18"/>
        <v>1.2471409193574277</v>
      </c>
      <c r="AD280" s="10">
        <f t="shared" si="19"/>
        <v>0.66528814040768303</v>
      </c>
    </row>
    <row r="281" spans="1:30" x14ac:dyDescent="0.25">
      <c r="A281" s="33" t="s">
        <v>1841</v>
      </c>
      <c r="C281" s="39">
        <v>40847</v>
      </c>
      <c r="D281" s="53" t="s">
        <v>1845</v>
      </c>
      <c r="E281" s="4" t="str">
        <f>VLOOKUP(LEFT(D281,2),Sort!$A$1:$B$58,2,FALSE)</f>
        <v>India</v>
      </c>
      <c r="F281" s="4" t="s">
        <v>1007</v>
      </c>
      <c r="G281" s="18">
        <v>225006548</v>
      </c>
      <c r="H281" s="18">
        <v>228339457.5</v>
      </c>
      <c r="I281" s="10">
        <v>0.11006454</v>
      </c>
      <c r="J281" s="10">
        <v>3.9083329999999998</v>
      </c>
      <c r="K281" s="10">
        <v>3.507968</v>
      </c>
      <c r="L281" s="10">
        <v>4.5600889999999996</v>
      </c>
      <c r="M281" s="10">
        <v>4.5600889999999996</v>
      </c>
      <c r="N281" s="10">
        <v>389.5856</v>
      </c>
      <c r="O281" s="10">
        <v>393.59359999999998</v>
      </c>
      <c r="P281" s="10">
        <v>3.4916149999999999</v>
      </c>
      <c r="Q281" s="10">
        <v>1.44E-2</v>
      </c>
      <c r="R281" s="10">
        <v>2.9086788810000002</v>
      </c>
      <c r="S281" s="10">
        <v>2.7071720699999999</v>
      </c>
      <c r="T281" s="10">
        <v>101</v>
      </c>
      <c r="U281" s="10">
        <v>102.44</v>
      </c>
      <c r="V281" s="10">
        <v>101</v>
      </c>
      <c r="W281" s="10">
        <v>102.44</v>
      </c>
      <c r="X281" s="4" t="s">
        <v>146</v>
      </c>
      <c r="Y281" s="4" t="s">
        <v>1846</v>
      </c>
      <c r="AA281" s="10">
        <f t="shared" si="16"/>
        <v>1.0934921531302769E-2</v>
      </c>
      <c r="AB281" s="10">
        <f t="shared" si="17"/>
        <v>1.4451447801960837E-2</v>
      </c>
      <c r="AC281" s="10">
        <f t="shared" si="18"/>
        <v>0.89075363998648283</v>
      </c>
      <c r="AD281" s="10">
        <f t="shared" si="19"/>
        <v>0.15883955096376545</v>
      </c>
    </row>
    <row r="282" spans="1:30" x14ac:dyDescent="0.25">
      <c r="A282" s="33" t="s">
        <v>1844</v>
      </c>
      <c r="C282" s="39">
        <v>40847</v>
      </c>
      <c r="D282" s="53" t="s">
        <v>1848</v>
      </c>
      <c r="E282" s="4" t="str">
        <f>VLOOKUP(LEFT(D282,2),Sort!$A$1:$B$58,2,FALSE)</f>
        <v>India</v>
      </c>
      <c r="F282" s="4" t="s">
        <v>1007</v>
      </c>
      <c r="G282" s="18">
        <v>225006548</v>
      </c>
      <c r="H282" s="18">
        <v>225665943.19999999</v>
      </c>
      <c r="I282" s="10">
        <v>0.10877584899999999</v>
      </c>
      <c r="J282" s="10">
        <v>3.927778</v>
      </c>
      <c r="K282" s="10">
        <v>3.5546319999999998</v>
      </c>
      <c r="L282" s="10">
        <v>4.5105029999999999</v>
      </c>
      <c r="M282" s="10">
        <v>4.5105029999999999</v>
      </c>
      <c r="N282" s="10">
        <v>384.05919999999998</v>
      </c>
      <c r="O282" s="10">
        <v>387.83890000000002</v>
      </c>
      <c r="P282" s="10">
        <v>3.537814</v>
      </c>
      <c r="Q282" s="10">
        <v>1.32E-2</v>
      </c>
      <c r="R282" s="10">
        <v>3.308491853</v>
      </c>
      <c r="S282" s="10">
        <v>3.5925081030000001</v>
      </c>
      <c r="T282" s="10">
        <v>99.95</v>
      </c>
      <c r="U282" s="10">
        <v>100.85</v>
      </c>
      <c r="V282" s="10">
        <v>99.95</v>
      </c>
      <c r="W282" s="10">
        <v>100.85</v>
      </c>
      <c r="X282" s="4" t="s">
        <v>146</v>
      </c>
      <c r="Y282" s="4" t="s">
        <v>1849</v>
      </c>
      <c r="AA282" s="10">
        <f t="shared" si="16"/>
        <v>1.0950646278312631E-2</v>
      </c>
      <c r="AB282" s="10">
        <f t="shared" si="17"/>
        <v>1.4126939081608926E-2</v>
      </c>
      <c r="AC282" s="10">
        <f t="shared" si="18"/>
        <v>0.86745309497589418</v>
      </c>
      <c r="AD282" s="10">
        <f t="shared" si="19"/>
        <v>0.15454324966710065</v>
      </c>
    </row>
    <row r="283" spans="1:30" x14ac:dyDescent="0.25">
      <c r="A283" s="33" t="s">
        <v>1847</v>
      </c>
      <c r="C283" s="39">
        <v>40847</v>
      </c>
      <c r="D283" s="53" t="s">
        <v>1851</v>
      </c>
      <c r="E283" s="4" t="str">
        <f>VLOOKUP(LEFT(D283,2),Sort!$A$1:$B$58,2,FALSE)</f>
        <v>India</v>
      </c>
      <c r="F283" s="4" t="s">
        <v>1007</v>
      </c>
      <c r="G283" s="18">
        <v>321437926</v>
      </c>
      <c r="H283" s="18">
        <v>327057731.30000001</v>
      </c>
      <c r="I283" s="10">
        <v>0.15764887599999999</v>
      </c>
      <c r="J283" s="10">
        <v>4.8083330000000002</v>
      </c>
      <c r="K283" s="10">
        <v>4.239001</v>
      </c>
      <c r="L283" s="10">
        <v>4.5100930000000004</v>
      </c>
      <c r="M283" s="10">
        <v>4.5100930000000004</v>
      </c>
      <c r="N283" s="10">
        <v>358.30599999999998</v>
      </c>
      <c r="O283" s="10">
        <v>362.53879999999998</v>
      </c>
      <c r="P283" s="10">
        <v>4.2012099999999997</v>
      </c>
      <c r="Q283" s="10">
        <v>2.35E-2</v>
      </c>
      <c r="R283" s="10">
        <v>4.0803091949999999</v>
      </c>
      <c r="S283" s="10">
        <v>4.809857</v>
      </c>
      <c r="T283" s="10">
        <v>100.79</v>
      </c>
      <c r="U283" s="10">
        <v>102.09</v>
      </c>
      <c r="V283" s="10">
        <v>100.79</v>
      </c>
      <c r="W283" s="10">
        <v>102.09</v>
      </c>
      <c r="X283" s="4" t="s">
        <v>146</v>
      </c>
      <c r="Y283" s="4" t="s">
        <v>1852</v>
      </c>
      <c r="AA283" s="10">
        <f t="shared" si="16"/>
        <v>3.0193255998858359E-2</v>
      </c>
      <c r="AB283" s="10">
        <f t="shared" si="17"/>
        <v>2.0472316726486296E-2</v>
      </c>
      <c r="AC283" s="10">
        <f t="shared" si="18"/>
        <v>1.1751884800918604</v>
      </c>
      <c r="AD283" s="10">
        <f t="shared" si="19"/>
        <v>0.22673352480105624</v>
      </c>
    </row>
    <row r="284" spans="1:30" x14ac:dyDescent="0.25">
      <c r="A284" s="33" t="s">
        <v>1850</v>
      </c>
      <c r="C284" s="39">
        <v>40847</v>
      </c>
      <c r="D284" s="53" t="s">
        <v>1854</v>
      </c>
      <c r="E284" s="4" t="str">
        <f>VLOOKUP(LEFT(D284,2),Sort!$A$1:$B$58,2,FALSE)</f>
        <v>India</v>
      </c>
      <c r="F284" s="4" t="s">
        <v>1007</v>
      </c>
      <c r="G284" s="18">
        <v>192862755</v>
      </c>
      <c r="H284" s="18">
        <v>194435791.80000001</v>
      </c>
      <c r="I284" s="10">
        <v>9.3722242999999997E-2</v>
      </c>
      <c r="J284" s="10">
        <v>10.561111</v>
      </c>
      <c r="K284" s="10">
        <v>4.4678389999999997</v>
      </c>
      <c r="L284" s="10">
        <v>6.2508840000000001</v>
      </c>
      <c r="M284" s="10">
        <v>6.2508840000000001</v>
      </c>
      <c r="N284" s="10">
        <v>408.83800000000002</v>
      </c>
      <c r="O284" s="10">
        <v>421.69940000000003</v>
      </c>
      <c r="P284" s="10">
        <v>7.2772629999999996</v>
      </c>
      <c r="Q284" s="10">
        <v>1.5290999999999999</v>
      </c>
      <c r="R284" s="10">
        <v>8.0549296380000008</v>
      </c>
      <c r="S284" s="10">
        <v>1.651629719</v>
      </c>
      <c r="T284" s="10">
        <v>98</v>
      </c>
      <c r="U284" s="10">
        <v>101</v>
      </c>
      <c r="V284" s="10">
        <v>98</v>
      </c>
      <c r="W284" s="10">
        <v>101</v>
      </c>
      <c r="X284" s="4" t="s">
        <v>146</v>
      </c>
      <c r="Y284" s="4" t="s">
        <v>1855</v>
      </c>
      <c r="AA284" s="10">
        <f t="shared" si="16"/>
        <v>1.8918893750250035E-2</v>
      </c>
      <c r="AB284" s="10">
        <f t="shared" si="17"/>
        <v>3.2759123151576766E-2</v>
      </c>
      <c r="AC284" s="10">
        <f t="shared" si="18"/>
        <v>2.3207959859627127</v>
      </c>
      <c r="AD284" s="10">
        <f t="shared" si="19"/>
        <v>0.13335389428272179</v>
      </c>
    </row>
    <row r="285" spans="1:30" x14ac:dyDescent="0.25">
      <c r="A285" s="33" t="s">
        <v>1853</v>
      </c>
      <c r="C285" s="39">
        <v>40847</v>
      </c>
      <c r="D285" s="53" t="s">
        <v>1857</v>
      </c>
      <c r="E285" s="4" t="str">
        <f>VLOOKUP(LEFT(D285,2),Sort!$A$1:$B$58,2,FALSE)</f>
        <v>India</v>
      </c>
      <c r="F285" s="4" t="s">
        <v>1007</v>
      </c>
      <c r="G285" s="18">
        <v>482156888</v>
      </c>
      <c r="H285" s="18">
        <v>484015202.60000002</v>
      </c>
      <c r="I285" s="10">
        <v>0.233305761</v>
      </c>
      <c r="J285" s="10">
        <v>3.9083329999999998</v>
      </c>
      <c r="K285" s="10">
        <v>3.535323</v>
      </c>
      <c r="L285" s="10">
        <v>4.5120420000000001</v>
      </c>
      <c r="M285" s="10">
        <v>4.5120420000000001</v>
      </c>
      <c r="N285" s="10">
        <v>384.78089999999997</v>
      </c>
      <c r="O285" s="10">
        <v>388.5385</v>
      </c>
      <c r="P285" s="10">
        <v>3.5187789999999999</v>
      </c>
      <c r="Q285" s="10">
        <v>2.3099999999999999E-2</v>
      </c>
      <c r="R285" s="10">
        <v>2.921430059</v>
      </c>
      <c r="S285" s="10">
        <v>2.0834220320000001</v>
      </c>
      <c r="T285" s="10">
        <v>99.95</v>
      </c>
      <c r="U285" s="10">
        <v>100.84</v>
      </c>
      <c r="V285" s="10">
        <v>99.95</v>
      </c>
      <c r="W285" s="10">
        <v>100.84</v>
      </c>
      <c r="X285" s="4" t="s">
        <v>146</v>
      </c>
      <c r="Y285" s="4" t="s">
        <v>1858</v>
      </c>
      <c r="AA285" s="10">
        <f t="shared" si="16"/>
        <v>2.3359695880024317E-2</v>
      </c>
      <c r="AB285" s="10">
        <f t="shared" si="17"/>
        <v>3.0310228547717186E-2</v>
      </c>
      <c r="AC285" s="10">
        <f t="shared" si="18"/>
        <v>1.8638959934278296</v>
      </c>
      <c r="AD285" s="10">
        <f t="shared" si="19"/>
        <v>0.33143621121762612</v>
      </c>
    </row>
    <row r="286" spans="1:30" x14ac:dyDescent="0.25">
      <c r="A286" s="33" t="s">
        <v>1856</v>
      </c>
      <c r="C286" s="39">
        <v>40847</v>
      </c>
      <c r="D286" s="53" t="s">
        <v>1860</v>
      </c>
      <c r="E286" s="4" t="str">
        <f>VLOOKUP(LEFT(D286,2),Sort!$A$1:$B$58,2,FALSE)</f>
        <v>India</v>
      </c>
      <c r="F286" s="4" t="s">
        <v>1007</v>
      </c>
      <c r="G286" s="18">
        <v>321437926</v>
      </c>
      <c r="H286" s="18">
        <v>332963423.60000002</v>
      </c>
      <c r="I286" s="10">
        <v>0.16049554699999999</v>
      </c>
      <c r="J286" s="10">
        <v>9.286111</v>
      </c>
      <c r="K286" s="10">
        <v>7.1154099999999998</v>
      </c>
      <c r="L286" s="10">
        <v>5.630001</v>
      </c>
      <c r="M286" s="10">
        <v>5.630001</v>
      </c>
      <c r="N286" s="10">
        <v>362.97359999999998</v>
      </c>
      <c r="O286" s="10">
        <v>374.46510000000001</v>
      </c>
      <c r="P286" s="10">
        <v>6.8900629999999996</v>
      </c>
      <c r="Q286" s="10">
        <v>1.5468</v>
      </c>
      <c r="R286" s="10">
        <v>5.1708108270000004</v>
      </c>
      <c r="S286" s="10">
        <v>7.0316390000000002</v>
      </c>
      <c r="T286" s="10">
        <v>102.2488</v>
      </c>
      <c r="U286" s="10">
        <v>104.42573</v>
      </c>
      <c r="V286" s="10">
        <v>102.2488</v>
      </c>
      <c r="W286" s="10">
        <v>104.42573</v>
      </c>
      <c r="X286" s="4" t="s">
        <v>146</v>
      </c>
      <c r="Y286" s="4" t="s">
        <v>1861</v>
      </c>
      <c r="AA286" s="10">
        <f t="shared" si="16"/>
        <v>4.9859610211948409E-2</v>
      </c>
      <c r="AB286" s="10">
        <f t="shared" si="17"/>
        <v>2.6017291036473097E-2</v>
      </c>
      <c r="AC286" s="10">
        <f t="shared" si="18"/>
        <v>1.2357667025542414</v>
      </c>
      <c r="AD286" s="10">
        <f t="shared" si="19"/>
        <v>0.23610879474537907</v>
      </c>
    </row>
    <row r="287" spans="1:30" x14ac:dyDescent="0.25">
      <c r="A287" s="33" t="s">
        <v>1859</v>
      </c>
      <c r="C287" s="39">
        <v>40847</v>
      </c>
      <c r="D287" s="53" t="s">
        <v>1863</v>
      </c>
      <c r="E287" s="4" t="str">
        <f>VLOOKUP(LEFT(D287,2),Sort!$A$1:$B$58,2,FALSE)</f>
        <v>India</v>
      </c>
      <c r="F287" s="4" t="s">
        <v>1007</v>
      </c>
      <c r="G287" s="18">
        <v>225006548</v>
      </c>
      <c r="H287" s="18">
        <v>226848789.09999999</v>
      </c>
      <c r="I287" s="10">
        <v>0.109346006</v>
      </c>
      <c r="J287" s="10">
        <v>4.8499999999999996</v>
      </c>
      <c r="K287" s="10">
        <v>4.2620829999999996</v>
      </c>
      <c r="L287" s="10">
        <v>4.8104300000000002</v>
      </c>
      <c r="M287" s="10">
        <v>4.8104300000000002</v>
      </c>
      <c r="N287" s="10">
        <v>387.12299999999999</v>
      </c>
      <c r="O287" s="10">
        <v>391.4341</v>
      </c>
      <c r="P287" s="10">
        <v>4.2217710000000004</v>
      </c>
      <c r="Q287" s="10">
        <v>2.4E-2</v>
      </c>
      <c r="R287" s="10">
        <v>3.4567539639999998</v>
      </c>
      <c r="S287" s="10">
        <v>1.57375</v>
      </c>
      <c r="T287" s="10">
        <v>100.05</v>
      </c>
      <c r="U287" s="10">
        <v>101.34</v>
      </c>
      <c r="V287" s="10">
        <v>100.05</v>
      </c>
      <c r="W287" s="10">
        <v>101.34</v>
      </c>
      <c r="X287" s="4" t="s">
        <v>146</v>
      </c>
      <c r="Y287" s="4" t="s">
        <v>1864</v>
      </c>
      <c r="AA287" s="10">
        <f t="shared" si="16"/>
        <v>2.1056218503787947E-2</v>
      </c>
      <c r="AB287" s="10">
        <f t="shared" si="17"/>
        <v>1.5145284624236413E-2</v>
      </c>
      <c r="AC287" s="10">
        <f t="shared" si="18"/>
        <v>0.88008320852365685</v>
      </c>
      <c r="AD287" s="10">
        <f t="shared" si="19"/>
        <v>0.1561081155825613</v>
      </c>
    </row>
    <row r="288" spans="1:30" x14ac:dyDescent="0.25">
      <c r="A288" s="33" t="s">
        <v>1862</v>
      </c>
      <c r="C288" s="39">
        <v>40847</v>
      </c>
      <c r="D288" s="53" t="s">
        <v>1866</v>
      </c>
      <c r="E288" s="4" t="str">
        <f>VLOOKUP(LEFT(D288,2),Sort!$A$1:$B$58,2,FALSE)</f>
        <v>India</v>
      </c>
      <c r="F288" s="4" t="s">
        <v>1007</v>
      </c>
      <c r="G288" s="18">
        <v>642875851</v>
      </c>
      <c r="H288" s="18">
        <v>648584151.39999998</v>
      </c>
      <c r="I288" s="10">
        <v>0.31263154100000001</v>
      </c>
      <c r="J288" s="10">
        <v>5.0611110000000004</v>
      </c>
      <c r="K288" s="10">
        <v>4.4051070000000001</v>
      </c>
      <c r="L288" s="10">
        <v>4.72</v>
      </c>
      <c r="M288" s="10">
        <v>4.72</v>
      </c>
      <c r="N288" s="10">
        <v>371.90030000000002</v>
      </c>
      <c r="O288" s="10">
        <v>376.02440000000001</v>
      </c>
      <c r="P288" s="10">
        <v>4.3578809999999999</v>
      </c>
      <c r="Q288" s="10">
        <v>1.0645</v>
      </c>
      <c r="R288" s="10">
        <v>4.9105958989999996</v>
      </c>
      <c r="S288" s="10">
        <v>-0.19933799999999999</v>
      </c>
      <c r="T288" s="10">
        <v>98.803210000000007</v>
      </c>
      <c r="U288" s="10">
        <v>100.13069</v>
      </c>
      <c r="V288" s="10">
        <v>98.803210000000007</v>
      </c>
      <c r="W288" s="10">
        <v>100.13069</v>
      </c>
      <c r="X288" s="4" t="s">
        <v>146</v>
      </c>
      <c r="Y288" s="4" t="s">
        <v>1867</v>
      </c>
      <c r="AA288" s="10">
        <f t="shared" si="16"/>
        <v>6.2222120053552515E-2</v>
      </c>
      <c r="AB288" s="10">
        <f t="shared" si="17"/>
        <v>4.2487913627327116E-2</v>
      </c>
      <c r="AC288" s="10">
        <f t="shared" si="18"/>
        <v>2.4171910189548891</v>
      </c>
      <c r="AD288" s="10">
        <f t="shared" si="19"/>
        <v>0.44100311493859534</v>
      </c>
    </row>
    <row r="289" spans="1:30" x14ac:dyDescent="0.25">
      <c r="A289" s="33" t="s">
        <v>1865</v>
      </c>
      <c r="C289" s="39">
        <v>40847</v>
      </c>
      <c r="D289" s="53" t="s">
        <v>1869</v>
      </c>
      <c r="E289" s="4" t="str">
        <f>VLOOKUP(LEFT(D289,2),Sort!$A$1:$B$58,2,FALSE)</f>
        <v>India</v>
      </c>
      <c r="F289" s="4" t="s">
        <v>1007</v>
      </c>
      <c r="G289" s="18">
        <v>482156888</v>
      </c>
      <c r="H289" s="18">
        <v>495949255.80000001</v>
      </c>
      <c r="I289" s="10">
        <v>0.23905823200000001</v>
      </c>
      <c r="J289" s="10">
        <v>3.394444</v>
      </c>
      <c r="K289" s="10">
        <v>3.0679340000000002</v>
      </c>
      <c r="L289" s="10">
        <v>4.4623850000000003</v>
      </c>
      <c r="M289" s="10">
        <v>4.4623850000000003</v>
      </c>
      <c r="N289" s="10">
        <v>394.82069999999999</v>
      </c>
      <c r="O289" s="10">
        <v>398.09190000000001</v>
      </c>
      <c r="P289" s="10">
        <v>3.0616219999999998</v>
      </c>
      <c r="Q289" s="10">
        <v>0.17069999999999999</v>
      </c>
      <c r="R289" s="10">
        <v>2.5909711940000002</v>
      </c>
      <c r="S289" s="10">
        <v>3.1840357620000002</v>
      </c>
      <c r="T289" s="10">
        <v>102.28</v>
      </c>
      <c r="U289" s="10">
        <v>103.23</v>
      </c>
      <c r="V289" s="10">
        <v>102.28</v>
      </c>
      <c r="W289" s="10">
        <v>103.23</v>
      </c>
      <c r="X289" s="4" t="s">
        <v>146</v>
      </c>
      <c r="Y289" s="4" t="s">
        <v>1870</v>
      </c>
      <c r="AA289" s="10">
        <f t="shared" si="16"/>
        <v>2.0771235913127312E-2</v>
      </c>
      <c r="AB289" s="10">
        <f t="shared" si="17"/>
        <v>3.0715766307367012E-2</v>
      </c>
      <c r="AC289" s="10">
        <f t="shared" si="18"/>
        <v>1.9568124227392152</v>
      </c>
      <c r="AD289" s="10">
        <f t="shared" si="19"/>
        <v>0.34765724653462626</v>
      </c>
    </row>
    <row r="290" spans="1:30" x14ac:dyDescent="0.25">
      <c r="A290" s="33" t="s">
        <v>1868</v>
      </c>
      <c r="C290" s="39">
        <v>40847</v>
      </c>
      <c r="D290" s="53" t="s">
        <v>1872</v>
      </c>
      <c r="E290" s="4" t="str">
        <f>VLOOKUP(LEFT(D290,2),Sort!$A$1:$B$58,2,FALSE)</f>
        <v>India</v>
      </c>
      <c r="F290" s="4" t="s">
        <v>1007</v>
      </c>
      <c r="G290" s="18">
        <v>642875851</v>
      </c>
      <c r="H290" s="18">
        <v>647101866.10000002</v>
      </c>
      <c r="I290" s="10">
        <v>0.31191704799999997</v>
      </c>
      <c r="J290" s="10">
        <v>9.036111</v>
      </c>
      <c r="K290" s="10">
        <v>6.9460389999999999</v>
      </c>
      <c r="L290" s="10">
        <v>5.7898360000000002</v>
      </c>
      <c r="M290" s="10">
        <v>5.7898360000000002</v>
      </c>
      <c r="N290" s="10">
        <v>383.64049999999997</v>
      </c>
      <c r="O290" s="10">
        <v>393.13810000000001</v>
      </c>
      <c r="P290" s="10">
        <v>6.7330430000000003</v>
      </c>
      <c r="Q290" s="10">
        <v>0.27489999999999998</v>
      </c>
      <c r="R290" s="10">
        <v>5.3671272720000003</v>
      </c>
      <c r="S290" s="10">
        <v>4.4424575639999997</v>
      </c>
      <c r="T290" s="10">
        <v>97.99</v>
      </c>
      <c r="U290" s="10">
        <v>99.72</v>
      </c>
      <c r="V290" s="10">
        <v>97.99</v>
      </c>
      <c r="W290" s="10">
        <v>99.72</v>
      </c>
      <c r="X290" s="4" t="s">
        <v>146</v>
      </c>
      <c r="Y290" s="4" t="s">
        <v>1873</v>
      </c>
      <c r="AA290" s="10">
        <f t="shared" si="16"/>
        <v>9.4593716850799023E-2</v>
      </c>
      <c r="AB290" s="10">
        <f t="shared" si="17"/>
        <v>5.1999119435167357E-2</v>
      </c>
      <c r="AC290" s="10">
        <f t="shared" si="18"/>
        <v>2.5214270025885694</v>
      </c>
      <c r="AD290" s="10">
        <f t="shared" si="19"/>
        <v>1.3527023404748122</v>
      </c>
    </row>
    <row r="291" spans="1:30" x14ac:dyDescent="0.25">
      <c r="A291" s="33" t="s">
        <v>1871</v>
      </c>
      <c r="C291" s="39">
        <v>40847</v>
      </c>
      <c r="D291" s="53" t="s">
        <v>1875</v>
      </c>
      <c r="E291" s="4" t="str">
        <f>VLOOKUP(LEFT(D291,2),Sort!$A$1:$B$58,2,FALSE)</f>
        <v>India</v>
      </c>
      <c r="F291" s="4" t="s">
        <v>1007</v>
      </c>
      <c r="G291" s="18">
        <v>321437926</v>
      </c>
      <c r="H291" s="18">
        <v>327806318.5</v>
      </c>
      <c r="I291" s="10">
        <v>0.158009711</v>
      </c>
      <c r="J291" s="10">
        <v>4.2</v>
      </c>
      <c r="K291" s="10">
        <v>3.7250359999999998</v>
      </c>
      <c r="L291" s="10">
        <v>4.57</v>
      </c>
      <c r="M291" s="10">
        <v>4.57</v>
      </c>
      <c r="N291" s="10">
        <v>382.06</v>
      </c>
      <c r="O291" s="10">
        <v>386.0498</v>
      </c>
      <c r="P291" s="10">
        <v>3.702353</v>
      </c>
      <c r="Q291" s="10">
        <v>1.0911999999999999</v>
      </c>
      <c r="R291" s="10">
        <v>3.440955443</v>
      </c>
      <c r="S291" s="10">
        <v>4.1776774310000002</v>
      </c>
      <c r="T291" s="10">
        <v>100.48121999999999</v>
      </c>
      <c r="U291" s="10">
        <v>101.61968</v>
      </c>
      <c r="V291" s="10">
        <v>100.48121999999999</v>
      </c>
      <c r="W291" s="10">
        <v>101.61968</v>
      </c>
      <c r="X291" s="4" t="s">
        <v>146</v>
      </c>
      <c r="Y291" s="4" t="s">
        <v>1876</v>
      </c>
      <c r="AA291" s="10">
        <f t="shared" si="16"/>
        <v>1.6669665209192074E-2</v>
      </c>
      <c r="AB291" s="10">
        <f t="shared" si="17"/>
        <v>2.0791728485873264E-2</v>
      </c>
      <c r="AC291" s="10">
        <f t="shared" si="18"/>
        <v>1.2542648887135919</v>
      </c>
      <c r="AD291" s="10">
        <f t="shared" si="19"/>
        <v>0.22620555161383543</v>
      </c>
    </row>
    <row r="292" spans="1:30" x14ac:dyDescent="0.25">
      <c r="A292" s="33" t="s">
        <v>1874</v>
      </c>
      <c r="C292" s="39">
        <v>40847</v>
      </c>
      <c r="D292" s="53" t="s">
        <v>1878</v>
      </c>
      <c r="E292" s="4" t="str">
        <f>VLOOKUP(LEFT(D292,2),Sort!$A$1:$B$58,2,FALSE)</f>
        <v>India</v>
      </c>
      <c r="F292" s="4" t="s">
        <v>1007</v>
      </c>
      <c r="G292" s="18">
        <v>482156888</v>
      </c>
      <c r="H292" s="18">
        <v>449867443.89999998</v>
      </c>
      <c r="I292" s="10">
        <v>0.216845805</v>
      </c>
      <c r="J292" s="10">
        <v>10.497222000000001</v>
      </c>
      <c r="K292" s="10">
        <v>4.4698779999999996</v>
      </c>
      <c r="L292" s="10">
        <v>6.6497570000000001</v>
      </c>
      <c r="M292" s="10">
        <v>6.6497570000000001</v>
      </c>
      <c r="N292" s="10">
        <v>449.0498</v>
      </c>
      <c r="O292" s="10">
        <v>462.11680000000001</v>
      </c>
      <c r="P292" s="10">
        <v>7.4337530000000003</v>
      </c>
      <c r="Q292" s="10">
        <v>-0.24829999999999999</v>
      </c>
      <c r="R292" s="10">
        <v>15.40388205</v>
      </c>
      <c r="S292" s="10">
        <v>-1.032388879</v>
      </c>
      <c r="T292" s="10">
        <v>93.25</v>
      </c>
      <c r="U292" s="10">
        <v>96.25</v>
      </c>
      <c r="V292" s="10">
        <v>93.25</v>
      </c>
      <c r="W292" s="10">
        <v>96.25</v>
      </c>
      <c r="X292" s="4" t="s">
        <v>146</v>
      </c>
      <c r="Y292" s="4" t="s">
        <v>1879</v>
      </c>
      <c r="AA292" s="10">
        <f t="shared" si="16"/>
        <v>4.3792752764170363E-2</v>
      </c>
      <c r="AB292" s="10">
        <f t="shared" si="17"/>
        <v>8.0631540369207472E-2</v>
      </c>
      <c r="AC292" s="10">
        <f t="shared" si="18"/>
        <v>5.8842903091177483</v>
      </c>
      <c r="AD292" s="10">
        <f t="shared" si="19"/>
        <v>0.90767970016021848</v>
      </c>
    </row>
    <row r="293" spans="1:30" x14ac:dyDescent="0.25">
      <c r="A293" s="33" t="s">
        <v>1877</v>
      </c>
      <c r="C293" s="39">
        <v>40847</v>
      </c>
      <c r="D293" s="53" t="s">
        <v>1881</v>
      </c>
      <c r="E293" s="4" t="str">
        <f>VLOOKUP(LEFT(D293,2),Sort!$A$1:$B$58,2,FALSE)</f>
        <v>India</v>
      </c>
      <c r="F293" s="4" t="s">
        <v>1007</v>
      </c>
      <c r="G293" s="18">
        <v>218577789</v>
      </c>
      <c r="H293" s="18">
        <v>196852068.19999999</v>
      </c>
      <c r="I293" s="10">
        <v>9.4886940000000003E-2</v>
      </c>
      <c r="J293" s="10">
        <v>37.991667</v>
      </c>
      <c r="K293" s="10">
        <v>12.181718</v>
      </c>
      <c r="L293" s="10">
        <v>7.741879</v>
      </c>
      <c r="M293" s="10">
        <v>7.741879</v>
      </c>
      <c r="N293" s="10">
        <v>418.59019999999998</v>
      </c>
      <c r="O293" s="10">
        <v>498.38080000000002</v>
      </c>
      <c r="P293" s="10">
        <v>11.355604</v>
      </c>
      <c r="Q293" s="10">
        <v>2.24E-2</v>
      </c>
      <c r="R293" s="10">
        <v>7.655929735</v>
      </c>
      <c r="S293" s="10">
        <v>-3.1262044219999998</v>
      </c>
      <c r="T293" s="10">
        <v>90</v>
      </c>
      <c r="U293" s="10">
        <v>94</v>
      </c>
      <c r="V293" s="10">
        <v>90</v>
      </c>
      <c r="W293" s="10">
        <v>94</v>
      </c>
      <c r="X293" s="4" t="s">
        <v>146</v>
      </c>
      <c r="Y293" s="4" t="s">
        <v>1882</v>
      </c>
      <c r="AA293" s="10">
        <f t="shared" si="16"/>
        <v>0.12317058304715432</v>
      </c>
      <c r="AB293" s="10">
        <f t="shared" si="17"/>
        <v>4.1077213700797983E-2</v>
      </c>
      <c r="AC293" s="10">
        <f t="shared" si="18"/>
        <v>2.7768924098826959</v>
      </c>
      <c r="AD293" s="10">
        <f t="shared" si="19"/>
        <v>0.38789586944954985</v>
      </c>
    </row>
    <row r="294" spans="1:30" x14ac:dyDescent="0.25">
      <c r="A294" s="33" t="s">
        <v>1880</v>
      </c>
      <c r="C294" s="39">
        <v>40847</v>
      </c>
      <c r="D294" s="53" t="s">
        <v>1884</v>
      </c>
      <c r="E294" s="4" t="str">
        <f>VLOOKUP(LEFT(D294,2),Sort!$A$1:$B$58,2,FALSE)</f>
        <v>India</v>
      </c>
      <c r="F294" s="4" t="s">
        <v>1007</v>
      </c>
      <c r="G294" s="18">
        <v>225006548</v>
      </c>
      <c r="H294" s="18">
        <v>225369058.30000001</v>
      </c>
      <c r="I294" s="10">
        <v>0.108632744</v>
      </c>
      <c r="J294" s="10">
        <v>4.2555560000000003</v>
      </c>
      <c r="K294" s="10">
        <v>3.7948499999999998</v>
      </c>
      <c r="L294" s="10">
        <v>4.7114979999999997</v>
      </c>
      <c r="M294" s="10">
        <v>4.7114979999999997</v>
      </c>
      <c r="N294" s="10">
        <v>394.58760000000001</v>
      </c>
      <c r="O294" s="10">
        <v>398.3535</v>
      </c>
      <c r="P294" s="10">
        <v>3.768926</v>
      </c>
      <c r="Q294" s="10">
        <v>-0.1663</v>
      </c>
      <c r="R294" s="10">
        <v>3.1189033080000002</v>
      </c>
      <c r="S294" s="10">
        <v>2.721244338</v>
      </c>
      <c r="T294" s="10">
        <v>99</v>
      </c>
      <c r="U294" s="10">
        <v>100.14</v>
      </c>
      <c r="V294" s="10">
        <v>99</v>
      </c>
      <c r="W294" s="10">
        <v>100.14</v>
      </c>
      <c r="X294" s="4" t="s">
        <v>146</v>
      </c>
      <c r="Y294" s="4" t="s">
        <v>1885</v>
      </c>
      <c r="AA294" s="10">
        <f t="shared" si="16"/>
        <v>1.1675298343231453E-2</v>
      </c>
      <c r="AB294" s="10">
        <f t="shared" si="17"/>
        <v>1.4737043852435055E-2</v>
      </c>
      <c r="AC294" s="10">
        <f t="shared" si="18"/>
        <v>0.88979823538567959</v>
      </c>
      <c r="AD294" s="10">
        <f t="shared" si="19"/>
        <v>0.15325335578243218</v>
      </c>
    </row>
    <row r="295" spans="1:30" x14ac:dyDescent="0.25">
      <c r="A295" s="33" t="s">
        <v>1883</v>
      </c>
      <c r="C295" s="39">
        <v>40847</v>
      </c>
      <c r="D295" s="53" t="s">
        <v>1887</v>
      </c>
      <c r="E295" s="4" t="str">
        <f>VLOOKUP(LEFT(D295,2),Sort!$A$1:$B$58,2,FALSE)</f>
        <v>India</v>
      </c>
      <c r="F295" s="4" t="s">
        <v>1024</v>
      </c>
      <c r="G295" s="18">
        <v>321437926</v>
      </c>
      <c r="H295" s="18">
        <v>336232553.30000001</v>
      </c>
      <c r="I295" s="10">
        <v>0.16207133800000001</v>
      </c>
      <c r="J295" s="10">
        <v>3.2194440000000002</v>
      </c>
      <c r="K295" s="10">
        <v>2.9499909999999998</v>
      </c>
      <c r="L295" s="10">
        <v>3.3610410000000002</v>
      </c>
      <c r="M295" s="10">
        <v>3.3610410000000002</v>
      </c>
      <c r="N295" s="10">
        <v>289.79629999999997</v>
      </c>
      <c r="O295" s="10">
        <v>291.96280000000002</v>
      </c>
      <c r="P295" s="10">
        <v>2.9411909999999999</v>
      </c>
      <c r="Q295" s="10">
        <v>0.30990000000000001</v>
      </c>
      <c r="R295" s="10">
        <v>2.2676709879999999</v>
      </c>
      <c r="S295" s="10">
        <v>3.9749584979999999</v>
      </c>
      <c r="T295" s="10">
        <v>103.27</v>
      </c>
      <c r="U295" s="10">
        <v>104.2</v>
      </c>
      <c r="V295" s="10">
        <v>103.27</v>
      </c>
      <c r="W295" s="10">
        <v>104.2</v>
      </c>
      <c r="X295" s="4" t="s">
        <v>146</v>
      </c>
      <c r="Y295" s="4" t="s">
        <v>1888</v>
      </c>
      <c r="AA295" s="10">
        <f t="shared" si="16"/>
        <v>1.3540650623555838E-2</v>
      </c>
      <c r="AB295" s="10">
        <f t="shared" si="17"/>
        <v>1.8392734925608792E-2</v>
      </c>
      <c r="AC295" s="10">
        <f t="shared" si="18"/>
        <v>0.97296202824870093</v>
      </c>
      <c r="AD295" s="10">
        <f t="shared" si="19"/>
        <v>0.23791158673465909</v>
      </c>
    </row>
    <row r="296" spans="1:30" x14ac:dyDescent="0.25">
      <c r="A296" s="33" t="s">
        <v>1886</v>
      </c>
      <c r="C296" s="39">
        <v>40847</v>
      </c>
      <c r="D296" s="53" t="s">
        <v>1890</v>
      </c>
      <c r="E296" s="4" t="str">
        <f>VLOOKUP(LEFT(D296,2),Sort!$A$1:$B$58,2,FALSE)</f>
        <v>India</v>
      </c>
      <c r="F296" s="4" t="s">
        <v>1024</v>
      </c>
      <c r="G296" s="18">
        <v>321437926</v>
      </c>
      <c r="H296" s="18">
        <v>336551535.5</v>
      </c>
      <c r="I296" s="10">
        <v>0.16222509500000001</v>
      </c>
      <c r="J296" s="10">
        <v>9.7472220000000007</v>
      </c>
      <c r="K296" s="10">
        <v>7.5966230000000001</v>
      </c>
      <c r="L296" s="10">
        <v>4.9894639999999999</v>
      </c>
      <c r="M296" s="10">
        <v>4.9894639999999999</v>
      </c>
      <c r="N296" s="10">
        <v>290.28179999999998</v>
      </c>
      <c r="O296" s="10">
        <v>301.7593</v>
      </c>
      <c r="P296" s="10">
        <v>7.3407650000000002</v>
      </c>
      <c r="Q296" s="10">
        <v>0.3024</v>
      </c>
      <c r="R296" s="10">
        <v>6.1622703249999997</v>
      </c>
      <c r="S296" s="10">
        <v>2.1600090000000001</v>
      </c>
      <c r="T296" s="10">
        <v>103.28</v>
      </c>
      <c r="U296" s="10">
        <v>104.85</v>
      </c>
      <c r="V296" s="10">
        <v>103.28</v>
      </c>
      <c r="W296" s="10">
        <v>104.85</v>
      </c>
      <c r="X296" s="4" t="s">
        <v>146</v>
      </c>
      <c r="Y296" s="4" t="s">
        <v>1891</v>
      </c>
      <c r="AA296" s="10">
        <f t="shared" si="16"/>
        <v>5.3805239787446231E-2</v>
      </c>
      <c r="AB296" s="10">
        <f t="shared" si="17"/>
        <v>2.330572107770898E-2</v>
      </c>
      <c r="AC296" s="10">
        <f t="shared" si="18"/>
        <v>1.0065627463379532</v>
      </c>
      <c r="AD296" s="10">
        <f t="shared" si="19"/>
        <v>0.239622793651942</v>
      </c>
    </row>
    <row r="297" spans="1:30" x14ac:dyDescent="0.25">
      <c r="A297" s="33" t="s">
        <v>1889</v>
      </c>
      <c r="C297" s="39">
        <v>40847</v>
      </c>
      <c r="D297" s="53" t="s">
        <v>1893</v>
      </c>
      <c r="E297" s="4" t="str">
        <f>VLOOKUP(LEFT(D297,2),Sort!$A$1:$B$58,2,FALSE)</f>
        <v>India</v>
      </c>
      <c r="F297" s="4" t="s">
        <v>1007</v>
      </c>
      <c r="G297" s="18">
        <v>321437926</v>
      </c>
      <c r="H297" s="18">
        <v>322577243.39999998</v>
      </c>
      <c r="I297" s="10">
        <v>0.155489185</v>
      </c>
      <c r="J297" s="10">
        <v>4.9611109999999998</v>
      </c>
      <c r="K297" s="10">
        <v>4.3878700000000004</v>
      </c>
      <c r="L297" s="10">
        <v>4.6619349999999997</v>
      </c>
      <c r="M297" s="10">
        <v>4.6619349999999997</v>
      </c>
      <c r="N297" s="10">
        <v>369.02910000000003</v>
      </c>
      <c r="O297" s="10">
        <v>373.35149999999999</v>
      </c>
      <c r="P297" s="10">
        <v>4.3447110000000002</v>
      </c>
      <c r="Q297" s="10">
        <v>2.3800000000000002E-2</v>
      </c>
      <c r="R297" s="10">
        <v>4.1842142390000001</v>
      </c>
      <c r="S297" s="10">
        <v>0.99004499999999995</v>
      </c>
      <c r="T297" s="10">
        <v>100.16</v>
      </c>
      <c r="U297" s="10">
        <v>101.48</v>
      </c>
      <c r="V297" s="10">
        <v>100.16</v>
      </c>
      <c r="W297" s="10">
        <v>101.48</v>
      </c>
      <c r="X297" s="4" t="s">
        <v>146</v>
      </c>
      <c r="Y297" s="4" t="s">
        <v>1894</v>
      </c>
      <c r="AA297" s="10">
        <f t="shared" si="16"/>
        <v>3.0825454514435444E-2</v>
      </c>
      <c r="AB297" s="10">
        <f t="shared" si="17"/>
        <v>2.0871661131389857E-2</v>
      </c>
      <c r="AC297" s="10">
        <f t="shared" si="18"/>
        <v>1.1936588976137859</v>
      </c>
      <c r="AD297" s="10">
        <f t="shared" si="19"/>
        <v>0.22229121560888052</v>
      </c>
    </row>
    <row r="298" spans="1:30" x14ac:dyDescent="0.25">
      <c r="A298" s="33" t="s">
        <v>1892</v>
      </c>
      <c r="C298" s="39">
        <v>40847</v>
      </c>
      <c r="D298" s="53" t="s">
        <v>1896</v>
      </c>
      <c r="E298" s="4" t="str">
        <f>VLOOKUP(LEFT(D298,2),Sort!$A$1:$B$58,2,FALSE)</f>
        <v>India</v>
      </c>
      <c r="F298" s="4" t="e">
        <v>#N/A</v>
      </c>
      <c r="G298" s="18">
        <v>321437926</v>
      </c>
      <c r="H298" s="18">
        <v>338644900</v>
      </c>
      <c r="I298" s="10">
        <v>0.163234141</v>
      </c>
      <c r="J298" s="10">
        <v>9.697222</v>
      </c>
      <c r="K298" s="10">
        <v>7.5506479999999998</v>
      </c>
      <c r="L298" s="10">
        <v>4.9386720000000004</v>
      </c>
      <c r="M298" s="10">
        <v>4.9386720000000004</v>
      </c>
      <c r="N298" s="10">
        <v>286.13920000000002</v>
      </c>
      <c r="O298" s="10">
        <v>297.3956</v>
      </c>
      <c r="P298" s="10">
        <v>7.299823</v>
      </c>
      <c r="Q298" s="10">
        <v>0.67430000000000001</v>
      </c>
      <c r="R298" s="10">
        <v>6.5080719560000002</v>
      </c>
      <c r="S298" s="10">
        <v>4.871372</v>
      </c>
      <c r="T298" s="10">
        <v>103.65</v>
      </c>
      <c r="U298" s="10">
        <v>105.23</v>
      </c>
      <c r="V298" s="10">
        <v>103.65</v>
      </c>
      <c r="W298" s="10">
        <v>105.23</v>
      </c>
      <c r="X298" s="4" t="s">
        <v>146</v>
      </c>
      <c r="Y298" s="4" t="s">
        <v>1897</v>
      </c>
      <c r="AA298" s="10">
        <f t="shared" si="16"/>
        <v>5.3812254176640817E-2</v>
      </c>
      <c r="AB298" s="10">
        <f t="shared" si="17"/>
        <v>2.3211959164007451E-2</v>
      </c>
      <c r="AC298" s="10">
        <f t="shared" si="18"/>
        <v>0.99817730454809195</v>
      </c>
      <c r="AD298" s="10">
        <f t="shared" si="19"/>
        <v>0.24198710607547944</v>
      </c>
    </row>
    <row r="299" spans="1:30" x14ac:dyDescent="0.25">
      <c r="A299" s="33" t="s">
        <v>1895</v>
      </c>
      <c r="C299" s="39">
        <v>40847</v>
      </c>
      <c r="D299" s="53" t="s">
        <v>1899</v>
      </c>
      <c r="E299" s="4" t="str">
        <f>VLOOKUP(LEFT(D299,2),Sort!$A$1:$B$58,2,FALSE)</f>
        <v>India</v>
      </c>
      <c r="F299" s="4" t="s">
        <v>1037</v>
      </c>
      <c r="G299" s="18">
        <v>192862755</v>
      </c>
      <c r="H299" s="18">
        <v>209305242.19999999</v>
      </c>
      <c r="I299" s="10">
        <v>0.100889638</v>
      </c>
      <c r="J299" s="10">
        <v>4.3305559999999996</v>
      </c>
      <c r="K299" s="10">
        <v>3.8220879999999999</v>
      </c>
      <c r="L299" s="10">
        <v>3.7609349999999999</v>
      </c>
      <c r="M299" s="10">
        <v>3.7609349999999999</v>
      </c>
      <c r="N299" s="10">
        <v>297.34129999999999</v>
      </c>
      <c r="O299" s="10">
        <v>301.96100000000001</v>
      </c>
      <c r="P299" s="10">
        <v>3.798505</v>
      </c>
      <c r="Q299" s="10">
        <v>0.19969999999999999</v>
      </c>
      <c r="R299" s="10">
        <v>1.864999882</v>
      </c>
      <c r="S299" s="10">
        <v>3.5916699799999998</v>
      </c>
      <c r="T299" s="10">
        <v>107.53</v>
      </c>
      <c r="U299" s="10">
        <v>108.37</v>
      </c>
      <c r="V299" s="10">
        <v>107.53</v>
      </c>
      <c r="W299" s="10">
        <v>108.37</v>
      </c>
      <c r="X299" s="4" t="s">
        <v>146</v>
      </c>
      <c r="Y299" s="4" t="s">
        <v>1900</v>
      </c>
      <c r="AA299" s="10">
        <f t="shared" si="16"/>
        <v>1.0920936218632714E-2</v>
      </c>
      <c r="AB299" s="10">
        <f t="shared" si="17"/>
        <v>1.2811756512695539E-2</v>
      </c>
      <c r="AC299" s="10">
        <f t="shared" si="18"/>
        <v>0.62641128556856618</v>
      </c>
      <c r="AD299" s="10">
        <f t="shared" si="19"/>
        <v>0.15402715545185644</v>
      </c>
    </row>
    <row r="300" spans="1:30" x14ac:dyDescent="0.25">
      <c r="A300" s="33" t="s">
        <v>1898</v>
      </c>
      <c r="C300" s="39">
        <v>40847</v>
      </c>
      <c r="D300" s="53" t="s">
        <v>1902</v>
      </c>
      <c r="E300" s="4" t="str">
        <f>VLOOKUP(LEFT(D300,2),Sort!$A$1:$B$58,2,FALSE)</f>
        <v>India</v>
      </c>
      <c r="F300" s="4" t="s">
        <v>1024</v>
      </c>
      <c r="G300" s="18">
        <v>642875851</v>
      </c>
      <c r="H300" s="18">
        <v>616935810.39999998</v>
      </c>
      <c r="I300" s="10">
        <v>0.29737635899999998</v>
      </c>
      <c r="J300" s="10">
        <v>8.9611110000000007</v>
      </c>
      <c r="K300" s="10">
        <v>7.4415940000000003</v>
      </c>
      <c r="L300" s="10">
        <v>4.8893690000000003</v>
      </c>
      <c r="M300" s="10">
        <v>4.8893690000000003</v>
      </c>
      <c r="N300" s="10">
        <v>294.99880000000002</v>
      </c>
      <c r="O300" s="10">
        <v>300.33080000000001</v>
      </c>
      <c r="P300" s="10">
        <v>7.2105899999999998</v>
      </c>
      <c r="Q300" s="10">
        <v>1.3974</v>
      </c>
      <c r="R300" s="10">
        <v>7.5304914890000001</v>
      </c>
      <c r="S300" s="10">
        <v>5.0425296949999998</v>
      </c>
      <c r="T300" s="10">
        <v>95.79</v>
      </c>
      <c r="U300" s="10">
        <v>97.2</v>
      </c>
      <c r="V300" s="10">
        <v>95.79</v>
      </c>
      <c r="W300" s="10">
        <v>97.2</v>
      </c>
      <c r="X300" s="4" t="s">
        <v>146</v>
      </c>
      <c r="Y300" s="4" t="s">
        <v>1903</v>
      </c>
      <c r="AA300" s="10">
        <f t="shared" si="16"/>
        <v>9.6618073267215859E-2</v>
      </c>
      <c r="AB300" s="10">
        <f t="shared" si="17"/>
        <v>4.1864881785937176E-2</v>
      </c>
      <c r="AC300" s="10">
        <f t="shared" si="18"/>
        <v>1.8364049960496502</v>
      </c>
      <c r="AD300" s="10">
        <f t="shared" si="19"/>
        <v>1.25705292857757</v>
      </c>
    </row>
    <row r="301" spans="1:30" x14ac:dyDescent="0.25">
      <c r="A301" s="33" t="s">
        <v>1901</v>
      </c>
      <c r="C301" s="39">
        <v>40847</v>
      </c>
      <c r="D301" s="53" t="s">
        <v>1905</v>
      </c>
      <c r="E301" s="4" t="str">
        <f>VLOOKUP(LEFT(D301,2),Sort!$A$1:$B$58,2,FALSE)</f>
        <v>India</v>
      </c>
      <c r="F301" s="4" t="s">
        <v>1024</v>
      </c>
      <c r="G301" s="18">
        <v>321437926</v>
      </c>
      <c r="H301" s="18">
        <v>304765120.80000001</v>
      </c>
      <c r="I301" s="10">
        <v>0.14690335700000001</v>
      </c>
      <c r="J301" s="10">
        <v>28.961110999999999</v>
      </c>
      <c r="K301" s="10">
        <v>13.454718</v>
      </c>
      <c r="L301" s="10">
        <v>6.2715800000000002</v>
      </c>
      <c r="M301" s="10">
        <v>6.2715800000000002</v>
      </c>
      <c r="N301" s="10">
        <v>317.43560000000002</v>
      </c>
      <c r="O301" s="10">
        <v>342.928</v>
      </c>
      <c r="P301" s="10">
        <v>12.497170000000001</v>
      </c>
      <c r="Q301" s="10">
        <v>0.79449999999999998</v>
      </c>
      <c r="R301" s="10">
        <v>8.3345888820000003</v>
      </c>
      <c r="S301" s="10">
        <v>1.898043693</v>
      </c>
      <c r="T301" s="10">
        <v>94.57</v>
      </c>
      <c r="U301" s="10">
        <v>99.71</v>
      </c>
      <c r="V301" s="10">
        <v>94.57</v>
      </c>
      <c r="W301" s="10">
        <v>99.71</v>
      </c>
      <c r="X301" s="4" t="s">
        <v>146</v>
      </c>
      <c r="Y301" s="4" t="s">
        <v>1906</v>
      </c>
      <c r="AA301" s="10">
        <f t="shared" si="16"/>
        <v>0.21061938267786082</v>
      </c>
      <c r="AB301" s="10">
        <f t="shared" si="17"/>
        <v>5.1517744951770118E-2</v>
      </c>
      <c r="AC301" s="10">
        <f t="shared" si="18"/>
        <v>1.0358498836920265</v>
      </c>
      <c r="AD301" s="10">
        <f t="shared" si="19"/>
        <v>0.63701740389107842</v>
      </c>
    </row>
    <row r="302" spans="1:30" x14ac:dyDescent="0.25">
      <c r="A302" s="33" t="s">
        <v>1904</v>
      </c>
      <c r="C302" s="39">
        <v>40847</v>
      </c>
      <c r="D302" s="53" t="s">
        <v>1908</v>
      </c>
      <c r="E302" s="4" t="str">
        <f>VLOOKUP(LEFT(D302,2),Sort!$A$1:$B$58,2,FALSE)</f>
        <v>India</v>
      </c>
      <c r="F302" s="4" t="s">
        <v>1007</v>
      </c>
      <c r="G302" s="18">
        <v>321437926</v>
      </c>
      <c r="H302" s="18">
        <v>321527215</v>
      </c>
      <c r="I302" s="10">
        <v>0.15498304800000001</v>
      </c>
      <c r="J302" s="10">
        <v>4.2277779999999998</v>
      </c>
      <c r="K302" s="10">
        <v>3.8084519999999999</v>
      </c>
      <c r="L302" s="10">
        <v>4.2617789999999998</v>
      </c>
      <c r="M302" s="10">
        <v>4.2617789999999998</v>
      </c>
      <c r="N302" s="10">
        <v>350.42680000000001</v>
      </c>
      <c r="O302" s="10">
        <v>353.9556</v>
      </c>
      <c r="P302" s="10">
        <v>3.785059</v>
      </c>
      <c r="Q302" s="10">
        <v>1.18E-2</v>
      </c>
      <c r="R302" s="10">
        <v>3.4871226100000001</v>
      </c>
      <c r="S302" s="10">
        <v>2.9704290000000002</v>
      </c>
      <c r="T302" s="10">
        <v>98.8</v>
      </c>
      <c r="U302" s="10">
        <v>99.95</v>
      </c>
      <c r="V302" s="10">
        <v>98.8</v>
      </c>
      <c r="W302" s="10">
        <v>99.95</v>
      </c>
      <c r="X302" s="4" t="s">
        <v>146</v>
      </c>
      <c r="Y302" s="4" t="s">
        <v>1909</v>
      </c>
      <c r="AA302" s="10">
        <f t="shared" si="16"/>
        <v>1.671649828245687E-2</v>
      </c>
      <c r="AB302" s="10">
        <f t="shared" si="17"/>
        <v>1.9018039214440743E-2</v>
      </c>
      <c r="AC302" s="10">
        <f t="shared" si="18"/>
        <v>1.1279637413322596</v>
      </c>
      <c r="AD302" s="10">
        <f t="shared" si="19"/>
        <v>0.67367100657492229</v>
      </c>
    </row>
    <row r="303" spans="1:30" x14ac:dyDescent="0.25">
      <c r="A303" s="33" t="s">
        <v>1907</v>
      </c>
      <c r="C303" s="39">
        <v>40847</v>
      </c>
      <c r="D303" s="53" t="s">
        <v>1911</v>
      </c>
      <c r="E303" s="4" t="str">
        <f>VLOOKUP(LEFT(D303,2),Sort!$A$1:$B$58,2,FALSE)</f>
        <v>India</v>
      </c>
      <c r="F303" s="4" t="s">
        <v>1007</v>
      </c>
      <c r="G303" s="18">
        <v>546444474</v>
      </c>
      <c r="H303" s="18">
        <v>558124724.60000002</v>
      </c>
      <c r="I303" s="10">
        <v>0.26902814800000002</v>
      </c>
      <c r="J303" s="10">
        <v>2.9722219999999999</v>
      </c>
      <c r="K303" s="10">
        <v>2.7522890000000002</v>
      </c>
      <c r="L303" s="10">
        <v>3.4581209999999998</v>
      </c>
      <c r="M303" s="10">
        <v>3.4581209999999998</v>
      </c>
      <c r="N303" s="10">
        <v>306.33429999999998</v>
      </c>
      <c r="O303" s="10">
        <v>307.51639999999998</v>
      </c>
      <c r="P303" s="10">
        <v>2.7482790000000001</v>
      </c>
      <c r="Q303" s="10">
        <v>0.33650000000000002</v>
      </c>
      <c r="R303" s="10">
        <v>1.360703405</v>
      </c>
      <c r="S303" s="10">
        <v>4.0241989399999998</v>
      </c>
      <c r="T303" s="10">
        <v>102</v>
      </c>
      <c r="U303" s="10">
        <v>103.15</v>
      </c>
      <c r="V303" s="10">
        <v>102</v>
      </c>
      <c r="W303" s="10">
        <v>103.15</v>
      </c>
      <c r="X303" s="4" t="s">
        <v>146</v>
      </c>
      <c r="Y303" s="4" t="s">
        <v>1912</v>
      </c>
      <c r="AA303" s="10">
        <f t="shared" si="16"/>
        <v>2.0970287242513593E-2</v>
      </c>
      <c r="AB303" s="10">
        <f t="shared" si="17"/>
        <v>3.1412622133590702E-2</v>
      </c>
      <c r="AC303" s="10">
        <f t="shared" si="18"/>
        <v>1.7010933884424018</v>
      </c>
      <c r="AD303" s="10">
        <f t="shared" si="19"/>
        <v>0.39093865115712612</v>
      </c>
    </row>
    <row r="304" spans="1:30" x14ac:dyDescent="0.25">
      <c r="A304" s="33" t="s">
        <v>1910</v>
      </c>
      <c r="C304" s="39">
        <v>40847</v>
      </c>
      <c r="D304" s="53" t="s">
        <v>1914</v>
      </c>
      <c r="E304" s="4" t="str">
        <f>VLOOKUP(LEFT(D304,2),Sort!$A$1:$B$58,2,FALSE)</f>
        <v>India</v>
      </c>
      <c r="F304" s="4" t="s">
        <v>1007</v>
      </c>
      <c r="G304" s="18">
        <v>642875851</v>
      </c>
      <c r="H304" s="18">
        <v>649738550.70000005</v>
      </c>
      <c r="I304" s="10">
        <v>0.313187987</v>
      </c>
      <c r="J304" s="10">
        <v>3.733333</v>
      </c>
      <c r="K304" s="10">
        <v>3.3971309999999999</v>
      </c>
      <c r="L304" s="10">
        <v>3.9951080000000001</v>
      </c>
      <c r="M304" s="10">
        <v>3.9951080000000001</v>
      </c>
      <c r="N304" s="10">
        <v>338.19749999999999</v>
      </c>
      <c r="O304" s="10">
        <v>341.8408</v>
      </c>
      <c r="P304" s="10">
        <v>3.3856009999999999</v>
      </c>
      <c r="Q304" s="10">
        <v>2.23E-2</v>
      </c>
      <c r="R304" s="10">
        <v>2.0963715810000001</v>
      </c>
      <c r="S304" s="10">
        <v>2.9299310940000001</v>
      </c>
      <c r="T304" s="10">
        <v>100.98</v>
      </c>
      <c r="U304" s="10">
        <v>102.02</v>
      </c>
      <c r="V304" s="10">
        <v>100.98</v>
      </c>
      <c r="W304" s="10">
        <v>102.02</v>
      </c>
      <c r="X304" s="4" t="s">
        <v>146</v>
      </c>
      <c r="Y304" s="4" t="s">
        <v>1915</v>
      </c>
      <c r="AA304" s="10">
        <f t="shared" si="16"/>
        <v>3.0132142509907221E-2</v>
      </c>
      <c r="AB304" s="10">
        <f t="shared" si="17"/>
        <v>3.602667935191893E-2</v>
      </c>
      <c r="AC304" s="10">
        <f t="shared" si="18"/>
        <v>2.2013603727835989</v>
      </c>
      <c r="AD304" s="10">
        <f t="shared" si="19"/>
        <v>0.45012389735735026</v>
      </c>
    </row>
    <row r="305" spans="1:30" x14ac:dyDescent="0.25">
      <c r="A305" s="33" t="s">
        <v>1913</v>
      </c>
      <c r="C305" s="39">
        <v>40847</v>
      </c>
      <c r="D305" s="53" t="s">
        <v>1917</v>
      </c>
      <c r="E305" s="4" t="str">
        <f>VLOOKUP(LEFT(D305,2),Sort!$A$1:$B$58,2,FALSE)</f>
        <v>India</v>
      </c>
      <c r="F305" s="4" t="s">
        <v>1007</v>
      </c>
      <c r="G305" s="18">
        <v>257150340</v>
      </c>
      <c r="H305" s="18">
        <v>244305338.5</v>
      </c>
      <c r="I305" s="10">
        <v>0.11776043899999999</v>
      </c>
      <c r="J305" s="10">
        <v>37.533332999999999</v>
      </c>
      <c r="K305" s="10">
        <v>13.285329000000001</v>
      </c>
      <c r="L305" s="10">
        <v>6.7325270000000002</v>
      </c>
      <c r="M305" s="10">
        <v>6.7325270000000002</v>
      </c>
      <c r="N305" s="10">
        <v>319.98340000000002</v>
      </c>
      <c r="O305" s="10">
        <v>388.11430000000001</v>
      </c>
      <c r="P305" s="10">
        <v>12.333107999999999</v>
      </c>
      <c r="Q305" s="10">
        <v>1.8800000000000001E-2</v>
      </c>
      <c r="R305" s="10">
        <v>6.1458793849999998</v>
      </c>
      <c r="S305" s="10">
        <v>-0.80526875899999995</v>
      </c>
      <c r="T305" s="10">
        <v>92</v>
      </c>
      <c r="U305" s="10">
        <v>96</v>
      </c>
      <c r="V305" s="10">
        <v>92</v>
      </c>
      <c r="W305" s="10">
        <v>96</v>
      </c>
      <c r="X305" s="4" t="s">
        <v>146</v>
      </c>
      <c r="Y305" s="4" t="s">
        <v>1918</v>
      </c>
      <c r="AA305" s="10">
        <f t="shared" si="16"/>
        <v>0.16671080346812917</v>
      </c>
      <c r="AB305" s="10">
        <f t="shared" si="17"/>
        <v>4.4332852610688644E-2</v>
      </c>
      <c r="AC305" s="10">
        <f t="shared" si="18"/>
        <v>0.93976921554855442</v>
      </c>
      <c r="AD305" s="10">
        <f t="shared" si="19"/>
        <v>0.49164486735422991</v>
      </c>
    </row>
    <row r="306" spans="1:30" x14ac:dyDescent="0.25">
      <c r="A306" s="33" t="s">
        <v>1916</v>
      </c>
      <c r="C306" s="39">
        <v>40847</v>
      </c>
      <c r="D306" s="53" t="s">
        <v>1920</v>
      </c>
      <c r="E306" s="4" t="str">
        <f>VLOOKUP(LEFT(D306,2),Sort!$A$1:$B$58,2,FALSE)</f>
        <v>India</v>
      </c>
      <c r="F306" s="4" t="s">
        <v>1007</v>
      </c>
      <c r="G306" s="18">
        <v>321437926</v>
      </c>
      <c r="H306" s="18">
        <v>322223218.10000002</v>
      </c>
      <c r="I306" s="10">
        <v>0.15531853700000001</v>
      </c>
      <c r="J306" s="10">
        <v>5.0111109999999996</v>
      </c>
      <c r="K306" s="10">
        <v>4.3672890000000004</v>
      </c>
      <c r="L306" s="10">
        <v>4.7609560000000002</v>
      </c>
      <c r="M306" s="10">
        <v>4.7609560000000002</v>
      </c>
      <c r="N306" s="10">
        <v>377.46839999999997</v>
      </c>
      <c r="O306" s="10">
        <v>381.71109999999999</v>
      </c>
      <c r="P306" s="10">
        <v>4.321034</v>
      </c>
      <c r="Q306" s="10">
        <v>2.3099999999999999E-2</v>
      </c>
      <c r="R306" s="10">
        <v>4.256442346</v>
      </c>
      <c r="S306" s="10">
        <v>0.95780500000000002</v>
      </c>
      <c r="T306" s="10">
        <v>99.07</v>
      </c>
      <c r="U306" s="10">
        <v>100.39</v>
      </c>
      <c r="V306" s="10">
        <v>99.07</v>
      </c>
      <c r="W306" s="10">
        <v>100.39</v>
      </c>
      <c r="X306" s="4" t="s">
        <v>146</v>
      </c>
      <c r="Y306" s="4" t="s">
        <v>1921</v>
      </c>
      <c r="AA306" s="10">
        <f t="shared" si="16"/>
        <v>3.0647197909364422E-2</v>
      </c>
      <c r="AB306" s="10">
        <f t="shared" si="17"/>
        <v>2.1291588952468112E-2</v>
      </c>
      <c r="AC306" s="10">
        <f t="shared" si="18"/>
        <v>1.2190463901547828</v>
      </c>
      <c r="AD306" s="10">
        <f t="shared" si="19"/>
        <v>0.21966223641056465</v>
      </c>
    </row>
    <row r="307" spans="1:30" x14ac:dyDescent="0.25">
      <c r="A307" s="33" t="s">
        <v>1919</v>
      </c>
      <c r="C307" s="39">
        <v>40847</v>
      </c>
      <c r="D307" s="53" t="s">
        <v>1923</v>
      </c>
      <c r="E307" s="4" t="str">
        <f>VLOOKUP(LEFT(D307,2),Sort!$A$1:$B$58,2,FALSE)</f>
        <v>India</v>
      </c>
      <c r="F307" s="4" t="s">
        <v>1037</v>
      </c>
      <c r="G307" s="18">
        <v>289294133</v>
      </c>
      <c r="H307" s="18">
        <v>279578672.69999999</v>
      </c>
      <c r="I307" s="10">
        <v>0.13476294699999999</v>
      </c>
      <c r="J307" s="10">
        <v>59.483333000000002</v>
      </c>
      <c r="K307" s="10">
        <v>11.440018</v>
      </c>
      <c r="L307" s="10">
        <v>8.4570629999999998</v>
      </c>
      <c r="M307" s="10">
        <v>8.4570629999999998</v>
      </c>
      <c r="N307" s="10">
        <v>380.93099999999998</v>
      </c>
      <c r="O307" s="10">
        <v>575.31309999999996</v>
      </c>
      <c r="P307" s="10">
        <v>10.69225</v>
      </c>
      <c r="Q307" s="10">
        <v>0.54479999999999995</v>
      </c>
      <c r="R307" s="10">
        <v>7.7184578300000002</v>
      </c>
      <c r="S307" s="10">
        <v>-2.6007829999999998</v>
      </c>
      <c r="T307" s="10">
        <v>96.5</v>
      </c>
      <c r="U307" s="10">
        <v>100.5</v>
      </c>
      <c r="V307" s="10">
        <v>96.5</v>
      </c>
      <c r="W307" s="10">
        <v>100.5</v>
      </c>
      <c r="X307" s="4" t="s">
        <v>146</v>
      </c>
      <c r="Y307" s="4" t="s">
        <v>1924</v>
      </c>
      <c r="AA307" s="10">
        <f t="shared" si="16"/>
        <v>0.16428171203860942</v>
      </c>
      <c r="AB307" s="10">
        <f t="shared" si="17"/>
        <v>0.14250991909107993</v>
      </c>
      <c r="AC307" s="10">
        <f t="shared" si="18"/>
        <v>4.5526689386134294</v>
      </c>
      <c r="AD307" s="10">
        <f t="shared" si="19"/>
        <v>0.19079993237890772</v>
      </c>
    </row>
    <row r="308" spans="1:30" x14ac:dyDescent="0.25">
      <c r="A308" s="33" t="s">
        <v>1922</v>
      </c>
      <c r="C308" s="39">
        <v>40847</v>
      </c>
      <c r="D308" s="53" t="s">
        <v>1926</v>
      </c>
      <c r="E308" s="4" t="str">
        <f>VLOOKUP(LEFT(D308,2),Sort!$A$1:$B$58,2,FALSE)</f>
        <v>India</v>
      </c>
      <c r="F308" s="4" t="s">
        <v>1007</v>
      </c>
      <c r="G308" s="18">
        <v>257150340</v>
      </c>
      <c r="H308" s="18">
        <v>258985035.69999999</v>
      </c>
      <c r="I308" s="10">
        <v>0.12483637</v>
      </c>
      <c r="J308" s="10">
        <v>4.2722220000000002</v>
      </c>
      <c r="K308" s="10">
        <v>3.8280259999999999</v>
      </c>
      <c r="L308" s="10">
        <v>4.4106860000000001</v>
      </c>
      <c r="M308" s="10">
        <v>4.4106860000000001</v>
      </c>
      <c r="N308" s="10">
        <v>364.0197</v>
      </c>
      <c r="O308" s="10">
        <v>367.69959999999998</v>
      </c>
      <c r="P308" s="10">
        <v>3.8018399999999999</v>
      </c>
      <c r="Q308" s="10">
        <v>2.2700000000000001E-2</v>
      </c>
      <c r="R308" s="10">
        <v>3.7173871919999999</v>
      </c>
      <c r="S308" s="10">
        <v>4.3777571709999998</v>
      </c>
      <c r="T308" s="10">
        <v>99.66</v>
      </c>
      <c r="U308" s="10">
        <v>100.82</v>
      </c>
      <c r="V308" s="10">
        <v>99.66</v>
      </c>
      <c r="W308" s="10">
        <v>100.82</v>
      </c>
      <c r="X308" s="4" t="s">
        <v>146</v>
      </c>
      <c r="Y308" s="4" t="s">
        <v>1927</v>
      </c>
      <c r="AA308" s="10">
        <f t="shared" si="16"/>
        <v>1.3534076683110021E-2</v>
      </c>
      <c r="AB308" s="10">
        <f t="shared" si="17"/>
        <v>1.5853964700740672E-2</v>
      </c>
      <c r="AC308" s="10">
        <f t="shared" si="18"/>
        <v>0.94383578919901545</v>
      </c>
      <c r="AD308" s="10">
        <f t="shared" si="19"/>
        <v>0.17730846910307577</v>
      </c>
    </row>
    <row r="309" spans="1:30" x14ac:dyDescent="0.25">
      <c r="A309" s="33" t="s">
        <v>1925</v>
      </c>
      <c r="C309" s="39">
        <v>40847</v>
      </c>
      <c r="D309" s="53" t="s">
        <v>1929</v>
      </c>
      <c r="E309" s="4" t="str">
        <f>VLOOKUP(LEFT(D309,2),Sort!$A$1:$B$58,2,FALSE)</f>
        <v>India</v>
      </c>
      <c r="F309" s="4" t="s">
        <v>1214</v>
      </c>
      <c r="G309" s="18">
        <v>482156888</v>
      </c>
      <c r="H309" s="18">
        <v>461604950.60000002</v>
      </c>
      <c r="I309" s="10">
        <v>0.222503536</v>
      </c>
      <c r="J309" s="10">
        <v>4.5944440000000002</v>
      </c>
      <c r="K309" s="10">
        <v>3.78051</v>
      </c>
      <c r="L309" s="10">
        <v>7.7999939999999999</v>
      </c>
      <c r="M309" s="10">
        <v>7.7999939999999999</v>
      </c>
      <c r="N309" s="10">
        <v>693.54160000000002</v>
      </c>
      <c r="O309" s="10">
        <v>699.32529999999997</v>
      </c>
      <c r="P309" s="10">
        <v>3.7516310000000002</v>
      </c>
      <c r="Q309" s="10">
        <v>-1.0145</v>
      </c>
      <c r="R309" s="10">
        <v>17.88517736</v>
      </c>
      <c r="S309" s="10">
        <v>-3.4612229999999999</v>
      </c>
      <c r="T309" s="10">
        <v>93</v>
      </c>
      <c r="U309" s="10">
        <v>96</v>
      </c>
      <c r="V309" s="10">
        <v>93</v>
      </c>
      <c r="W309" s="10">
        <v>96</v>
      </c>
      <c r="X309" s="4" t="s">
        <v>146</v>
      </c>
      <c r="Y309" s="4" t="s">
        <v>1930</v>
      </c>
      <c r="AA309" s="10">
        <f t="shared" si="16"/>
        <v>2.3823190963759195E-2</v>
      </c>
      <c r="AB309" s="10">
        <f t="shared" si="17"/>
        <v>9.7046380552232511E-2</v>
      </c>
      <c r="AC309" s="10">
        <f t="shared" si="18"/>
        <v>17.532525009241006</v>
      </c>
      <c r="AD309" s="10">
        <f t="shared" si="19"/>
        <v>0.92894287984539003</v>
      </c>
    </row>
    <row r="310" spans="1:30" x14ac:dyDescent="0.25">
      <c r="A310" s="33" t="s">
        <v>1928</v>
      </c>
      <c r="C310" s="39">
        <v>40847</v>
      </c>
      <c r="D310" s="53" t="s">
        <v>1932</v>
      </c>
      <c r="E310" s="4" t="str">
        <f>VLOOKUP(LEFT(D310,2),Sort!$A$1:$B$58,2,FALSE)</f>
        <v>India</v>
      </c>
      <c r="F310" s="4" t="s">
        <v>1214</v>
      </c>
      <c r="G310" s="18">
        <v>578588266</v>
      </c>
      <c r="H310" s="18">
        <v>557445684.5</v>
      </c>
      <c r="I310" s="10">
        <v>0.268700836</v>
      </c>
      <c r="J310" s="10">
        <v>9.5944439999999993</v>
      </c>
      <c r="K310" s="10">
        <v>6.3642609999999999</v>
      </c>
      <c r="L310" s="10">
        <v>8.8758160000000004</v>
      </c>
      <c r="M310" s="10">
        <v>8.8758160000000004</v>
      </c>
      <c r="N310" s="10">
        <v>681.779</v>
      </c>
      <c r="O310" s="10">
        <v>703.34849999999994</v>
      </c>
      <c r="P310" s="10">
        <v>6.1692369999999999</v>
      </c>
      <c r="Q310" s="10">
        <v>-1.004</v>
      </c>
      <c r="R310" s="10">
        <v>22.415160490000002</v>
      </c>
      <c r="S310" s="10">
        <v>-5.4865500000000003</v>
      </c>
      <c r="T310" s="10">
        <v>93</v>
      </c>
      <c r="U310" s="10">
        <v>96</v>
      </c>
      <c r="V310" s="10">
        <v>93</v>
      </c>
      <c r="W310" s="10">
        <v>96</v>
      </c>
      <c r="X310" s="4" t="s">
        <v>146</v>
      </c>
      <c r="Y310" s="4" t="s">
        <v>1933</v>
      </c>
      <c r="AA310" s="10">
        <f t="shared" si="16"/>
        <v>7.4662574370469095E-2</v>
      </c>
      <c r="AB310" s="10">
        <f t="shared" si="17"/>
        <v>0.29821695891208183</v>
      </c>
      <c r="AC310" s="10">
        <f t="shared" si="18"/>
        <v>21.294521818431441</v>
      </c>
      <c r="AD310" s="10">
        <f t="shared" si="19"/>
        <v>1.1218146574115506</v>
      </c>
    </row>
    <row r="311" spans="1:30" x14ac:dyDescent="0.25">
      <c r="A311" s="33" t="s">
        <v>1931</v>
      </c>
      <c r="C311" s="39">
        <v>40847</v>
      </c>
      <c r="D311" s="53" t="s">
        <v>1935</v>
      </c>
      <c r="E311" s="4" t="str">
        <f>VLOOKUP(LEFT(D311,2),Sort!$A$1:$B$58,2,FALSE)</f>
        <v>India</v>
      </c>
      <c r="F311" s="4" t="s">
        <v>1214</v>
      </c>
      <c r="G311" s="18">
        <v>321437926</v>
      </c>
      <c r="H311" s="18">
        <v>329875671.60000002</v>
      </c>
      <c r="I311" s="10">
        <v>0.159007184</v>
      </c>
      <c r="J311" s="10">
        <v>2.2000000000000002</v>
      </c>
      <c r="K311" s="10">
        <v>1.9319729999999999</v>
      </c>
      <c r="L311" s="10">
        <v>7.4867059999999999</v>
      </c>
      <c r="M311" s="10">
        <v>7.4867059999999999</v>
      </c>
      <c r="N311" s="10">
        <v>720.93060000000003</v>
      </c>
      <c r="O311" s="10">
        <v>722.22580000000005</v>
      </c>
      <c r="P311" s="10">
        <v>1.9297770000000001</v>
      </c>
      <c r="Q311" s="10">
        <v>2.3699999999999999E-2</v>
      </c>
      <c r="R311" s="10">
        <v>5.8596013390000001</v>
      </c>
      <c r="S311" s="10">
        <v>0.47312381799999997</v>
      </c>
      <c r="T311" s="10">
        <v>100</v>
      </c>
      <c r="U311" s="10">
        <v>102.5</v>
      </c>
      <c r="V311" s="10">
        <v>100</v>
      </c>
      <c r="W311" s="10">
        <v>102.5</v>
      </c>
      <c r="X311" s="4" t="s">
        <v>146</v>
      </c>
      <c r="Y311" s="4" t="s">
        <v>1936</v>
      </c>
      <c r="AA311" s="10">
        <f t="shared" si="16"/>
        <v>3.8839449500055155E-2</v>
      </c>
      <c r="AB311" s="10">
        <f t="shared" si="17"/>
        <v>6.6566493805344379E-2</v>
      </c>
      <c r="AC311" s="10">
        <f t="shared" si="18"/>
        <v>12.939516684926254</v>
      </c>
      <c r="AD311" s="10">
        <f t="shared" si="19"/>
        <v>0.2296054903597014</v>
      </c>
    </row>
    <row r="312" spans="1:30" x14ac:dyDescent="0.25">
      <c r="A312" s="33" t="s">
        <v>1934</v>
      </c>
      <c r="C312" s="39">
        <v>40847</v>
      </c>
      <c r="D312" s="53" t="s">
        <v>1938</v>
      </c>
      <c r="E312" s="4" t="str">
        <f>VLOOKUP(LEFT(D312,2),Sort!$A$1:$B$58,2,FALSE)</f>
        <v>India</v>
      </c>
      <c r="F312" s="4" t="s">
        <v>1214</v>
      </c>
      <c r="G312" s="18">
        <v>482156888</v>
      </c>
      <c r="H312" s="18">
        <v>478641159.10000002</v>
      </c>
      <c r="I312" s="10">
        <v>0.23071535600000001</v>
      </c>
      <c r="J312" s="10">
        <v>6.7083329999999997</v>
      </c>
      <c r="K312" s="10">
        <v>4.820621</v>
      </c>
      <c r="L312" s="10">
        <v>9.3924350000000008</v>
      </c>
      <c r="M312" s="10">
        <v>9.3924350000000008</v>
      </c>
      <c r="N312" s="10">
        <v>790.63310000000001</v>
      </c>
      <c r="O312" s="10">
        <v>806.46410000000003</v>
      </c>
      <c r="P312" s="10">
        <v>4.7328349999999997</v>
      </c>
      <c r="Q312" s="10">
        <v>-1.4626999999999999</v>
      </c>
      <c r="R312" s="10">
        <v>16.745343219999999</v>
      </c>
      <c r="S312" s="10">
        <v>-5.1417648070000004</v>
      </c>
      <c r="T312" s="10">
        <v>96.5</v>
      </c>
      <c r="U312" s="10">
        <v>100.5</v>
      </c>
      <c r="V312" s="10">
        <v>96.5</v>
      </c>
      <c r="W312" s="10">
        <v>100.5</v>
      </c>
      <c r="X312" s="4" t="s">
        <v>146</v>
      </c>
      <c r="Y312" s="4" t="s">
        <v>1939</v>
      </c>
      <c r="AA312" s="10">
        <f t="shared" si="16"/>
        <v>5.0249881308130372E-2</v>
      </c>
      <c r="AB312" s="10">
        <f t="shared" si="17"/>
        <v>0.27096283572401647</v>
      </c>
      <c r="AC312" s="10">
        <f t="shared" si="18"/>
        <v>35.784428089491108</v>
      </c>
      <c r="AD312" s="10">
        <f t="shared" si="19"/>
        <v>0.32665117087824996</v>
      </c>
    </row>
    <row r="313" spans="1:30" x14ac:dyDescent="0.25">
      <c r="A313" s="33" t="s">
        <v>1937</v>
      </c>
      <c r="C313" s="39">
        <v>40847</v>
      </c>
      <c r="D313" s="53" t="s">
        <v>1941</v>
      </c>
      <c r="E313" s="4" t="str">
        <f>VLOOKUP(LEFT(D313,2),Sort!$A$1:$B$58,2,FALSE)</f>
        <v>Jamaica</v>
      </c>
      <c r="F313" s="4" t="s">
        <v>1081</v>
      </c>
      <c r="G313" s="18">
        <v>775000000</v>
      </c>
      <c r="H313" s="18">
        <v>794568750</v>
      </c>
      <c r="I313" s="10">
        <v>0.38299926499999998</v>
      </c>
      <c r="J313" s="10">
        <v>6.4527780000000003</v>
      </c>
      <c r="K313" s="10">
        <v>4.6873209999999998</v>
      </c>
      <c r="L313" s="10">
        <v>9.6502180000000006</v>
      </c>
      <c r="M313" s="10">
        <v>9.6502180000000006</v>
      </c>
      <c r="N313" s="10">
        <v>823.9375</v>
      </c>
      <c r="O313" s="10">
        <v>839.57360000000006</v>
      </c>
      <c r="P313" s="10">
        <v>4.6087870000000004</v>
      </c>
      <c r="Q313" s="10">
        <v>2.8500000000000001E-2</v>
      </c>
      <c r="R313" s="10">
        <v>3.8480768699999999</v>
      </c>
      <c r="S313" s="10">
        <v>0.50267890699999995</v>
      </c>
      <c r="T313" s="10">
        <v>102</v>
      </c>
      <c r="U313" s="10">
        <v>104</v>
      </c>
      <c r="V313" s="10">
        <v>102</v>
      </c>
      <c r="W313" s="10">
        <v>104</v>
      </c>
      <c r="X313" s="4" t="s">
        <v>146</v>
      </c>
      <c r="Y313" s="4" t="s">
        <v>1942</v>
      </c>
      <c r="AA313" s="10">
        <f t="shared" si="16"/>
        <v>8.1110707014722117E-2</v>
      </c>
      <c r="AB313" s="10">
        <f t="shared" si="17"/>
        <v>0.46215759405062812</v>
      </c>
      <c r="AC313" s="10">
        <f t="shared" si="18"/>
        <v>61.842815608825966</v>
      </c>
      <c r="AD313" s="10">
        <f t="shared" si="19"/>
        <v>0.56114220673327053</v>
      </c>
    </row>
    <row r="314" spans="1:30" x14ac:dyDescent="0.25">
      <c r="A314" s="33" t="s">
        <v>1940</v>
      </c>
      <c r="C314" s="39">
        <v>40847</v>
      </c>
      <c r="D314" s="53" t="s">
        <v>1944</v>
      </c>
      <c r="E314" s="4" t="str">
        <f>VLOOKUP(LEFT(D314,2),Sort!$A$1:$B$58,2,FALSE)</f>
        <v>Jamaica</v>
      </c>
      <c r="F314" s="4" t="s">
        <v>1081</v>
      </c>
      <c r="G314" s="18">
        <v>510000000</v>
      </c>
      <c r="H314" s="18">
        <v>576640001.70000005</v>
      </c>
      <c r="I314" s="10">
        <v>0.27795291</v>
      </c>
      <c r="J314" s="10">
        <v>2.411111</v>
      </c>
      <c r="K314" s="10">
        <v>2.1035020000000002</v>
      </c>
      <c r="L314" s="10">
        <v>5.6978499999999999</v>
      </c>
      <c r="M314" s="10">
        <v>5.6978499999999999</v>
      </c>
      <c r="N314" s="10">
        <v>538.83609999999999</v>
      </c>
      <c r="O314" s="10">
        <v>541.29759999999999</v>
      </c>
      <c r="P314" s="10">
        <v>2.1030500000000001</v>
      </c>
      <c r="Q314" s="10">
        <v>2.9499999999999998E-2</v>
      </c>
      <c r="R314" s="10">
        <v>2.6634372599999998</v>
      </c>
      <c r="S314" s="10">
        <v>5.646131134</v>
      </c>
      <c r="T314" s="10">
        <v>112</v>
      </c>
      <c r="U314" s="10">
        <v>114</v>
      </c>
      <c r="V314" s="10">
        <v>112</v>
      </c>
      <c r="W314" s="10">
        <v>114</v>
      </c>
      <c r="X314" s="4" t="s">
        <v>146</v>
      </c>
      <c r="Y314" s="4" t="s">
        <v>1945</v>
      </c>
      <c r="AA314" s="10">
        <f t="shared" si="16"/>
        <v>1.6558720609471056E-2</v>
      </c>
      <c r="AB314" s="10">
        <f t="shared" si="17"/>
        <v>4.5600841066708149E-2</v>
      </c>
      <c r="AC314" s="10">
        <f t="shared" si="18"/>
        <v>8.8348389323007446</v>
      </c>
      <c r="AD314" s="10">
        <f t="shared" si="19"/>
        <v>0.44639336779912786</v>
      </c>
    </row>
    <row r="315" spans="1:30" x14ac:dyDescent="0.25">
      <c r="A315" s="33" t="s">
        <v>1943</v>
      </c>
      <c r="C315" s="39">
        <v>40847</v>
      </c>
      <c r="D315" s="53" t="s">
        <v>1947</v>
      </c>
      <c r="E315" s="4" t="str">
        <f>VLOOKUP(LEFT(D315,2),Sort!$A$1:$B$58,2,FALSE)</f>
        <v>Jamaica</v>
      </c>
      <c r="F315" s="4" t="s">
        <v>1081</v>
      </c>
      <c r="G315" s="18">
        <v>800000000</v>
      </c>
      <c r="H315" s="18">
        <v>815366664</v>
      </c>
      <c r="I315" s="10">
        <v>0.39302430700000002</v>
      </c>
      <c r="J315" s="10">
        <v>5.8277780000000003</v>
      </c>
      <c r="K315" s="10">
        <v>4.5739739999999998</v>
      </c>
      <c r="L315" s="10">
        <v>7.7056370000000003</v>
      </c>
      <c r="M315" s="10">
        <v>7.7056370000000003</v>
      </c>
      <c r="N315" s="10">
        <v>647.88559999999995</v>
      </c>
      <c r="O315" s="10">
        <v>657.18389999999999</v>
      </c>
      <c r="P315" s="10">
        <v>4.5073359999999996</v>
      </c>
      <c r="Q315" s="10">
        <v>2.2499999999999999E-2</v>
      </c>
      <c r="R315" s="10">
        <v>7.5350581410000004</v>
      </c>
      <c r="S315" s="10">
        <v>4.8241817520000003</v>
      </c>
      <c r="T315" s="10">
        <v>100.5</v>
      </c>
      <c r="U315" s="10">
        <v>102.5</v>
      </c>
      <c r="V315" s="10">
        <v>100.5</v>
      </c>
      <c r="W315" s="10">
        <v>102.5</v>
      </c>
      <c r="X315" s="4" t="s">
        <v>146</v>
      </c>
      <c r="Y315" s="4" t="s">
        <v>1948</v>
      </c>
      <c r="AA315" s="10">
        <f t="shared" si="16"/>
        <v>8.1221060074953347E-2</v>
      </c>
      <c r="AB315" s="10">
        <f t="shared" si="17"/>
        <v>0.16934645655852559</v>
      </c>
      <c r="AC315" s="10">
        <f t="shared" si="18"/>
        <v>29.102790682476524</v>
      </c>
      <c r="AD315" s="10">
        <f t="shared" si="19"/>
        <v>0.56752491568303287</v>
      </c>
    </row>
    <row r="316" spans="1:30" x14ac:dyDescent="0.25">
      <c r="A316" s="33" t="s">
        <v>1946</v>
      </c>
      <c r="C316" s="39">
        <v>40847</v>
      </c>
      <c r="D316" s="53" t="s">
        <v>1950</v>
      </c>
      <c r="E316" s="4" t="str">
        <f>VLOOKUP(LEFT(D316,2),Sort!$A$1:$B$58,2,FALSE)</f>
        <v>Jamaica</v>
      </c>
      <c r="F316" s="4" t="s">
        <v>1081</v>
      </c>
      <c r="G316" s="18">
        <v>1000000000</v>
      </c>
      <c r="H316" s="18">
        <v>1026625000</v>
      </c>
      <c r="I316" s="10">
        <v>0.49485537899999998</v>
      </c>
      <c r="J316" s="10">
        <v>3.2</v>
      </c>
      <c r="K316" s="10">
        <v>2.6839520000000001</v>
      </c>
      <c r="L316" s="10">
        <v>8.3235449999999993</v>
      </c>
      <c r="M316" s="10">
        <v>8.3235449999999993</v>
      </c>
      <c r="N316" s="10">
        <v>786.61450000000002</v>
      </c>
      <c r="O316" s="10">
        <v>789.84029999999996</v>
      </c>
      <c r="P316" s="10">
        <v>2.6757529999999998</v>
      </c>
      <c r="Q316" s="10">
        <v>2.4E-2</v>
      </c>
      <c r="R316" s="10">
        <v>5.8679459530000004</v>
      </c>
      <c r="S316" s="10">
        <v>6.291437846</v>
      </c>
      <c r="T316" s="10">
        <v>100</v>
      </c>
      <c r="U316" s="10">
        <v>101.5</v>
      </c>
      <c r="V316" s="10">
        <v>100</v>
      </c>
      <c r="W316" s="10">
        <v>101.5</v>
      </c>
      <c r="X316" s="4" t="s">
        <v>146</v>
      </c>
      <c r="Y316" s="4" t="s">
        <v>1951</v>
      </c>
      <c r="AA316" s="10">
        <f t="shared" si="16"/>
        <v>3.7615398177953591E-2</v>
      </c>
      <c r="AB316" s="10">
        <f t="shared" si="17"/>
        <v>0.51504082689416775</v>
      </c>
      <c r="AC316" s="10">
        <f t="shared" si="18"/>
        <v>44.039856346734567</v>
      </c>
      <c r="AD316" s="10">
        <f t="shared" si="19"/>
        <v>0.70759701804541653</v>
      </c>
    </row>
    <row r="317" spans="1:30" x14ac:dyDescent="0.25">
      <c r="A317" s="33" t="s">
        <v>1949</v>
      </c>
      <c r="C317" s="39">
        <v>40847</v>
      </c>
      <c r="D317" s="53" t="s">
        <v>1953</v>
      </c>
      <c r="E317" s="4" t="str">
        <f>VLOOKUP(LEFT(D317,2),Sort!$A$1:$B$58,2,FALSE)</f>
        <v>Jamaica</v>
      </c>
      <c r="F317" s="4" t="s">
        <v>1081</v>
      </c>
      <c r="G317" s="18">
        <v>415142000</v>
      </c>
      <c r="H317" s="18">
        <v>426506512.30000001</v>
      </c>
      <c r="I317" s="10">
        <v>0.20558533200000001</v>
      </c>
      <c r="J317" s="10">
        <v>3.2</v>
      </c>
      <c r="K317" s="10">
        <v>2.6708449999999999</v>
      </c>
      <c r="L317" s="10">
        <v>8.5707500000000003</v>
      </c>
      <c r="M317" s="10">
        <v>8.5707500000000003</v>
      </c>
      <c r="N317" s="10">
        <v>811.33500000000004</v>
      </c>
      <c r="O317" s="10">
        <v>814.62900000000002</v>
      </c>
      <c r="P317" s="10">
        <v>2.6626789999999998</v>
      </c>
      <c r="Q317" s="10">
        <v>2.47E-2</v>
      </c>
      <c r="R317" s="10">
        <v>5.884626849</v>
      </c>
      <c r="S317" s="10">
        <v>6.4999677450000002</v>
      </c>
      <c r="T317" s="10">
        <v>100</v>
      </c>
      <c r="U317" s="10">
        <v>101.5</v>
      </c>
      <c r="V317" s="10">
        <v>100</v>
      </c>
      <c r="W317" s="10">
        <v>101.5</v>
      </c>
      <c r="X317" s="4" t="s">
        <v>146</v>
      </c>
      <c r="Y317" s="4" t="s">
        <v>1954</v>
      </c>
      <c r="AA317" s="10">
        <f t="shared" si="16"/>
        <v>1.5550825018108521E-2</v>
      </c>
      <c r="AB317" s="10">
        <f t="shared" si="17"/>
        <v>0.22032611826907575</v>
      </c>
      <c r="AC317" s="10">
        <f t="shared" si="18"/>
        <v>32.20954077726546</v>
      </c>
      <c r="AD317" s="10">
        <f t="shared" si="19"/>
        <v>0.29396784247454599</v>
      </c>
    </row>
    <row r="318" spans="1:30" x14ac:dyDescent="0.25">
      <c r="A318" s="33" t="s">
        <v>1952</v>
      </c>
      <c r="C318" s="39">
        <v>40847</v>
      </c>
      <c r="D318" s="53" t="s">
        <v>1959</v>
      </c>
      <c r="E318" s="4" t="str">
        <f>VLOOKUP(LEFT(D318,2),Sort!$A$1:$B$58,2,FALSE)</f>
        <v>Korea</v>
      </c>
      <c r="F318" s="4" t="s">
        <v>1037</v>
      </c>
      <c r="G318" s="18">
        <v>260365535</v>
      </c>
      <c r="H318" s="18">
        <v>286688490.60000002</v>
      </c>
      <c r="I318" s="10">
        <v>0.13819003199999999</v>
      </c>
      <c r="J318" s="10">
        <v>2.7</v>
      </c>
      <c r="K318" s="10">
        <v>2.4691130000000001</v>
      </c>
      <c r="L318" s="10">
        <v>2.5763449999999999</v>
      </c>
      <c r="M318" s="10">
        <v>2.5763449999999999</v>
      </c>
      <c r="N318" s="10">
        <v>222.2945</v>
      </c>
      <c r="O318" s="10">
        <v>224.61600000000001</v>
      </c>
      <c r="P318" s="10">
        <v>2.469014</v>
      </c>
      <c r="Q318" s="10">
        <v>-0.19339999999999999</v>
      </c>
      <c r="R318" s="10">
        <v>1.6869320750000001</v>
      </c>
      <c r="S318" s="10">
        <v>4.3903131870000003</v>
      </c>
      <c r="T318" s="10">
        <v>108.31</v>
      </c>
      <c r="U318" s="10">
        <v>108.87</v>
      </c>
      <c r="V318" s="10">
        <v>108.31</v>
      </c>
      <c r="W318" s="10">
        <v>108.87</v>
      </c>
      <c r="X318" s="4" t="s">
        <v>146</v>
      </c>
      <c r="Y318" s="4" t="s">
        <v>1960</v>
      </c>
      <c r="AA318" s="10">
        <f t="shared" si="16"/>
        <v>9.6634077950853662E-3</v>
      </c>
      <c r="AB318" s="10">
        <f t="shared" si="17"/>
        <v>1.2021177791405591E-2</v>
      </c>
      <c r="AC318" s="10">
        <f t="shared" si="18"/>
        <v>0.63823344701197371</v>
      </c>
      <c r="AD318" s="10">
        <f t="shared" si="19"/>
        <v>0.21194666972566081</v>
      </c>
    </row>
    <row r="319" spans="1:30" x14ac:dyDescent="0.25">
      <c r="A319" s="33" t="s">
        <v>1955</v>
      </c>
      <c r="C319" s="39">
        <v>40847</v>
      </c>
      <c r="D319" s="53" t="s">
        <v>1962</v>
      </c>
      <c r="E319" s="4" t="str">
        <f>VLOOKUP(LEFT(D319,2),Sort!$A$1:$B$58,2,FALSE)</f>
        <v>Korea</v>
      </c>
      <c r="F319" s="4" t="s">
        <v>1007</v>
      </c>
      <c r="G319" s="18">
        <v>260365535</v>
      </c>
      <c r="H319" s="18">
        <v>266555725.59999999</v>
      </c>
      <c r="I319" s="10">
        <v>0.128485605</v>
      </c>
      <c r="J319" s="10">
        <v>3.9916670000000001</v>
      </c>
      <c r="K319" s="10">
        <v>3.6535679999999999</v>
      </c>
      <c r="L319" s="10">
        <v>3.5623339999999999</v>
      </c>
      <c r="M319" s="10">
        <v>3.5623339999999999</v>
      </c>
      <c r="N319" s="10">
        <v>287.37670000000003</v>
      </c>
      <c r="O319" s="10">
        <v>291.04480000000001</v>
      </c>
      <c r="P319" s="10">
        <v>3.6363319999999999</v>
      </c>
      <c r="Q319" s="10">
        <v>0.19819999999999999</v>
      </c>
      <c r="R319" s="10">
        <v>2.7044558090000002</v>
      </c>
      <c r="S319" s="10">
        <v>4.5501402259999999</v>
      </c>
      <c r="T319" s="10">
        <v>102.34</v>
      </c>
      <c r="U319" s="10">
        <v>103.46</v>
      </c>
      <c r="V319" s="10">
        <v>102.34</v>
      </c>
      <c r="W319" s="10">
        <v>103.46</v>
      </c>
      <c r="X319" s="4" t="s">
        <v>146</v>
      </c>
      <c r="Y319" s="4" t="s">
        <v>1963</v>
      </c>
      <c r="AA319" s="10">
        <f t="shared" si="16"/>
        <v>1.3294876070229365E-2</v>
      </c>
      <c r="AB319" s="10">
        <f t="shared" si="17"/>
        <v>1.5454515502965725E-2</v>
      </c>
      <c r="AC319" s="10">
        <f t="shared" si="18"/>
        <v>0.76891170599999359</v>
      </c>
      <c r="AD319" s="10">
        <f t="shared" si="19"/>
        <v>0.18727017037684318</v>
      </c>
    </row>
    <row r="320" spans="1:30" x14ac:dyDescent="0.25">
      <c r="A320" s="33" t="s">
        <v>1958</v>
      </c>
      <c r="C320" s="39">
        <v>40847</v>
      </c>
      <c r="D320" s="53" t="s">
        <v>1965</v>
      </c>
      <c r="E320" s="4" t="str">
        <f>VLOOKUP(LEFT(D320,2),Sort!$A$1:$B$58,2,FALSE)</f>
        <v>Korea</v>
      </c>
      <c r="F320" s="4" t="s">
        <v>1007</v>
      </c>
      <c r="G320" s="18">
        <v>260365535</v>
      </c>
      <c r="H320" s="18">
        <v>259063707.30000001</v>
      </c>
      <c r="I320" s="10">
        <v>0.124874291</v>
      </c>
      <c r="J320" s="10">
        <v>5</v>
      </c>
      <c r="K320" s="10">
        <v>4.5364699999999996</v>
      </c>
      <c r="L320" s="10">
        <v>3.962186</v>
      </c>
      <c r="M320" s="10">
        <v>3.962186</v>
      </c>
      <c r="N320" s="10">
        <v>297.91860000000003</v>
      </c>
      <c r="O320" s="10">
        <v>301.11470000000003</v>
      </c>
      <c r="P320" s="10">
        <v>4.4881700000000002</v>
      </c>
      <c r="Q320" s="10">
        <v>-0.1072</v>
      </c>
      <c r="R320" s="10">
        <v>4.6727450270000004</v>
      </c>
      <c r="S320" s="10">
        <v>0.48067799999999999</v>
      </c>
      <c r="T320" s="10">
        <v>99.5</v>
      </c>
      <c r="U320" s="10">
        <v>100.17</v>
      </c>
      <c r="V320" s="10">
        <v>99.5</v>
      </c>
      <c r="W320" s="10">
        <v>100.17</v>
      </c>
      <c r="X320" s="4" t="s">
        <v>146</v>
      </c>
      <c r="Y320" s="4" t="s">
        <v>1966</v>
      </c>
      <c r="AA320" s="10">
        <f t="shared" si="16"/>
        <v>2.559449881621035E-2</v>
      </c>
      <c r="AB320" s="10">
        <f t="shared" si="17"/>
        <v>1.6706065440281838E-2</v>
      </c>
      <c r="AC320" s="10">
        <f t="shared" si="18"/>
        <v>0.7731560287141277</v>
      </c>
      <c r="AD320" s="10">
        <f t="shared" si="19"/>
        <v>0.17621885128241688</v>
      </c>
    </row>
    <row r="321" spans="1:30" x14ac:dyDescent="0.25">
      <c r="A321" s="33" t="s">
        <v>1961</v>
      </c>
      <c r="C321" s="39">
        <v>40847</v>
      </c>
      <c r="D321" s="53" t="s">
        <v>1968</v>
      </c>
      <c r="E321" s="4" t="str">
        <f>VLOOKUP(LEFT(D321,2),Sort!$A$1:$B$58,2,FALSE)</f>
        <v>Korea</v>
      </c>
      <c r="F321" s="4" t="s">
        <v>1007</v>
      </c>
      <c r="G321" s="18">
        <v>260365535</v>
      </c>
      <c r="H321" s="18">
        <v>261830070.30000001</v>
      </c>
      <c r="I321" s="10">
        <v>0.12620773800000001</v>
      </c>
      <c r="J321" s="10">
        <v>5.4416669999999998</v>
      </c>
      <c r="K321" s="10">
        <v>0.44109300000000001</v>
      </c>
      <c r="L321" s="10">
        <v>3.3115410000000001</v>
      </c>
      <c r="M321" s="10">
        <v>3.3115410000000001</v>
      </c>
      <c r="N321" s="10">
        <v>219.84700000000001</v>
      </c>
      <c r="O321" s="10">
        <v>221.97620000000001</v>
      </c>
      <c r="P321" s="10">
        <v>4.9277810000000004</v>
      </c>
      <c r="Q321" s="10">
        <v>1.4800000000000001E-2</v>
      </c>
      <c r="R321" s="10">
        <v>0.66461364899999997</v>
      </c>
      <c r="S321" s="10">
        <v>3.1430500239999999</v>
      </c>
      <c r="T321" s="10">
        <v>100.25</v>
      </c>
      <c r="U321" s="10">
        <v>101.25</v>
      </c>
      <c r="V321" s="10">
        <v>100.25</v>
      </c>
      <c r="W321" s="10">
        <v>101.25</v>
      </c>
      <c r="X321" s="4" t="s">
        <v>146</v>
      </c>
      <c r="Y321" s="4" t="s">
        <v>1969</v>
      </c>
      <c r="AA321" s="10">
        <f t="shared" si="16"/>
        <v>7.0383589815903444E-3</v>
      </c>
      <c r="AB321" s="10">
        <f t="shared" si="17"/>
        <v>1.4111799641328575E-2</v>
      </c>
      <c r="AC321" s="10">
        <f t="shared" si="18"/>
        <v>0.57604252796064059</v>
      </c>
      <c r="AD321" s="10">
        <f t="shared" si="19"/>
        <v>0.18002079288321646</v>
      </c>
    </row>
    <row r="322" spans="1:30" x14ac:dyDescent="0.25">
      <c r="A322" s="33" t="s">
        <v>1964</v>
      </c>
      <c r="C322" s="39">
        <v>40847</v>
      </c>
      <c r="D322" s="53" t="s">
        <v>1971</v>
      </c>
      <c r="E322" s="4" t="str">
        <f>VLOOKUP(LEFT(D322,2),Sort!$A$1:$B$58,2,FALSE)</f>
        <v>Korea</v>
      </c>
      <c r="F322" s="4" t="s">
        <v>1037</v>
      </c>
      <c r="G322" s="18">
        <v>260365535</v>
      </c>
      <c r="H322" s="18">
        <v>258719988.40000001</v>
      </c>
      <c r="I322" s="10">
        <v>0.124708611</v>
      </c>
      <c r="J322" s="10">
        <v>3.8694440000000001</v>
      </c>
      <c r="K322" s="10">
        <v>3.61849</v>
      </c>
      <c r="L322" s="10">
        <v>3.2101700000000002</v>
      </c>
      <c r="M322" s="10">
        <v>3.2101700000000002</v>
      </c>
      <c r="N322" s="10">
        <v>255.72919999999999</v>
      </c>
      <c r="O322" s="10">
        <v>258.57780000000002</v>
      </c>
      <c r="P322" s="10">
        <v>3.6012659999999999</v>
      </c>
      <c r="Q322" s="10">
        <v>8.6999999999999994E-3</v>
      </c>
      <c r="R322" s="10">
        <v>1.942094282</v>
      </c>
      <c r="S322" s="10">
        <v>4.3878268880000002</v>
      </c>
      <c r="T322" s="10">
        <v>98.96</v>
      </c>
      <c r="U322" s="10">
        <v>99.69</v>
      </c>
      <c r="V322" s="10">
        <v>98.96</v>
      </c>
      <c r="W322" s="10">
        <v>99.69</v>
      </c>
      <c r="X322" s="4" t="s">
        <v>146</v>
      </c>
      <c r="Y322" s="4" t="s">
        <v>1972</v>
      </c>
      <c r="AA322" s="10">
        <f t="shared" si="16"/>
        <v>1.278016446822691E-2</v>
      </c>
      <c r="AB322" s="10">
        <f t="shared" si="17"/>
        <v>1.3517325067282456E-2</v>
      </c>
      <c r="AC322" s="10">
        <f t="shared" si="18"/>
        <v>0.66305542395341621</v>
      </c>
      <c r="AD322" s="10">
        <f t="shared" si="19"/>
        <v>0.54066579934863457</v>
      </c>
    </row>
    <row r="323" spans="1:30" x14ac:dyDescent="0.25">
      <c r="A323" s="33" t="s">
        <v>1967</v>
      </c>
      <c r="C323" s="39">
        <v>40847</v>
      </c>
      <c r="D323" s="53" t="s">
        <v>1974</v>
      </c>
      <c r="E323" s="4" t="str">
        <f>VLOOKUP(LEFT(D323,2),Sort!$A$1:$B$58,2,FALSE)</f>
        <v>Korea</v>
      </c>
      <c r="F323" s="4" t="s">
        <v>1037</v>
      </c>
      <c r="G323" s="18">
        <v>260365535</v>
      </c>
      <c r="H323" s="18">
        <v>268362373.40000001</v>
      </c>
      <c r="I323" s="10">
        <v>0.12935644900000001</v>
      </c>
      <c r="J323" s="10">
        <v>9.6944440000000007</v>
      </c>
      <c r="K323" s="10">
        <v>7.8471489999999999</v>
      </c>
      <c r="L323" s="10">
        <v>4.3388030000000004</v>
      </c>
      <c r="M323" s="10">
        <v>4.3388030000000004</v>
      </c>
      <c r="N323" s="10">
        <v>226.20439999999999</v>
      </c>
      <c r="O323" s="10">
        <v>234.48310000000001</v>
      </c>
      <c r="P323" s="10">
        <v>7.5815279999999996</v>
      </c>
      <c r="Q323" s="10">
        <v>0.31459999999999999</v>
      </c>
      <c r="R323" s="10">
        <v>4.289548946</v>
      </c>
      <c r="S323" s="10">
        <v>3.521738</v>
      </c>
      <c r="T323" s="10">
        <v>101.62</v>
      </c>
      <c r="U323" s="10">
        <v>103.22</v>
      </c>
      <c r="V323" s="10">
        <v>101.62</v>
      </c>
      <c r="W323" s="10">
        <v>103.22</v>
      </c>
      <c r="X323" s="4" t="s">
        <v>146</v>
      </c>
      <c r="Y323" s="4" t="s">
        <v>1975</v>
      </c>
      <c r="AA323" s="10">
        <f t="shared" si="16"/>
        <v>4.4318590925956212E-2</v>
      </c>
      <c r="AB323" s="10">
        <f t="shared" si="17"/>
        <v>1.6160270673159807E-2</v>
      </c>
      <c r="AC323" s="10">
        <f t="shared" si="18"/>
        <v>0.62367995204290194</v>
      </c>
      <c r="AD323" s="10">
        <f t="shared" si="19"/>
        <v>0.18810207865052589</v>
      </c>
    </row>
    <row r="324" spans="1:30" x14ac:dyDescent="0.25">
      <c r="A324" s="33" t="s">
        <v>1970</v>
      </c>
      <c r="C324" s="39">
        <v>40847</v>
      </c>
      <c r="D324" s="53" t="s">
        <v>1977</v>
      </c>
      <c r="E324" s="4" t="str">
        <f>VLOOKUP(LEFT(D324,2),Sort!$A$1:$B$58,2,FALSE)</f>
        <v>Korea</v>
      </c>
      <c r="F324" s="4" t="s">
        <v>1037</v>
      </c>
      <c r="G324" s="18">
        <v>520731069</v>
      </c>
      <c r="H324" s="18">
        <v>577704833.29999995</v>
      </c>
      <c r="I324" s="10">
        <v>0.27846618200000001</v>
      </c>
      <c r="J324" s="10">
        <v>2.6222219999999998</v>
      </c>
      <c r="K324" s="10">
        <v>2.3850989999999999</v>
      </c>
      <c r="L324" s="10">
        <v>2.6266090000000002</v>
      </c>
      <c r="M324" s="10">
        <v>2.6266090000000002</v>
      </c>
      <c r="N324" s="10">
        <v>228.50309999999999</v>
      </c>
      <c r="O324" s="10">
        <v>230.79900000000001</v>
      </c>
      <c r="P324" s="10">
        <v>2.3846440000000002</v>
      </c>
      <c r="Q324" s="10">
        <v>-0.18229999999999999</v>
      </c>
      <c r="R324" s="10">
        <v>1.645618552</v>
      </c>
      <c r="S324" s="10">
        <v>4.0648812630000002</v>
      </c>
      <c r="T324" s="10">
        <v>108.58</v>
      </c>
      <c r="U324" s="10">
        <v>109.12</v>
      </c>
      <c r="V324" s="10">
        <v>108.58</v>
      </c>
      <c r="W324" s="10">
        <v>109.12</v>
      </c>
      <c r="X324" s="4" t="s">
        <v>146</v>
      </c>
      <c r="Y324" s="4" t="s">
        <v>1978</v>
      </c>
      <c r="AA324" s="10">
        <f t="shared" si="16"/>
        <v>1.8810116888022629E-2</v>
      </c>
      <c r="AB324" s="10">
        <f t="shared" si="17"/>
        <v>2.4696429650038473E-2</v>
      </c>
      <c r="AC324" s="10">
        <f t="shared" si="18"/>
        <v>1.3215041662345883</v>
      </c>
      <c r="AD324" s="10">
        <f t="shared" si="19"/>
        <v>0.42807362886894473</v>
      </c>
    </row>
    <row r="325" spans="1:30" x14ac:dyDescent="0.25">
      <c r="A325" s="33" t="s">
        <v>1973</v>
      </c>
      <c r="C325" s="39">
        <v>40847</v>
      </c>
      <c r="D325" s="53" t="s">
        <v>1980</v>
      </c>
      <c r="E325" s="4" t="str">
        <f>VLOOKUP(LEFT(D325,2),Sort!$A$1:$B$58,2,FALSE)</f>
        <v>Korea</v>
      </c>
      <c r="F325" s="4" t="s">
        <v>1014</v>
      </c>
      <c r="G325" s="18">
        <v>260365535</v>
      </c>
      <c r="H325" s="18">
        <v>271447343.10000002</v>
      </c>
      <c r="I325" s="10">
        <v>0.13084346999999999</v>
      </c>
      <c r="J325" s="10">
        <v>5.65</v>
      </c>
      <c r="K325" s="10">
        <v>4.4585330000000001</v>
      </c>
      <c r="L325" s="10">
        <v>7.1088630000000004</v>
      </c>
      <c r="M325" s="10">
        <v>7.1088630000000004</v>
      </c>
      <c r="N325" s="10">
        <v>593.44380000000001</v>
      </c>
      <c r="O325" s="10">
        <v>601.94960000000003</v>
      </c>
      <c r="P325" s="10">
        <v>4.3996300000000002</v>
      </c>
      <c r="Q325" s="10">
        <v>-1.3979999999999999</v>
      </c>
      <c r="R325" s="10">
        <v>13.14522077</v>
      </c>
      <c r="S325" s="10">
        <v>6.4208999970000002</v>
      </c>
      <c r="T325" s="10">
        <v>101.5</v>
      </c>
      <c r="U325" s="10">
        <v>103.5</v>
      </c>
      <c r="V325" s="10">
        <v>101.5</v>
      </c>
      <c r="W325" s="10">
        <v>103.5</v>
      </c>
      <c r="X325" s="4" t="s">
        <v>146</v>
      </c>
      <c r="Y325" s="4" t="s">
        <v>1981</v>
      </c>
      <c r="AA325" s="10">
        <f t="shared" ref="AA325:AA388" si="20">IF(K325&lt;1.99,($H325/$H$629)*K325,IF(AND(K325&gt;1.99,K325&lt;3.99),($H325/$H$630)*K325,IF(AND(K325&gt;3.99,K325&lt;5.99),($H325/$H$631)*K325,IF(AND(K325&gt;5.99,K325&lt;7.99),($H325/$H$632)*K325,IF(AND(K325&gt;7.99,K325&lt;9.99),($H325/$H$633)*K325,IF(K325&gt;9.99,($H325/$H$634)*K325))))))</f>
        <v>2.6357219358053286E-2</v>
      </c>
      <c r="AB325" s="10">
        <f t="shared" ref="AB325:AB388" si="21">IF(M325&lt;1.99,($H325/$H$613)*M325,IF(AND(M325&gt;1.99,M325&lt;3.99),($H325/$H$614)*M325,IF(AND(M325&gt;3.99,M325&lt;5.99),($H325/$H$615)*M325,IF(AND(M325&gt;5.99,M325&lt;7.99),($H325/$H$616)*M325,IF(AND(M325&gt;7.99,M325&lt;9.99),($H325/$H$617)*M325,IF(M325&gt;9.99,($H325/$H$618)*M325))))))</f>
        <v>5.2011617011149799E-2</v>
      </c>
      <c r="AC325" s="10">
        <f t="shared" ref="AC325:AC388" si="22">IF(O325&lt;199.99,($H325/$H$621)*O325,IF(AND(O325&gt;199.99,O325&lt;399.99),($H325/$H$622)*O325,IF(AND(O325&gt;399.99,O325&lt;599.99),($H325/$H$623)*O325,IF(AND(O325&gt;599.99,O325&lt;799.99),($H325/$H$624)*O325,IF(AND(O325&gt;799.99,O325&lt;999.99),($H325/$H$625)*O325,IF(O325&gt;999.99,($H325/$H$626)*O325))))))</f>
        <v>8.8744305342817285</v>
      </c>
      <c r="AD325" s="10">
        <f t="shared" ref="AD325:AD388" si="23">IF(U325&lt;49.99,($H325/$H$637)*U325,IF(AND(U325&gt;49.99,U325&lt;79.99),($H325/$H$638)*U325,IF(AND(U325&gt;79.99,U325&lt;99.99),($H325/$H$639)*U325,IF(AND(U325&gt;99.99,U325&lt;119.99),($H325/$H$640)*U325,IF(AND(U325&gt;119.99,U325&lt;139.99),($H325/$H$641)*U325,IF(U325&gt;139.99,($H325/$H$642)*U325))))))</f>
        <v>0.19078053438298695</v>
      </c>
    </row>
    <row r="326" spans="1:30" x14ac:dyDescent="0.25">
      <c r="A326" s="33" t="s">
        <v>1976</v>
      </c>
      <c r="C326" s="39">
        <v>40847</v>
      </c>
      <c r="D326" s="53" t="s">
        <v>1983</v>
      </c>
      <c r="E326" s="4" t="str">
        <f>VLOOKUP(LEFT(D326,2),Sort!$A$1:$B$58,2,FALSE)</f>
        <v>Korea</v>
      </c>
      <c r="F326" s="4" t="s">
        <v>1007</v>
      </c>
      <c r="G326" s="18">
        <v>364511748</v>
      </c>
      <c r="H326" s="18">
        <v>372704576</v>
      </c>
      <c r="I326" s="10">
        <v>0.179651639</v>
      </c>
      <c r="J326" s="10">
        <v>4.733333</v>
      </c>
      <c r="K326" s="10">
        <v>4.2355650000000002</v>
      </c>
      <c r="L326" s="10">
        <v>3.8199990000000001</v>
      </c>
      <c r="M326" s="10">
        <v>3.8199990000000001</v>
      </c>
      <c r="N326" s="10">
        <v>291.48660000000001</v>
      </c>
      <c r="O326" s="10">
        <v>295.16410000000002</v>
      </c>
      <c r="P326" s="10">
        <v>4.2009949999999998</v>
      </c>
      <c r="Q326" s="10">
        <v>0.81140000000000001</v>
      </c>
      <c r="R326" s="10">
        <v>2.697040984</v>
      </c>
      <c r="S326" s="10">
        <v>3.6448710000000002</v>
      </c>
      <c r="T326" s="10">
        <v>101.08095</v>
      </c>
      <c r="U326" s="10">
        <v>102.37735000000001</v>
      </c>
      <c r="V326" s="10">
        <v>101.08095</v>
      </c>
      <c r="W326" s="10">
        <v>102.37735000000001</v>
      </c>
      <c r="X326" s="4" t="s">
        <v>146</v>
      </c>
      <c r="Y326" s="4" t="s">
        <v>1984</v>
      </c>
      <c r="AA326" s="10">
        <f t="shared" si="20"/>
        <v>3.4379383637929826E-2</v>
      </c>
      <c r="AB326" s="10">
        <f t="shared" si="21"/>
        <v>2.3171850465503536E-2</v>
      </c>
      <c r="AC326" s="10">
        <f t="shared" si="22"/>
        <v>1.0903272645513276</v>
      </c>
      <c r="AD326" s="10">
        <f t="shared" si="23"/>
        <v>0.25910555544842834</v>
      </c>
    </row>
    <row r="327" spans="1:30" x14ac:dyDescent="0.25">
      <c r="A327" s="33" t="s">
        <v>1979</v>
      </c>
      <c r="C327" s="39">
        <v>40847</v>
      </c>
      <c r="D327" s="53" t="s">
        <v>1986</v>
      </c>
      <c r="E327" s="4" t="str">
        <f>VLOOKUP(LEFT(D327,2),Sort!$A$1:$B$58,2,FALSE)</f>
        <v>Korea</v>
      </c>
      <c r="F327" s="4" t="s">
        <v>1007</v>
      </c>
      <c r="G327" s="18">
        <v>260365535</v>
      </c>
      <c r="H327" s="18">
        <v>286601702.89999998</v>
      </c>
      <c r="I327" s="10">
        <v>0.138148199</v>
      </c>
      <c r="J327" s="10">
        <v>3.5055559999999999</v>
      </c>
      <c r="K327" s="10">
        <v>3.0937999999999999</v>
      </c>
      <c r="L327" s="10">
        <v>3.5117229999999999</v>
      </c>
      <c r="M327" s="10">
        <v>3.5117229999999999</v>
      </c>
      <c r="N327" s="10">
        <v>296.51010000000002</v>
      </c>
      <c r="O327" s="10">
        <v>300.17599999999999</v>
      </c>
      <c r="P327" s="10">
        <v>3.0851419999999998</v>
      </c>
      <c r="Q327" s="10">
        <v>0.47160000000000002</v>
      </c>
      <c r="R327" s="10">
        <v>1.5654771080000001</v>
      </c>
      <c r="S327" s="10">
        <v>3.9541742989999999</v>
      </c>
      <c r="T327" s="10">
        <v>107.11</v>
      </c>
      <c r="U327" s="10">
        <v>108.14</v>
      </c>
      <c r="V327" s="10">
        <v>107.11</v>
      </c>
      <c r="W327" s="10">
        <v>108.14</v>
      </c>
      <c r="X327" s="4" t="s">
        <v>146</v>
      </c>
      <c r="Y327" s="4" t="s">
        <v>1987</v>
      </c>
      <c r="AA327" s="10">
        <f t="shared" si="20"/>
        <v>1.2104590020949133E-2</v>
      </c>
      <c r="AB327" s="10">
        <f t="shared" si="21"/>
        <v>1.6380673783208847E-2</v>
      </c>
      <c r="AC327" s="10">
        <f t="shared" si="22"/>
        <v>0.85267463790809261</v>
      </c>
      <c r="AD327" s="10">
        <f t="shared" si="23"/>
        <v>0.21046178414046693</v>
      </c>
    </row>
    <row r="328" spans="1:30" x14ac:dyDescent="0.25">
      <c r="A328" s="33" t="s">
        <v>1982</v>
      </c>
      <c r="C328" s="39">
        <v>40847</v>
      </c>
      <c r="D328" s="53" t="s">
        <v>1989</v>
      </c>
      <c r="E328" s="4" t="str">
        <f>VLOOKUP(LEFT(D328,2),Sort!$A$1:$B$58,2,FALSE)</f>
        <v>Korea</v>
      </c>
      <c r="F328" s="4" t="s">
        <v>1014</v>
      </c>
      <c r="G328" s="18">
        <v>260365535</v>
      </c>
      <c r="H328" s="18">
        <v>258858669.5</v>
      </c>
      <c r="I328" s="10">
        <v>0.12477545800000001</v>
      </c>
      <c r="J328" s="10">
        <v>4.4249999999999998</v>
      </c>
      <c r="K328" s="10">
        <v>4.0576569999999998</v>
      </c>
      <c r="L328" s="10">
        <v>3.761822</v>
      </c>
      <c r="M328" s="10">
        <v>3.761822</v>
      </c>
      <c r="N328" s="10">
        <v>294.67219999999998</v>
      </c>
      <c r="O328" s="10">
        <v>297.7835</v>
      </c>
      <c r="P328" s="10">
        <v>4.029242</v>
      </c>
      <c r="Q328" s="10">
        <v>2.0500000000000001E-2</v>
      </c>
      <c r="R328" s="10">
        <v>2.5907510029999998</v>
      </c>
      <c r="S328" s="10">
        <v>4.3547802520000003</v>
      </c>
      <c r="T328" s="10">
        <v>99.14</v>
      </c>
      <c r="U328" s="10">
        <v>99.95</v>
      </c>
      <c r="V328" s="10">
        <v>99.14</v>
      </c>
      <c r="W328" s="10">
        <v>99.95</v>
      </c>
      <c r="X328" s="4" t="s">
        <v>146</v>
      </c>
      <c r="Y328" s="4" t="s">
        <v>1990</v>
      </c>
      <c r="AA328" s="10">
        <f t="shared" si="20"/>
        <v>2.2874944955266742E-2</v>
      </c>
      <c r="AB328" s="10">
        <f t="shared" si="21"/>
        <v>1.5848702002952856E-2</v>
      </c>
      <c r="AC328" s="10">
        <f t="shared" si="22"/>
        <v>0.76399753535021619</v>
      </c>
      <c r="AD328" s="10">
        <f t="shared" si="23"/>
        <v>0.54236646948442646</v>
      </c>
    </row>
    <row r="329" spans="1:30" x14ac:dyDescent="0.25">
      <c r="A329" s="33" t="s">
        <v>1985</v>
      </c>
      <c r="C329" s="39">
        <v>40847</v>
      </c>
      <c r="D329" s="53" t="s">
        <v>1992</v>
      </c>
      <c r="E329" s="4" t="str">
        <f>VLOOKUP(LEFT(D329,2),Sort!$A$1:$B$58,2,FALSE)</f>
        <v>Korea</v>
      </c>
      <c r="F329" s="4" t="s">
        <v>1014</v>
      </c>
      <c r="G329" s="18">
        <v>260365535</v>
      </c>
      <c r="H329" s="18">
        <v>267955190.30000001</v>
      </c>
      <c r="I329" s="10">
        <v>0.12916017799999999</v>
      </c>
      <c r="J329" s="10">
        <v>3.45</v>
      </c>
      <c r="K329" s="10">
        <v>3.1848000000000001</v>
      </c>
      <c r="L329" s="10">
        <v>3.4609559999999999</v>
      </c>
      <c r="M329" s="10">
        <v>3.4609559999999999</v>
      </c>
      <c r="N329" s="10">
        <v>293.05560000000003</v>
      </c>
      <c r="O329" s="10">
        <v>296.05680000000001</v>
      </c>
      <c r="P329" s="10">
        <v>3.1758890000000002</v>
      </c>
      <c r="Q329" s="10">
        <v>2.1899999999999999E-2</v>
      </c>
      <c r="R329" s="10">
        <v>1.763751085</v>
      </c>
      <c r="S329" s="10">
        <v>4.3062041090000003</v>
      </c>
      <c r="T329" s="10">
        <v>102.69</v>
      </c>
      <c r="U329" s="10">
        <v>103.35</v>
      </c>
      <c r="V329" s="10">
        <v>102.69</v>
      </c>
      <c r="W329" s="10">
        <v>103.35</v>
      </c>
      <c r="X329" s="4" t="s">
        <v>146</v>
      </c>
      <c r="Y329" s="4" t="s">
        <v>1993</v>
      </c>
      <c r="AA329" s="10">
        <f t="shared" si="20"/>
        <v>1.1649932828256902E-2</v>
      </c>
      <c r="AB329" s="10">
        <f t="shared" si="21"/>
        <v>1.5093535995416886E-2</v>
      </c>
      <c r="AC329" s="10">
        <f t="shared" si="22"/>
        <v>0.78625935766620014</v>
      </c>
      <c r="AD329" s="10">
        <f t="shared" si="23"/>
        <v>0.18805321848881465</v>
      </c>
    </row>
    <row r="330" spans="1:30" x14ac:dyDescent="0.25">
      <c r="A330" s="33" t="s">
        <v>1988</v>
      </c>
      <c r="C330" s="39">
        <v>40847</v>
      </c>
      <c r="D330" s="53" t="s">
        <v>1995</v>
      </c>
      <c r="E330" s="4" t="str">
        <f>VLOOKUP(LEFT(D330,2),Sort!$A$1:$B$58,2,FALSE)</f>
        <v>Korea</v>
      </c>
      <c r="F330" s="4" t="s">
        <v>1214</v>
      </c>
      <c r="G330" s="18">
        <v>260365535</v>
      </c>
      <c r="H330" s="18">
        <v>265609731.69999999</v>
      </c>
      <c r="I330" s="10">
        <v>0.12802961600000001</v>
      </c>
      <c r="J330" s="10">
        <v>4.4666670000000002</v>
      </c>
      <c r="K330" s="10">
        <v>4.0326380000000004</v>
      </c>
      <c r="L330" s="10">
        <v>3.96163</v>
      </c>
      <c r="M330" s="10">
        <v>3.96163</v>
      </c>
      <c r="N330" s="10">
        <v>313.43630000000002</v>
      </c>
      <c r="O330" s="10">
        <v>317.21879999999999</v>
      </c>
      <c r="P330" s="10">
        <v>4.0044589999999998</v>
      </c>
      <c r="Q330" s="10">
        <v>1.26E-2</v>
      </c>
      <c r="R330" s="10">
        <v>3.1756798989999999</v>
      </c>
      <c r="S330" s="10">
        <v>0.98902199999999996</v>
      </c>
      <c r="T330" s="10">
        <v>101.86</v>
      </c>
      <c r="U330" s="10">
        <v>102.69</v>
      </c>
      <c r="V330" s="10">
        <v>101.86</v>
      </c>
      <c r="W330" s="10">
        <v>102.69</v>
      </c>
      <c r="X330" s="4" t="s">
        <v>146</v>
      </c>
      <c r="Y330" s="4" t="s">
        <v>1996</v>
      </c>
      <c r="AA330" s="10">
        <f t="shared" si="20"/>
        <v>2.3326803541279657E-2</v>
      </c>
      <c r="AB330" s="10">
        <f t="shared" si="21"/>
        <v>1.7125790931419471E-2</v>
      </c>
      <c r="AC330" s="10">
        <f t="shared" si="22"/>
        <v>0.83508659795010964</v>
      </c>
      <c r="AD330" s="10">
        <f t="shared" si="23"/>
        <v>0.18521674726702075</v>
      </c>
    </row>
    <row r="331" spans="1:30" x14ac:dyDescent="0.25">
      <c r="A331" s="33" t="s">
        <v>1991</v>
      </c>
      <c r="C331" s="39">
        <v>40847</v>
      </c>
      <c r="D331" s="53" t="s">
        <v>1998</v>
      </c>
      <c r="E331" s="4" t="str">
        <f>VLOOKUP(LEFT(D331,2),Sort!$A$1:$B$58,2,FALSE)</f>
        <v>Korea</v>
      </c>
      <c r="F331" s="4" t="s">
        <v>1007</v>
      </c>
      <c r="G331" s="18">
        <v>520731069</v>
      </c>
      <c r="H331" s="18">
        <v>574147229.89999998</v>
      </c>
      <c r="I331" s="10">
        <v>0.27675134099999998</v>
      </c>
      <c r="J331" s="10">
        <v>2.4722219999999999</v>
      </c>
      <c r="K331" s="10">
        <v>2.2851859999999999</v>
      </c>
      <c r="L331" s="10">
        <v>2.5787309999999999</v>
      </c>
      <c r="M331" s="10">
        <v>2.5787309999999999</v>
      </c>
      <c r="N331" s="10">
        <v>225.99529999999999</v>
      </c>
      <c r="O331" s="10">
        <v>228.1037</v>
      </c>
      <c r="P331" s="10">
        <v>2.2859910000000001</v>
      </c>
      <c r="Q331" s="10">
        <v>5.4300000000000001E-2</v>
      </c>
      <c r="R331" s="10">
        <v>0.39370511899999999</v>
      </c>
      <c r="S331" s="10">
        <v>4.000031581</v>
      </c>
      <c r="T331" s="10">
        <v>110.06</v>
      </c>
      <c r="U331" s="10">
        <v>110.82</v>
      </c>
      <c r="V331" s="10">
        <v>110.06</v>
      </c>
      <c r="W331" s="10">
        <v>110.82</v>
      </c>
      <c r="X331" s="4" t="s">
        <v>146</v>
      </c>
      <c r="Y331" s="4" t="s">
        <v>1999</v>
      </c>
      <c r="AA331" s="10">
        <f t="shared" si="20"/>
        <v>1.7911168168227097E-2</v>
      </c>
      <c r="AB331" s="10">
        <f t="shared" si="21"/>
        <v>2.4096948970106349E-2</v>
      </c>
      <c r="AC331" s="10">
        <f t="shared" si="22"/>
        <v>1.2980284654319549</v>
      </c>
      <c r="AD331" s="10">
        <f t="shared" si="23"/>
        <v>0.43206544615794928</v>
      </c>
    </row>
    <row r="332" spans="1:30" x14ac:dyDescent="0.25">
      <c r="A332" s="33" t="s">
        <v>1994</v>
      </c>
      <c r="C332" s="39">
        <v>40847</v>
      </c>
      <c r="D332" s="53" t="s">
        <v>2001</v>
      </c>
      <c r="E332" s="4" t="str">
        <f>VLOOKUP(LEFT(D332,2),Sort!$A$1:$B$58,2,FALSE)</f>
        <v>Korea</v>
      </c>
      <c r="F332" s="4" t="s">
        <v>1007</v>
      </c>
      <c r="G332" s="18">
        <v>260365535</v>
      </c>
      <c r="H332" s="18">
        <v>274416595.89999998</v>
      </c>
      <c r="I332" s="10">
        <v>0.13227471399999999</v>
      </c>
      <c r="J332" s="10">
        <v>4.197222</v>
      </c>
      <c r="K332" s="10">
        <v>3.751703</v>
      </c>
      <c r="L332" s="10">
        <v>3.6286499999999999</v>
      </c>
      <c r="M332" s="10">
        <v>3.6286499999999999</v>
      </c>
      <c r="N332" s="10">
        <v>288.0061</v>
      </c>
      <c r="O332" s="10">
        <v>291.90069999999997</v>
      </c>
      <c r="P332" s="10">
        <v>3.7288429999999999</v>
      </c>
      <c r="Q332" s="10">
        <v>0.20300000000000001</v>
      </c>
      <c r="R332" s="10">
        <v>2.243517524</v>
      </c>
      <c r="S332" s="10">
        <v>4.857186757</v>
      </c>
      <c r="T332" s="10">
        <v>103.88</v>
      </c>
      <c r="U332" s="10">
        <v>105.08</v>
      </c>
      <c r="V332" s="10">
        <v>103.88</v>
      </c>
      <c r="W332" s="10">
        <v>105.08</v>
      </c>
      <c r="X332" s="4" t="s">
        <v>146</v>
      </c>
      <c r="Y332" s="4" t="s">
        <v>2002</v>
      </c>
      <c r="AA332" s="10">
        <f t="shared" si="20"/>
        <v>1.4054581109558947E-2</v>
      </c>
      <c r="AB332" s="10">
        <f t="shared" si="21"/>
        <v>1.6206461289294941E-2</v>
      </c>
      <c r="AC332" s="10">
        <f t="shared" si="22"/>
        <v>0.79391520931387471</v>
      </c>
      <c r="AD332" s="10">
        <f t="shared" si="23"/>
        <v>0.19581166160439728</v>
      </c>
    </row>
    <row r="333" spans="1:30" x14ac:dyDescent="0.25">
      <c r="A333" s="33" t="s">
        <v>1997</v>
      </c>
      <c r="C333" s="39">
        <v>40847</v>
      </c>
      <c r="D333" s="53" t="s">
        <v>2004</v>
      </c>
      <c r="E333" s="4" t="str">
        <f>VLOOKUP(LEFT(D333,2),Sort!$A$1:$B$58,2,FALSE)</f>
        <v>Korea</v>
      </c>
      <c r="F333" s="4" t="s">
        <v>1081</v>
      </c>
      <c r="G333" s="18">
        <v>208292428</v>
      </c>
      <c r="H333" s="18">
        <v>222565666.59999999</v>
      </c>
      <c r="I333" s="10">
        <v>0.107281449</v>
      </c>
      <c r="J333" s="10">
        <v>3.7</v>
      </c>
      <c r="K333" s="10">
        <v>3.3525529999999999</v>
      </c>
      <c r="L333" s="10">
        <v>3.1098460000000001</v>
      </c>
      <c r="M333" s="10">
        <v>3.1098460000000001</v>
      </c>
      <c r="N333" s="10">
        <v>250.6446</v>
      </c>
      <c r="O333" s="10">
        <v>254.2997</v>
      </c>
      <c r="P333" s="10">
        <v>3.3410389999999999</v>
      </c>
      <c r="Q333" s="10">
        <v>0.3508</v>
      </c>
      <c r="R333" s="10">
        <v>-8.4935137999999993E-2</v>
      </c>
      <c r="S333" s="10">
        <v>4.2140081519999999</v>
      </c>
      <c r="T333" s="10">
        <v>105.39</v>
      </c>
      <c r="U333" s="10">
        <v>106.12</v>
      </c>
      <c r="V333" s="10">
        <v>105.39</v>
      </c>
      <c r="W333" s="10">
        <v>106.12</v>
      </c>
      <c r="X333" s="4" t="s">
        <v>146</v>
      </c>
      <c r="Y333" s="4" t="s">
        <v>2005</v>
      </c>
      <c r="AA333" s="10">
        <f t="shared" si="20"/>
        <v>1.018621656534446E-2</v>
      </c>
      <c r="AB333" s="10">
        <f t="shared" si="21"/>
        <v>1.1264963692955392E-2</v>
      </c>
      <c r="AC333" s="10">
        <f t="shared" si="22"/>
        <v>0.56096095108414268</v>
      </c>
      <c r="AD333" s="10">
        <f t="shared" si="23"/>
        <v>0.16038491833570009</v>
      </c>
    </row>
    <row r="334" spans="1:30" x14ac:dyDescent="0.25">
      <c r="A334" s="33" t="s">
        <v>2000</v>
      </c>
      <c r="C334" s="39">
        <v>40847</v>
      </c>
      <c r="D334" s="53" t="s">
        <v>2007</v>
      </c>
      <c r="E334" s="4" t="str">
        <f>VLOOKUP(LEFT(D334,2),Sort!$A$1:$B$58,2,FALSE)</f>
        <v>Korea</v>
      </c>
      <c r="F334" s="4" t="s">
        <v>1081</v>
      </c>
      <c r="G334" s="18">
        <v>312438641</v>
      </c>
      <c r="H334" s="18">
        <v>344292410.30000001</v>
      </c>
      <c r="I334" s="10">
        <v>0.165956363</v>
      </c>
      <c r="J334" s="10">
        <v>2.641667</v>
      </c>
      <c r="K334" s="10">
        <v>2.4151980000000002</v>
      </c>
      <c r="L334" s="10">
        <v>2.5756749999999999</v>
      </c>
      <c r="M334" s="10">
        <v>2.5756749999999999</v>
      </c>
      <c r="N334" s="10">
        <v>223.11420000000001</v>
      </c>
      <c r="O334" s="10">
        <v>225.38409999999999</v>
      </c>
      <c r="P334" s="10">
        <v>2.4149259999999999</v>
      </c>
      <c r="Q334" s="10">
        <v>6.0199999999999997E-2</v>
      </c>
      <c r="R334" s="10">
        <v>0.14262659</v>
      </c>
      <c r="S334" s="10">
        <v>4.7854985919999997</v>
      </c>
      <c r="T334" s="10">
        <v>108.09</v>
      </c>
      <c r="U334" s="10">
        <v>108.37</v>
      </c>
      <c r="V334" s="10">
        <v>108.09</v>
      </c>
      <c r="W334" s="10">
        <v>108.37</v>
      </c>
      <c r="X334" s="4" t="s">
        <v>146</v>
      </c>
      <c r="Y334" s="4" t="s">
        <v>2008</v>
      </c>
      <c r="AA334" s="10">
        <f t="shared" si="20"/>
        <v>1.1351657322644745E-2</v>
      </c>
      <c r="AB334" s="10">
        <f t="shared" si="21"/>
        <v>1.4432821974349431E-2</v>
      </c>
      <c r="AC334" s="10">
        <f t="shared" si="22"/>
        <v>0.76909384696292959</v>
      </c>
      <c r="AD334" s="10">
        <f t="shared" si="23"/>
        <v>0.25336384337426043</v>
      </c>
    </row>
    <row r="335" spans="1:30" x14ac:dyDescent="0.25">
      <c r="A335" s="33" t="s">
        <v>2003</v>
      </c>
      <c r="C335" s="39">
        <v>40847</v>
      </c>
      <c r="D335" s="53" t="s">
        <v>2010</v>
      </c>
      <c r="E335" s="4" t="str">
        <f>VLOOKUP(LEFT(D335,2),Sort!$A$1:$B$58,2,FALSE)</f>
        <v>Korea</v>
      </c>
      <c r="F335" s="4" t="s">
        <v>1014</v>
      </c>
      <c r="G335" s="18">
        <v>260365535</v>
      </c>
      <c r="H335" s="18">
        <v>260294476</v>
      </c>
      <c r="I335" s="10">
        <v>0.12546754800000001</v>
      </c>
      <c r="J335" s="10">
        <v>4.6138890000000004</v>
      </c>
      <c r="K335" s="10">
        <v>4.1218349999999999</v>
      </c>
      <c r="L335" s="10">
        <v>4.3123050000000003</v>
      </c>
      <c r="M335" s="10">
        <v>4.3123050000000003</v>
      </c>
      <c r="N335" s="10">
        <v>344.20490000000001</v>
      </c>
      <c r="O335" s="10">
        <v>347.61470000000003</v>
      </c>
      <c r="P335" s="10">
        <v>4.0893050000000004</v>
      </c>
      <c r="Q335" s="10">
        <v>2.1499999999999998E-2</v>
      </c>
      <c r="R335" s="10">
        <v>2.9247164209999998</v>
      </c>
      <c r="S335" s="10">
        <v>7.0648000000000002E-2</v>
      </c>
      <c r="T335" s="10">
        <v>98.38</v>
      </c>
      <c r="U335" s="10">
        <v>99.22</v>
      </c>
      <c r="V335" s="10">
        <v>98.38</v>
      </c>
      <c r="W335" s="10">
        <v>99.22</v>
      </c>
      <c r="X335" s="4" t="s">
        <v>146</v>
      </c>
      <c r="Y335" s="4" t="s">
        <v>2011</v>
      </c>
      <c r="AA335" s="10">
        <f t="shared" si="20"/>
        <v>2.3365633731649391E-2</v>
      </c>
      <c r="AB335" s="10">
        <f t="shared" si="21"/>
        <v>1.5578710119356192E-2</v>
      </c>
      <c r="AC335" s="10">
        <f t="shared" si="22"/>
        <v>0.8967919435943098</v>
      </c>
      <c r="AD335" s="10">
        <f t="shared" si="23"/>
        <v>0.5413915756732921</v>
      </c>
    </row>
    <row r="336" spans="1:30" x14ac:dyDescent="0.25">
      <c r="A336" s="33" t="s">
        <v>2006</v>
      </c>
      <c r="C336" s="39">
        <v>40847</v>
      </c>
      <c r="D336" s="53" t="s">
        <v>2013</v>
      </c>
      <c r="E336" s="4" t="str">
        <f>VLOOKUP(LEFT(D336,2),Sort!$A$1:$B$58,2,FALSE)</f>
        <v>Korea</v>
      </c>
      <c r="F336" s="4" t="e">
        <v>#N/A</v>
      </c>
      <c r="G336" s="18">
        <v>156219321</v>
      </c>
      <c r="H336" s="18">
        <v>155824975</v>
      </c>
      <c r="I336" s="10">
        <v>7.5110996999999999E-2</v>
      </c>
      <c r="J336" s="10">
        <v>5.2055559999999996</v>
      </c>
      <c r="K336" s="10">
        <v>4.6967059999999998</v>
      </c>
      <c r="L336" s="10">
        <v>3.7116189999999998</v>
      </c>
      <c r="M336" s="10">
        <v>3.7116189999999998</v>
      </c>
      <c r="N336" s="10">
        <v>266.80829999999997</v>
      </c>
      <c r="O336" s="10">
        <v>269.85879999999997</v>
      </c>
      <c r="P336" s="10">
        <v>4.6406489999999998</v>
      </c>
      <c r="Q336" s="10">
        <v>-8.0100000000000005E-2</v>
      </c>
      <c r="R336" s="10">
        <v>3.8111267459999998</v>
      </c>
      <c r="S336" s="10">
        <v>-5.3884000000000001E-2</v>
      </c>
      <c r="T336" s="10">
        <v>98.65</v>
      </c>
      <c r="U336" s="10">
        <v>99.59</v>
      </c>
      <c r="V336" s="10">
        <v>98.65</v>
      </c>
      <c r="W336" s="10">
        <v>99.59</v>
      </c>
      <c r="X336" s="4" t="s">
        <v>146</v>
      </c>
      <c r="Y336" s="4" t="s">
        <v>2014</v>
      </c>
      <c r="AA336" s="10">
        <f t="shared" si="20"/>
        <v>1.593868368256288E-2</v>
      </c>
      <c r="AB336" s="10">
        <f t="shared" si="21"/>
        <v>9.4131113942546359E-3</v>
      </c>
      <c r="AC336" s="10">
        <f t="shared" si="22"/>
        <v>0.41677557902083329</v>
      </c>
      <c r="AD336" s="10">
        <f t="shared" si="23"/>
        <v>0.32531202543687521</v>
      </c>
    </row>
    <row r="337" spans="1:30" x14ac:dyDescent="0.25">
      <c r="A337" s="33" t="s">
        <v>2009</v>
      </c>
      <c r="C337" s="39">
        <v>40847</v>
      </c>
      <c r="D337" s="53" t="s">
        <v>2016</v>
      </c>
      <c r="E337" s="4" t="str">
        <f>VLOOKUP(LEFT(D337,2),Sort!$A$1:$B$58,2,FALSE)</f>
        <v>Korea</v>
      </c>
      <c r="F337" s="4" t="s">
        <v>1037</v>
      </c>
      <c r="G337" s="18">
        <v>364511748</v>
      </c>
      <c r="H337" s="18">
        <v>359894598</v>
      </c>
      <c r="I337" s="10">
        <v>0.17347695399999999</v>
      </c>
      <c r="J337" s="10">
        <v>3.9222220000000001</v>
      </c>
      <c r="K337" s="10">
        <v>3.6780900000000001</v>
      </c>
      <c r="L337" s="10">
        <v>3.2100770000000001</v>
      </c>
      <c r="M337" s="10">
        <v>3.2100770000000001</v>
      </c>
      <c r="N337" s="10">
        <v>254.1788</v>
      </c>
      <c r="O337" s="10">
        <v>256.99119999999999</v>
      </c>
      <c r="P337" s="10">
        <v>3.6604930000000002</v>
      </c>
      <c r="Q337" s="10">
        <v>1.8599999999999998E-2</v>
      </c>
      <c r="R337" s="10">
        <v>1.9761762860000001</v>
      </c>
      <c r="S337" s="10">
        <v>4.0219069840000001</v>
      </c>
      <c r="T337" s="10">
        <v>98.5</v>
      </c>
      <c r="U337" s="10">
        <v>99.23</v>
      </c>
      <c r="V337" s="10">
        <v>98.5</v>
      </c>
      <c r="W337" s="10">
        <v>99.23</v>
      </c>
      <c r="X337" s="4" t="s">
        <v>146</v>
      </c>
      <c r="Y337" s="4" t="s">
        <v>2017</v>
      </c>
      <c r="AA337" s="10">
        <f t="shared" si="20"/>
        <v>1.8070774346171246E-2</v>
      </c>
      <c r="AB337" s="10">
        <f t="shared" si="21"/>
        <v>1.8802843048633847E-2</v>
      </c>
      <c r="AC337" s="10">
        <f t="shared" si="22"/>
        <v>0.91668936539229273</v>
      </c>
      <c r="AD337" s="10">
        <f t="shared" si="23"/>
        <v>0.74862726265027946</v>
      </c>
    </row>
    <row r="338" spans="1:30" x14ac:dyDescent="0.25">
      <c r="A338" s="33" t="s">
        <v>2012</v>
      </c>
      <c r="C338" s="39">
        <v>40847</v>
      </c>
      <c r="D338" s="53" t="s">
        <v>2019</v>
      </c>
      <c r="E338" s="4" t="str">
        <f>VLOOKUP(LEFT(D338,2),Sort!$A$1:$B$58,2,FALSE)</f>
        <v>Korea</v>
      </c>
      <c r="F338" s="4" t="s">
        <v>1037</v>
      </c>
      <c r="G338" s="18">
        <v>260365535</v>
      </c>
      <c r="H338" s="18">
        <v>279315805.69999999</v>
      </c>
      <c r="I338" s="10">
        <v>0.13463623899999999</v>
      </c>
      <c r="J338" s="10">
        <v>2.7166670000000002</v>
      </c>
      <c r="K338" s="10">
        <v>2.4932509999999999</v>
      </c>
      <c r="L338" s="10">
        <v>2.978008</v>
      </c>
      <c r="M338" s="10">
        <v>2.978008</v>
      </c>
      <c r="N338" s="10">
        <v>262.20749999999998</v>
      </c>
      <c r="O338" s="10">
        <v>264.46030000000002</v>
      </c>
      <c r="P338" s="10">
        <v>2.4933139999999998</v>
      </c>
      <c r="Q338" s="10">
        <v>6.0900000000000003E-2</v>
      </c>
      <c r="R338" s="10">
        <v>-0.57666311299999995</v>
      </c>
      <c r="S338" s="10">
        <v>2.9558780429999998</v>
      </c>
      <c r="T338" s="10">
        <v>105.72</v>
      </c>
      <c r="U338" s="10">
        <v>106.53</v>
      </c>
      <c r="V338" s="10">
        <v>105.72</v>
      </c>
      <c r="W338" s="10">
        <v>106.53</v>
      </c>
      <c r="X338" s="4" t="s">
        <v>146</v>
      </c>
      <c r="Y338" s="4" t="s">
        <v>2020</v>
      </c>
      <c r="AA338" s="10">
        <f t="shared" si="20"/>
        <v>9.5069365797599281E-3</v>
      </c>
      <c r="AB338" s="10">
        <f t="shared" si="21"/>
        <v>1.3537987694586398E-2</v>
      </c>
      <c r="AC338" s="10">
        <f t="shared" si="22"/>
        <v>0.73212394462828911</v>
      </c>
      <c r="AD338" s="10">
        <f t="shared" si="23"/>
        <v>0.20205776966017958</v>
      </c>
    </row>
    <row r="339" spans="1:30" x14ac:dyDescent="0.25">
      <c r="A339" s="33" t="s">
        <v>2015</v>
      </c>
      <c r="C339" s="39">
        <v>40847</v>
      </c>
      <c r="D339" s="53" t="s">
        <v>2022</v>
      </c>
      <c r="E339" s="4" t="str">
        <f>VLOOKUP(LEFT(D339,2),Sort!$A$1:$B$58,2,FALSE)</f>
        <v>Korea</v>
      </c>
      <c r="F339" s="4" t="s">
        <v>1037</v>
      </c>
      <c r="G339" s="18">
        <v>156219321</v>
      </c>
      <c r="H339" s="18">
        <v>163471585.80000001</v>
      </c>
      <c r="I339" s="10">
        <v>7.8796827999999999E-2</v>
      </c>
      <c r="J339" s="10">
        <v>22.472221999999999</v>
      </c>
      <c r="K339" s="10">
        <v>14.008194</v>
      </c>
      <c r="L339" s="10">
        <v>4.6900709999999997</v>
      </c>
      <c r="M339" s="10">
        <v>4.6900709999999997</v>
      </c>
      <c r="N339" s="10">
        <v>192.2482</v>
      </c>
      <c r="O339" s="10">
        <v>187.8817</v>
      </c>
      <c r="P339" s="10">
        <v>13.056177</v>
      </c>
      <c r="Q339" s="10">
        <v>1.3599999999999999E-2</v>
      </c>
      <c r="R339" s="10">
        <v>0.37615017000000001</v>
      </c>
      <c r="S339" s="10">
        <v>4.1991202249999997</v>
      </c>
      <c r="T339" s="10">
        <v>104.5</v>
      </c>
      <c r="U339" s="10">
        <v>106</v>
      </c>
      <c r="V339" s="10">
        <v>104.5</v>
      </c>
      <c r="W339" s="10">
        <v>106</v>
      </c>
      <c r="X339" s="4" t="s">
        <v>146</v>
      </c>
      <c r="Y339" s="4" t="s">
        <v>2023</v>
      </c>
      <c r="AA339" s="10">
        <f t="shared" si="20"/>
        <v>0.11762046633296572</v>
      </c>
      <c r="AB339" s="10">
        <f t="shared" si="21"/>
        <v>1.0640909942619122E-2</v>
      </c>
      <c r="AC339" s="10">
        <f t="shared" si="22"/>
        <v>1.0761851897224155</v>
      </c>
      <c r="AD339" s="10">
        <f t="shared" si="23"/>
        <v>0.11766742696980538</v>
      </c>
    </row>
    <row r="340" spans="1:30" x14ac:dyDescent="0.25">
      <c r="A340" s="33" t="s">
        <v>2018</v>
      </c>
      <c r="C340" s="39">
        <v>40847</v>
      </c>
      <c r="D340" s="53" t="s">
        <v>2025</v>
      </c>
      <c r="E340" s="4" t="str">
        <f>VLOOKUP(LEFT(D340,2),Sort!$A$1:$B$58,2,FALSE)</f>
        <v>Korea</v>
      </c>
      <c r="F340" s="4" t="s">
        <v>1037</v>
      </c>
      <c r="G340" s="18">
        <v>182255874</v>
      </c>
      <c r="H340" s="18">
        <v>196342228.19999999</v>
      </c>
      <c r="I340" s="10">
        <v>9.4641186000000002E-2</v>
      </c>
      <c r="J340" s="10">
        <v>1.411111</v>
      </c>
      <c r="K340" s="10">
        <v>1.3521399999999999</v>
      </c>
      <c r="L340" s="10">
        <v>2.2252860000000001</v>
      </c>
      <c r="M340" s="10">
        <v>2.2252860000000001</v>
      </c>
      <c r="N340" s="10">
        <v>206.7208</v>
      </c>
      <c r="O340" s="10">
        <v>207.13130000000001</v>
      </c>
      <c r="P340" s="10">
        <v>1.3431580000000001</v>
      </c>
      <c r="Q340" s="10">
        <v>2.93E-2</v>
      </c>
      <c r="R340" s="10">
        <v>0.160639011</v>
      </c>
      <c r="S340" s="10">
        <v>1.474801619</v>
      </c>
      <c r="T340" s="10">
        <v>107.04</v>
      </c>
      <c r="U340" s="10">
        <v>107.63</v>
      </c>
      <c r="V340" s="10">
        <v>107.04</v>
      </c>
      <c r="W340" s="10">
        <v>107.63</v>
      </c>
      <c r="X340" s="4" t="s">
        <v>146</v>
      </c>
      <c r="Y340" s="4" t="s">
        <v>2026</v>
      </c>
      <c r="AA340" s="10">
        <f t="shared" si="20"/>
        <v>1.6179202156629605E-2</v>
      </c>
      <c r="AB340" s="10">
        <f t="shared" si="21"/>
        <v>7.1110264488164912E-3</v>
      </c>
      <c r="AC340" s="10">
        <f t="shared" si="22"/>
        <v>0.40307703849699511</v>
      </c>
      <c r="AD340" s="10">
        <f t="shared" si="23"/>
        <v>0.14350108063236433</v>
      </c>
    </row>
    <row r="341" spans="1:30" x14ac:dyDescent="0.25">
      <c r="A341" s="33" t="s">
        <v>2021</v>
      </c>
      <c r="C341" s="39">
        <v>40847</v>
      </c>
      <c r="D341" s="53" t="s">
        <v>2028</v>
      </c>
      <c r="E341" s="4" t="str">
        <f>VLOOKUP(LEFT(D341,2),Sort!$A$1:$B$58,2,FALSE)</f>
        <v>Korea</v>
      </c>
      <c r="F341" s="4" t="s">
        <v>1037</v>
      </c>
      <c r="G341" s="18">
        <v>260365535</v>
      </c>
      <c r="H341" s="18">
        <v>253913171.90000001</v>
      </c>
      <c r="I341" s="10">
        <v>0.12239162200000001</v>
      </c>
      <c r="J341" s="10">
        <v>8.9972220000000007</v>
      </c>
      <c r="K341" s="10">
        <v>7.5934229999999996</v>
      </c>
      <c r="L341" s="10">
        <v>4.3897899999999996</v>
      </c>
      <c r="M341" s="10">
        <v>4.3897899999999996</v>
      </c>
      <c r="N341" s="10">
        <v>244.36439999999999</v>
      </c>
      <c r="O341" s="10">
        <v>248.67089999999999</v>
      </c>
      <c r="P341" s="10">
        <v>7.3531190000000004</v>
      </c>
      <c r="Q341" s="10">
        <v>0.30009999999999998</v>
      </c>
      <c r="R341" s="10">
        <v>2.2228103099999998</v>
      </c>
      <c r="S341" s="10">
        <v>6.6136386629999997</v>
      </c>
      <c r="T341" s="10">
        <v>97.51</v>
      </c>
      <c r="U341" s="10">
        <v>98.97</v>
      </c>
      <c r="V341" s="10">
        <v>97.51</v>
      </c>
      <c r="W341" s="10">
        <v>98.97</v>
      </c>
      <c r="X341" s="4" t="s">
        <v>146</v>
      </c>
      <c r="Y341" s="4" t="s">
        <v>2029</v>
      </c>
      <c r="AA341" s="10">
        <f t="shared" si="20"/>
        <v>4.0576561803836349E-2</v>
      </c>
      <c r="AB341" s="10">
        <f t="shared" si="21"/>
        <v>1.546984813477619E-2</v>
      </c>
      <c r="AC341" s="10">
        <f t="shared" si="22"/>
        <v>0.62580468448661453</v>
      </c>
      <c r="AD341" s="10">
        <f t="shared" si="23"/>
        <v>0.52678829964782437</v>
      </c>
    </row>
    <row r="342" spans="1:30" x14ac:dyDescent="0.25">
      <c r="A342" s="33" t="s">
        <v>2024</v>
      </c>
      <c r="C342" s="39">
        <v>40847</v>
      </c>
      <c r="D342" s="53" t="s">
        <v>2031</v>
      </c>
      <c r="E342" s="4" t="str">
        <f>VLOOKUP(LEFT(D342,2),Sort!$A$1:$B$58,2,FALSE)</f>
        <v>Korea</v>
      </c>
      <c r="F342" s="4" t="s">
        <v>1037</v>
      </c>
      <c r="G342" s="18">
        <v>156219321</v>
      </c>
      <c r="H342" s="18">
        <v>174845870.90000001</v>
      </c>
      <c r="I342" s="10">
        <v>8.4279479000000004E-2</v>
      </c>
      <c r="J342" s="10">
        <v>4.5611110000000004</v>
      </c>
      <c r="K342" s="10">
        <v>3.9436640000000001</v>
      </c>
      <c r="L342" s="10">
        <v>3.611243</v>
      </c>
      <c r="M342" s="10">
        <v>3.611243</v>
      </c>
      <c r="N342" s="10">
        <v>275.63990000000001</v>
      </c>
      <c r="O342" s="10">
        <v>280.4846</v>
      </c>
      <c r="P342" s="10">
        <v>3.9157829999999998</v>
      </c>
      <c r="Q342" s="10">
        <v>0.40970000000000001</v>
      </c>
      <c r="R342" s="10">
        <v>-0.101156493</v>
      </c>
      <c r="S342" s="10">
        <v>5.5642479180000004</v>
      </c>
      <c r="T342" s="10">
        <v>109.29</v>
      </c>
      <c r="U342" s="10">
        <v>109.96</v>
      </c>
      <c r="V342" s="10">
        <v>109.29</v>
      </c>
      <c r="W342" s="10">
        <v>109.96</v>
      </c>
      <c r="X342" s="4" t="s">
        <v>146</v>
      </c>
      <c r="Y342" s="4" t="s">
        <v>2032</v>
      </c>
      <c r="AA342" s="10">
        <f t="shared" si="20"/>
        <v>9.413136784105644E-3</v>
      </c>
      <c r="AB342" s="10">
        <f t="shared" si="21"/>
        <v>1.0276490773406777E-2</v>
      </c>
      <c r="AC342" s="10">
        <f t="shared" si="22"/>
        <v>0.48606350556341554</v>
      </c>
      <c r="AD342" s="10">
        <f t="shared" si="23"/>
        <v>0.13055641849672345</v>
      </c>
    </row>
    <row r="343" spans="1:30" x14ac:dyDescent="0.25">
      <c r="A343" s="33" t="s">
        <v>2027</v>
      </c>
      <c r="C343" s="39">
        <v>40847</v>
      </c>
      <c r="D343" s="53" t="s">
        <v>2034</v>
      </c>
      <c r="E343" s="4" t="str">
        <f>VLOOKUP(LEFT(D343,2),Sort!$A$1:$B$58,2,FALSE)</f>
        <v>Korea</v>
      </c>
      <c r="F343" s="4" t="s">
        <v>1024</v>
      </c>
      <c r="G343" s="18">
        <v>156219321</v>
      </c>
      <c r="H343" s="18">
        <v>167496620.40000001</v>
      </c>
      <c r="I343" s="10">
        <v>8.0736980999999999E-2</v>
      </c>
      <c r="J343" s="10">
        <v>2.8111109999999999</v>
      </c>
      <c r="K343" s="10">
        <v>2.5932210000000002</v>
      </c>
      <c r="L343" s="10">
        <v>2.6774930000000001</v>
      </c>
      <c r="M343" s="10">
        <v>2.6774930000000001</v>
      </c>
      <c r="N343" s="10">
        <v>230.72040000000001</v>
      </c>
      <c r="O343" s="10">
        <v>232.7758</v>
      </c>
      <c r="P343" s="10">
        <v>2.5910600000000001</v>
      </c>
      <c r="Q343" s="10">
        <v>6.0900000000000003E-2</v>
      </c>
      <c r="R343" s="10">
        <v>0.17544104599999999</v>
      </c>
      <c r="S343" s="10">
        <v>5.2809293970000004</v>
      </c>
      <c r="T343" s="10">
        <v>106.18</v>
      </c>
      <c r="U343" s="10">
        <v>107.59</v>
      </c>
      <c r="V343" s="10">
        <v>106.18</v>
      </c>
      <c r="W343" s="10">
        <v>107.59</v>
      </c>
      <c r="X343" s="4" t="s">
        <v>146</v>
      </c>
      <c r="Y343" s="4" t="s">
        <v>2035</v>
      </c>
      <c r="AA343" s="10">
        <f t="shared" si="20"/>
        <v>5.9295899489983433E-3</v>
      </c>
      <c r="AB343" s="10">
        <f t="shared" si="21"/>
        <v>7.2990633963668323E-3</v>
      </c>
      <c r="AC343" s="10">
        <f t="shared" si="22"/>
        <v>0.38643147209000989</v>
      </c>
      <c r="AD343" s="10">
        <f t="shared" si="23"/>
        <v>0.12237313106089236</v>
      </c>
    </row>
    <row r="344" spans="1:30" x14ac:dyDescent="0.25">
      <c r="A344" s="33" t="s">
        <v>2030</v>
      </c>
      <c r="C344" s="39">
        <v>40847</v>
      </c>
      <c r="D344" s="53" t="s">
        <v>2037</v>
      </c>
      <c r="E344" s="4" t="str">
        <f>VLOOKUP(LEFT(D344,2),Sort!$A$1:$B$58,2,FALSE)</f>
        <v>Korea</v>
      </c>
      <c r="F344" s="4" t="s">
        <v>1024</v>
      </c>
      <c r="G344" s="18">
        <v>156219321</v>
      </c>
      <c r="H344" s="18">
        <v>167115618.59999999</v>
      </c>
      <c r="I344" s="10">
        <v>8.0553330000000006E-2</v>
      </c>
      <c r="J344" s="10">
        <v>3.95</v>
      </c>
      <c r="K344" s="10">
        <v>3.5707949999999999</v>
      </c>
      <c r="L344" s="10">
        <v>3.1609470000000002</v>
      </c>
      <c r="M344" s="10">
        <v>3.1609470000000002</v>
      </c>
      <c r="N344" s="10">
        <v>248.4547</v>
      </c>
      <c r="O344" s="10">
        <v>252.56649999999999</v>
      </c>
      <c r="P344" s="10">
        <v>3.554001</v>
      </c>
      <c r="Q344" s="10">
        <v>0.37090000000000001</v>
      </c>
      <c r="R344" s="10">
        <v>-5.2019065000000003E-2</v>
      </c>
      <c r="S344" s="10">
        <v>5.9415495030000001</v>
      </c>
      <c r="T344" s="10">
        <v>106.7</v>
      </c>
      <c r="U344" s="10">
        <v>108.62</v>
      </c>
      <c r="V344" s="10">
        <v>106.7</v>
      </c>
      <c r="W344" s="10">
        <v>108.62</v>
      </c>
      <c r="X344" s="4" t="s">
        <v>146</v>
      </c>
      <c r="Y344" s="4" t="s">
        <v>2038</v>
      </c>
      <c r="AA344" s="10">
        <f t="shared" si="20"/>
        <v>8.146312046511027E-3</v>
      </c>
      <c r="AB344" s="10">
        <f t="shared" si="21"/>
        <v>8.5973973248902637E-3</v>
      </c>
      <c r="AC344" s="10">
        <f t="shared" si="22"/>
        <v>0.41833230127087379</v>
      </c>
      <c r="AD344" s="10">
        <f t="shared" si="23"/>
        <v>0.12326363060788117</v>
      </c>
    </row>
    <row r="345" spans="1:30" x14ac:dyDescent="0.25">
      <c r="A345" s="33" t="s">
        <v>2033</v>
      </c>
      <c r="C345" s="39">
        <v>40847</v>
      </c>
      <c r="D345" s="53" t="s">
        <v>2040</v>
      </c>
      <c r="E345" s="4" t="str">
        <f>VLOOKUP(LEFT(D345,2),Sort!$A$1:$B$58,2,FALSE)</f>
        <v>Korea</v>
      </c>
      <c r="F345" s="4" t="s">
        <v>1024</v>
      </c>
      <c r="G345" s="18">
        <v>260365535</v>
      </c>
      <c r="H345" s="18">
        <v>278923088.5</v>
      </c>
      <c r="I345" s="10">
        <v>0.13444694099999999</v>
      </c>
      <c r="J345" s="10">
        <v>5.4749999999999996</v>
      </c>
      <c r="K345" s="10">
        <v>4.7995270000000003</v>
      </c>
      <c r="L345" s="10">
        <v>3.5604580000000001</v>
      </c>
      <c r="M345" s="10">
        <v>3.5604580000000001</v>
      </c>
      <c r="N345" s="10">
        <v>243.75710000000001</v>
      </c>
      <c r="O345" s="10">
        <v>248.67400000000001</v>
      </c>
      <c r="P345" s="10">
        <v>4.7388459999999997</v>
      </c>
      <c r="Q345" s="10">
        <v>0.49270000000000003</v>
      </c>
      <c r="R345" s="10">
        <v>-0.14491358600000001</v>
      </c>
      <c r="S345" s="10">
        <v>7.9179697750000004</v>
      </c>
      <c r="T345" s="10">
        <v>106.99</v>
      </c>
      <c r="U345" s="10">
        <v>109.57</v>
      </c>
      <c r="V345" s="10">
        <v>106.99</v>
      </c>
      <c r="W345" s="10">
        <v>109.57</v>
      </c>
      <c r="X345" s="4" t="s">
        <v>146</v>
      </c>
      <c r="Y345" s="4" t="s">
        <v>2041</v>
      </c>
      <c r="AA345" s="10">
        <f t="shared" si="20"/>
        <v>2.9154454174411822E-2</v>
      </c>
      <c r="AB345" s="10">
        <f t="shared" si="21"/>
        <v>1.6163041037242813E-2</v>
      </c>
      <c r="AC345" s="10">
        <f t="shared" si="22"/>
        <v>0.68745370747875523</v>
      </c>
      <c r="AD345" s="10">
        <f t="shared" si="23"/>
        <v>0.2075316041708018</v>
      </c>
    </row>
    <row r="346" spans="1:30" x14ac:dyDescent="0.25">
      <c r="A346" s="33" t="s">
        <v>2036</v>
      </c>
      <c r="C346" s="39">
        <v>40847</v>
      </c>
      <c r="D346" s="53" t="s">
        <v>2043</v>
      </c>
      <c r="E346" s="4" t="str">
        <f>VLOOKUP(LEFT(D346,2),Sort!$A$1:$B$58,2,FALSE)</f>
        <v>Korea</v>
      </c>
      <c r="F346" s="4" t="s">
        <v>1024</v>
      </c>
      <c r="G346" s="18">
        <v>156219321</v>
      </c>
      <c r="H346" s="18">
        <v>171289495.80000001</v>
      </c>
      <c r="I346" s="10">
        <v>8.2565229000000004E-2</v>
      </c>
      <c r="J346" s="10">
        <v>1.663889</v>
      </c>
      <c r="K346" s="10">
        <v>1.5524340000000001</v>
      </c>
      <c r="L346" s="10">
        <v>2.2771129999999999</v>
      </c>
      <c r="M346" s="10">
        <v>2.2771129999999999</v>
      </c>
      <c r="N346" s="10">
        <v>208.0866</v>
      </c>
      <c r="O346" s="10">
        <v>208.6414</v>
      </c>
      <c r="P346" s="10">
        <v>1.548886</v>
      </c>
      <c r="Q346" s="10">
        <v>3.6600000000000001E-2</v>
      </c>
      <c r="R346" s="10">
        <v>0.167990428</v>
      </c>
      <c r="S346" s="10">
        <v>2.1209907609999998</v>
      </c>
      <c r="T346" s="10">
        <v>107.21</v>
      </c>
      <c r="U346" s="10">
        <v>108.07</v>
      </c>
      <c r="V346" s="10">
        <v>107.21</v>
      </c>
      <c r="W346" s="10">
        <v>108.07</v>
      </c>
      <c r="X346" s="4" t="s">
        <v>146</v>
      </c>
      <c r="Y346" s="4" t="s">
        <v>2044</v>
      </c>
      <c r="AA346" s="10">
        <f t="shared" si="20"/>
        <v>1.620561817939974E-2</v>
      </c>
      <c r="AB346" s="10">
        <f t="shared" si="21"/>
        <v>6.3481628130551459E-3</v>
      </c>
      <c r="AC346" s="10">
        <f t="shared" si="22"/>
        <v>0.35420919588459471</v>
      </c>
      <c r="AD346" s="10">
        <f t="shared" si="23"/>
        <v>0.12570252411047961</v>
      </c>
    </row>
    <row r="347" spans="1:30" x14ac:dyDescent="0.25">
      <c r="A347" s="33" t="s">
        <v>2039</v>
      </c>
      <c r="C347" s="39">
        <v>40847</v>
      </c>
      <c r="D347" s="53" t="s">
        <v>2046</v>
      </c>
      <c r="E347" s="4" t="str">
        <f>VLOOKUP(LEFT(D347,2),Sort!$A$1:$B$58,2,FALSE)</f>
        <v>Korea</v>
      </c>
      <c r="F347" s="4" t="s">
        <v>1059</v>
      </c>
      <c r="G347" s="18">
        <v>208292428</v>
      </c>
      <c r="H347" s="18">
        <v>206063409.5</v>
      </c>
      <c r="I347" s="10">
        <v>9.9327004999999996E-2</v>
      </c>
      <c r="J347" s="10">
        <v>4.427778</v>
      </c>
      <c r="K347" s="10">
        <v>4.0473119999999998</v>
      </c>
      <c r="L347" s="10">
        <v>3.911651</v>
      </c>
      <c r="M347" s="10">
        <v>3.911651</v>
      </c>
      <c r="N347" s="10">
        <v>309.57400000000001</v>
      </c>
      <c r="O347" s="10">
        <v>312.78719999999998</v>
      </c>
      <c r="P347" s="10">
        <v>4.018993</v>
      </c>
      <c r="Q347" s="10">
        <v>2.1000000000000001E-2</v>
      </c>
      <c r="R347" s="10">
        <v>1.387024069</v>
      </c>
      <c r="S347" s="10">
        <v>1.3586631010000001</v>
      </c>
      <c r="T347" s="10">
        <v>98.65</v>
      </c>
      <c r="U347" s="10">
        <v>99.85</v>
      </c>
      <c r="V347" s="10">
        <v>98.65</v>
      </c>
      <c r="W347" s="10">
        <v>99.85</v>
      </c>
      <c r="X347" s="4" t="s">
        <v>146</v>
      </c>
      <c r="Y347" s="4" t="s">
        <v>2047</v>
      </c>
      <c r="AA347" s="10">
        <f t="shared" si="20"/>
        <v>1.8163083369627187E-2</v>
      </c>
      <c r="AB347" s="10">
        <f t="shared" si="21"/>
        <v>1.3118788309584059E-2</v>
      </c>
      <c r="AC347" s="10">
        <f t="shared" si="22"/>
        <v>0.63881994424101574</v>
      </c>
      <c r="AD347" s="10">
        <f t="shared" si="23"/>
        <v>0.43131669618522006</v>
      </c>
    </row>
    <row r="348" spans="1:30" x14ac:dyDescent="0.25">
      <c r="A348" s="33" t="s">
        <v>2042</v>
      </c>
      <c r="C348" s="39">
        <v>40847</v>
      </c>
      <c r="D348" s="53" t="s">
        <v>2049</v>
      </c>
      <c r="E348" s="4" t="str">
        <f>VLOOKUP(LEFT(D348,2),Sort!$A$1:$B$58,2,FALSE)</f>
        <v>Korea</v>
      </c>
      <c r="F348" s="4" t="s">
        <v>1007</v>
      </c>
      <c r="G348" s="18">
        <v>260365535</v>
      </c>
      <c r="H348" s="18">
        <v>256216321.19999999</v>
      </c>
      <c r="I348" s="10">
        <v>0.12350179</v>
      </c>
      <c r="J348" s="10">
        <v>5.2638889999999998</v>
      </c>
      <c r="K348" s="10">
        <v>4.7761750000000003</v>
      </c>
      <c r="L348" s="10">
        <v>3.8121049999999999</v>
      </c>
      <c r="M348" s="10">
        <v>3.8121049999999999</v>
      </c>
      <c r="N348" s="10">
        <v>275.13900000000001</v>
      </c>
      <c r="O348" s="10">
        <v>277.67180000000002</v>
      </c>
      <c r="P348" s="10">
        <v>4.7152520000000004</v>
      </c>
      <c r="Q348" s="10">
        <v>0.02</v>
      </c>
      <c r="R348" s="10">
        <v>3.7230587389999998</v>
      </c>
      <c r="S348" s="10">
        <v>-0.17329900000000001</v>
      </c>
      <c r="T348" s="10">
        <v>97.58</v>
      </c>
      <c r="U348" s="10">
        <v>98.52</v>
      </c>
      <c r="V348" s="10">
        <v>97.58</v>
      </c>
      <c r="W348" s="10">
        <v>98.52</v>
      </c>
      <c r="X348" s="4" t="s">
        <v>146</v>
      </c>
      <c r="Y348" s="4" t="s">
        <v>2050</v>
      </c>
      <c r="AA348" s="10">
        <f t="shared" si="20"/>
        <v>2.6650725287999392E-2</v>
      </c>
      <c r="AB348" s="10">
        <f t="shared" si="21"/>
        <v>1.5896605201865664E-2</v>
      </c>
      <c r="AC348" s="10">
        <f t="shared" si="22"/>
        <v>0.70512673223693001</v>
      </c>
      <c r="AD348" s="10">
        <f t="shared" si="23"/>
        <v>0.52914965069698949</v>
      </c>
    </row>
    <row r="349" spans="1:30" x14ac:dyDescent="0.25">
      <c r="A349" s="33" t="s">
        <v>2045</v>
      </c>
      <c r="C349" s="39">
        <v>40847</v>
      </c>
      <c r="D349" s="53" t="s">
        <v>2052</v>
      </c>
      <c r="E349" s="4" t="str">
        <f>VLOOKUP(LEFT(D349,2),Sort!$A$1:$B$58,2,FALSE)</f>
        <v>Korea</v>
      </c>
      <c r="F349" s="4" t="s">
        <v>1007</v>
      </c>
      <c r="G349" s="18">
        <v>260365535</v>
      </c>
      <c r="H349" s="18">
        <v>267165053.80000001</v>
      </c>
      <c r="I349" s="10">
        <v>0.12877931500000001</v>
      </c>
      <c r="J349" s="10">
        <v>4.2361110000000002</v>
      </c>
      <c r="K349" s="10">
        <v>3.8386520000000002</v>
      </c>
      <c r="L349" s="10">
        <v>3.5616140000000001</v>
      </c>
      <c r="M349" s="10">
        <v>3.5616140000000001</v>
      </c>
      <c r="N349" s="10">
        <v>280.16699999999997</v>
      </c>
      <c r="O349" s="10">
        <v>283.65859999999998</v>
      </c>
      <c r="P349" s="10">
        <v>3.815096</v>
      </c>
      <c r="Q349" s="10">
        <v>0.20680000000000001</v>
      </c>
      <c r="R349" s="10">
        <v>1.6751273090000001</v>
      </c>
      <c r="S349" s="10">
        <v>4.8470649889999997</v>
      </c>
      <c r="T349" s="10">
        <v>101.49</v>
      </c>
      <c r="U349" s="10">
        <v>102.68</v>
      </c>
      <c r="V349" s="10">
        <v>101.49</v>
      </c>
      <c r="W349" s="10">
        <v>102.68</v>
      </c>
      <c r="X349" s="4" t="s">
        <v>146</v>
      </c>
      <c r="Y349" s="4" t="s">
        <v>2053</v>
      </c>
      <c r="AA349" s="10">
        <f t="shared" si="20"/>
        <v>1.4000304299449649E-2</v>
      </c>
      <c r="AB349" s="10">
        <f t="shared" si="21"/>
        <v>1.5486712746077991E-2</v>
      </c>
      <c r="AC349" s="10">
        <f t="shared" si="22"/>
        <v>0.75111116573242331</v>
      </c>
      <c r="AD349" s="10">
        <f t="shared" si="23"/>
        <v>0.18628317272463474</v>
      </c>
    </row>
    <row r="350" spans="1:30" x14ac:dyDescent="0.25">
      <c r="A350" s="33" t="s">
        <v>2048</v>
      </c>
      <c r="C350" s="39">
        <v>40847</v>
      </c>
      <c r="D350" s="53" t="s">
        <v>2055</v>
      </c>
      <c r="E350" s="4" t="str">
        <f>VLOOKUP(LEFT(D350,2),Sort!$A$1:$B$58,2,FALSE)</f>
        <v>Korea</v>
      </c>
      <c r="F350" s="4" t="s">
        <v>1007</v>
      </c>
      <c r="G350" s="18">
        <v>260365535</v>
      </c>
      <c r="H350" s="18">
        <v>261191109.80000001</v>
      </c>
      <c r="I350" s="10">
        <v>0.12589974500000001</v>
      </c>
      <c r="J350" s="10">
        <v>5.480556</v>
      </c>
      <c r="K350" s="10">
        <v>0.49473499999999998</v>
      </c>
      <c r="L350" s="10">
        <v>2.7314120000000002</v>
      </c>
      <c r="M350" s="10">
        <v>2.7314120000000002</v>
      </c>
      <c r="N350" s="10">
        <v>160.68879999999999</v>
      </c>
      <c r="O350" s="10">
        <v>162.0667</v>
      </c>
      <c r="P350" s="10">
        <v>5.0709400000000002</v>
      </c>
      <c r="Q350" s="10">
        <v>9.5999999999999992E-3</v>
      </c>
      <c r="R350" s="10">
        <v>0.515939441</v>
      </c>
      <c r="S350" s="10">
        <v>1.079151148</v>
      </c>
      <c r="T350" s="10">
        <v>100.25</v>
      </c>
      <c r="U350" s="10">
        <v>101.25</v>
      </c>
      <c r="V350" s="10">
        <v>100.25</v>
      </c>
      <c r="W350" s="10">
        <v>101.25</v>
      </c>
      <c r="X350" s="4" t="s">
        <v>146</v>
      </c>
      <c r="Y350" s="4" t="s">
        <v>2056</v>
      </c>
      <c r="AA350" s="10">
        <f t="shared" si="20"/>
        <v>7.8750397005901591E-3</v>
      </c>
      <c r="AB350" s="10">
        <f t="shared" si="21"/>
        <v>1.161123318079855E-2</v>
      </c>
      <c r="AC350" s="10">
        <f t="shared" si="22"/>
        <v>1.483243432750101</v>
      </c>
      <c r="AD350" s="10">
        <f t="shared" si="23"/>
        <v>0.17958147674317468</v>
      </c>
    </row>
    <row r="351" spans="1:30" x14ac:dyDescent="0.25">
      <c r="A351" s="33" t="s">
        <v>2051</v>
      </c>
      <c r="C351" s="39">
        <v>40847</v>
      </c>
      <c r="D351" s="53" t="s">
        <v>2058</v>
      </c>
      <c r="E351" s="4" t="str">
        <f>VLOOKUP(LEFT(D351,2),Sort!$A$1:$B$58,2,FALSE)</f>
        <v>Korea</v>
      </c>
      <c r="F351" s="4" t="s">
        <v>1007</v>
      </c>
      <c r="G351" s="18">
        <v>260365535</v>
      </c>
      <c r="H351" s="18">
        <v>273119105.89999998</v>
      </c>
      <c r="I351" s="10">
        <v>0.131649296</v>
      </c>
      <c r="J351" s="10">
        <v>2.9083329999999998</v>
      </c>
      <c r="K351" s="10">
        <v>2.7004969999999999</v>
      </c>
      <c r="L351" s="10">
        <v>2.9782289999999998</v>
      </c>
      <c r="M351" s="10">
        <v>2.9782289999999998</v>
      </c>
      <c r="N351" s="10">
        <v>259.31619999999998</v>
      </c>
      <c r="O351" s="10">
        <v>260.88679999999999</v>
      </c>
      <c r="P351" s="10">
        <v>2.6965020000000002</v>
      </c>
      <c r="Q351" s="10">
        <v>6.0900000000000003E-2</v>
      </c>
      <c r="R351" s="10">
        <v>0.45861794900000002</v>
      </c>
      <c r="S351" s="10">
        <v>3.9745621099999999</v>
      </c>
      <c r="T351" s="10">
        <v>104.44</v>
      </c>
      <c r="U351" s="10">
        <v>105.59</v>
      </c>
      <c r="V351" s="10">
        <v>104.44</v>
      </c>
      <c r="W351" s="10">
        <v>105.59</v>
      </c>
      <c r="X351" s="4" t="s">
        <v>146</v>
      </c>
      <c r="Y351" s="4" t="s">
        <v>2059</v>
      </c>
      <c r="AA351" s="10">
        <f t="shared" si="20"/>
        <v>1.0068733919291742E-2</v>
      </c>
      <c r="AB351" s="10">
        <f t="shared" si="21"/>
        <v>1.3238626000057315E-2</v>
      </c>
      <c r="AC351" s="10">
        <f t="shared" si="22"/>
        <v>0.70620827267305664</v>
      </c>
      <c r="AD351" s="10">
        <f t="shared" si="23"/>
        <v>0.19583169723291707</v>
      </c>
    </row>
    <row r="352" spans="1:30" x14ac:dyDescent="0.25">
      <c r="A352" s="33" t="s">
        <v>2054</v>
      </c>
      <c r="C352" s="39">
        <v>40847</v>
      </c>
      <c r="D352" s="53" t="s">
        <v>2061</v>
      </c>
      <c r="E352" s="4" t="str">
        <f>VLOOKUP(LEFT(D352,2),Sort!$A$1:$B$58,2,FALSE)</f>
        <v>Korea</v>
      </c>
      <c r="F352" s="4" t="s">
        <v>1014</v>
      </c>
      <c r="G352" s="18">
        <v>156219321</v>
      </c>
      <c r="H352" s="18">
        <v>175488215</v>
      </c>
      <c r="I352" s="10">
        <v>8.4589101999999999E-2</v>
      </c>
      <c r="J352" s="10">
        <v>4.769444</v>
      </c>
      <c r="K352" s="10">
        <v>4.1842040000000003</v>
      </c>
      <c r="L352" s="10">
        <v>3.061858</v>
      </c>
      <c r="M352" s="10">
        <v>3.061858</v>
      </c>
      <c r="N352" s="10">
        <v>214.61799999999999</v>
      </c>
      <c r="O352" s="10">
        <v>219.36609999999999</v>
      </c>
      <c r="P352" s="10">
        <v>4.1474820000000001</v>
      </c>
      <c r="Q352" s="10">
        <v>0.43480000000000002</v>
      </c>
      <c r="R352" s="10">
        <v>2.1895740629999998</v>
      </c>
      <c r="S352" s="10">
        <v>5.8465702779999997</v>
      </c>
      <c r="T352" s="10">
        <v>110.98</v>
      </c>
      <c r="U352" s="10">
        <v>112.39</v>
      </c>
      <c r="V352" s="10">
        <v>110.98</v>
      </c>
      <c r="W352" s="10">
        <v>112.39</v>
      </c>
      <c r="X352" s="4" t="s">
        <v>146</v>
      </c>
      <c r="Y352" s="4" t="s">
        <v>2062</v>
      </c>
      <c r="AA352" s="10">
        <f t="shared" si="20"/>
        <v>1.5991264887677652E-2</v>
      </c>
      <c r="AB352" s="10">
        <f t="shared" si="21"/>
        <v>8.7451194328393329E-3</v>
      </c>
      <c r="AC352" s="10">
        <f t="shared" si="22"/>
        <v>0.38154527839977692</v>
      </c>
      <c r="AD352" s="10">
        <f t="shared" si="23"/>
        <v>0.1339318117287106</v>
      </c>
    </row>
    <row r="353" spans="1:30" x14ac:dyDescent="0.25">
      <c r="A353" s="33" t="s">
        <v>2057</v>
      </c>
      <c r="C353" s="39">
        <v>40847</v>
      </c>
      <c r="D353" s="53" t="s">
        <v>2064</v>
      </c>
      <c r="E353" s="4" t="str">
        <f>VLOOKUP(LEFT(D353,2),Sort!$A$1:$B$58,2,FALSE)</f>
        <v>Korea</v>
      </c>
      <c r="F353" s="4" t="s">
        <v>1014</v>
      </c>
      <c r="G353" s="18">
        <v>364511748</v>
      </c>
      <c r="H353" s="18">
        <v>416962458.80000001</v>
      </c>
      <c r="I353" s="10">
        <v>0.200984893</v>
      </c>
      <c r="J353" s="10">
        <v>2.3972220000000002</v>
      </c>
      <c r="K353" s="10">
        <v>2.1795089999999999</v>
      </c>
      <c r="L353" s="10">
        <v>2.6792750000000001</v>
      </c>
      <c r="M353" s="10">
        <v>2.6792750000000001</v>
      </c>
      <c r="N353" s="10">
        <v>237.18969999999999</v>
      </c>
      <c r="O353" s="10">
        <v>239.28809999999999</v>
      </c>
      <c r="P353" s="10">
        <v>2.1818240000000002</v>
      </c>
      <c r="Q353" s="10">
        <v>4.7500000000000001E-2</v>
      </c>
      <c r="R353" s="10">
        <v>0.15809358700000001</v>
      </c>
      <c r="S353" s="10">
        <v>3.3401201999999999</v>
      </c>
      <c r="T353" s="10">
        <v>113.49</v>
      </c>
      <c r="U353" s="10">
        <v>114</v>
      </c>
      <c r="V353" s="10">
        <v>113.49</v>
      </c>
      <c r="W353" s="10">
        <v>114</v>
      </c>
      <c r="X353" s="4" t="s">
        <v>146</v>
      </c>
      <c r="Y353" s="4" t="s">
        <v>2065</v>
      </c>
      <c r="AA353" s="10">
        <f t="shared" si="20"/>
        <v>1.2406083638184771E-2</v>
      </c>
      <c r="AB353" s="10">
        <f t="shared" si="21"/>
        <v>1.8182223412295209E-2</v>
      </c>
      <c r="AC353" s="10">
        <f t="shared" si="22"/>
        <v>0.98888700350265479</v>
      </c>
      <c r="AD353" s="10">
        <f t="shared" si="23"/>
        <v>0.32278245643869119</v>
      </c>
    </row>
    <row r="354" spans="1:30" x14ac:dyDescent="0.25">
      <c r="A354" s="33" t="s">
        <v>2060</v>
      </c>
      <c r="C354" s="39">
        <v>40847</v>
      </c>
      <c r="D354" s="53" t="s">
        <v>2067</v>
      </c>
      <c r="E354" s="4" t="str">
        <f>VLOOKUP(LEFT(D354,2),Sort!$A$1:$B$58,2,FALSE)</f>
        <v>Korea</v>
      </c>
      <c r="F354" s="4" t="s">
        <v>1214</v>
      </c>
      <c r="G354" s="18">
        <v>364511748</v>
      </c>
      <c r="H354" s="18">
        <v>355650569.5</v>
      </c>
      <c r="I354" s="10">
        <v>0.17143124100000001</v>
      </c>
      <c r="J354" s="10">
        <v>8.9861109999999993</v>
      </c>
      <c r="K354" s="10">
        <v>7.5799079999999996</v>
      </c>
      <c r="L354" s="10">
        <v>4.3884980000000002</v>
      </c>
      <c r="M354" s="10">
        <v>4.3884980000000002</v>
      </c>
      <c r="N354" s="10">
        <v>244.44329999999999</v>
      </c>
      <c r="O354" s="10">
        <v>248.8254</v>
      </c>
      <c r="P354" s="10">
        <v>7.3425739999999999</v>
      </c>
      <c r="Q354" s="10">
        <v>0.67249999999999999</v>
      </c>
      <c r="R354" s="10">
        <v>6.3901151929999997</v>
      </c>
      <c r="S354" s="10">
        <v>7.0591689000000004</v>
      </c>
      <c r="T354" s="10">
        <v>97.51</v>
      </c>
      <c r="U354" s="10">
        <v>98.98</v>
      </c>
      <c r="V354" s="10">
        <v>97.51</v>
      </c>
      <c r="W354" s="10">
        <v>98.98</v>
      </c>
      <c r="X354" s="4" t="s">
        <v>146</v>
      </c>
      <c r="Y354" s="4" t="s">
        <v>2068</v>
      </c>
      <c r="AA354" s="10">
        <f t="shared" si="20"/>
        <v>5.6733537475304609E-2</v>
      </c>
      <c r="AB354" s="10">
        <f t="shared" si="21"/>
        <v>2.1661897074034271E-2</v>
      </c>
      <c r="AC354" s="10">
        <f t="shared" si="22"/>
        <v>0.87709539771178668</v>
      </c>
      <c r="AD354" s="10">
        <f t="shared" si="23"/>
        <v>0.73793528555817067</v>
      </c>
    </row>
    <row r="355" spans="1:30" x14ac:dyDescent="0.25">
      <c r="A355" s="33" t="s">
        <v>2063</v>
      </c>
      <c r="C355" s="39">
        <v>40847</v>
      </c>
      <c r="D355" s="53" t="s">
        <v>2070</v>
      </c>
      <c r="E355" s="4" t="str">
        <f>VLOOKUP(LEFT(D355,2),Sort!$A$1:$B$58,2,FALSE)</f>
        <v>Korea</v>
      </c>
      <c r="F355" s="4" t="s">
        <v>1214</v>
      </c>
      <c r="G355" s="18">
        <v>364511748</v>
      </c>
      <c r="H355" s="18">
        <v>383747335.5</v>
      </c>
      <c r="I355" s="10">
        <v>0.18497448699999999</v>
      </c>
      <c r="J355" s="10">
        <v>9.447222</v>
      </c>
      <c r="K355" s="10">
        <v>7.6455580000000003</v>
      </c>
      <c r="L355" s="10">
        <v>4.3886960000000004</v>
      </c>
      <c r="M355" s="10">
        <v>4.3886960000000004</v>
      </c>
      <c r="N355" s="10">
        <v>235.82499999999999</v>
      </c>
      <c r="O355" s="10">
        <v>244.43379999999999</v>
      </c>
      <c r="P355" s="10">
        <v>7.3965820000000004</v>
      </c>
      <c r="Q355" s="10">
        <v>0.67379999999999995</v>
      </c>
      <c r="R355" s="10">
        <v>7.6699405809999996</v>
      </c>
      <c r="S355" s="10">
        <v>7.4446380000000003</v>
      </c>
      <c r="T355" s="10">
        <v>105</v>
      </c>
      <c r="U355" s="10">
        <v>106.6</v>
      </c>
      <c r="V355" s="10">
        <v>105</v>
      </c>
      <c r="W355" s="10">
        <v>106.6</v>
      </c>
      <c r="X355" s="4" t="s">
        <v>146</v>
      </c>
      <c r="Y355" s="4" t="s">
        <v>2071</v>
      </c>
      <c r="AA355" s="10">
        <f t="shared" si="20"/>
        <v>6.1745737330580398E-2</v>
      </c>
      <c r="AB355" s="10">
        <f t="shared" si="21"/>
        <v>2.3374264091380676E-2</v>
      </c>
      <c r="AC355" s="10">
        <f t="shared" si="22"/>
        <v>0.92968376137066566</v>
      </c>
      <c r="AD355" s="10">
        <f t="shared" si="23"/>
        <v>0.27778621716150403</v>
      </c>
    </row>
    <row r="356" spans="1:30" x14ac:dyDescent="0.25">
      <c r="A356" s="33" t="s">
        <v>2066</v>
      </c>
      <c r="C356" s="39">
        <v>40847</v>
      </c>
      <c r="D356" s="53" t="s">
        <v>2073</v>
      </c>
      <c r="E356" s="4" t="str">
        <f>VLOOKUP(LEFT(D356,2),Sort!$A$1:$B$58,2,FALSE)</f>
        <v>Korea</v>
      </c>
      <c r="F356" s="4" t="s">
        <v>1024</v>
      </c>
      <c r="G356" s="18">
        <v>234328981</v>
      </c>
      <c r="H356" s="18">
        <v>257985794.5</v>
      </c>
      <c r="I356" s="10">
        <v>0.12435471400000001</v>
      </c>
      <c r="J356" s="10">
        <v>1.6277779999999999</v>
      </c>
      <c r="K356" s="10">
        <v>1.5231170000000001</v>
      </c>
      <c r="L356" s="10">
        <v>1.979387</v>
      </c>
      <c r="M356" s="10">
        <v>1.979387</v>
      </c>
      <c r="N356" s="10">
        <v>178.85929999999999</v>
      </c>
      <c r="O356" s="10">
        <v>179.36699999999999</v>
      </c>
      <c r="P356" s="10">
        <v>1.5186230000000001</v>
      </c>
      <c r="Q356" s="10">
        <v>3.5799999999999998E-2</v>
      </c>
      <c r="R356" s="10">
        <v>0.131370762</v>
      </c>
      <c r="S356" s="10">
        <v>2.955600714</v>
      </c>
      <c r="T356" s="10">
        <v>107.49</v>
      </c>
      <c r="U356" s="10">
        <v>108</v>
      </c>
      <c r="V356" s="10">
        <v>107.49</v>
      </c>
      <c r="W356" s="10">
        <v>108</v>
      </c>
      <c r="X356" s="4" t="s">
        <v>146</v>
      </c>
      <c r="Y356" s="4" t="s">
        <v>2074</v>
      </c>
      <c r="AA356" s="10">
        <f t="shared" si="20"/>
        <v>2.3946981795777412E-2</v>
      </c>
      <c r="AB356" s="10">
        <f t="shared" si="21"/>
        <v>0.11531849099731201</v>
      </c>
      <c r="AC356" s="10">
        <f t="shared" si="22"/>
        <v>1.6214314470104361</v>
      </c>
      <c r="AD356" s="10">
        <f t="shared" si="23"/>
        <v>0.18920284585202704</v>
      </c>
    </row>
    <row r="357" spans="1:30" x14ac:dyDescent="0.25">
      <c r="A357" s="33" t="s">
        <v>2069</v>
      </c>
      <c r="C357" s="39">
        <v>40847</v>
      </c>
      <c r="D357" s="53" t="s">
        <v>2076</v>
      </c>
      <c r="E357" s="4" t="str">
        <f>VLOOKUP(LEFT(D357,2),Sort!$A$1:$B$58,2,FALSE)</f>
        <v>Korea</v>
      </c>
      <c r="F357" s="4" t="s">
        <v>1081</v>
      </c>
      <c r="G357" s="18">
        <v>208292428</v>
      </c>
      <c r="H357" s="18">
        <v>243192836.59999999</v>
      </c>
      <c r="I357" s="10">
        <v>0.11722418900000001</v>
      </c>
      <c r="J357" s="10">
        <v>15.713889</v>
      </c>
      <c r="K357" s="10">
        <v>10.338369</v>
      </c>
      <c r="L357" s="10">
        <v>5.0713140000000001</v>
      </c>
      <c r="M357" s="10">
        <v>5.0713140000000001</v>
      </c>
      <c r="N357" s="10">
        <v>264.70479999999998</v>
      </c>
      <c r="O357" s="10">
        <v>261.1764</v>
      </c>
      <c r="P357" s="10">
        <v>9.8039129999999997</v>
      </c>
      <c r="Q357" s="10">
        <v>1.6263000000000001</v>
      </c>
      <c r="R357" s="10">
        <v>-2.6714884259999998</v>
      </c>
      <c r="S357" s="10">
        <v>9.4781208540000002</v>
      </c>
      <c r="T357" s="10">
        <v>114.86</v>
      </c>
      <c r="U357" s="10">
        <v>116.68</v>
      </c>
      <c r="V357" s="10">
        <v>114.86</v>
      </c>
      <c r="W357" s="10">
        <v>116.68</v>
      </c>
      <c r="X357" s="4" t="s">
        <v>146</v>
      </c>
      <c r="Y357" s="4" t="s">
        <v>2077</v>
      </c>
      <c r="AA357" s="10">
        <f t="shared" si="20"/>
        <v>0.12914014837620227</v>
      </c>
      <c r="AB357" s="10">
        <f t="shared" si="21"/>
        <v>1.7117027746015347E-2</v>
      </c>
      <c r="AC357" s="10">
        <f t="shared" si="22"/>
        <v>0.62952549408568426</v>
      </c>
      <c r="AD357" s="10">
        <f t="shared" si="23"/>
        <v>0.19268828651248429</v>
      </c>
    </row>
    <row r="358" spans="1:30" x14ac:dyDescent="0.25">
      <c r="A358" s="33" t="s">
        <v>2072</v>
      </c>
      <c r="C358" s="39">
        <v>40847</v>
      </c>
      <c r="D358" s="53" t="s">
        <v>2079</v>
      </c>
      <c r="E358" s="4" t="str">
        <f>VLOOKUP(LEFT(D358,2),Sort!$A$1:$B$58,2,FALSE)</f>
        <v>Korea</v>
      </c>
      <c r="F358" s="4" t="s">
        <v>1007</v>
      </c>
      <c r="G358" s="18">
        <v>260365535</v>
      </c>
      <c r="H358" s="18">
        <v>263823116.40000001</v>
      </c>
      <c r="I358" s="10">
        <v>0.127168429</v>
      </c>
      <c r="J358" s="10">
        <v>4.9194440000000004</v>
      </c>
      <c r="K358" s="10">
        <v>4.4496880000000001</v>
      </c>
      <c r="L358" s="10">
        <v>3.7499989999999999</v>
      </c>
      <c r="M358" s="10">
        <v>3.7499989999999999</v>
      </c>
      <c r="N358" s="10">
        <v>279.0521</v>
      </c>
      <c r="O358" s="10">
        <v>282.40530000000001</v>
      </c>
      <c r="P358" s="10">
        <v>4.4059470000000003</v>
      </c>
      <c r="Q358" s="10">
        <v>0.71789999999999998</v>
      </c>
      <c r="R358" s="10">
        <v>4.9738284869999996</v>
      </c>
      <c r="S358" s="10">
        <v>2.5669770000000001</v>
      </c>
      <c r="T358" s="10">
        <v>100.99567999999999</v>
      </c>
      <c r="U358" s="10">
        <v>101.66783</v>
      </c>
      <c r="V358" s="10">
        <v>100.99567999999999</v>
      </c>
      <c r="W358" s="10">
        <v>101.66783</v>
      </c>
      <c r="X358" s="4" t="s">
        <v>146</v>
      </c>
      <c r="Y358" s="4" t="s">
        <v>2080</v>
      </c>
      <c r="AA358" s="10">
        <f t="shared" si="20"/>
        <v>2.5566096097781755E-2</v>
      </c>
      <c r="AB358" s="10">
        <f t="shared" si="21"/>
        <v>1.6101885758990766E-2</v>
      </c>
      <c r="AC358" s="10">
        <f t="shared" si="22"/>
        <v>0.73843844988115925</v>
      </c>
      <c r="AD358" s="10">
        <f t="shared" si="23"/>
        <v>0.18213965773394755</v>
      </c>
    </row>
    <row r="359" spans="1:30" x14ac:dyDescent="0.25">
      <c r="A359" s="33" t="s">
        <v>2075</v>
      </c>
      <c r="C359" s="39">
        <v>40847</v>
      </c>
      <c r="D359" s="53" t="s">
        <v>2082</v>
      </c>
      <c r="E359" s="4" t="str">
        <f>VLOOKUP(LEFT(D359,2),Sort!$A$1:$B$58,2,FALSE)</f>
        <v>Korea</v>
      </c>
      <c r="F359" s="4" t="s">
        <v>1007</v>
      </c>
      <c r="G359" s="18">
        <v>364511748</v>
      </c>
      <c r="H359" s="18">
        <v>374584421.39999998</v>
      </c>
      <c r="I359" s="10">
        <v>0.18055776500000001</v>
      </c>
      <c r="J359" s="10">
        <v>3.8666670000000001</v>
      </c>
      <c r="K359" s="10">
        <v>3.5395159999999999</v>
      </c>
      <c r="L359" s="10">
        <v>3.4603820000000001</v>
      </c>
      <c r="M359" s="10">
        <v>3.4603820000000001</v>
      </c>
      <c r="N359" s="10">
        <v>280.83150000000001</v>
      </c>
      <c r="O359" s="10">
        <v>284.30880000000002</v>
      </c>
      <c r="P359" s="10">
        <v>3.5228100000000002</v>
      </c>
      <c r="Q359" s="10">
        <v>0.1971</v>
      </c>
      <c r="R359" s="10">
        <v>2.6575378280000002</v>
      </c>
      <c r="S359" s="10">
        <v>4.6231059129999998</v>
      </c>
      <c r="T359" s="10">
        <v>102.18</v>
      </c>
      <c r="U359" s="10">
        <v>103.28</v>
      </c>
      <c r="V359" s="10">
        <v>102.18</v>
      </c>
      <c r="W359" s="10">
        <v>103.28</v>
      </c>
      <c r="X359" s="4" t="s">
        <v>146</v>
      </c>
      <c r="Y359" s="4" t="s">
        <v>2083</v>
      </c>
      <c r="AA359" s="10">
        <f t="shared" si="20"/>
        <v>1.8099754086613764E-2</v>
      </c>
      <c r="AB359" s="10">
        <f t="shared" si="21"/>
        <v>2.1096310011243815E-2</v>
      </c>
      <c r="AC359" s="10">
        <f t="shared" si="22"/>
        <v>1.0555252495306235</v>
      </c>
      <c r="AD359" s="10">
        <f t="shared" si="23"/>
        <v>0.26270845887978761</v>
      </c>
    </row>
    <row r="360" spans="1:30" x14ac:dyDescent="0.25">
      <c r="A360" s="33" t="s">
        <v>2078</v>
      </c>
      <c r="C360" s="39">
        <v>40847</v>
      </c>
      <c r="D360" s="53" t="s">
        <v>2085</v>
      </c>
      <c r="E360" s="4" t="str">
        <f>VLOOKUP(LEFT(D360,2),Sort!$A$1:$B$58,2,FALSE)</f>
        <v>Korea</v>
      </c>
      <c r="F360" s="4" t="s">
        <v>1007</v>
      </c>
      <c r="G360" s="18">
        <v>156219321</v>
      </c>
      <c r="H360" s="18">
        <v>154593958.90000001</v>
      </c>
      <c r="I360" s="10">
        <v>7.4517621000000006E-2</v>
      </c>
      <c r="J360" s="10">
        <v>23.330556000000001</v>
      </c>
      <c r="K360" s="10">
        <v>2.5234160000000001</v>
      </c>
      <c r="L360" s="10">
        <v>5.3860809999999999</v>
      </c>
      <c r="M360" s="10">
        <v>5.3860809999999999</v>
      </c>
      <c r="N360" s="10">
        <v>257.4889</v>
      </c>
      <c r="O360" s="10">
        <v>258.82479999999998</v>
      </c>
      <c r="P360" s="10">
        <v>12.493926</v>
      </c>
      <c r="Q360" s="10">
        <v>1.5900000000000001E-2</v>
      </c>
      <c r="R360" s="10">
        <v>5.817481838</v>
      </c>
      <c r="S360" s="10">
        <v>4.8470592410000002</v>
      </c>
      <c r="T360" s="10">
        <v>98</v>
      </c>
      <c r="U360" s="10">
        <v>100</v>
      </c>
      <c r="V360" s="10">
        <v>98</v>
      </c>
      <c r="W360" s="10">
        <v>100</v>
      </c>
      <c r="X360" s="4" t="s">
        <v>146</v>
      </c>
      <c r="Y360" s="4" t="s">
        <v>2086</v>
      </c>
      <c r="AA360" s="10">
        <f t="shared" si="20"/>
        <v>5.3255008002659953E-3</v>
      </c>
      <c r="AB360" s="10">
        <f t="shared" si="21"/>
        <v>1.1556397562563825E-2</v>
      </c>
      <c r="AC360" s="10">
        <f t="shared" si="22"/>
        <v>0.39657653949364058</v>
      </c>
      <c r="AD360" s="10">
        <f t="shared" si="23"/>
        <v>0.10497856571299082</v>
      </c>
    </row>
    <row r="361" spans="1:30" x14ac:dyDescent="0.25">
      <c r="A361" s="33" t="s">
        <v>2081</v>
      </c>
      <c r="C361" s="39">
        <v>40847</v>
      </c>
      <c r="D361" s="53" t="s">
        <v>2088</v>
      </c>
      <c r="E361" s="4" t="str">
        <f>VLOOKUP(LEFT(D361,2),Sort!$A$1:$B$58,2,FALSE)</f>
        <v>Korea</v>
      </c>
      <c r="F361" s="4" t="s">
        <v>1007</v>
      </c>
      <c r="G361" s="18">
        <v>182255874</v>
      </c>
      <c r="H361" s="18">
        <v>183740333.5</v>
      </c>
      <c r="I361" s="10">
        <v>8.8566801000000001E-2</v>
      </c>
      <c r="J361" s="10">
        <v>24.880555999999999</v>
      </c>
      <c r="K361" s="10">
        <v>3.577591</v>
      </c>
      <c r="L361" s="10">
        <v>5.8942870000000003</v>
      </c>
      <c r="M361" s="10">
        <v>5.8942870000000003</v>
      </c>
      <c r="N361" s="10">
        <v>300.43549999999999</v>
      </c>
      <c r="O361" s="10">
        <v>311.54880000000003</v>
      </c>
      <c r="P361" s="10">
        <v>11.842912999999999</v>
      </c>
      <c r="Q361" s="10">
        <v>0.51739999999999997</v>
      </c>
      <c r="R361" s="10">
        <v>6.9262658149999998</v>
      </c>
      <c r="S361" s="10">
        <v>3.6705876370000001</v>
      </c>
      <c r="T361" s="10">
        <v>100</v>
      </c>
      <c r="U361" s="10">
        <v>102</v>
      </c>
      <c r="V361" s="10">
        <v>100</v>
      </c>
      <c r="W361" s="10">
        <v>102</v>
      </c>
      <c r="X361" s="4" t="s">
        <v>146</v>
      </c>
      <c r="Y361" s="4" t="s">
        <v>2089</v>
      </c>
      <c r="AA361" s="10">
        <f t="shared" si="20"/>
        <v>8.9737563282766605E-3</v>
      </c>
      <c r="AB361" s="10">
        <f t="shared" si="21"/>
        <v>1.5031172310911504E-2</v>
      </c>
      <c r="AC361" s="10">
        <f t="shared" si="22"/>
        <v>0.56736062972173806</v>
      </c>
      <c r="AD361" s="10">
        <f t="shared" si="23"/>
        <v>0.12726611536400553</v>
      </c>
    </row>
    <row r="362" spans="1:30" x14ac:dyDescent="0.25">
      <c r="A362" s="33" t="s">
        <v>2084</v>
      </c>
      <c r="C362" s="39">
        <v>40847</v>
      </c>
      <c r="D362" s="53" t="s">
        <v>2091</v>
      </c>
      <c r="E362" s="4" t="str">
        <f>VLOOKUP(LEFT(D362,2),Sort!$A$1:$B$58,2,FALSE)</f>
        <v>Korea</v>
      </c>
      <c r="F362" s="4" t="s">
        <v>1037</v>
      </c>
      <c r="G362" s="18">
        <v>156219321</v>
      </c>
      <c r="H362" s="18">
        <v>155948324.19999999</v>
      </c>
      <c r="I362" s="10">
        <v>7.5170453999999998E-2</v>
      </c>
      <c r="J362" s="10">
        <v>5.2416669999999996</v>
      </c>
      <c r="K362" s="10">
        <v>4.7404200000000003</v>
      </c>
      <c r="L362" s="10">
        <v>3.662204</v>
      </c>
      <c r="M362" s="10">
        <v>3.662204</v>
      </c>
      <c r="N362" s="10">
        <v>260.80329999999998</v>
      </c>
      <c r="O362" s="10">
        <v>263.6893</v>
      </c>
      <c r="P362" s="10">
        <v>4.6831990000000001</v>
      </c>
      <c r="Q362" s="10">
        <v>2.01E-2</v>
      </c>
      <c r="R362" s="10">
        <v>3.937697118</v>
      </c>
      <c r="S362" s="10">
        <v>0.28526200000000002</v>
      </c>
      <c r="T362" s="10">
        <v>98.88</v>
      </c>
      <c r="U362" s="10">
        <v>99.82</v>
      </c>
      <c r="V362" s="10">
        <v>98.88</v>
      </c>
      <c r="W362" s="10">
        <v>99.82</v>
      </c>
      <c r="X362" s="4" t="s">
        <v>146</v>
      </c>
      <c r="Y362" s="4" t="s">
        <v>2092</v>
      </c>
      <c r="AA362" s="10">
        <f t="shared" si="20"/>
        <v>1.6099765277713781E-2</v>
      </c>
      <c r="AB362" s="10">
        <f t="shared" si="21"/>
        <v>9.2951411250888349E-3</v>
      </c>
      <c r="AC362" s="10">
        <f t="shared" si="22"/>
        <v>0.40756964619628933</v>
      </c>
      <c r="AD362" s="10">
        <f t="shared" si="23"/>
        <v>0.32632143127235658</v>
      </c>
    </row>
    <row r="363" spans="1:30" x14ac:dyDescent="0.25">
      <c r="A363" s="33" t="s">
        <v>2087</v>
      </c>
      <c r="C363" s="39">
        <v>40847</v>
      </c>
      <c r="D363" s="53" t="s">
        <v>2094</v>
      </c>
      <c r="E363" s="4" t="str">
        <f>VLOOKUP(LEFT(D363,2),Sort!$A$1:$B$58,2,FALSE)</f>
        <v>Korea</v>
      </c>
      <c r="F363" s="4" t="s">
        <v>1037</v>
      </c>
      <c r="G363" s="18">
        <v>156219321</v>
      </c>
      <c r="H363" s="18">
        <v>162771093.69999999</v>
      </c>
      <c r="I363" s="10">
        <v>7.8459176000000005E-2</v>
      </c>
      <c r="J363" s="10">
        <v>1.4583330000000001</v>
      </c>
      <c r="K363" s="10">
        <v>1.4118090000000001</v>
      </c>
      <c r="L363" s="10">
        <v>2.2755540000000001</v>
      </c>
      <c r="M363" s="10">
        <v>2.2755540000000001</v>
      </c>
      <c r="N363" s="10">
        <v>211.03460000000001</v>
      </c>
      <c r="O363" s="10">
        <v>211.3913</v>
      </c>
      <c r="P363" s="10">
        <v>1.4043490000000001</v>
      </c>
      <c r="Q363" s="10">
        <v>3.3500000000000002E-2</v>
      </c>
      <c r="R363" s="10">
        <v>0.15999964</v>
      </c>
      <c r="S363" s="10">
        <v>2.054240423</v>
      </c>
      <c r="T363" s="10">
        <v>103.97</v>
      </c>
      <c r="U363" s="10">
        <v>104.42</v>
      </c>
      <c r="V363" s="10">
        <v>103.97</v>
      </c>
      <c r="W363" s="10">
        <v>104.42</v>
      </c>
      <c r="X363" s="4" t="s">
        <v>146</v>
      </c>
      <c r="Y363" s="4" t="s">
        <v>2095</v>
      </c>
      <c r="AA363" s="10">
        <f t="shared" si="20"/>
        <v>1.4004736866387093E-2</v>
      </c>
      <c r="AB363" s="10">
        <f t="shared" si="21"/>
        <v>6.0283321152251376E-3</v>
      </c>
      <c r="AC363" s="10">
        <f t="shared" si="22"/>
        <v>0.34103032900021163</v>
      </c>
      <c r="AD363" s="10">
        <f t="shared" si="23"/>
        <v>0.11541681525191308</v>
      </c>
    </row>
    <row r="364" spans="1:30" x14ac:dyDescent="0.25">
      <c r="A364" s="33" t="s">
        <v>2090</v>
      </c>
      <c r="C364" s="39">
        <v>40847</v>
      </c>
      <c r="D364" s="53" t="s">
        <v>2097</v>
      </c>
      <c r="E364" s="4" t="str">
        <f>VLOOKUP(LEFT(D364,2),Sort!$A$1:$B$58,2,FALSE)</f>
        <v>Korea</v>
      </c>
      <c r="F364" s="4" t="s">
        <v>1007</v>
      </c>
      <c r="G364" s="18">
        <v>156219321</v>
      </c>
      <c r="H364" s="18">
        <v>171069920.19999999</v>
      </c>
      <c r="I364" s="10">
        <v>8.2459388999999994E-2</v>
      </c>
      <c r="J364" s="10">
        <v>2.7166670000000002</v>
      </c>
      <c r="K364" s="10">
        <v>2.469023</v>
      </c>
      <c r="L364" s="10">
        <v>2.9767290000000002</v>
      </c>
      <c r="M364" s="10">
        <v>2.9767290000000002</v>
      </c>
      <c r="N364" s="10">
        <v>262.07960000000003</v>
      </c>
      <c r="O364" s="10">
        <v>264.46030000000002</v>
      </c>
      <c r="P364" s="10">
        <v>2.468979</v>
      </c>
      <c r="Q364" s="10">
        <v>5.2699999999999997E-2</v>
      </c>
      <c r="R364" s="10">
        <v>0.44563412899999999</v>
      </c>
      <c r="S364" s="10">
        <v>3.4004915489999998</v>
      </c>
      <c r="T364" s="10">
        <v>107.7</v>
      </c>
      <c r="U364" s="10">
        <v>108.8</v>
      </c>
      <c r="V364" s="10">
        <v>107.7</v>
      </c>
      <c r="W364" s="10">
        <v>108.8</v>
      </c>
      <c r="X364" s="4" t="s">
        <v>146</v>
      </c>
      <c r="Y364" s="4" t="s">
        <v>2098</v>
      </c>
      <c r="AA364" s="10">
        <f t="shared" si="20"/>
        <v>5.7660429275815063E-3</v>
      </c>
      <c r="AB364" s="10">
        <f t="shared" si="21"/>
        <v>8.2879227468742132E-3</v>
      </c>
      <c r="AC364" s="10">
        <f t="shared" si="22"/>
        <v>0.44839705533381002</v>
      </c>
      <c r="AD364" s="10">
        <f t="shared" si="23"/>
        <v>0.12638940347910446</v>
      </c>
    </row>
    <row r="365" spans="1:30" x14ac:dyDescent="0.25">
      <c r="A365" s="33" t="s">
        <v>2093</v>
      </c>
      <c r="C365" s="39">
        <v>40847</v>
      </c>
      <c r="D365" s="53" t="s">
        <v>2100</v>
      </c>
      <c r="E365" s="4" t="str">
        <f>VLOOKUP(LEFT(D365,2),Sort!$A$1:$B$58,2,FALSE)</f>
        <v>Korea</v>
      </c>
      <c r="F365" s="4" t="s">
        <v>1007</v>
      </c>
      <c r="G365" s="18">
        <v>260365535</v>
      </c>
      <c r="H365" s="18">
        <v>266731472.30000001</v>
      </c>
      <c r="I365" s="10">
        <v>0.12857031899999999</v>
      </c>
      <c r="J365" s="10">
        <v>3.927778</v>
      </c>
      <c r="K365" s="10">
        <v>3.5895640000000002</v>
      </c>
      <c r="L365" s="10">
        <v>3.6099039999999998</v>
      </c>
      <c r="M365" s="10">
        <v>3.6099039999999998</v>
      </c>
      <c r="N365" s="10">
        <v>293.99930000000001</v>
      </c>
      <c r="O365" s="10">
        <v>297.60939999999999</v>
      </c>
      <c r="P365" s="10">
        <v>3.5725449999999999</v>
      </c>
      <c r="Q365" s="10">
        <v>0.1981</v>
      </c>
      <c r="R365" s="10">
        <v>4.4093639769999999</v>
      </c>
      <c r="S365" s="10">
        <v>4.9210163299999996</v>
      </c>
      <c r="T365" s="10">
        <v>102.12</v>
      </c>
      <c r="U365" s="10">
        <v>103.23</v>
      </c>
      <c r="V365" s="10">
        <v>102.12</v>
      </c>
      <c r="W365" s="10">
        <v>103.23</v>
      </c>
      <c r="X365" s="4" t="s">
        <v>146</v>
      </c>
      <c r="Y365" s="4" t="s">
        <v>2101</v>
      </c>
      <c r="AA365" s="10">
        <f t="shared" si="20"/>
        <v>1.3070585613667541E-2</v>
      </c>
      <c r="AB365" s="10">
        <f t="shared" si="21"/>
        <v>1.567121460022617E-2</v>
      </c>
      <c r="AC365" s="10">
        <f t="shared" si="22"/>
        <v>0.78677312981275249</v>
      </c>
      <c r="AD365" s="10">
        <f t="shared" si="23"/>
        <v>0.18697705085646979</v>
      </c>
    </row>
    <row r="366" spans="1:30" x14ac:dyDescent="0.25">
      <c r="A366" s="33" t="s">
        <v>2096</v>
      </c>
      <c r="C366" s="39">
        <v>40847</v>
      </c>
      <c r="D366" s="53" t="s">
        <v>2103</v>
      </c>
      <c r="E366" s="4" t="str">
        <f>VLOOKUP(LEFT(D366,2),Sort!$A$1:$B$58,2,FALSE)</f>
        <v>Korea</v>
      </c>
      <c r="F366" s="4" t="s">
        <v>1007</v>
      </c>
      <c r="G366" s="18">
        <v>312438641</v>
      </c>
      <c r="H366" s="18">
        <v>326120416.60000002</v>
      </c>
      <c r="I366" s="10">
        <v>0.15719706999999999</v>
      </c>
      <c r="J366" s="10">
        <v>4.213889</v>
      </c>
      <c r="K366" s="10">
        <v>3.7804630000000001</v>
      </c>
      <c r="L366" s="10">
        <v>3.6614070000000001</v>
      </c>
      <c r="M366" s="10">
        <v>3.6614070000000001</v>
      </c>
      <c r="N366" s="10">
        <v>290.79509999999999</v>
      </c>
      <c r="O366" s="10">
        <v>294.589</v>
      </c>
      <c r="P366" s="10">
        <v>3.7573829999999999</v>
      </c>
      <c r="Q366" s="10">
        <v>0.20469999999999999</v>
      </c>
      <c r="R366" s="10">
        <v>5.0095233820000002</v>
      </c>
      <c r="S366" s="10">
        <v>4.8948520279999999</v>
      </c>
      <c r="T366" s="10">
        <v>103.02</v>
      </c>
      <c r="U366" s="10">
        <v>104.21</v>
      </c>
      <c r="V366" s="10">
        <v>103.02</v>
      </c>
      <c r="W366" s="10">
        <v>104.21</v>
      </c>
      <c r="X366" s="4" t="s">
        <v>146</v>
      </c>
      <c r="Y366" s="4" t="s">
        <v>2104</v>
      </c>
      <c r="AA366" s="10">
        <f t="shared" si="20"/>
        <v>1.6830695518433542E-2</v>
      </c>
      <c r="AB366" s="10">
        <f t="shared" si="21"/>
        <v>1.9433845196047541E-2</v>
      </c>
      <c r="AC366" s="10">
        <f t="shared" si="22"/>
        <v>0.95218892851613923</v>
      </c>
      <c r="AD366" s="10">
        <f t="shared" si="23"/>
        <v>0.23077858186794845</v>
      </c>
    </row>
    <row r="367" spans="1:30" x14ac:dyDescent="0.25">
      <c r="A367" s="33" t="s">
        <v>2099</v>
      </c>
      <c r="C367" s="39">
        <v>40847</v>
      </c>
      <c r="D367" s="53" t="s">
        <v>2106</v>
      </c>
      <c r="E367" s="4" t="str">
        <f>VLOOKUP(LEFT(D367,2),Sort!$A$1:$B$58,2,FALSE)</f>
        <v>Korea</v>
      </c>
      <c r="F367" s="4" t="s">
        <v>1007</v>
      </c>
      <c r="G367" s="18">
        <v>260365535</v>
      </c>
      <c r="H367" s="18">
        <v>264678201.09999999</v>
      </c>
      <c r="I367" s="10">
        <v>0.12758059799999999</v>
      </c>
      <c r="J367" s="10">
        <v>9.4444440000000007</v>
      </c>
      <c r="K367" s="10">
        <v>7.3737940000000002</v>
      </c>
      <c r="L367" s="10">
        <v>5.4394429999999998</v>
      </c>
      <c r="M367" s="10">
        <v>5.4394429999999998</v>
      </c>
      <c r="N367" s="10">
        <v>340.95170000000002</v>
      </c>
      <c r="O367" s="10">
        <v>352.09690000000001</v>
      </c>
      <c r="P367" s="10">
        <v>7.1376730000000004</v>
      </c>
      <c r="Q367" s="10">
        <v>-0.41499999999999998</v>
      </c>
      <c r="R367" s="10">
        <v>9.092038681</v>
      </c>
      <c r="S367" s="10">
        <v>5.6109270000000002</v>
      </c>
      <c r="T367" s="10">
        <v>101.33</v>
      </c>
      <c r="U367" s="10">
        <v>103.18</v>
      </c>
      <c r="V367" s="10">
        <v>101.33</v>
      </c>
      <c r="W367" s="10">
        <v>103.18</v>
      </c>
      <c r="X367" s="4" t="s">
        <v>146</v>
      </c>
      <c r="Y367" s="4" t="s">
        <v>2107</v>
      </c>
      <c r="AA367" s="10">
        <f t="shared" si="20"/>
        <v>4.107348900203682E-2</v>
      </c>
      <c r="AB367" s="10">
        <f t="shared" si="21"/>
        <v>1.9981573236702656E-2</v>
      </c>
      <c r="AC367" s="10">
        <f t="shared" si="22"/>
        <v>0.9236533048563047</v>
      </c>
      <c r="AD367" s="10">
        <f t="shared" si="23"/>
        <v>0.18544785473535264</v>
      </c>
    </row>
    <row r="368" spans="1:30" x14ac:dyDescent="0.25">
      <c r="A368" s="33" t="s">
        <v>2102</v>
      </c>
      <c r="C368" s="39">
        <v>40847</v>
      </c>
      <c r="D368" s="53" t="s">
        <v>2109</v>
      </c>
      <c r="E368" s="4" t="str">
        <f>VLOOKUP(LEFT(D368,2),Sort!$A$1:$B$58,2,FALSE)</f>
        <v>Korea</v>
      </c>
      <c r="F368" s="4" t="s">
        <v>1007</v>
      </c>
      <c r="G368" s="18">
        <v>520731069</v>
      </c>
      <c r="H368" s="18">
        <v>499991621.10000002</v>
      </c>
      <c r="I368" s="10">
        <v>0.241006739</v>
      </c>
      <c r="J368" s="10">
        <v>25.497222000000001</v>
      </c>
      <c r="K368" s="10">
        <v>3.9401510000000002</v>
      </c>
      <c r="L368" s="10">
        <v>5.9022759999999996</v>
      </c>
      <c r="M368" s="10">
        <v>5.9022759999999996</v>
      </c>
      <c r="N368" s="10">
        <v>298.10169999999999</v>
      </c>
      <c r="O368" s="10">
        <v>309.91660000000002</v>
      </c>
      <c r="P368" s="10">
        <v>12.245702</v>
      </c>
      <c r="Q368" s="10">
        <v>0.54159999999999997</v>
      </c>
      <c r="R368" s="10">
        <v>12.479981950000001</v>
      </c>
      <c r="S368" s="10">
        <v>3.1970628859999999</v>
      </c>
      <c r="T368" s="10">
        <v>96</v>
      </c>
      <c r="U368" s="10">
        <v>98</v>
      </c>
      <c r="V368" s="10">
        <v>96</v>
      </c>
      <c r="W368" s="10">
        <v>98</v>
      </c>
      <c r="X368" s="4" t="s">
        <v>146</v>
      </c>
      <c r="Y368" s="4" t="s">
        <v>2110</v>
      </c>
      <c r="AA368" s="10">
        <f t="shared" si="20"/>
        <v>2.6893955082935645E-2</v>
      </c>
      <c r="AB368" s="10">
        <f t="shared" si="21"/>
        <v>4.0958054083787596E-2</v>
      </c>
      <c r="AC368" s="10">
        <f t="shared" si="22"/>
        <v>1.5358053572354426</v>
      </c>
      <c r="AD368" s="10">
        <f t="shared" si="23"/>
        <v>1.0271553239668954</v>
      </c>
    </row>
    <row r="369" spans="1:30" x14ac:dyDescent="0.25">
      <c r="A369" s="33" t="s">
        <v>2105</v>
      </c>
      <c r="C369" s="39">
        <v>40847</v>
      </c>
      <c r="D369" s="53" t="s">
        <v>2112</v>
      </c>
      <c r="E369" s="4" t="str">
        <f>VLOOKUP(LEFT(D369,2),Sort!$A$1:$B$58,2,FALSE)</f>
        <v>Korea</v>
      </c>
      <c r="F369" s="4" t="s">
        <v>1007</v>
      </c>
      <c r="G369" s="18">
        <v>416584855</v>
      </c>
      <c r="H369" s="18">
        <v>464276876.39999998</v>
      </c>
      <c r="I369" s="10">
        <v>0.223791462</v>
      </c>
      <c r="J369" s="10">
        <v>3.2472219999999998</v>
      </c>
      <c r="K369" s="10">
        <v>2.8930880000000001</v>
      </c>
      <c r="L369" s="10">
        <v>3.4098739999999998</v>
      </c>
      <c r="M369" s="10">
        <v>3.4098739999999998</v>
      </c>
      <c r="N369" s="10">
        <v>293.86849999999998</v>
      </c>
      <c r="O369" s="10">
        <v>296.64749999999998</v>
      </c>
      <c r="P369" s="10">
        <v>2.8818419999999998</v>
      </c>
      <c r="Q369" s="10">
        <v>0.30549999999999999</v>
      </c>
      <c r="R369" s="10">
        <v>2.9889369760000002</v>
      </c>
      <c r="S369" s="10">
        <v>4.3988964570000002</v>
      </c>
      <c r="T369" s="10">
        <v>109.64</v>
      </c>
      <c r="U369" s="10">
        <v>110.94</v>
      </c>
      <c r="V369" s="10">
        <v>109.64</v>
      </c>
      <c r="W369" s="10">
        <v>110.94</v>
      </c>
      <c r="X369" s="4" t="s">
        <v>146</v>
      </c>
      <c r="Y369" s="4" t="s">
        <v>2113</v>
      </c>
      <c r="AA369" s="10">
        <f t="shared" si="20"/>
        <v>1.8336556491544576E-2</v>
      </c>
      <c r="AB369" s="10">
        <f t="shared" si="21"/>
        <v>2.5766066798207518E-2</v>
      </c>
      <c r="AC369" s="10">
        <f t="shared" si="22"/>
        <v>1.3650430853656417</v>
      </c>
      <c r="AD369" s="10">
        <f t="shared" si="23"/>
        <v>0.34976256998767075</v>
      </c>
    </row>
    <row r="370" spans="1:30" x14ac:dyDescent="0.25">
      <c r="A370" s="33" t="s">
        <v>2108</v>
      </c>
      <c r="C370" s="39">
        <v>40847</v>
      </c>
      <c r="D370" s="53" t="s">
        <v>2115</v>
      </c>
      <c r="E370" s="4" t="str">
        <f>VLOOKUP(LEFT(D370,2),Sort!$A$1:$B$58,2,FALSE)</f>
        <v>Korea</v>
      </c>
      <c r="F370" s="4" t="s">
        <v>1007</v>
      </c>
      <c r="G370" s="18">
        <v>202653431</v>
      </c>
      <c r="H370" s="18">
        <v>219681778.69999999</v>
      </c>
      <c r="I370" s="10">
        <v>0.10589135299999999</v>
      </c>
      <c r="J370" s="10">
        <v>3.447222</v>
      </c>
      <c r="K370" s="10">
        <v>3.0437189999999998</v>
      </c>
      <c r="L370" s="10">
        <v>4.4665910000000002</v>
      </c>
      <c r="M370" s="10">
        <v>4.4665910000000002</v>
      </c>
      <c r="N370" s="10">
        <v>393.7002</v>
      </c>
      <c r="O370" s="10">
        <v>397.71190000000001</v>
      </c>
      <c r="P370" s="10">
        <v>3.0351569999999999</v>
      </c>
      <c r="Q370" s="10">
        <v>1.9599999999999999E-2</v>
      </c>
      <c r="R370" s="10">
        <v>-0.34835389700000002</v>
      </c>
      <c r="S370" s="10">
        <v>3.890758317</v>
      </c>
      <c r="T370" s="10">
        <v>108</v>
      </c>
      <c r="U370" s="10">
        <v>110</v>
      </c>
      <c r="V370" s="10">
        <v>108</v>
      </c>
      <c r="W370" s="10">
        <v>110</v>
      </c>
      <c r="X370" s="4" t="s">
        <v>146</v>
      </c>
      <c r="Y370" s="4" t="s">
        <v>2116</v>
      </c>
      <c r="AA370" s="10">
        <f t="shared" si="20"/>
        <v>9.1280429429073974E-3</v>
      </c>
      <c r="AB370" s="10">
        <f t="shared" si="21"/>
        <v>1.3618437985273677E-2</v>
      </c>
      <c r="AC370" s="10">
        <f t="shared" si="22"/>
        <v>0.8659468462397083</v>
      </c>
      <c r="AD370" s="10">
        <f t="shared" si="23"/>
        <v>0.16409480697583145</v>
      </c>
    </row>
    <row r="371" spans="1:30" x14ac:dyDescent="0.25">
      <c r="A371" s="33" t="s">
        <v>2111</v>
      </c>
      <c r="C371" s="39">
        <v>40847</v>
      </c>
      <c r="D371" s="53" t="s">
        <v>2118</v>
      </c>
      <c r="E371" s="4" t="str">
        <f>VLOOKUP(LEFT(D371,2),Sort!$A$1:$B$58,2,FALSE)</f>
        <v>Kuwait</v>
      </c>
      <c r="F371" s="4" t="e">
        <v>#N/A</v>
      </c>
      <c r="G371" s="18">
        <v>400000000</v>
      </c>
      <c r="H371" s="18">
        <v>427975000</v>
      </c>
      <c r="I371" s="10">
        <v>0.206293175</v>
      </c>
      <c r="J371" s="10">
        <v>8.9055560000000007</v>
      </c>
      <c r="K371" s="10">
        <v>6.540057</v>
      </c>
      <c r="L371" s="10">
        <v>6.6319480000000004</v>
      </c>
      <c r="M371" s="10">
        <v>6.6319480000000004</v>
      </c>
      <c r="N371" s="10">
        <v>470.29739999999998</v>
      </c>
      <c r="O371" s="10">
        <v>485.27839999999998</v>
      </c>
      <c r="P371" s="10">
        <v>6.3517780000000004</v>
      </c>
      <c r="Q371" s="10">
        <v>2.0400000000000001E-2</v>
      </c>
      <c r="R371" s="10">
        <v>-0.128351572</v>
      </c>
      <c r="S371" s="10">
        <v>6.2667630000000001</v>
      </c>
      <c r="T371" s="10">
        <v>106.25</v>
      </c>
      <c r="U371" s="10">
        <v>108.25</v>
      </c>
      <c r="V371" s="10">
        <v>106.25</v>
      </c>
      <c r="W371" s="10">
        <v>108.25</v>
      </c>
      <c r="X371" s="4" t="s">
        <v>146</v>
      </c>
      <c r="Y371" s="4" t="s">
        <v>2119</v>
      </c>
      <c r="AA371" s="10">
        <f t="shared" si="20"/>
        <v>5.8905026382254484E-2</v>
      </c>
      <c r="AB371" s="10">
        <f t="shared" si="21"/>
        <v>7.6502236023394357E-2</v>
      </c>
      <c r="AC371" s="10">
        <f t="shared" si="22"/>
        <v>5.8785082253198588</v>
      </c>
      <c r="AD371" s="10">
        <f t="shared" si="23"/>
        <v>0.31459688751169673</v>
      </c>
    </row>
    <row r="372" spans="1:30" x14ac:dyDescent="0.25">
      <c r="A372" s="33" t="s">
        <v>2114</v>
      </c>
      <c r="C372" s="39">
        <v>40847</v>
      </c>
      <c r="D372" s="53" t="s">
        <v>2121</v>
      </c>
      <c r="E372" s="4" t="str">
        <f>VLOOKUP(LEFT(D372,2),Sort!$A$1:$B$58,2,FALSE)</f>
        <v>Kuwait</v>
      </c>
      <c r="F372" s="4" t="s">
        <v>1007</v>
      </c>
      <c r="G372" s="18">
        <v>500000000</v>
      </c>
      <c r="H372" s="18">
        <v>531725695</v>
      </c>
      <c r="I372" s="10">
        <v>0.25630324599999998</v>
      </c>
      <c r="J372" s="10">
        <v>4.9555559999999996</v>
      </c>
      <c r="K372" s="10">
        <v>4.0223599999999999</v>
      </c>
      <c r="L372" s="10">
        <v>7.1704999999999997</v>
      </c>
      <c r="M372" s="10">
        <v>7.1704999999999997</v>
      </c>
      <c r="N372" s="10">
        <v>620.04780000000005</v>
      </c>
      <c r="O372" s="10">
        <v>628.12120000000004</v>
      </c>
      <c r="P372" s="10">
        <v>3.9847670000000002</v>
      </c>
      <c r="Q372" s="10">
        <v>2.3199999999999998E-2</v>
      </c>
      <c r="R372" s="10">
        <v>3.580454542</v>
      </c>
      <c r="S372" s="10">
        <v>4.394084307</v>
      </c>
      <c r="T372" s="10">
        <v>106</v>
      </c>
      <c r="U372" s="10">
        <v>107</v>
      </c>
      <c r="V372" s="10">
        <v>106</v>
      </c>
      <c r="W372" s="10">
        <v>107</v>
      </c>
      <c r="X372" s="4" t="s">
        <v>146</v>
      </c>
      <c r="Y372" s="4" t="s">
        <v>2122</v>
      </c>
      <c r="AA372" s="10">
        <f t="shared" si="20"/>
        <v>4.6579046624388325E-2</v>
      </c>
      <c r="AB372" s="10">
        <f t="shared" si="21"/>
        <v>0.10276653268036917</v>
      </c>
      <c r="AC372" s="10">
        <f t="shared" si="22"/>
        <v>18.139523233327658</v>
      </c>
      <c r="AD372" s="10">
        <f t="shared" si="23"/>
        <v>0.38634877647092997</v>
      </c>
    </row>
    <row r="373" spans="1:30" x14ac:dyDescent="0.25">
      <c r="A373" s="33" t="s">
        <v>2117</v>
      </c>
      <c r="C373" s="39">
        <v>40847</v>
      </c>
      <c r="D373" s="53" t="s">
        <v>2124</v>
      </c>
      <c r="E373" s="4" t="str">
        <f>VLOOKUP(LEFT(D373,2),Sort!$A$1:$B$58,2,FALSE)</f>
        <v>Kuwait</v>
      </c>
      <c r="F373" s="4" t="s">
        <v>1007</v>
      </c>
      <c r="G373" s="18">
        <v>500000000</v>
      </c>
      <c r="H373" s="18">
        <v>534062500</v>
      </c>
      <c r="I373" s="10">
        <v>0.25742963699999999</v>
      </c>
      <c r="J373" s="10">
        <v>8.6999999999999993</v>
      </c>
      <c r="K373" s="10">
        <v>5.9071600000000002</v>
      </c>
      <c r="L373" s="10">
        <v>8.4651180000000004</v>
      </c>
      <c r="M373" s="10">
        <v>8.4651180000000004</v>
      </c>
      <c r="N373" s="10">
        <v>657.46510000000001</v>
      </c>
      <c r="O373" s="10">
        <v>676.79970000000003</v>
      </c>
      <c r="P373" s="10">
        <v>5.7482170000000004</v>
      </c>
      <c r="Q373" s="10">
        <v>2.4400000000000002E-2</v>
      </c>
      <c r="R373" s="10">
        <v>2.3761973859999999</v>
      </c>
      <c r="S373" s="10">
        <v>2.828439902</v>
      </c>
      <c r="T373" s="10">
        <v>104</v>
      </c>
      <c r="U373" s="10">
        <v>105.5</v>
      </c>
      <c r="V373" s="10">
        <v>104</v>
      </c>
      <c r="W373" s="10">
        <v>105.5</v>
      </c>
      <c r="X373" s="4" t="s">
        <v>146</v>
      </c>
      <c r="Y373" s="4" t="s">
        <v>2125</v>
      </c>
      <c r="AA373" s="10">
        <f t="shared" si="20"/>
        <v>6.8705709536096504E-2</v>
      </c>
      <c r="AB373" s="10">
        <f t="shared" si="21"/>
        <v>0.27248750333123956</v>
      </c>
      <c r="AC373" s="10">
        <f t="shared" si="22"/>
        <v>19.631207376969144</v>
      </c>
      <c r="AD373" s="10">
        <f t="shared" si="23"/>
        <v>0.38260677849750274</v>
      </c>
    </row>
    <row r="374" spans="1:30" x14ac:dyDescent="0.25">
      <c r="A374" s="33" t="s">
        <v>2120</v>
      </c>
      <c r="C374" s="39">
        <v>40847</v>
      </c>
      <c r="D374" s="53" t="s">
        <v>2127</v>
      </c>
      <c r="E374" s="4" t="str">
        <f>VLOOKUP(LEFT(D374,2),Sort!$A$1:$B$58,2,FALSE)</f>
        <v>Kazakhstan</v>
      </c>
      <c r="F374" s="4" t="s">
        <v>1007</v>
      </c>
      <c r="G374" s="18">
        <v>323160839</v>
      </c>
      <c r="H374" s="18">
        <v>324130321.5</v>
      </c>
      <c r="I374" s="10">
        <v>0.15623780200000001</v>
      </c>
      <c r="J374" s="10">
        <v>4.5222220000000002</v>
      </c>
      <c r="K374" s="10">
        <v>3.4983330000000001</v>
      </c>
      <c r="L374" s="10">
        <v>9.5537329999999994</v>
      </c>
      <c r="M374" s="10">
        <v>9.5537329999999994</v>
      </c>
      <c r="N374" s="10">
        <v>871.02440000000001</v>
      </c>
      <c r="O374" s="10">
        <v>878.55139999999994</v>
      </c>
      <c r="P374" s="10">
        <v>3.4745249999999999</v>
      </c>
      <c r="Q374" s="10">
        <v>2.4899999999999999E-2</v>
      </c>
      <c r="R374" s="10">
        <v>1.7241382030000001</v>
      </c>
      <c r="S374" s="10">
        <v>0.23820211599999999</v>
      </c>
      <c r="T374" s="10">
        <v>96</v>
      </c>
      <c r="U374" s="10">
        <v>98</v>
      </c>
      <c r="V374" s="10">
        <v>96</v>
      </c>
      <c r="W374" s="10">
        <v>98</v>
      </c>
      <c r="X374" s="4" t="s">
        <v>146</v>
      </c>
      <c r="Y374" s="4" t="s">
        <v>2128</v>
      </c>
      <c r="AA374" s="10">
        <f t="shared" si="20"/>
        <v>1.5479605547538104E-2</v>
      </c>
      <c r="AB374" s="10">
        <f t="shared" si="21"/>
        <v>0.18664409257366862</v>
      </c>
      <c r="AC374" s="10">
        <f t="shared" si="22"/>
        <v>26.398900240970274</v>
      </c>
      <c r="AD374" s="10">
        <f t="shared" si="23"/>
        <v>0.66587552938459926</v>
      </c>
    </row>
    <row r="375" spans="1:30" x14ac:dyDescent="0.25">
      <c r="A375" s="33" t="s">
        <v>2123</v>
      </c>
      <c r="C375" s="39">
        <v>40847</v>
      </c>
      <c r="D375" s="53" t="s">
        <v>2130</v>
      </c>
      <c r="E375" s="4" t="str">
        <f>VLOOKUP(LEFT(D375,2),Sort!$A$1:$B$58,2,FALSE)</f>
        <v>Kazakhstan</v>
      </c>
      <c r="F375" s="4" t="s">
        <v>1007</v>
      </c>
      <c r="G375" s="18">
        <v>567967283</v>
      </c>
      <c r="H375" s="18">
        <v>432270431.10000002</v>
      </c>
      <c r="I375" s="10">
        <v>0.208363665</v>
      </c>
      <c r="J375" s="10">
        <v>4.1479359999999996</v>
      </c>
      <c r="K375" s="10">
        <v>3.0087760000000001</v>
      </c>
      <c r="L375" s="10">
        <v>17.964002000000001</v>
      </c>
      <c r="M375" s="10">
        <v>17.964002000000001</v>
      </c>
      <c r="N375" s="10">
        <v>1722.9804999999999</v>
      </c>
      <c r="O375" s="10">
        <v>1728.9074000000001</v>
      </c>
      <c r="P375" s="10">
        <v>2.9908229999999998</v>
      </c>
      <c r="Q375" s="10">
        <v>3.8300000000000001E-2</v>
      </c>
      <c r="R375" s="10">
        <v>20.25016398</v>
      </c>
      <c r="S375" s="10">
        <v>-10.43114267</v>
      </c>
      <c r="T375" s="10">
        <v>75</v>
      </c>
      <c r="U375" s="10">
        <v>79</v>
      </c>
      <c r="V375" s="10">
        <v>75</v>
      </c>
      <c r="W375" s="10">
        <v>79</v>
      </c>
      <c r="X375" s="4" t="s">
        <v>146</v>
      </c>
      <c r="Y375" s="4" t="s">
        <v>2131</v>
      </c>
      <c r="AA375" s="10">
        <f t="shared" si="20"/>
        <v>1.7755155015481146E-2</v>
      </c>
      <c r="AB375" s="10">
        <f t="shared" si="21"/>
        <v>0.49006579523698218</v>
      </c>
      <c r="AC375" s="10">
        <f t="shared" si="22"/>
        <v>55.375842113620806</v>
      </c>
      <c r="AD375" s="10">
        <f t="shared" si="23"/>
        <v>11.732904466084131</v>
      </c>
    </row>
    <row r="376" spans="1:30" x14ac:dyDescent="0.25">
      <c r="A376" s="33" t="s">
        <v>2126</v>
      </c>
      <c r="C376" s="39">
        <v>40847</v>
      </c>
      <c r="D376" s="53" t="s">
        <v>2133</v>
      </c>
      <c r="E376" s="4" t="str">
        <f>VLOOKUP(LEFT(D376,2),Sort!$A$1:$B$58,2,FALSE)</f>
        <v>Kazakhstan</v>
      </c>
      <c r="F376" s="4" t="s">
        <v>1007</v>
      </c>
      <c r="G376" s="18">
        <v>1922688607</v>
      </c>
      <c r="H376" s="18">
        <v>1108296470</v>
      </c>
      <c r="I376" s="10">
        <v>0.534222788</v>
      </c>
      <c r="J376" s="10">
        <v>4.9145830000000004</v>
      </c>
      <c r="K376" s="10">
        <v>2.7122899999999999</v>
      </c>
      <c r="L376" s="10">
        <v>30.715781</v>
      </c>
      <c r="M376" s="10">
        <v>30.715781</v>
      </c>
      <c r="N376" s="10">
        <v>2975.7723000000001</v>
      </c>
      <c r="O376" s="10">
        <v>2992.9551999999999</v>
      </c>
      <c r="P376" s="10">
        <v>2.6880419999999998</v>
      </c>
      <c r="Q376" s="10">
        <v>-1.6552</v>
      </c>
      <c r="R376" s="10">
        <v>25.839119799999999</v>
      </c>
      <c r="S376" s="10">
        <v>-42.978476520000001</v>
      </c>
      <c r="T376" s="10">
        <v>54</v>
      </c>
      <c r="U376" s="10">
        <v>55</v>
      </c>
      <c r="V376" s="10">
        <v>54</v>
      </c>
      <c r="W376" s="10">
        <v>55</v>
      </c>
      <c r="X376" s="4" t="s">
        <v>146</v>
      </c>
      <c r="Y376" s="4" t="s">
        <v>2134</v>
      </c>
      <c r="AA376" s="10">
        <f t="shared" si="20"/>
        <v>4.1036579650957437E-2</v>
      </c>
      <c r="AB376" s="10">
        <f t="shared" si="21"/>
        <v>2.1483907801923805</v>
      </c>
      <c r="AC376" s="10">
        <f t="shared" si="22"/>
        <v>245.7815323145027</v>
      </c>
      <c r="AD376" s="10">
        <f t="shared" si="23"/>
        <v>20.94312830985055</v>
      </c>
    </row>
    <row r="377" spans="1:30" x14ac:dyDescent="0.25">
      <c r="A377" s="33" t="s">
        <v>2129</v>
      </c>
      <c r="C377" s="39">
        <v>40847</v>
      </c>
      <c r="D377" s="53" t="s">
        <v>2136</v>
      </c>
      <c r="E377" s="4" t="str">
        <f>VLOOKUP(LEFT(D377,2),Sort!$A$1:$B$58,2,FALSE)</f>
        <v>Kazakhstan</v>
      </c>
      <c r="F377" s="4" t="s">
        <v>1007</v>
      </c>
      <c r="G377" s="18">
        <v>458548027</v>
      </c>
      <c r="H377" s="18">
        <v>141874759.59999999</v>
      </c>
      <c r="I377" s="10">
        <v>6.8386691999999999E-2</v>
      </c>
      <c r="J377" s="10">
        <v>11.413611</v>
      </c>
      <c r="K377" s="10">
        <v>4.2039970000000002</v>
      </c>
      <c r="L377" s="10">
        <v>25.908992000000001</v>
      </c>
      <c r="M377" s="10">
        <v>25.908992000000001</v>
      </c>
      <c r="N377" s="10">
        <v>2370.3181</v>
      </c>
      <c r="O377" s="10">
        <v>2423.9349999999999</v>
      </c>
      <c r="P377" s="10">
        <v>4.0827530000000003</v>
      </c>
      <c r="Q377" s="10">
        <v>6.4699999999999994E-2</v>
      </c>
      <c r="R377" s="10">
        <v>29.564496909999999</v>
      </c>
      <c r="S377" s="10">
        <v>-52.992671600000001</v>
      </c>
      <c r="T377" s="10">
        <v>28.5</v>
      </c>
      <c r="U377" s="10">
        <v>32.5</v>
      </c>
      <c r="V377" s="10">
        <v>28.5</v>
      </c>
      <c r="W377" s="10">
        <v>32.5</v>
      </c>
      <c r="X377" s="4" t="s">
        <v>146</v>
      </c>
      <c r="Y377" s="4" t="s">
        <v>2137</v>
      </c>
      <c r="AA377" s="10">
        <f t="shared" si="20"/>
        <v>1.2989413628399516E-2</v>
      </c>
      <c r="AB377" s="10">
        <f t="shared" si="21"/>
        <v>0.23198046949772572</v>
      </c>
      <c r="AC377" s="10">
        <f t="shared" si="22"/>
        <v>25.481159694131101</v>
      </c>
      <c r="AD377" s="10">
        <f t="shared" si="23"/>
        <v>10.714632753908218</v>
      </c>
    </row>
    <row r="378" spans="1:30" x14ac:dyDescent="0.25">
      <c r="A378" s="33" t="s">
        <v>2132</v>
      </c>
      <c r="C378" s="39">
        <v>40847</v>
      </c>
      <c r="D378" s="53" t="s">
        <v>2139</v>
      </c>
      <c r="E378" s="4" t="str">
        <f>VLOOKUP(LEFT(D378,2),Sort!$A$1:$B$58,2,FALSE)</f>
        <v>Kazakhstan</v>
      </c>
      <c r="F378" s="4" t="s">
        <v>1007</v>
      </c>
      <c r="G378" s="18">
        <v>452425175</v>
      </c>
      <c r="H378" s="18">
        <v>448933018.19999999</v>
      </c>
      <c r="I378" s="10">
        <v>0.21639539199999999</v>
      </c>
      <c r="J378" s="10">
        <v>2.2416670000000001</v>
      </c>
      <c r="K378" s="10">
        <v>1.954488</v>
      </c>
      <c r="L378" s="10">
        <v>9.1162039999999998</v>
      </c>
      <c r="M378" s="10">
        <v>9.1162039999999998</v>
      </c>
      <c r="N378" s="10">
        <v>883.24710000000005</v>
      </c>
      <c r="O378" s="10">
        <v>884.71770000000004</v>
      </c>
      <c r="P378" s="10">
        <v>1.9528589999999999</v>
      </c>
      <c r="Q378" s="10">
        <v>2.4199999999999999E-2</v>
      </c>
      <c r="R378" s="10">
        <v>4.9396863089999998</v>
      </c>
      <c r="S378" s="10">
        <v>2.4901057450000001</v>
      </c>
      <c r="T378" s="10">
        <v>97</v>
      </c>
      <c r="U378" s="10">
        <v>99</v>
      </c>
      <c r="V378" s="10">
        <v>97</v>
      </c>
      <c r="W378" s="10">
        <v>99</v>
      </c>
      <c r="X378" s="4" t="s">
        <v>146</v>
      </c>
      <c r="Y378" s="4" t="s">
        <v>2140</v>
      </c>
      <c r="AA378" s="10">
        <f t="shared" si="20"/>
        <v>5.3473213256542189E-2</v>
      </c>
      <c r="AB378" s="10">
        <f t="shared" si="21"/>
        <v>0.24667041939910536</v>
      </c>
      <c r="AC378" s="10">
        <f t="shared" si="22"/>
        <v>36.820125451848014</v>
      </c>
      <c r="AD378" s="10">
        <f t="shared" si="23"/>
        <v>0.93167418495490262</v>
      </c>
    </row>
    <row r="379" spans="1:30" x14ac:dyDescent="0.25">
      <c r="A379" s="33" t="s">
        <v>2135</v>
      </c>
      <c r="C379" s="39">
        <v>40847</v>
      </c>
      <c r="D379" s="53" t="s">
        <v>2142</v>
      </c>
      <c r="E379" s="4" t="str">
        <f>VLOOKUP(LEFT(D379,2),Sort!$A$1:$B$58,2,FALSE)</f>
        <v>Kazakhstan</v>
      </c>
      <c r="F379" s="4" t="s">
        <v>1007</v>
      </c>
      <c r="G379" s="18">
        <v>589102820</v>
      </c>
      <c r="H379" s="18">
        <v>567011464.29999995</v>
      </c>
      <c r="I379" s="10">
        <v>0.27331174800000002</v>
      </c>
      <c r="J379" s="10">
        <v>5.5</v>
      </c>
      <c r="K379" s="10">
        <v>4.4984489999999999</v>
      </c>
      <c r="L379" s="10">
        <v>7.6457139999999999</v>
      </c>
      <c r="M379" s="10">
        <v>7.6457139999999999</v>
      </c>
      <c r="N379" s="10">
        <v>651.54639999999995</v>
      </c>
      <c r="O379" s="10">
        <v>659.2654</v>
      </c>
      <c r="P379" s="10">
        <v>4.4426310000000004</v>
      </c>
      <c r="Q379" s="10">
        <v>2.0199999999999999E-2</v>
      </c>
      <c r="R379" s="10">
        <v>7.3219491750000003</v>
      </c>
      <c r="S379" s="10">
        <v>1.604824341</v>
      </c>
      <c r="T379" s="10">
        <v>96.25</v>
      </c>
      <c r="U379" s="10">
        <v>98.25</v>
      </c>
      <c r="V379" s="10">
        <v>96.25</v>
      </c>
      <c r="W379" s="10">
        <v>98.25</v>
      </c>
      <c r="X379" s="4" t="s">
        <v>146</v>
      </c>
      <c r="Y379" s="4" t="s">
        <v>2143</v>
      </c>
      <c r="AA379" s="10">
        <f t="shared" si="20"/>
        <v>5.5549051969542719E-2</v>
      </c>
      <c r="AB379" s="10">
        <f t="shared" si="21"/>
        <v>0.11684886666988428</v>
      </c>
      <c r="AC379" s="10">
        <f t="shared" si="22"/>
        <v>20.302377194455843</v>
      </c>
      <c r="AD379" s="10">
        <f t="shared" si="23"/>
        <v>1.1678087322126318</v>
      </c>
    </row>
    <row r="380" spans="1:30" x14ac:dyDescent="0.25">
      <c r="A380" s="33" t="s">
        <v>2138</v>
      </c>
      <c r="C380" s="39">
        <v>40847</v>
      </c>
      <c r="D380" s="53" t="s">
        <v>2145</v>
      </c>
      <c r="E380" s="4" t="str">
        <f>VLOOKUP(LEFT(D380,2),Sort!$A$1:$B$58,2,FALSE)</f>
        <v>Kazakhstan</v>
      </c>
      <c r="F380" s="4" t="s">
        <v>1007</v>
      </c>
      <c r="G380" s="18">
        <v>461658342</v>
      </c>
      <c r="H380" s="18">
        <v>453178573.89999998</v>
      </c>
      <c r="I380" s="10">
        <v>0.218441841</v>
      </c>
      <c r="J380" s="10">
        <v>9.2361109999999993</v>
      </c>
      <c r="K380" s="10">
        <v>6.6693720000000001</v>
      </c>
      <c r="L380" s="10">
        <v>7.2100559999999998</v>
      </c>
      <c r="M380" s="10">
        <v>7.2100559999999998</v>
      </c>
      <c r="N380" s="10">
        <v>521.91579999999999</v>
      </c>
      <c r="O380" s="10">
        <v>537.27599999999995</v>
      </c>
      <c r="P380" s="10">
        <v>6.4669379999999999</v>
      </c>
      <c r="Q380" s="10">
        <v>2.0500000000000001E-2</v>
      </c>
      <c r="R380" s="10">
        <v>12.380049530000001</v>
      </c>
      <c r="S380" s="10">
        <v>2.8115299999999999</v>
      </c>
      <c r="T380" s="10">
        <v>96.25</v>
      </c>
      <c r="U380" s="10">
        <v>100.25</v>
      </c>
      <c r="V380" s="10">
        <v>96.25</v>
      </c>
      <c r="W380" s="10">
        <v>100.25</v>
      </c>
      <c r="X380" s="4" t="s">
        <v>146</v>
      </c>
      <c r="Y380" s="4" t="s">
        <v>2146</v>
      </c>
      <c r="AA380" s="10">
        <f t="shared" si="20"/>
        <v>6.3607266319987851E-2</v>
      </c>
      <c r="AB380" s="10">
        <f t="shared" si="21"/>
        <v>8.8068910219147534E-2</v>
      </c>
      <c r="AC380" s="10">
        <f t="shared" si="22"/>
        <v>6.8916716590115632</v>
      </c>
      <c r="AD380" s="10">
        <f t="shared" si="23"/>
        <v>0.30850475743674299</v>
      </c>
    </row>
    <row r="381" spans="1:30" x14ac:dyDescent="0.25">
      <c r="A381" s="33" t="s">
        <v>2141</v>
      </c>
      <c r="C381" s="39">
        <v>40847</v>
      </c>
      <c r="D381" s="53" t="s">
        <v>2148</v>
      </c>
      <c r="E381" s="4" t="str">
        <f>VLOOKUP(LEFT(D381,2),Sort!$A$1:$B$58,2,FALSE)</f>
        <v>Kazakhstan</v>
      </c>
      <c r="F381" s="4" t="s">
        <v>1007</v>
      </c>
      <c r="G381" s="18">
        <v>452886833</v>
      </c>
      <c r="H381" s="18">
        <v>472980543.19999999</v>
      </c>
      <c r="I381" s="10">
        <v>0.22798681700000001</v>
      </c>
      <c r="J381" s="10">
        <v>1.9527779999999999</v>
      </c>
      <c r="K381" s="10">
        <v>1.771237</v>
      </c>
      <c r="L381" s="10">
        <v>6.4794669999999996</v>
      </c>
      <c r="M381" s="10">
        <v>6.4794669999999996</v>
      </c>
      <c r="N381" s="10">
        <v>623.95979999999997</v>
      </c>
      <c r="O381" s="10">
        <v>624.78309999999999</v>
      </c>
      <c r="P381" s="10">
        <v>1.7701070000000001</v>
      </c>
      <c r="Q381" s="10">
        <v>2.46E-2</v>
      </c>
      <c r="R381" s="10">
        <v>1.6821471130000001</v>
      </c>
      <c r="S381" s="10">
        <v>2.6582447500000002</v>
      </c>
      <c r="T381" s="10">
        <v>104</v>
      </c>
      <c r="U381" s="10">
        <v>105</v>
      </c>
      <c r="V381" s="10">
        <v>104</v>
      </c>
      <c r="W381" s="10">
        <v>105</v>
      </c>
      <c r="X381" s="4" t="s">
        <v>146</v>
      </c>
      <c r="Y381" s="4" t="s">
        <v>2149</v>
      </c>
      <c r="AA381" s="10">
        <f t="shared" si="20"/>
        <v>5.105539929307093E-2</v>
      </c>
      <c r="AB381" s="10">
        <f t="shared" si="21"/>
        <v>8.2603257470250463E-2</v>
      </c>
      <c r="AC381" s="10">
        <f t="shared" si="22"/>
        <v>16.049714753436852</v>
      </c>
      <c r="AD381" s="10">
        <f t="shared" si="23"/>
        <v>0.33724125029216556</v>
      </c>
    </row>
    <row r="382" spans="1:30" x14ac:dyDescent="0.25">
      <c r="A382" s="33" t="s">
        <v>2144</v>
      </c>
      <c r="C382" s="39">
        <v>40847</v>
      </c>
      <c r="D382" s="53" t="s">
        <v>2151</v>
      </c>
      <c r="E382" s="4" t="str">
        <f>VLOOKUP(LEFT(D382,2),Sort!$A$1:$B$58,2,FALSE)</f>
        <v>Kazakhstan</v>
      </c>
      <c r="F382" s="4" t="s">
        <v>1007</v>
      </c>
      <c r="G382" s="18">
        <v>328866013</v>
      </c>
      <c r="H382" s="18">
        <v>283509907.60000002</v>
      </c>
      <c r="I382" s="10">
        <v>0.13665788700000001</v>
      </c>
      <c r="J382" s="10">
        <v>5.072222</v>
      </c>
      <c r="K382" s="10">
        <v>3.8932180000000001</v>
      </c>
      <c r="L382" s="10">
        <v>11.479701</v>
      </c>
      <c r="M382" s="10">
        <v>11.479701</v>
      </c>
      <c r="N382" s="10">
        <v>1047.5432000000001</v>
      </c>
      <c r="O382" s="10">
        <v>1055.4907000000001</v>
      </c>
      <c r="P382" s="10">
        <v>3.85331</v>
      </c>
      <c r="Q382" s="10">
        <v>4.8922999999999996</v>
      </c>
      <c r="R382" s="10">
        <v>4.3368646220000002</v>
      </c>
      <c r="S382" s="10">
        <v>1.731064355</v>
      </c>
      <c r="T382" s="10">
        <v>83</v>
      </c>
      <c r="U382" s="10">
        <v>85</v>
      </c>
      <c r="V382" s="10">
        <v>83</v>
      </c>
      <c r="W382" s="10">
        <v>85</v>
      </c>
      <c r="X382" s="4" t="s">
        <v>146</v>
      </c>
      <c r="Y382" s="4" t="s">
        <v>2152</v>
      </c>
      <c r="AA382" s="10">
        <f t="shared" si="20"/>
        <v>1.506801507544577E-2</v>
      </c>
      <c r="AB382" s="10">
        <f t="shared" si="21"/>
        <v>0.20539723101729448</v>
      </c>
      <c r="AC382" s="10">
        <f t="shared" si="22"/>
        <v>22.172554591521827</v>
      </c>
      <c r="AD382" s="10">
        <f t="shared" si="23"/>
        <v>0.5051664335196866</v>
      </c>
    </row>
    <row r="383" spans="1:30" x14ac:dyDescent="0.25">
      <c r="A383" s="33" t="s">
        <v>2147</v>
      </c>
      <c r="C383" s="39">
        <v>40847</v>
      </c>
      <c r="D383" s="53" t="s">
        <v>2154</v>
      </c>
      <c r="E383" s="4" t="str">
        <f>VLOOKUP(LEFT(D383,2),Sort!$A$1:$B$58,2,FALSE)</f>
        <v>Kazakhstan</v>
      </c>
      <c r="F383" s="4" t="s">
        <v>1007</v>
      </c>
      <c r="G383" s="18">
        <v>409381998</v>
      </c>
      <c r="H383" s="18">
        <v>402837572.30000001</v>
      </c>
      <c r="I383" s="10">
        <v>0.194176393</v>
      </c>
      <c r="J383" s="10">
        <v>1.4527779999999999</v>
      </c>
      <c r="K383" s="10">
        <v>1.3431599999999999</v>
      </c>
      <c r="L383" s="10">
        <v>8.4943910000000002</v>
      </c>
      <c r="M383" s="10">
        <v>8.4943910000000002</v>
      </c>
      <c r="N383" s="10">
        <v>833.00220000000002</v>
      </c>
      <c r="O383" s="10">
        <v>833.49040000000002</v>
      </c>
      <c r="P383" s="10">
        <v>1.3356969999999999</v>
      </c>
      <c r="Q383" s="10">
        <v>1.8354999999999999</v>
      </c>
      <c r="R383" s="10">
        <v>2.78941879</v>
      </c>
      <c r="S383" s="10">
        <v>8.2416905529999998</v>
      </c>
      <c r="T383" s="10">
        <v>98</v>
      </c>
      <c r="U383" s="10">
        <v>100</v>
      </c>
      <c r="V383" s="10">
        <v>98</v>
      </c>
      <c r="W383" s="10">
        <v>100</v>
      </c>
      <c r="X383" s="4" t="s">
        <v>146</v>
      </c>
      <c r="Y383" s="4" t="s">
        <v>2155</v>
      </c>
      <c r="AA383" s="10">
        <f t="shared" si="20"/>
        <v>3.2974593121132191E-2</v>
      </c>
      <c r="AB383" s="10">
        <f t="shared" si="21"/>
        <v>0.20624513205771905</v>
      </c>
      <c r="AC383" s="10">
        <f t="shared" si="22"/>
        <v>31.126448565633101</v>
      </c>
      <c r="AD383" s="10">
        <f t="shared" si="23"/>
        <v>0.27355086095383796</v>
      </c>
    </row>
    <row r="384" spans="1:30" x14ac:dyDescent="0.25">
      <c r="A384" s="33" t="s">
        <v>2150</v>
      </c>
      <c r="C384" s="39">
        <v>40847</v>
      </c>
      <c r="D384" s="53" t="s">
        <v>2157</v>
      </c>
      <c r="E384" s="4" t="str">
        <f>VLOOKUP(LEFT(D384,2),Sort!$A$1:$B$58,2,FALSE)</f>
        <v>Kazakhstan</v>
      </c>
      <c r="F384" s="4" t="s">
        <v>1007</v>
      </c>
      <c r="G384" s="18">
        <v>276995005</v>
      </c>
      <c r="H384" s="18">
        <v>245309853.80000001</v>
      </c>
      <c r="I384" s="10">
        <v>0.118244637</v>
      </c>
      <c r="J384" s="10">
        <v>6.5222220000000002</v>
      </c>
      <c r="K384" s="10">
        <v>4.5730769999999996</v>
      </c>
      <c r="L384" s="10">
        <v>11.74263</v>
      </c>
      <c r="M384" s="10">
        <v>11.74263</v>
      </c>
      <c r="N384" s="10">
        <v>1031.1335999999999</v>
      </c>
      <c r="O384" s="10">
        <v>1045.2648999999999</v>
      </c>
      <c r="P384" s="10">
        <v>4.4937120000000004</v>
      </c>
      <c r="Q384" s="10">
        <v>1.1693</v>
      </c>
      <c r="R384" s="10">
        <v>6.1883821770000003</v>
      </c>
      <c r="S384" s="10">
        <v>-9.1834181969999999</v>
      </c>
      <c r="T384" s="10">
        <v>84.5</v>
      </c>
      <c r="U384" s="10">
        <v>85.5</v>
      </c>
      <c r="V384" s="10">
        <v>84.5</v>
      </c>
      <c r="W384" s="10">
        <v>85.5</v>
      </c>
      <c r="X384" s="4" t="s">
        <v>146</v>
      </c>
      <c r="Y384" s="4" t="s">
        <v>2158</v>
      </c>
      <c r="AA384" s="10">
        <f t="shared" si="20"/>
        <v>2.4431240448302371E-2</v>
      </c>
      <c r="AB384" s="10">
        <f t="shared" si="21"/>
        <v>0.18179257363824849</v>
      </c>
      <c r="AC384" s="10">
        <f t="shared" si="22"/>
        <v>18.999161832089047</v>
      </c>
      <c r="AD384" s="10">
        <f t="shared" si="23"/>
        <v>0.43967161407415845</v>
      </c>
    </row>
    <row r="385" spans="1:30" x14ac:dyDescent="0.25">
      <c r="A385" s="33" t="s">
        <v>2153</v>
      </c>
      <c r="C385" s="39">
        <v>40847</v>
      </c>
      <c r="D385" s="53" t="s">
        <v>2160</v>
      </c>
      <c r="E385" s="4" t="str">
        <f>VLOOKUP(LEFT(D385,2),Sort!$A$1:$B$58,2,FALSE)</f>
        <v>Kazakhstan</v>
      </c>
      <c r="F385" s="4" t="s">
        <v>1024</v>
      </c>
      <c r="G385" s="18">
        <v>415492507</v>
      </c>
      <c r="H385" s="18">
        <v>409917981.10000002</v>
      </c>
      <c r="I385" s="10">
        <v>0.19758930299999999</v>
      </c>
      <c r="J385" s="10">
        <v>3.9611109999999998</v>
      </c>
      <c r="K385" s="10">
        <v>3.1758999999999999</v>
      </c>
      <c r="L385" s="10">
        <v>10.418377</v>
      </c>
      <c r="M385" s="10">
        <v>10.418377</v>
      </c>
      <c r="N385" s="10">
        <v>973.87329999999997</v>
      </c>
      <c r="O385" s="10">
        <v>980.88289999999995</v>
      </c>
      <c r="P385" s="10">
        <v>3.1614119999999999</v>
      </c>
      <c r="Q385" s="10">
        <v>-0.2233</v>
      </c>
      <c r="R385" s="10">
        <v>15.43764519</v>
      </c>
      <c r="S385" s="10">
        <v>6.4107506980000002</v>
      </c>
      <c r="T385" s="10">
        <v>98.25</v>
      </c>
      <c r="U385" s="10">
        <v>100.25</v>
      </c>
      <c r="V385" s="10">
        <v>98.25</v>
      </c>
      <c r="W385" s="10">
        <v>100.25</v>
      </c>
      <c r="X385" s="4" t="s">
        <v>146</v>
      </c>
      <c r="Y385" s="4" t="s">
        <v>2161</v>
      </c>
      <c r="AA385" s="10">
        <f t="shared" si="20"/>
        <v>1.7772268724915632E-2</v>
      </c>
      <c r="AB385" s="10">
        <f t="shared" si="21"/>
        <v>0.26952112167614212</v>
      </c>
      <c r="AC385" s="10">
        <f t="shared" si="22"/>
        <v>37.274612067010466</v>
      </c>
      <c r="AD385" s="10">
        <f t="shared" si="23"/>
        <v>0.27905478019382352</v>
      </c>
    </row>
    <row r="386" spans="1:30" x14ac:dyDescent="0.25">
      <c r="A386" s="33" t="s">
        <v>2156</v>
      </c>
      <c r="C386" s="39">
        <v>40847</v>
      </c>
      <c r="D386" s="53" t="s">
        <v>2163</v>
      </c>
      <c r="E386" s="4" t="str">
        <f>VLOOKUP(LEFT(D386,2),Sort!$A$1:$B$58,2,FALSE)</f>
        <v>Lebanon</v>
      </c>
      <c r="F386" s="4" t="s">
        <v>1007</v>
      </c>
      <c r="G386" s="18">
        <v>300000000</v>
      </c>
      <c r="H386" s="18">
        <v>320899314</v>
      </c>
      <c r="I386" s="10">
        <v>0.154680386</v>
      </c>
      <c r="J386" s="10">
        <v>1.1138889999999999</v>
      </c>
      <c r="K386" s="10">
        <v>1.0640240000000001</v>
      </c>
      <c r="L386" s="10">
        <v>2.132368</v>
      </c>
      <c r="M386" s="10">
        <v>2.132368</v>
      </c>
      <c r="N386" s="10">
        <v>201.9171</v>
      </c>
      <c r="O386" s="10">
        <v>202.02340000000001</v>
      </c>
      <c r="P386" s="10">
        <v>1.050408</v>
      </c>
      <c r="Q386" s="10">
        <v>1.95E-2</v>
      </c>
      <c r="R386" s="10">
        <v>-0.36715319699999999</v>
      </c>
      <c r="S386" s="10">
        <v>3.8704231550000001</v>
      </c>
      <c r="T386" s="10">
        <v>104</v>
      </c>
      <c r="U386" s="10">
        <v>106</v>
      </c>
      <c r="V386" s="10">
        <v>104</v>
      </c>
      <c r="W386" s="10">
        <v>106</v>
      </c>
      <c r="X386" s="4" t="s">
        <v>146</v>
      </c>
      <c r="Y386" s="4" t="s">
        <v>2164</v>
      </c>
      <c r="AA386" s="10">
        <f t="shared" si="20"/>
        <v>2.080855574323532E-2</v>
      </c>
      <c r="AB386" s="10">
        <f t="shared" si="21"/>
        <v>1.113688379721986E-2</v>
      </c>
      <c r="AC386" s="10">
        <f t="shared" si="22"/>
        <v>0.64253838506263949</v>
      </c>
      <c r="AD386" s="10">
        <f t="shared" si="23"/>
        <v>0.23098446381350052</v>
      </c>
    </row>
    <row r="387" spans="1:30" x14ac:dyDescent="0.25">
      <c r="A387" s="33" t="s">
        <v>2159</v>
      </c>
      <c r="C387" s="39">
        <v>40847</v>
      </c>
      <c r="D387" s="53" t="s">
        <v>2166</v>
      </c>
      <c r="E387" s="4" t="str">
        <f>VLOOKUP(LEFT(D387,2),Sort!$A$1:$B$58,2,FALSE)</f>
        <v>Macau</v>
      </c>
      <c r="F387" s="4" t="s">
        <v>1059</v>
      </c>
      <c r="G387" s="18">
        <v>600000000</v>
      </c>
      <c r="H387" s="18">
        <v>663199998</v>
      </c>
      <c r="I387" s="10">
        <v>0.31967669399999998</v>
      </c>
      <c r="J387" s="10">
        <v>6.5333329999999998</v>
      </c>
      <c r="K387" s="10">
        <v>4.6442389999999998</v>
      </c>
      <c r="L387" s="10">
        <v>8.5009580000000007</v>
      </c>
      <c r="M387" s="10">
        <v>8.5009580000000007</v>
      </c>
      <c r="N387" s="10">
        <v>706.63909999999998</v>
      </c>
      <c r="O387" s="10">
        <v>721.82489999999996</v>
      </c>
      <c r="P387" s="10">
        <v>4.5644239999999998</v>
      </c>
      <c r="Q387" s="10">
        <v>-8.7300000000000003E-2</v>
      </c>
      <c r="R387" s="10">
        <v>-0.74332669600000001</v>
      </c>
      <c r="S387" s="10">
        <v>-1.5133345069999999</v>
      </c>
      <c r="T387" s="10">
        <v>105.75</v>
      </c>
      <c r="U387" s="10">
        <v>108.625</v>
      </c>
      <c r="V387" s="10">
        <v>105.75</v>
      </c>
      <c r="W387" s="10">
        <v>108.625</v>
      </c>
      <c r="X387" s="4" t="s">
        <v>146</v>
      </c>
      <c r="Y387" s="4" t="s">
        <v>2167</v>
      </c>
      <c r="AA387" s="10">
        <f t="shared" si="20"/>
        <v>6.7078151760574675E-2</v>
      </c>
      <c r="AB387" s="10">
        <f t="shared" si="21"/>
        <v>0.33980821638260522</v>
      </c>
      <c r="AC387" s="10">
        <f t="shared" si="22"/>
        <v>25.999868083316432</v>
      </c>
      <c r="AD387" s="10">
        <f t="shared" si="23"/>
        <v>0.48919546422288024</v>
      </c>
    </row>
    <row r="388" spans="1:30" x14ac:dyDescent="0.25">
      <c r="A388" s="33" t="s">
        <v>2162</v>
      </c>
      <c r="C388" s="39">
        <v>40847</v>
      </c>
      <c r="D388" s="53" t="s">
        <v>2169</v>
      </c>
      <c r="E388" s="4" t="str">
        <f>VLOOKUP(LEFT(D388,2),Sort!$A$1:$B$58,2,FALSE)</f>
        <v>Mexico</v>
      </c>
      <c r="F388" s="4" t="e">
        <v>#N/A</v>
      </c>
      <c r="G388" s="18">
        <v>949227422</v>
      </c>
      <c r="H388" s="18">
        <v>952785572.5</v>
      </c>
      <c r="I388" s="10">
        <v>0.45926318300000002</v>
      </c>
      <c r="J388" s="10">
        <v>4.8472220000000004</v>
      </c>
      <c r="K388" s="10">
        <v>4.5859290000000001</v>
      </c>
      <c r="L388" s="10">
        <v>2.1719620000000002</v>
      </c>
      <c r="M388" s="10">
        <v>2.1719620000000002</v>
      </c>
      <c r="N388" s="10">
        <v>123.3573</v>
      </c>
      <c r="O388" s="10">
        <v>124.88420000000001</v>
      </c>
      <c r="P388" s="10">
        <v>4.5409730000000001</v>
      </c>
      <c r="Q388" s="10">
        <v>0.54649999999999999</v>
      </c>
      <c r="R388" s="10">
        <v>4.2388508979999999</v>
      </c>
      <c r="S388" s="10">
        <v>0.85290200000000005</v>
      </c>
      <c r="T388" s="10">
        <v>100.012</v>
      </c>
      <c r="U388" s="10">
        <v>100.928</v>
      </c>
      <c r="V388" s="10">
        <v>100.012</v>
      </c>
      <c r="W388" s="10">
        <v>100.928</v>
      </c>
      <c r="X388" s="4" t="s">
        <v>146</v>
      </c>
      <c r="Y388" s="4" t="s">
        <v>2170</v>
      </c>
      <c r="AA388" s="10">
        <f t="shared" si="20"/>
        <v>9.5157825517319494E-2</v>
      </c>
      <c r="AB388" s="10">
        <f t="shared" si="21"/>
        <v>3.3680624689485718E-2</v>
      </c>
      <c r="AC388" s="10">
        <f t="shared" si="22"/>
        <v>4.1692978588278438</v>
      </c>
      <c r="AD388" s="10">
        <f t="shared" si="23"/>
        <v>0.6530026677269587</v>
      </c>
    </row>
    <row r="389" spans="1:30" x14ac:dyDescent="0.25">
      <c r="A389" s="33" t="s">
        <v>2165</v>
      </c>
      <c r="C389" s="39">
        <v>40847</v>
      </c>
      <c r="D389" s="53" t="s">
        <v>2172</v>
      </c>
      <c r="E389" s="4" t="str">
        <f>VLOOKUP(LEFT(D389,2),Sort!$A$1:$B$58,2,FALSE)</f>
        <v>Mexico</v>
      </c>
      <c r="F389" s="4" t="s">
        <v>1081</v>
      </c>
      <c r="G389" s="18">
        <v>355960283</v>
      </c>
      <c r="H389" s="18">
        <v>375599651.19999999</v>
      </c>
      <c r="I389" s="10">
        <v>0.181047128</v>
      </c>
      <c r="J389" s="10">
        <v>3.4083329999999998</v>
      </c>
      <c r="K389" s="10">
        <v>3.209511</v>
      </c>
      <c r="L389" s="10">
        <v>1.841958</v>
      </c>
      <c r="M389" s="10">
        <v>1.841958</v>
      </c>
      <c r="N389" s="10">
        <v>132.3725</v>
      </c>
      <c r="O389" s="10">
        <v>135.03800000000001</v>
      </c>
      <c r="P389" s="10">
        <v>3.203014</v>
      </c>
      <c r="Q389" s="10">
        <v>0.32240000000000002</v>
      </c>
      <c r="R389" s="10">
        <v>2.2847386269999999</v>
      </c>
      <c r="S389" s="10">
        <v>5.07130378</v>
      </c>
      <c r="T389" s="10">
        <v>105.185</v>
      </c>
      <c r="U389" s="10">
        <v>105.863</v>
      </c>
      <c r="V389" s="10">
        <v>105.185</v>
      </c>
      <c r="W389" s="10">
        <v>105.863</v>
      </c>
      <c r="X389" s="4" t="s">
        <v>146</v>
      </c>
      <c r="Y389" s="4" t="s">
        <v>2173</v>
      </c>
      <c r="AA389" s="10">
        <f t="shared" ref="AA389:AA452" si="24">IF(K389&lt;1.99,($H389/$H$629)*K389,IF(AND(K389&gt;1.99,K389&lt;3.99),($H389/$H$630)*K389,IF(AND(K389&gt;3.99,K389&lt;5.99),($H389/$H$631)*K389,IF(AND(K389&gt;5.99,K389&lt;7.99),($H389/$H$632)*K389,IF(AND(K389&gt;7.99,K389&lt;9.99),($H389/$H$633)*K389,IF(K389&gt;9.99,($H389/$H$634)*K389))))))</f>
        <v>1.6456714382685249E-2</v>
      </c>
      <c r="AB389" s="10">
        <f t="shared" ref="AB389:AB452" si="25">IF(M389&lt;1.99,($H389/$H$613)*M389,IF(AND(M389&gt;1.99,M389&lt;3.99),($H389/$H$614)*M389,IF(AND(M389&gt;3.99,M389&lt;5.99),($H389/$H$615)*M389,IF(AND(M389&gt;5.99,M389&lt;7.99),($H389/$H$616)*M389,IF(AND(M389&gt;7.99,M389&lt;9.99),($H389/$H$617)*M389,IF(M389&gt;9.99,($H389/$H$618)*M389))))))</f>
        <v>0.15623464599397124</v>
      </c>
      <c r="AC389" s="10">
        <f t="shared" ref="AC389:AC452" si="26">IF(O389&lt;199.99,($H389/$H$621)*O389,IF(AND(O389&gt;199.99,O389&lt;399.99),($H389/$H$622)*O389,IF(AND(O389&gt;399.99,O389&lt;599.99),($H389/$H$623)*O389,IF(AND(O389&gt;599.99,O389&lt;799.99),($H389/$H$624)*O389,IF(AND(O389&gt;799.99,O389&lt;999.99),($H389/$H$625)*O389,IF(O389&gt;999.99,($H389/$H$626)*O389))))))</f>
        <v>1.7772209812684943</v>
      </c>
      <c r="AD389" s="10">
        <f t="shared" ref="AD389:AD452" si="27">IF(U389&lt;49.99,($H389/$H$637)*U389,IF(AND(U389&gt;49.99,U389&lt;79.99),($H389/$H$638)*U389,IF(AND(U389&gt;79.99,U389&lt;99.99),($H389/$H$639)*U389,IF(AND(U389&gt;99.99,U389&lt;119.99),($H389/$H$640)*U389,IF(AND(U389&gt;119.99,U389&lt;139.99),($H389/$H$641)*U389,IF(U389&gt;139.99,($H389/$H$642)*U389))))))</f>
        <v>0.27000853553301907</v>
      </c>
    </row>
    <row r="390" spans="1:30" x14ac:dyDescent="0.25">
      <c r="A390" s="33" t="s">
        <v>2168</v>
      </c>
      <c r="C390" s="39">
        <v>40847</v>
      </c>
      <c r="D390" s="53" t="s">
        <v>2175</v>
      </c>
      <c r="E390" s="4" t="str">
        <f>VLOOKUP(LEFT(D390,2),Sort!$A$1:$B$58,2,FALSE)</f>
        <v>Mexico</v>
      </c>
      <c r="F390" s="4" t="s">
        <v>1081</v>
      </c>
      <c r="G390" s="18">
        <v>377317900</v>
      </c>
      <c r="H390" s="18">
        <v>413137525.89999998</v>
      </c>
      <c r="I390" s="10">
        <v>0.19914119299999999</v>
      </c>
      <c r="J390" s="10">
        <v>2.3333330000000001</v>
      </c>
      <c r="K390" s="10">
        <v>2.189095</v>
      </c>
      <c r="L390" s="10">
        <v>1.237082</v>
      </c>
      <c r="M390" s="10">
        <v>1.237082</v>
      </c>
      <c r="N390" s="10">
        <v>93.941500000000005</v>
      </c>
      <c r="O390" s="10">
        <v>95.499399999999994</v>
      </c>
      <c r="P390" s="10">
        <v>2.191109</v>
      </c>
      <c r="Q390" s="10">
        <v>0.1164</v>
      </c>
      <c r="R390" s="10">
        <v>1.074295687</v>
      </c>
      <c r="S390" s="10">
        <v>3.9682877259999998</v>
      </c>
      <c r="T390" s="10">
        <v>108.54600000000001</v>
      </c>
      <c r="U390" s="10">
        <v>109.75</v>
      </c>
      <c r="V390" s="10">
        <v>108.54600000000001</v>
      </c>
      <c r="W390" s="10">
        <v>109.75</v>
      </c>
      <c r="X390" s="4" t="s">
        <v>146</v>
      </c>
      <c r="Y390" s="4" t="s">
        <v>2176</v>
      </c>
      <c r="AA390" s="10">
        <f t="shared" si="24"/>
        <v>1.2346342949271144E-2</v>
      </c>
      <c r="AB390" s="10">
        <f t="shared" si="25"/>
        <v>0.11541588241402138</v>
      </c>
      <c r="AC390" s="10">
        <f t="shared" si="26"/>
        <v>1.3824694459375304</v>
      </c>
      <c r="AD390" s="10">
        <f t="shared" si="27"/>
        <v>0.30789829873512065</v>
      </c>
    </row>
    <row r="391" spans="1:30" x14ac:dyDescent="0.25">
      <c r="A391" s="33" t="s">
        <v>2171</v>
      </c>
      <c r="C391" s="39">
        <v>40847</v>
      </c>
      <c r="D391" s="53" t="s">
        <v>2178</v>
      </c>
      <c r="E391" s="4" t="str">
        <f>VLOOKUP(LEFT(D391,2),Sort!$A$1:$B$58,2,FALSE)</f>
        <v>Mexico</v>
      </c>
      <c r="F391" s="4" t="s">
        <v>1081</v>
      </c>
      <c r="G391" s="18">
        <v>237306855</v>
      </c>
      <c r="H391" s="18">
        <v>268282518.80000001</v>
      </c>
      <c r="I391" s="10">
        <v>0.12931795700000001</v>
      </c>
      <c r="J391" s="10">
        <v>3.2</v>
      </c>
      <c r="K391" s="10">
        <v>2.9204500000000002</v>
      </c>
      <c r="L391" s="10">
        <v>1.8718900000000001</v>
      </c>
      <c r="M391" s="10">
        <v>1.8718900000000001</v>
      </c>
      <c r="N391" s="10">
        <v>141.44900000000001</v>
      </c>
      <c r="O391" s="10">
        <v>143.7353</v>
      </c>
      <c r="P391" s="10">
        <v>2.9116469999999999</v>
      </c>
      <c r="Q391" s="10">
        <v>0.29360000000000003</v>
      </c>
      <c r="R391" s="10">
        <v>1.8534244369999999</v>
      </c>
      <c r="S391" s="10">
        <v>4.6627110470000002</v>
      </c>
      <c r="T391" s="10">
        <v>111.328</v>
      </c>
      <c r="U391" s="10">
        <v>111.988</v>
      </c>
      <c r="V391" s="10">
        <v>111.328</v>
      </c>
      <c r="W391" s="10">
        <v>111.988</v>
      </c>
      <c r="X391" s="4" t="s">
        <v>146</v>
      </c>
      <c r="Y391" s="4" t="s">
        <v>2179</v>
      </c>
      <c r="AA391" s="10">
        <f t="shared" si="24"/>
        <v>1.0695996036061438E-2</v>
      </c>
      <c r="AB391" s="10">
        <f t="shared" si="25"/>
        <v>0.11340837914416965</v>
      </c>
      <c r="AC391" s="10">
        <f t="shared" si="26"/>
        <v>1.351188900972619</v>
      </c>
      <c r="AD391" s="10">
        <f t="shared" si="27"/>
        <v>0.2040196413092055</v>
      </c>
    </row>
    <row r="392" spans="1:30" x14ac:dyDescent="0.25">
      <c r="A392" s="33" t="s">
        <v>2174</v>
      </c>
      <c r="C392" s="39">
        <v>40847</v>
      </c>
      <c r="D392" s="53" t="s">
        <v>2181</v>
      </c>
      <c r="E392" s="4" t="str">
        <f>VLOOKUP(LEFT(D392,2),Sort!$A$1:$B$58,2,FALSE)</f>
        <v>Mexico</v>
      </c>
      <c r="F392" s="4" t="s">
        <v>1081</v>
      </c>
      <c r="G392" s="18">
        <v>284768226</v>
      </c>
      <c r="H392" s="18">
        <v>339156109.5</v>
      </c>
      <c r="I392" s="10">
        <v>0.163480555</v>
      </c>
      <c r="J392" s="10">
        <v>6.0333329999999998</v>
      </c>
      <c r="K392" s="10">
        <v>5.1722710000000003</v>
      </c>
      <c r="L392" s="10">
        <v>2.4519250000000001</v>
      </c>
      <c r="M392" s="10">
        <v>2.4519250000000001</v>
      </c>
      <c r="N392" s="10">
        <v>116.46080000000001</v>
      </c>
      <c r="O392" s="10">
        <v>121.18049999999999</v>
      </c>
      <c r="P392" s="10">
        <v>5.0871510000000004</v>
      </c>
      <c r="Q392" s="10">
        <v>0.45939999999999998</v>
      </c>
      <c r="R392" s="10">
        <v>6.5834392580000003</v>
      </c>
      <c r="S392" s="10">
        <v>9.4336352259999998</v>
      </c>
      <c r="T392" s="10">
        <v>116.474</v>
      </c>
      <c r="U392" s="10">
        <v>117.694</v>
      </c>
      <c r="V392" s="10">
        <v>116.474</v>
      </c>
      <c r="W392" s="10">
        <v>117.694</v>
      </c>
      <c r="X392" s="4" t="s">
        <v>146</v>
      </c>
      <c r="Y392" s="4" t="s">
        <v>2182</v>
      </c>
      <c r="AA392" s="10">
        <f t="shared" si="24"/>
        <v>3.8203480143059257E-2</v>
      </c>
      <c r="AB392" s="10">
        <f t="shared" si="25"/>
        <v>1.3534417512154008E-2</v>
      </c>
      <c r="AC392" s="10">
        <f t="shared" si="26"/>
        <v>1.4400999628110622</v>
      </c>
      <c r="AD392" s="10">
        <f t="shared" si="27"/>
        <v>0.27105790912032529</v>
      </c>
    </row>
    <row r="393" spans="1:30" x14ac:dyDescent="0.25">
      <c r="A393" s="33" t="s">
        <v>2177</v>
      </c>
      <c r="C393" s="39">
        <v>40847</v>
      </c>
      <c r="D393" s="53" t="s">
        <v>2184</v>
      </c>
      <c r="E393" s="4" t="str">
        <f>VLOOKUP(LEFT(D393,2),Sort!$A$1:$B$58,2,FALSE)</f>
        <v>Mexico</v>
      </c>
      <c r="F393" s="4" t="s">
        <v>1081</v>
      </c>
      <c r="G393" s="18">
        <v>355960283</v>
      </c>
      <c r="H393" s="18">
        <v>396287418.60000002</v>
      </c>
      <c r="I393" s="10">
        <v>0.19101907800000001</v>
      </c>
      <c r="J393" s="10">
        <v>7.9527780000000003</v>
      </c>
      <c r="K393" s="10">
        <v>6.7702419999999996</v>
      </c>
      <c r="L393" s="10">
        <v>3.246378</v>
      </c>
      <c r="M393" s="10">
        <v>3.246378</v>
      </c>
      <c r="N393" s="10">
        <v>149.5891</v>
      </c>
      <c r="O393" s="10">
        <v>154.76240000000001</v>
      </c>
      <c r="P393" s="10">
        <v>6.5918590000000004</v>
      </c>
      <c r="Q393" s="10">
        <v>0.89439999999999997</v>
      </c>
      <c r="R393" s="10">
        <v>5.851566729</v>
      </c>
      <c r="S393" s="10">
        <v>10.92952916</v>
      </c>
      <c r="T393" s="10">
        <v>111.093</v>
      </c>
      <c r="U393" s="10">
        <v>112.203</v>
      </c>
      <c r="V393" s="10">
        <v>111.093</v>
      </c>
      <c r="W393" s="10">
        <v>112.203</v>
      </c>
      <c r="X393" s="4" t="s">
        <v>146</v>
      </c>
      <c r="Y393" s="4" t="s">
        <v>2185</v>
      </c>
      <c r="AA393" s="10">
        <f t="shared" si="24"/>
        <v>5.6463383343606698E-2</v>
      </c>
      <c r="AB393" s="10">
        <f t="shared" si="25"/>
        <v>2.0938333559991869E-2</v>
      </c>
      <c r="AC393" s="10">
        <f t="shared" si="26"/>
        <v>2.1489979182191363</v>
      </c>
      <c r="AD393" s="10">
        <f t="shared" si="27"/>
        <v>0.30194154250792848</v>
      </c>
    </row>
    <row r="394" spans="1:30" x14ac:dyDescent="0.25">
      <c r="A394" s="33" t="s">
        <v>2180</v>
      </c>
      <c r="C394" s="39">
        <v>40847</v>
      </c>
      <c r="D394" s="53" t="s">
        <v>2187</v>
      </c>
      <c r="E394" s="4" t="str">
        <f>VLOOKUP(LEFT(D394,2),Sort!$A$1:$B$58,2,FALSE)</f>
        <v>Mexico</v>
      </c>
      <c r="F394" s="4" t="s">
        <v>1081</v>
      </c>
      <c r="G394" s="18">
        <v>1007797127</v>
      </c>
      <c r="H394" s="18">
        <v>1121963742</v>
      </c>
      <c r="I394" s="10">
        <v>0.540810707</v>
      </c>
      <c r="J394" s="10">
        <v>8.4083330000000007</v>
      </c>
      <c r="K394" s="10">
        <v>7.0793400000000002</v>
      </c>
      <c r="L394" s="10">
        <v>3.3462869999999998</v>
      </c>
      <c r="M394" s="10">
        <v>3.3462869999999998</v>
      </c>
      <c r="N394" s="10">
        <v>151.04589999999999</v>
      </c>
      <c r="O394" s="10">
        <v>156.16069999999999</v>
      </c>
      <c r="P394" s="10">
        <v>6.879346</v>
      </c>
      <c r="Q394" s="10">
        <v>0.93459999999999999</v>
      </c>
      <c r="R394" s="10">
        <v>6.0224965130000001</v>
      </c>
      <c r="S394" s="10">
        <v>10.561771820000001</v>
      </c>
      <c r="T394" s="10">
        <v>110.87</v>
      </c>
      <c r="U394" s="10">
        <v>112.03</v>
      </c>
      <c r="V394" s="10">
        <v>110.87</v>
      </c>
      <c r="W394" s="10">
        <v>112.03</v>
      </c>
      <c r="X394" s="4" t="s">
        <v>146</v>
      </c>
      <c r="Y394" s="4" t="s">
        <v>2188</v>
      </c>
      <c r="AA394" s="10">
        <f t="shared" si="24"/>
        <v>0.1671567866108693</v>
      </c>
      <c r="AB394" s="10">
        <f t="shared" si="25"/>
        <v>6.1104719031320157E-2</v>
      </c>
      <c r="AC394" s="10">
        <f t="shared" si="26"/>
        <v>6.1391864544309334</v>
      </c>
      <c r="AD394" s="10">
        <f t="shared" si="27"/>
        <v>0.85353488150125911</v>
      </c>
    </row>
    <row r="395" spans="1:30" x14ac:dyDescent="0.25">
      <c r="A395" s="33" t="s">
        <v>2183</v>
      </c>
      <c r="C395" s="39">
        <v>40847</v>
      </c>
      <c r="D395" s="53" t="s">
        <v>2190</v>
      </c>
      <c r="E395" s="4" t="str">
        <f>VLOOKUP(LEFT(D395,2),Sort!$A$1:$B$58,2,FALSE)</f>
        <v>Mexico</v>
      </c>
      <c r="F395" s="4" t="s">
        <v>1081</v>
      </c>
      <c r="G395" s="18">
        <v>189845484</v>
      </c>
      <c r="H395" s="18">
        <v>229573182.19999999</v>
      </c>
      <c r="I395" s="10">
        <v>0.110659222</v>
      </c>
      <c r="J395" s="10">
        <v>26.033332999999999</v>
      </c>
      <c r="K395" s="10">
        <v>14.182194000000001</v>
      </c>
      <c r="L395" s="10">
        <v>4.7403599999999999</v>
      </c>
      <c r="M395" s="10">
        <v>4.7403599999999999</v>
      </c>
      <c r="N395" s="10">
        <v>179.1867</v>
      </c>
      <c r="O395" s="10">
        <v>186.85130000000001</v>
      </c>
      <c r="P395" s="10">
        <v>13.165870999999999</v>
      </c>
      <c r="Q395" s="10">
        <v>3.3140999999999998</v>
      </c>
      <c r="R395" s="10">
        <v>13.137977230000001</v>
      </c>
      <c r="S395" s="10">
        <v>15.39140986</v>
      </c>
      <c r="T395" s="10">
        <v>118.068</v>
      </c>
      <c r="U395" s="10">
        <v>120.581</v>
      </c>
      <c r="V395" s="10">
        <v>118.068</v>
      </c>
      <c r="W395" s="10">
        <v>120.581</v>
      </c>
      <c r="X395" s="4" t="s">
        <v>146</v>
      </c>
      <c r="Y395" s="4" t="s">
        <v>2191</v>
      </c>
      <c r="AA395" s="10">
        <f t="shared" si="24"/>
        <v>0.16723341163323868</v>
      </c>
      <c r="AB395" s="10">
        <f t="shared" si="25"/>
        <v>1.5103915724601782E-2</v>
      </c>
      <c r="AC395" s="10">
        <f t="shared" si="26"/>
        <v>1.5030642046621379</v>
      </c>
      <c r="AD395" s="10">
        <f t="shared" si="27"/>
        <v>3.222934822421863</v>
      </c>
    </row>
    <row r="396" spans="1:30" x14ac:dyDescent="0.25">
      <c r="A396" s="33" t="s">
        <v>2186</v>
      </c>
      <c r="C396" s="39">
        <v>40847</v>
      </c>
      <c r="D396" s="53" t="s">
        <v>2193</v>
      </c>
      <c r="E396" s="4" t="str">
        <f>VLOOKUP(LEFT(D396,2),Sort!$A$1:$B$58,2,FALSE)</f>
        <v>Mexico</v>
      </c>
      <c r="F396" s="4" t="s">
        <v>1081</v>
      </c>
      <c r="G396" s="18">
        <v>949227422</v>
      </c>
      <c r="H396" s="18">
        <v>1131768203</v>
      </c>
      <c r="I396" s="10">
        <v>0.54553666899999997</v>
      </c>
      <c r="J396" s="10">
        <v>28.408332999999999</v>
      </c>
      <c r="K396" s="10">
        <v>15.052913</v>
      </c>
      <c r="L396" s="10">
        <v>4.7503219999999997</v>
      </c>
      <c r="M396" s="10">
        <v>4.7503219999999997</v>
      </c>
      <c r="N396" s="10">
        <v>168.11789999999999</v>
      </c>
      <c r="O396" s="10">
        <v>182.80019999999999</v>
      </c>
      <c r="P396" s="10">
        <v>13.934941</v>
      </c>
      <c r="Q396" s="10">
        <v>3.5251999999999999</v>
      </c>
      <c r="R396" s="10">
        <v>14.437727750000001</v>
      </c>
      <c r="S396" s="10">
        <v>16.049355250000001</v>
      </c>
      <c r="T396" s="10">
        <v>118.669</v>
      </c>
      <c r="U396" s="10">
        <v>121.30800000000001</v>
      </c>
      <c r="V396" s="10">
        <v>118.669</v>
      </c>
      <c r="W396" s="10">
        <v>121.30800000000001</v>
      </c>
      <c r="X396" s="4" t="s">
        <v>146</v>
      </c>
      <c r="Y396" s="4" t="s">
        <v>2194</v>
      </c>
      <c r="AA396" s="10">
        <f t="shared" si="24"/>
        <v>0.87505734292448523</v>
      </c>
      <c r="AB396" s="10">
        <f t="shared" si="25"/>
        <v>7.4616970468742994E-2</v>
      </c>
      <c r="AC396" s="10">
        <f t="shared" si="26"/>
        <v>7.2492722321211911</v>
      </c>
      <c r="AD396" s="10">
        <f t="shared" si="27"/>
        <v>15.9844765306194</v>
      </c>
    </row>
    <row r="397" spans="1:30" x14ac:dyDescent="0.25">
      <c r="A397" s="33" t="s">
        <v>2189</v>
      </c>
      <c r="C397" s="39">
        <v>40847</v>
      </c>
      <c r="D397" s="53" t="s">
        <v>2196</v>
      </c>
      <c r="E397" s="4" t="str">
        <f>VLOOKUP(LEFT(D397,2),Sort!$A$1:$B$58,2,FALSE)</f>
        <v>Mexico</v>
      </c>
      <c r="F397" s="4" t="s">
        <v>1081</v>
      </c>
      <c r="G397" s="18">
        <v>474613711</v>
      </c>
      <c r="H397" s="18">
        <v>577941468.10000002</v>
      </c>
      <c r="I397" s="10">
        <v>0.278580245</v>
      </c>
      <c r="J397" s="10">
        <v>23.327777999999999</v>
      </c>
      <c r="K397" s="10">
        <v>13.489647</v>
      </c>
      <c r="L397" s="10">
        <v>4.7303199999999999</v>
      </c>
      <c r="M397" s="10">
        <v>4.7303199999999999</v>
      </c>
      <c r="N397" s="10">
        <v>191.92689999999999</v>
      </c>
      <c r="O397" s="10">
        <v>193.7937</v>
      </c>
      <c r="P397" s="10">
        <v>12.579113</v>
      </c>
      <c r="Q397" s="10">
        <v>3.1543999999999999</v>
      </c>
      <c r="R397" s="10">
        <v>12.53923069</v>
      </c>
      <c r="S397" s="10">
        <v>14.90883079</v>
      </c>
      <c r="T397" s="10">
        <v>120.673</v>
      </c>
      <c r="U397" s="10">
        <v>123.078</v>
      </c>
      <c r="V397" s="10">
        <v>120.673</v>
      </c>
      <c r="W397" s="10">
        <v>123.078</v>
      </c>
      <c r="X397" s="4" t="s">
        <v>146</v>
      </c>
      <c r="Y397" s="4" t="s">
        <v>2197</v>
      </c>
      <c r="AA397" s="10">
        <f t="shared" si="24"/>
        <v>0.40044503702504719</v>
      </c>
      <c r="AB397" s="10">
        <f t="shared" si="25"/>
        <v>3.7942981382839462E-2</v>
      </c>
      <c r="AC397" s="10">
        <f t="shared" si="26"/>
        <v>3.9244948694965252</v>
      </c>
      <c r="AD397" s="10">
        <f t="shared" si="27"/>
        <v>8.2816290677746132</v>
      </c>
    </row>
    <row r="398" spans="1:30" x14ac:dyDescent="0.25">
      <c r="A398" s="33" t="s">
        <v>2192</v>
      </c>
      <c r="C398" s="39">
        <v>40847</v>
      </c>
      <c r="D398" s="53" t="s">
        <v>2199</v>
      </c>
      <c r="E398" s="4" t="str">
        <f>VLOOKUP(LEFT(D398,2),Sort!$A$1:$B$58,2,FALSE)</f>
        <v>Mexico</v>
      </c>
      <c r="F398" s="4" t="s">
        <v>1081</v>
      </c>
      <c r="G398" s="18">
        <v>232560718</v>
      </c>
      <c r="H398" s="18">
        <v>202385964.80000001</v>
      </c>
      <c r="I398" s="10">
        <v>9.7554398000000001E-2</v>
      </c>
      <c r="J398" s="10">
        <v>7.8888889999999998</v>
      </c>
      <c r="K398" s="10">
        <v>5.3964619999999996</v>
      </c>
      <c r="L398" s="10">
        <v>11.12724</v>
      </c>
      <c r="M398" s="10">
        <v>11.12724</v>
      </c>
      <c r="N398" s="10">
        <v>938.87210000000005</v>
      </c>
      <c r="O398" s="10">
        <v>957.81539999999995</v>
      </c>
      <c r="P398" s="10">
        <v>5.2696930000000002</v>
      </c>
      <c r="Q398" s="10">
        <v>2.87E-2</v>
      </c>
      <c r="R398" s="10">
        <v>5.7090791750000003</v>
      </c>
      <c r="S398" s="10">
        <v>-1.5400586620000001</v>
      </c>
      <c r="T398" s="10">
        <v>86</v>
      </c>
      <c r="U398" s="10">
        <v>89</v>
      </c>
      <c r="V398" s="10">
        <v>86</v>
      </c>
      <c r="W398" s="10">
        <v>89</v>
      </c>
      <c r="X398" s="4" t="s">
        <v>146</v>
      </c>
      <c r="Y398" s="4" t="s">
        <v>2200</v>
      </c>
      <c r="AA398" s="10">
        <f t="shared" si="24"/>
        <v>2.3785458368671918E-2</v>
      </c>
      <c r="AB398" s="10">
        <f t="shared" si="25"/>
        <v>0.14212275392867854</v>
      </c>
      <c r="AC398" s="10">
        <f t="shared" si="26"/>
        <v>17.970543274878686</v>
      </c>
      <c r="AD398" s="10">
        <f t="shared" si="27"/>
        <v>0.37758759468850051</v>
      </c>
    </row>
    <row r="399" spans="1:30" x14ac:dyDescent="0.25">
      <c r="A399" s="33" t="s">
        <v>2195</v>
      </c>
      <c r="C399" s="39">
        <v>40847</v>
      </c>
      <c r="D399" s="53" t="s">
        <v>2202</v>
      </c>
      <c r="E399" s="4" t="str">
        <f>VLOOKUP(LEFT(D399,2),Sort!$A$1:$B$58,2,FALSE)</f>
        <v>Mexico</v>
      </c>
      <c r="F399" s="4" t="s">
        <v>1007</v>
      </c>
      <c r="G399" s="18">
        <v>142384113</v>
      </c>
      <c r="H399" s="18">
        <v>144539650.40000001</v>
      </c>
      <c r="I399" s="10">
        <v>6.9671227000000002E-2</v>
      </c>
      <c r="J399" s="10">
        <v>3.713889</v>
      </c>
      <c r="K399" s="10">
        <v>3.3726069999999999</v>
      </c>
      <c r="L399" s="10">
        <v>3.8628140000000002</v>
      </c>
      <c r="M399" s="10">
        <v>3.8628140000000002</v>
      </c>
      <c r="N399" s="10">
        <v>325.53579999999999</v>
      </c>
      <c r="O399" s="10">
        <v>329.11079999999998</v>
      </c>
      <c r="P399" s="10">
        <v>3.361049</v>
      </c>
      <c r="Q399" s="10">
        <v>1.2E-2</v>
      </c>
      <c r="R399" s="10">
        <v>2.102395816</v>
      </c>
      <c r="S399" s="10">
        <v>2.553099435</v>
      </c>
      <c r="T399" s="10">
        <v>100.25</v>
      </c>
      <c r="U399" s="10">
        <v>101.75</v>
      </c>
      <c r="V399" s="10">
        <v>100.25</v>
      </c>
      <c r="W399" s="10">
        <v>101.75</v>
      </c>
      <c r="X399" s="4" t="s">
        <v>146</v>
      </c>
      <c r="Y399" s="4" t="s">
        <v>2203</v>
      </c>
      <c r="AA399" s="10">
        <f t="shared" si="24"/>
        <v>6.6547511503585316E-3</v>
      </c>
      <c r="AB399" s="10">
        <f t="shared" si="25"/>
        <v>9.0870630149476623E-3</v>
      </c>
      <c r="AC399" s="10">
        <f t="shared" si="26"/>
        <v>0.4714739988477204</v>
      </c>
      <c r="AD399" s="10">
        <f t="shared" si="27"/>
        <v>9.9868731535750724E-2</v>
      </c>
    </row>
    <row r="400" spans="1:30" x14ac:dyDescent="0.25">
      <c r="A400" s="33" t="s">
        <v>2198</v>
      </c>
      <c r="C400" s="39">
        <v>40847</v>
      </c>
      <c r="D400" s="53" t="s">
        <v>2205</v>
      </c>
      <c r="E400" s="4" t="str">
        <f>VLOOKUP(LEFT(D400,2),Sort!$A$1:$B$58,2,FALSE)</f>
        <v>Mexico</v>
      </c>
      <c r="F400" s="4" t="s">
        <v>1007</v>
      </c>
      <c r="G400" s="18">
        <v>355960283</v>
      </c>
      <c r="H400" s="18">
        <v>353869016.30000001</v>
      </c>
      <c r="I400" s="10">
        <v>0.17057249399999999</v>
      </c>
      <c r="J400" s="10">
        <v>4.3527779999999998</v>
      </c>
      <c r="K400" s="10">
        <v>3.9125960000000002</v>
      </c>
      <c r="L400" s="10">
        <v>4.4349049999999997</v>
      </c>
      <c r="M400" s="10">
        <v>4.4349049999999997</v>
      </c>
      <c r="N400" s="10">
        <v>364.08940000000001</v>
      </c>
      <c r="O400" s="10">
        <v>367.8723</v>
      </c>
      <c r="P400" s="10">
        <v>3.888131</v>
      </c>
      <c r="Q400" s="10">
        <v>1.26E-2</v>
      </c>
      <c r="R400" s="10">
        <v>5.969354397</v>
      </c>
      <c r="S400" s="10">
        <v>1.9729829999999999</v>
      </c>
      <c r="T400" s="10">
        <v>98.75</v>
      </c>
      <c r="U400" s="10">
        <v>100.25</v>
      </c>
      <c r="V400" s="10">
        <v>98.75</v>
      </c>
      <c r="W400" s="10">
        <v>100.25</v>
      </c>
      <c r="X400" s="4" t="s">
        <v>146</v>
      </c>
      <c r="Y400" s="4" t="s">
        <v>2206</v>
      </c>
      <c r="AA400" s="10">
        <f t="shared" si="24"/>
        <v>1.89010803505287E-2</v>
      </c>
      <c r="AB400" s="10">
        <f t="shared" si="25"/>
        <v>2.1781306923812683E-2</v>
      </c>
      <c r="AC400" s="10">
        <f t="shared" si="26"/>
        <v>1.2902332783137558</v>
      </c>
      <c r="AD400" s="10">
        <f t="shared" si="27"/>
        <v>0.2408990215457544</v>
      </c>
    </row>
    <row r="401" spans="1:30" x14ac:dyDescent="0.25">
      <c r="A401" s="33" t="s">
        <v>2201</v>
      </c>
      <c r="C401" s="39">
        <v>40847</v>
      </c>
      <c r="D401" s="53" t="s">
        <v>2208</v>
      </c>
      <c r="E401" s="4" t="str">
        <f>VLOOKUP(LEFT(D401,2),Sort!$A$1:$B$58,2,FALSE)</f>
        <v>Mexico</v>
      </c>
      <c r="F401" s="4" t="s">
        <v>1007</v>
      </c>
      <c r="G401" s="18">
        <v>593267139</v>
      </c>
      <c r="H401" s="18">
        <v>590045366.20000005</v>
      </c>
      <c r="I401" s="10">
        <v>0.284414585</v>
      </c>
      <c r="J401" s="10">
        <v>9.3527780000000007</v>
      </c>
      <c r="K401" s="10">
        <v>7.0169309999999996</v>
      </c>
      <c r="L401" s="10">
        <v>6.4984450000000002</v>
      </c>
      <c r="M401" s="10">
        <v>6.4984450000000002</v>
      </c>
      <c r="N401" s="10">
        <v>448.56909999999999</v>
      </c>
      <c r="O401" s="10">
        <v>461.97879999999998</v>
      </c>
      <c r="P401" s="10">
        <v>6.799436</v>
      </c>
      <c r="Q401" s="10">
        <v>-0.48220000000000002</v>
      </c>
      <c r="R401" s="10">
        <v>6.9988803869999998</v>
      </c>
      <c r="S401" s="10">
        <v>3.3823300000000001</v>
      </c>
      <c r="T401" s="10">
        <v>98.5</v>
      </c>
      <c r="U401" s="10">
        <v>100</v>
      </c>
      <c r="V401" s="10">
        <v>98.5</v>
      </c>
      <c r="W401" s="10">
        <v>100</v>
      </c>
      <c r="X401" s="4" t="s">
        <v>146</v>
      </c>
      <c r="Y401" s="4" t="s">
        <v>2209</v>
      </c>
      <c r="AA401" s="10">
        <f t="shared" si="24"/>
        <v>8.713347423968458E-2</v>
      </c>
      <c r="AB401" s="10">
        <f t="shared" si="25"/>
        <v>0.10334975888170392</v>
      </c>
      <c r="AC401" s="10">
        <f t="shared" si="26"/>
        <v>7.7155203139930277</v>
      </c>
      <c r="AD401" s="10">
        <f t="shared" si="27"/>
        <v>0.40067617577049086</v>
      </c>
    </row>
    <row r="402" spans="1:30" x14ac:dyDescent="0.25">
      <c r="A402" s="33" t="s">
        <v>2204</v>
      </c>
      <c r="C402" s="39">
        <v>40847</v>
      </c>
      <c r="D402" s="53" t="s">
        <v>2211</v>
      </c>
      <c r="E402" s="4" t="str">
        <f>VLOOKUP(LEFT(D402,2),Sort!$A$1:$B$58,2,FALSE)</f>
        <v>Mexico</v>
      </c>
      <c r="F402" s="4" t="s">
        <v>1007</v>
      </c>
      <c r="G402" s="18">
        <v>237306855</v>
      </c>
      <c r="H402" s="18">
        <v>228456154.09999999</v>
      </c>
      <c r="I402" s="10">
        <v>0.110120791</v>
      </c>
      <c r="J402" s="10">
        <v>10.538888999999999</v>
      </c>
      <c r="K402" s="10">
        <v>4.4047809999999998</v>
      </c>
      <c r="L402" s="10">
        <v>6.0983000000000001</v>
      </c>
      <c r="M402" s="10">
        <v>6.0983000000000001</v>
      </c>
      <c r="N402" s="10">
        <v>393.69240000000002</v>
      </c>
      <c r="O402" s="10">
        <v>404.69720000000001</v>
      </c>
      <c r="P402" s="10">
        <v>7.4197980000000001</v>
      </c>
      <c r="Q402" s="10">
        <v>1.7299999999999999E-2</v>
      </c>
      <c r="R402" s="10">
        <v>3.1802679880000002</v>
      </c>
      <c r="S402" s="10">
        <v>-9.5385227000000003E-2</v>
      </c>
      <c r="T402" s="10">
        <v>93.5</v>
      </c>
      <c r="U402" s="10">
        <v>97.5</v>
      </c>
      <c r="V402" s="10">
        <v>93.5</v>
      </c>
      <c r="W402" s="10">
        <v>97.5</v>
      </c>
      <c r="X402" s="4" t="s">
        <v>146</v>
      </c>
      <c r="Y402" s="4" t="s">
        <v>2212</v>
      </c>
      <c r="AA402" s="10">
        <f t="shared" si="24"/>
        <v>2.1915389442529395E-2</v>
      </c>
      <c r="AB402" s="10">
        <f t="shared" si="25"/>
        <v>3.7551411212853325E-2</v>
      </c>
      <c r="AC402" s="10">
        <f t="shared" si="26"/>
        <v>2.6169223096596497</v>
      </c>
      <c r="AD402" s="10">
        <f t="shared" si="27"/>
        <v>0.46693324539107439</v>
      </c>
    </row>
    <row r="403" spans="1:30" x14ac:dyDescent="0.25">
      <c r="A403" s="33" t="s">
        <v>2207</v>
      </c>
      <c r="C403" s="39">
        <v>40847</v>
      </c>
      <c r="D403" s="53" t="s">
        <v>2214</v>
      </c>
      <c r="E403" s="4" t="str">
        <f>VLOOKUP(LEFT(D403,2),Sort!$A$1:$B$58,2,FALSE)</f>
        <v>Mexico</v>
      </c>
      <c r="F403" s="4" t="s">
        <v>1007</v>
      </c>
      <c r="G403" s="18">
        <v>474613711</v>
      </c>
      <c r="H403" s="18">
        <v>487530456</v>
      </c>
      <c r="I403" s="10">
        <v>0.235000189</v>
      </c>
      <c r="J403" s="10">
        <v>8.4694439999999993</v>
      </c>
      <c r="K403" s="10">
        <v>6.4219239999999997</v>
      </c>
      <c r="L403" s="10">
        <v>6.624784</v>
      </c>
      <c r="M403" s="10">
        <v>6.624784</v>
      </c>
      <c r="N403" s="10">
        <v>477.75080000000003</v>
      </c>
      <c r="O403" s="10">
        <v>490.2296</v>
      </c>
      <c r="P403" s="10">
        <v>6.2469929999999998</v>
      </c>
      <c r="Q403" s="10">
        <v>-0.94489999999999996</v>
      </c>
      <c r="R403" s="10">
        <v>6.0888488819999997</v>
      </c>
      <c r="S403" s="10">
        <v>2.993293623</v>
      </c>
      <c r="T403" s="10">
        <v>102.5</v>
      </c>
      <c r="U403" s="10">
        <v>104</v>
      </c>
      <c r="V403" s="10">
        <v>102.5</v>
      </c>
      <c r="W403" s="10">
        <v>104</v>
      </c>
      <c r="X403" s="4" t="s">
        <v>146</v>
      </c>
      <c r="Y403" s="4" t="s">
        <v>2215</v>
      </c>
      <c r="AA403" s="10">
        <f t="shared" si="24"/>
        <v>6.5889973615829767E-2</v>
      </c>
      <c r="AB403" s="10">
        <f t="shared" si="25"/>
        <v>8.7053871501117902E-2</v>
      </c>
      <c r="AC403" s="10">
        <f t="shared" si="26"/>
        <v>6.7648636900958161</v>
      </c>
      <c r="AD403" s="10">
        <f t="shared" si="27"/>
        <v>0.34430490241343831</v>
      </c>
    </row>
    <row r="404" spans="1:30" x14ac:dyDescent="0.25">
      <c r="A404" s="33" t="s">
        <v>2210</v>
      </c>
      <c r="C404" s="39">
        <v>40847</v>
      </c>
      <c r="D404" s="53" t="s">
        <v>2217</v>
      </c>
      <c r="E404" s="4" t="str">
        <f>VLOOKUP(LEFT(D404,2),Sort!$A$1:$B$58,2,FALSE)</f>
        <v>Mexico</v>
      </c>
      <c r="F404" s="4" t="s">
        <v>1014</v>
      </c>
      <c r="G404" s="18">
        <v>175076455</v>
      </c>
      <c r="H404" s="18">
        <v>89759364.709999993</v>
      </c>
      <c r="I404" s="10">
        <v>4.3265948999999998E-2</v>
      </c>
      <c r="J404" s="10">
        <v>38.158332999999999</v>
      </c>
      <c r="K404" s="10">
        <v>-1.5867119999999999</v>
      </c>
      <c r="L404" s="10">
        <v>13.630088000000001</v>
      </c>
      <c r="M404" s="10">
        <v>13.630088000000001</v>
      </c>
      <c r="N404" s="10">
        <v>1006.5645</v>
      </c>
      <c r="O404" s="10">
        <v>1134.1475</v>
      </c>
      <c r="P404" s="10">
        <v>6.9174350000000002</v>
      </c>
      <c r="Q404" s="10">
        <v>3.5999999999999997E-2</v>
      </c>
      <c r="R404" s="10">
        <v>17.179573090000002</v>
      </c>
      <c r="S404" s="10">
        <v>-18.948362729999999</v>
      </c>
      <c r="T404" s="10">
        <v>49</v>
      </c>
      <c r="U404" s="10">
        <v>54</v>
      </c>
      <c r="V404" s="10">
        <v>49</v>
      </c>
      <c r="W404" s="10">
        <v>54</v>
      </c>
      <c r="X404" s="4" t="s">
        <v>146</v>
      </c>
      <c r="Y404" s="4" t="s">
        <v>2218</v>
      </c>
      <c r="AA404" s="10">
        <f t="shared" si="24"/>
        <v>-8.6795978174498585E-3</v>
      </c>
      <c r="AB404" s="10">
        <f t="shared" si="25"/>
        <v>7.7210114659268081E-2</v>
      </c>
      <c r="AC404" s="10">
        <f t="shared" si="26"/>
        <v>7.5429701881308846</v>
      </c>
      <c r="AD404" s="10">
        <f t="shared" si="27"/>
        <v>1.6653151919169142</v>
      </c>
    </row>
    <row r="405" spans="1:30" x14ac:dyDescent="0.25">
      <c r="A405" s="33" t="s">
        <v>2213</v>
      </c>
      <c r="C405" s="39">
        <v>40847</v>
      </c>
      <c r="D405" s="53" t="s">
        <v>2220</v>
      </c>
      <c r="E405" s="4" t="str">
        <f>VLOOKUP(LEFT(D405,2),Sort!$A$1:$B$58,2,FALSE)</f>
        <v>Mexico</v>
      </c>
      <c r="F405" s="4" t="s">
        <v>1014</v>
      </c>
      <c r="G405" s="18">
        <v>213050772</v>
      </c>
      <c r="H405" s="18">
        <v>113548994.59999999</v>
      </c>
      <c r="I405" s="10">
        <v>5.4733062999999998E-2</v>
      </c>
      <c r="J405" s="10">
        <v>38.158332999999999</v>
      </c>
      <c r="K405" s="10">
        <v>0.438448</v>
      </c>
      <c r="L405" s="10">
        <v>13.420771999999999</v>
      </c>
      <c r="M405" s="10">
        <v>13.420771999999999</v>
      </c>
      <c r="N405" s="10">
        <v>985.63289999999995</v>
      </c>
      <c r="O405" s="10">
        <v>1110.4049</v>
      </c>
      <c r="P405" s="10">
        <v>7.1173019999999996</v>
      </c>
      <c r="Q405" s="10">
        <v>3.5000000000000003E-2</v>
      </c>
      <c r="R405" s="10">
        <v>21.754585550000002</v>
      </c>
      <c r="S405" s="10">
        <v>-15.699009719999999</v>
      </c>
      <c r="T405" s="10">
        <v>51</v>
      </c>
      <c r="U405" s="10">
        <v>56</v>
      </c>
      <c r="V405" s="10">
        <v>51</v>
      </c>
      <c r="W405" s="10">
        <v>56</v>
      </c>
      <c r="X405" s="4" t="s">
        <v>146</v>
      </c>
      <c r="Y405" s="4" t="s">
        <v>2221</v>
      </c>
      <c r="AA405" s="10">
        <f t="shared" si="24"/>
        <v>3.0340526450783199E-3</v>
      </c>
      <c r="AB405" s="10">
        <f t="shared" si="25"/>
        <v>9.6173751927182083E-2</v>
      </c>
      <c r="AC405" s="10">
        <f t="shared" si="26"/>
        <v>9.3423846449990577</v>
      </c>
      <c r="AD405" s="10">
        <f t="shared" si="27"/>
        <v>2.1847122014906408</v>
      </c>
    </row>
    <row r="406" spans="1:30" x14ac:dyDescent="0.25">
      <c r="A406" s="33" t="s">
        <v>2216</v>
      </c>
      <c r="C406" s="39">
        <v>40847</v>
      </c>
      <c r="D406" s="53" t="s">
        <v>2223</v>
      </c>
      <c r="E406" s="4" t="str">
        <f>VLOOKUP(LEFT(D406,2),Sort!$A$1:$B$58,2,FALSE)</f>
        <v>Mexico</v>
      </c>
      <c r="F406" s="4" t="s">
        <v>1014</v>
      </c>
      <c r="G406" s="18">
        <v>830573994</v>
      </c>
      <c r="H406" s="18">
        <v>749558419.60000002</v>
      </c>
      <c r="I406" s="10">
        <v>0.36130331500000001</v>
      </c>
      <c r="J406" s="10">
        <v>5.1138890000000004</v>
      </c>
      <c r="K406" s="10">
        <v>3.7575080000000001</v>
      </c>
      <c r="L406" s="10">
        <v>12.466532000000001</v>
      </c>
      <c r="M406" s="10">
        <v>12.466532000000001</v>
      </c>
      <c r="N406" s="10">
        <v>1144.9992</v>
      </c>
      <c r="O406" s="10">
        <v>1155.2592999999999</v>
      </c>
      <c r="P406" s="10">
        <v>3.7189990000000002</v>
      </c>
      <c r="Q406" s="10">
        <v>2.93E-2</v>
      </c>
      <c r="R406" s="10">
        <v>21.942383800000002</v>
      </c>
      <c r="S406" s="10">
        <v>-8.1568040899999996</v>
      </c>
      <c r="T406" s="10">
        <v>87</v>
      </c>
      <c r="U406" s="10">
        <v>89</v>
      </c>
      <c r="V406" s="10">
        <v>87</v>
      </c>
      <c r="W406" s="10">
        <v>89</v>
      </c>
      <c r="X406" s="4" t="s">
        <v>146</v>
      </c>
      <c r="Y406" s="4" t="s">
        <v>2224</v>
      </c>
      <c r="AA406" s="10">
        <f t="shared" si="24"/>
        <v>3.8448949958396657E-2</v>
      </c>
      <c r="AB406" s="10">
        <f t="shared" si="25"/>
        <v>0.58972143069836414</v>
      </c>
      <c r="AC406" s="10">
        <f t="shared" si="26"/>
        <v>64.162021955161521</v>
      </c>
      <c r="AD406" s="10">
        <f t="shared" si="27"/>
        <v>1.3984366999705988</v>
      </c>
    </row>
    <row r="407" spans="1:30" x14ac:dyDescent="0.25">
      <c r="A407" s="33" t="s">
        <v>2219</v>
      </c>
      <c r="C407" s="39">
        <v>40847</v>
      </c>
      <c r="D407" s="53" t="s">
        <v>2226</v>
      </c>
      <c r="E407" s="4" t="str">
        <f>VLOOKUP(LEFT(D407,2),Sort!$A$1:$B$58,2,FALSE)</f>
        <v>Mexico</v>
      </c>
      <c r="F407" s="4" t="s">
        <v>1014</v>
      </c>
      <c r="G407" s="18">
        <v>506728448</v>
      </c>
      <c r="H407" s="18">
        <v>421074451</v>
      </c>
      <c r="I407" s="10">
        <v>0.202966962</v>
      </c>
      <c r="J407" s="10">
        <v>8.5250000000000004</v>
      </c>
      <c r="K407" s="10">
        <v>5.2189829999999997</v>
      </c>
      <c r="L407" s="10">
        <v>13.057777</v>
      </c>
      <c r="M407" s="10">
        <v>13.057777</v>
      </c>
      <c r="N407" s="10">
        <v>1120.0093999999999</v>
      </c>
      <c r="O407" s="10">
        <v>1143.2023999999999</v>
      </c>
      <c r="P407" s="10">
        <v>5.0865020000000003</v>
      </c>
      <c r="Q407" s="10">
        <v>6.7100000000000007E-2</v>
      </c>
      <c r="R407" s="10">
        <v>22.929115660000001</v>
      </c>
      <c r="S407" s="10">
        <v>-12.66650003</v>
      </c>
      <c r="T407" s="10">
        <v>78.78</v>
      </c>
      <c r="U407" s="10">
        <v>80.75</v>
      </c>
      <c r="V407" s="10">
        <v>78.78</v>
      </c>
      <c r="W407" s="10">
        <v>80.75</v>
      </c>
      <c r="X407" s="4" t="s">
        <v>146</v>
      </c>
      <c r="Y407" s="4" t="s">
        <v>2227</v>
      </c>
      <c r="AA407" s="10">
        <f t="shared" si="24"/>
        <v>4.7859348647255218E-2</v>
      </c>
      <c r="AB407" s="10">
        <f t="shared" si="25"/>
        <v>0.34699555062633447</v>
      </c>
      <c r="AC407" s="10">
        <f t="shared" si="26"/>
        <v>35.667699574069125</v>
      </c>
      <c r="AD407" s="10">
        <f t="shared" si="27"/>
        <v>0.71276889910366403</v>
      </c>
    </row>
    <row r="408" spans="1:30" x14ac:dyDescent="0.25">
      <c r="A408" s="33" t="s">
        <v>2222</v>
      </c>
      <c r="C408" s="39">
        <v>40847</v>
      </c>
      <c r="D408" s="53" t="s">
        <v>2229</v>
      </c>
      <c r="E408" s="4" t="str">
        <f>VLOOKUP(LEFT(D408,2),Sort!$A$1:$B$58,2,FALSE)</f>
        <v>Mexico</v>
      </c>
      <c r="F408" s="4" t="s">
        <v>1014</v>
      </c>
      <c r="G408" s="18">
        <v>474613711</v>
      </c>
      <c r="H408" s="18">
        <v>409591632.60000002</v>
      </c>
      <c r="I408" s="10">
        <v>0.197431996</v>
      </c>
      <c r="J408" s="10">
        <v>6.2083329999999997</v>
      </c>
      <c r="K408" s="10">
        <v>4.4000500000000002</v>
      </c>
      <c r="L408" s="10">
        <v>12.411244</v>
      </c>
      <c r="M408" s="10">
        <v>12.411244</v>
      </c>
      <c r="N408" s="10">
        <v>1107.239</v>
      </c>
      <c r="O408" s="10">
        <v>1120.5894000000001</v>
      </c>
      <c r="P408" s="10">
        <v>4.3288419999999999</v>
      </c>
      <c r="Q408" s="10">
        <v>-0.26</v>
      </c>
      <c r="R408" s="10">
        <v>24.891462199999999</v>
      </c>
      <c r="S408" s="10">
        <v>-10.220506</v>
      </c>
      <c r="T408" s="10">
        <v>83.5</v>
      </c>
      <c r="U408" s="10">
        <v>85.5</v>
      </c>
      <c r="V408" s="10">
        <v>83.5</v>
      </c>
      <c r="W408" s="10">
        <v>85.5</v>
      </c>
      <c r="X408" s="4" t="s">
        <v>146</v>
      </c>
      <c r="Y408" s="4" t="s">
        <v>2230</v>
      </c>
      <c r="AA408" s="10">
        <f t="shared" si="24"/>
        <v>3.9249189959048136E-2</v>
      </c>
      <c r="AB408" s="10">
        <f t="shared" si="25"/>
        <v>0.32082053392759624</v>
      </c>
      <c r="AC408" s="10">
        <f t="shared" si="26"/>
        <v>34.008749824786506</v>
      </c>
      <c r="AD408" s="10">
        <f t="shared" si="27"/>
        <v>0.73411569664598475</v>
      </c>
    </row>
    <row r="409" spans="1:30" x14ac:dyDescent="0.25">
      <c r="A409" s="33" t="s">
        <v>2225</v>
      </c>
      <c r="C409" s="39">
        <v>40847</v>
      </c>
      <c r="D409" s="53" t="s">
        <v>2232</v>
      </c>
      <c r="E409" s="4" t="str">
        <f>VLOOKUP(LEFT(D409,2),Sort!$A$1:$B$58,2,FALSE)</f>
        <v>Mexico</v>
      </c>
      <c r="F409" s="4" t="s">
        <v>1059</v>
      </c>
      <c r="G409" s="18">
        <v>237306855</v>
      </c>
      <c r="H409" s="18">
        <v>257378465.80000001</v>
      </c>
      <c r="I409" s="10">
        <v>0.12406196799999999</v>
      </c>
      <c r="J409" s="10">
        <v>8.2916670000000003</v>
      </c>
      <c r="K409" s="10">
        <v>7.0271290000000004</v>
      </c>
      <c r="L409" s="10">
        <v>3.3762789999999998</v>
      </c>
      <c r="M409" s="10">
        <v>3.3762789999999998</v>
      </c>
      <c r="N409" s="10">
        <v>156.23070000000001</v>
      </c>
      <c r="O409" s="10">
        <v>160.4349</v>
      </c>
      <c r="P409" s="10">
        <v>6.8271579999999998</v>
      </c>
      <c r="Q409" s="10">
        <v>1.4098999999999999</v>
      </c>
      <c r="R409" s="10">
        <v>2.6818575419999999</v>
      </c>
      <c r="S409" s="10">
        <v>7.985172468</v>
      </c>
      <c r="T409" s="10">
        <v>107.456</v>
      </c>
      <c r="U409" s="10">
        <v>108.953</v>
      </c>
      <c r="V409" s="10">
        <v>107.456</v>
      </c>
      <c r="W409" s="10">
        <v>108.953</v>
      </c>
      <c r="X409" s="4" t="s">
        <v>146</v>
      </c>
      <c r="Y409" s="4" t="s">
        <v>2233</v>
      </c>
      <c r="AA409" s="10">
        <f t="shared" si="24"/>
        <v>3.8062959662032908E-2</v>
      </c>
      <c r="AB409" s="10">
        <f t="shared" si="25"/>
        <v>1.4143056563986341E-2</v>
      </c>
      <c r="AC409" s="10">
        <f t="shared" si="26"/>
        <v>1.4468759904504844</v>
      </c>
      <c r="AD409" s="10">
        <f t="shared" si="27"/>
        <v>0.1904230498836493</v>
      </c>
    </row>
    <row r="410" spans="1:30" x14ac:dyDescent="0.25">
      <c r="A410" s="33" t="s">
        <v>2228</v>
      </c>
      <c r="C410" s="39">
        <v>40847</v>
      </c>
      <c r="D410" s="53" t="s">
        <v>2235</v>
      </c>
      <c r="E410" s="4" t="str">
        <f>VLOOKUP(LEFT(D410,2),Sort!$A$1:$B$58,2,FALSE)</f>
        <v>Mexico</v>
      </c>
      <c r="F410" s="4" t="s">
        <v>1014</v>
      </c>
      <c r="G410" s="18">
        <v>237306855</v>
      </c>
      <c r="H410" s="18">
        <v>218797580</v>
      </c>
      <c r="I410" s="10">
        <v>0.10546514999999999</v>
      </c>
      <c r="J410" s="10">
        <v>9.2527779999999993</v>
      </c>
      <c r="K410" s="10">
        <v>6.0441890000000003</v>
      </c>
      <c r="L410" s="10">
        <v>10.076230000000001</v>
      </c>
      <c r="M410" s="10">
        <v>10.076230000000001</v>
      </c>
      <c r="N410" s="10">
        <v>808.221</v>
      </c>
      <c r="O410" s="10">
        <v>830.65840000000003</v>
      </c>
      <c r="P410" s="10">
        <v>5.8667999999999996</v>
      </c>
      <c r="Q410" s="10">
        <v>2.6800000000000001E-2</v>
      </c>
      <c r="R410" s="10">
        <v>0.75645835100000003</v>
      </c>
      <c r="S410" s="10">
        <v>-3.7518389999999999</v>
      </c>
      <c r="T410" s="10">
        <v>90</v>
      </c>
      <c r="U410" s="10">
        <v>93</v>
      </c>
      <c r="V410" s="10">
        <v>90</v>
      </c>
      <c r="W410" s="10">
        <v>93</v>
      </c>
      <c r="X410" s="4" t="s">
        <v>146</v>
      </c>
      <c r="Y410" s="4" t="s">
        <v>2236</v>
      </c>
      <c r="AA410" s="10">
        <f t="shared" si="24"/>
        <v>2.7831266575202521E-2</v>
      </c>
      <c r="AB410" s="10">
        <f t="shared" si="25"/>
        <v>0.13913498765938928</v>
      </c>
      <c r="AC410" s="10">
        <f t="shared" si="26"/>
        <v>16.848606022428115</v>
      </c>
      <c r="AD410" s="10">
        <f t="shared" si="27"/>
        <v>0.42655278528281138</v>
      </c>
    </row>
    <row r="411" spans="1:30" x14ac:dyDescent="0.25">
      <c r="A411" s="33" t="s">
        <v>2231</v>
      </c>
      <c r="C411" s="39">
        <v>40847</v>
      </c>
      <c r="D411" s="53" t="s">
        <v>2238</v>
      </c>
      <c r="E411" s="4" t="str">
        <f>VLOOKUP(LEFT(D411,2),Sort!$A$1:$B$58,2,FALSE)</f>
        <v>Mexico</v>
      </c>
      <c r="F411" s="4" t="s">
        <v>1059</v>
      </c>
      <c r="G411" s="18">
        <v>142384113</v>
      </c>
      <c r="H411" s="18">
        <v>142799400.5</v>
      </c>
      <c r="I411" s="10">
        <v>6.8832388999999994E-2</v>
      </c>
      <c r="J411" s="10">
        <v>38.083333000000003</v>
      </c>
      <c r="K411" s="10">
        <v>11.821785999999999</v>
      </c>
      <c r="L411" s="10">
        <v>7.7419909999999996</v>
      </c>
      <c r="M411" s="10">
        <v>7.7419909999999996</v>
      </c>
      <c r="N411" s="10">
        <v>418.13580000000002</v>
      </c>
      <c r="O411" s="10">
        <v>499.25970000000001</v>
      </c>
      <c r="P411" s="10">
        <v>11.02477</v>
      </c>
      <c r="Q411" s="10">
        <v>2.1499999999999998E-2</v>
      </c>
      <c r="R411" s="10">
        <v>0.60466018600000004</v>
      </c>
      <c r="S411" s="10">
        <v>6.580411346</v>
      </c>
      <c r="T411" s="10">
        <v>99</v>
      </c>
      <c r="U411" s="10">
        <v>101</v>
      </c>
      <c r="V411" s="10">
        <v>99</v>
      </c>
      <c r="W411" s="10">
        <v>101</v>
      </c>
      <c r="X411" s="4" t="s">
        <v>146</v>
      </c>
      <c r="Y411" s="4" t="s">
        <v>2239</v>
      </c>
      <c r="AA411" s="10">
        <f t="shared" si="24"/>
        <v>8.6709753422553743E-2</v>
      </c>
      <c r="AB411" s="10">
        <f t="shared" si="25"/>
        <v>2.9798449178286845E-2</v>
      </c>
      <c r="AC411" s="10">
        <f t="shared" si="26"/>
        <v>2.0179512215991973</v>
      </c>
      <c r="AD411" s="10">
        <f t="shared" si="27"/>
        <v>9.7939047032559012E-2</v>
      </c>
    </row>
    <row r="412" spans="1:30" x14ac:dyDescent="0.25">
      <c r="A412" s="33" t="s">
        <v>2234</v>
      </c>
      <c r="C412" s="39">
        <v>40847</v>
      </c>
      <c r="D412" s="53" t="s">
        <v>2241</v>
      </c>
      <c r="E412" s="4" t="str">
        <f>VLOOKUP(LEFT(D412,2),Sort!$A$1:$B$58,2,FALSE)</f>
        <v>Mexico</v>
      </c>
      <c r="F412" s="4" t="s">
        <v>1059</v>
      </c>
      <c r="G412" s="18">
        <v>379690969</v>
      </c>
      <c r="H412" s="18">
        <v>398134932.39999998</v>
      </c>
      <c r="I412" s="10">
        <v>0.191909619</v>
      </c>
      <c r="J412" s="10">
        <v>8.6583330000000007</v>
      </c>
      <c r="K412" s="10">
        <v>7.126144</v>
      </c>
      <c r="L412" s="10">
        <v>4.1263389999999998</v>
      </c>
      <c r="M412" s="10">
        <v>4.1263389999999998</v>
      </c>
      <c r="N412" s="10">
        <v>224.36779999999999</v>
      </c>
      <c r="O412" s="10">
        <v>229.76419999999999</v>
      </c>
      <c r="P412" s="10">
        <v>6.9157770000000003</v>
      </c>
      <c r="Q412" s="10">
        <v>1.4292</v>
      </c>
      <c r="R412" s="10">
        <v>2.7769489300000001</v>
      </c>
      <c r="S412" s="10">
        <v>6.5596909109999997</v>
      </c>
      <c r="T412" s="10">
        <v>103.19199999999999</v>
      </c>
      <c r="U412" s="10">
        <v>105.399</v>
      </c>
      <c r="V412" s="10">
        <v>103.19199999999999</v>
      </c>
      <c r="W412" s="10">
        <v>105.399</v>
      </c>
      <c r="X412" s="4" t="s">
        <v>146</v>
      </c>
      <c r="Y412" s="4" t="s">
        <v>2242</v>
      </c>
      <c r="AA412" s="10">
        <f t="shared" si="24"/>
        <v>5.9708656477845949E-2</v>
      </c>
      <c r="AB412" s="10">
        <f t="shared" si="25"/>
        <v>2.2800914374420684E-2</v>
      </c>
      <c r="AC412" s="10">
        <f t="shared" si="26"/>
        <v>0.90665332479733318</v>
      </c>
      <c r="AD412" s="10">
        <f t="shared" si="27"/>
        <v>0.28495408724592025</v>
      </c>
    </row>
    <row r="413" spans="1:30" x14ac:dyDescent="0.25">
      <c r="A413" s="33" t="s">
        <v>2237</v>
      </c>
      <c r="C413" s="39">
        <v>40847</v>
      </c>
      <c r="D413" s="53" t="s">
        <v>2244</v>
      </c>
      <c r="E413" s="4" t="str">
        <f>VLOOKUP(LEFT(D413,2),Sort!$A$1:$B$58,2,FALSE)</f>
        <v>Mexico</v>
      </c>
      <c r="F413" s="4" t="s">
        <v>1059</v>
      </c>
      <c r="G413" s="18">
        <v>189845484</v>
      </c>
      <c r="H413" s="18">
        <v>177111334.30000001</v>
      </c>
      <c r="I413" s="10">
        <v>8.5371480999999999E-2</v>
      </c>
      <c r="J413" s="10">
        <v>6.7583330000000004</v>
      </c>
      <c r="K413" s="10">
        <v>5.1846350000000001</v>
      </c>
      <c r="L413" s="10">
        <v>8.3267670000000003</v>
      </c>
      <c r="M413" s="10">
        <v>8.3267670000000003</v>
      </c>
      <c r="N413" s="10">
        <v>682.59379999999999</v>
      </c>
      <c r="O413" s="10">
        <v>694.50530000000003</v>
      </c>
      <c r="P413" s="10">
        <v>5.0832629999999996</v>
      </c>
      <c r="Q413" s="10">
        <v>2.1600000000000001E-2</v>
      </c>
      <c r="R413" s="10">
        <v>11.4225054</v>
      </c>
      <c r="S413" s="10">
        <v>0.96727600000000002</v>
      </c>
      <c r="T413" s="10">
        <v>91.5</v>
      </c>
      <c r="U413" s="10">
        <v>94.5</v>
      </c>
      <c r="V413" s="10">
        <v>91.5</v>
      </c>
      <c r="W413" s="10">
        <v>94.5</v>
      </c>
      <c r="X413" s="4" t="s">
        <v>146</v>
      </c>
      <c r="Y413" s="4" t="s">
        <v>2245</v>
      </c>
      <c r="AA413" s="10">
        <f t="shared" si="24"/>
        <v>1.9997999473940185E-2</v>
      </c>
      <c r="AB413" s="10">
        <f t="shared" si="25"/>
        <v>8.8888229567604671E-2</v>
      </c>
      <c r="AC413" s="10">
        <f t="shared" si="26"/>
        <v>6.680618750046273</v>
      </c>
      <c r="AD413" s="10">
        <f t="shared" si="27"/>
        <v>0.3508532330247649</v>
      </c>
    </row>
    <row r="414" spans="1:30" x14ac:dyDescent="0.25">
      <c r="A414" s="33" t="s">
        <v>2240</v>
      </c>
      <c r="C414" s="39">
        <v>40847</v>
      </c>
      <c r="D414" s="53" t="s">
        <v>2247</v>
      </c>
      <c r="E414" s="4" t="str">
        <f>VLOOKUP(LEFT(D414,2),Sort!$A$1:$B$58,2,FALSE)</f>
        <v>Mexico</v>
      </c>
      <c r="F414" s="4" t="s">
        <v>1014</v>
      </c>
      <c r="G414" s="18">
        <v>142384113</v>
      </c>
      <c r="H414" s="18">
        <v>117667615</v>
      </c>
      <c r="I414" s="10">
        <v>5.6718326999999999E-2</v>
      </c>
      <c r="J414" s="10">
        <v>8.427778</v>
      </c>
      <c r="K414" s="10">
        <v>5.6089669999999998</v>
      </c>
      <c r="L414" s="10">
        <v>11.721164999999999</v>
      </c>
      <c r="M414" s="10">
        <v>11.721164999999999</v>
      </c>
      <c r="N414" s="10">
        <v>988.16949999999997</v>
      </c>
      <c r="O414" s="10">
        <v>1008.7285000000001</v>
      </c>
      <c r="P414" s="10">
        <v>5.4654230000000004</v>
      </c>
      <c r="Q414" s="10">
        <v>2.98E-2</v>
      </c>
      <c r="R414" s="10">
        <v>-1.2503991299999999</v>
      </c>
      <c r="S414" s="10">
        <v>-9.1380531850000004</v>
      </c>
      <c r="T414" s="10">
        <v>82</v>
      </c>
      <c r="U414" s="10">
        <v>85</v>
      </c>
      <c r="V414" s="10">
        <v>82</v>
      </c>
      <c r="W414" s="10">
        <v>85</v>
      </c>
      <c r="X414" s="4" t="s">
        <v>146</v>
      </c>
      <c r="Y414" s="4" t="s">
        <v>2248</v>
      </c>
      <c r="AA414" s="10">
        <f t="shared" si="24"/>
        <v>1.4373477256206822E-2</v>
      </c>
      <c r="AB414" s="10">
        <f t="shared" si="25"/>
        <v>8.7040925046321146E-2</v>
      </c>
      <c r="AC414" s="10">
        <f t="shared" si="26"/>
        <v>8.7947667026768865</v>
      </c>
      <c r="AD414" s="10">
        <f t="shared" si="27"/>
        <v>0.20966367600169741</v>
      </c>
    </row>
    <row r="415" spans="1:30" x14ac:dyDescent="0.25">
      <c r="A415" s="33" t="s">
        <v>2243</v>
      </c>
      <c r="C415" s="39">
        <v>40847</v>
      </c>
      <c r="D415" s="53" t="s">
        <v>2250</v>
      </c>
      <c r="E415" s="4" t="str">
        <f>VLOOKUP(LEFT(D415,2),Sort!$A$1:$B$58,2,FALSE)</f>
        <v>Mexico</v>
      </c>
      <c r="F415" s="4" t="s">
        <v>1059</v>
      </c>
      <c r="G415" s="18">
        <v>166114799</v>
      </c>
      <c r="H415" s="18">
        <v>166296487.09999999</v>
      </c>
      <c r="I415" s="10">
        <v>8.0158490999999998E-2</v>
      </c>
      <c r="J415" s="10">
        <v>7.9861110000000002</v>
      </c>
      <c r="K415" s="10">
        <v>5.9749140000000001</v>
      </c>
      <c r="L415" s="10">
        <v>7.5367980000000001</v>
      </c>
      <c r="M415" s="10">
        <v>7.5367980000000001</v>
      </c>
      <c r="N415" s="10">
        <v>578.00670000000002</v>
      </c>
      <c r="O415" s="10">
        <v>591.90930000000003</v>
      </c>
      <c r="P415" s="10">
        <v>5.8271350000000002</v>
      </c>
      <c r="Q415" s="10">
        <v>2.1899999999999999E-2</v>
      </c>
      <c r="R415" s="10">
        <v>0.69404350800000003</v>
      </c>
      <c r="S415" s="10">
        <v>-5.4938911279999996</v>
      </c>
      <c r="T415" s="10">
        <v>100</v>
      </c>
      <c r="U415" s="10">
        <v>102</v>
      </c>
      <c r="V415" s="10">
        <v>100</v>
      </c>
      <c r="W415" s="10">
        <v>102</v>
      </c>
      <c r="X415" s="4" t="s">
        <v>146</v>
      </c>
      <c r="Y415" s="4" t="s">
        <v>2251</v>
      </c>
      <c r="AA415" s="10">
        <f t="shared" si="24"/>
        <v>2.1638977940383178E-2</v>
      </c>
      <c r="AB415" s="10">
        <f t="shared" si="25"/>
        <v>3.3781938483405514E-2</v>
      </c>
      <c r="AC415" s="10">
        <f t="shared" si="26"/>
        <v>2.7860955543284578</v>
      </c>
      <c r="AD415" s="10">
        <f t="shared" si="27"/>
        <v>0.11518378958367056</v>
      </c>
    </row>
    <row r="416" spans="1:30" x14ac:dyDescent="0.25">
      <c r="A416" s="33" t="s">
        <v>2246</v>
      </c>
      <c r="C416" s="39">
        <v>40847</v>
      </c>
      <c r="D416" s="53" t="s">
        <v>2253</v>
      </c>
      <c r="E416" s="4" t="str">
        <f>VLOOKUP(LEFT(D416,2),Sort!$A$1:$B$58,2,FALSE)</f>
        <v>Mexico</v>
      </c>
      <c r="F416" s="4" t="s">
        <v>1014</v>
      </c>
      <c r="G416" s="18">
        <v>166114799</v>
      </c>
      <c r="H416" s="18">
        <v>196101980.40000001</v>
      </c>
      <c r="I416" s="10">
        <v>9.4525382000000005E-2</v>
      </c>
      <c r="J416" s="10">
        <v>8.0083330000000004</v>
      </c>
      <c r="K416" s="10">
        <v>5.7933589999999997</v>
      </c>
      <c r="L416" s="10">
        <v>6.2227220000000001</v>
      </c>
      <c r="M416" s="10">
        <v>6.2227220000000001</v>
      </c>
      <c r="N416" s="10">
        <v>446.18279999999999</v>
      </c>
      <c r="O416" s="10">
        <v>460.71530000000001</v>
      </c>
      <c r="P416" s="10">
        <v>5.6487239999999996</v>
      </c>
      <c r="Q416" s="10">
        <v>2.06E-2</v>
      </c>
      <c r="R416" s="10">
        <v>-0.48005187399999999</v>
      </c>
      <c r="S416" s="10">
        <v>4.7885323140000002</v>
      </c>
      <c r="T416" s="10">
        <v>113.75</v>
      </c>
      <c r="U416" s="10">
        <v>115.75</v>
      </c>
      <c r="V416" s="10">
        <v>113.75</v>
      </c>
      <c r="W416" s="10">
        <v>115.75</v>
      </c>
      <c r="X416" s="4" t="s">
        <v>146</v>
      </c>
      <c r="Y416" s="4" t="s">
        <v>2254</v>
      </c>
      <c r="AA416" s="10">
        <f t="shared" si="24"/>
        <v>2.4741978855947967E-2</v>
      </c>
      <c r="AB416" s="10">
        <f t="shared" si="25"/>
        <v>3.2890993729119813E-2</v>
      </c>
      <c r="AC416" s="10">
        <f t="shared" si="26"/>
        <v>2.5572452651625359</v>
      </c>
      <c r="AD416" s="10">
        <f t="shared" si="27"/>
        <v>0.15413848824087789</v>
      </c>
    </row>
    <row r="417" spans="1:30" x14ac:dyDescent="0.25">
      <c r="A417" s="33" t="s">
        <v>2249</v>
      </c>
      <c r="C417" s="39">
        <v>40847</v>
      </c>
      <c r="D417" s="53" t="s">
        <v>2256</v>
      </c>
      <c r="E417" s="4" t="str">
        <f>VLOOKUP(LEFT(D417,2),Sort!$A$1:$B$58,2,FALSE)</f>
        <v>Mexico</v>
      </c>
      <c r="F417" s="4" t="s">
        <v>1081</v>
      </c>
      <c r="G417" s="18">
        <v>379690969</v>
      </c>
      <c r="H417" s="18">
        <v>439175888.69999999</v>
      </c>
      <c r="I417" s="10">
        <v>0.211692245</v>
      </c>
      <c r="J417" s="10">
        <v>4.7833329999999998</v>
      </c>
      <c r="K417" s="10">
        <v>3.8189730000000002</v>
      </c>
      <c r="L417" s="10">
        <v>6.3132700000000002</v>
      </c>
      <c r="M417" s="10">
        <v>6.3132700000000002</v>
      </c>
      <c r="N417" s="10">
        <v>539.3537</v>
      </c>
      <c r="O417" s="10">
        <v>547.68820000000005</v>
      </c>
      <c r="P417" s="10">
        <v>3.7865859999999998</v>
      </c>
      <c r="Q417" s="10">
        <v>3.1459000000000001</v>
      </c>
      <c r="R417" s="10">
        <v>4.7810764450000001</v>
      </c>
      <c r="S417" s="10">
        <v>10.769461310000001</v>
      </c>
      <c r="T417" s="10">
        <v>113.5</v>
      </c>
      <c r="U417" s="10">
        <v>115</v>
      </c>
      <c r="V417" s="10">
        <v>113.5</v>
      </c>
      <c r="W417" s="10">
        <v>115</v>
      </c>
      <c r="X417" s="4" t="s">
        <v>146</v>
      </c>
      <c r="Y417" s="4" t="s">
        <v>2257</v>
      </c>
      <c r="AA417" s="10">
        <f t="shared" si="24"/>
        <v>2.2896239522561604E-2</v>
      </c>
      <c r="AB417" s="10">
        <f t="shared" si="25"/>
        <v>7.4732148493040121E-2</v>
      </c>
      <c r="AC417" s="10">
        <f t="shared" si="26"/>
        <v>6.8081582410345503</v>
      </c>
      <c r="AD417" s="10">
        <f t="shared" si="27"/>
        <v>0.34296076963439615</v>
      </c>
    </row>
    <row r="418" spans="1:30" x14ac:dyDescent="0.25">
      <c r="A418" s="33" t="s">
        <v>2252</v>
      </c>
      <c r="C418" s="39">
        <v>40847</v>
      </c>
      <c r="D418" s="53" t="s">
        <v>2259</v>
      </c>
      <c r="E418" s="4" t="str">
        <f>VLOOKUP(LEFT(D418,2),Sort!$A$1:$B$58,2,FALSE)</f>
        <v>Mexico</v>
      </c>
      <c r="F418" s="4" t="s">
        <v>1081</v>
      </c>
      <c r="G418" s="18">
        <v>355960283</v>
      </c>
      <c r="H418" s="18">
        <v>367271910.60000002</v>
      </c>
      <c r="I418" s="10">
        <v>0.17703297700000001</v>
      </c>
      <c r="J418" s="10">
        <v>9.411111</v>
      </c>
      <c r="K418" s="10">
        <v>6.800122</v>
      </c>
      <c r="L418" s="10">
        <v>7.0352680000000003</v>
      </c>
      <c r="M418" s="10">
        <v>7.0352680000000003</v>
      </c>
      <c r="N418" s="10">
        <v>501.15870000000001</v>
      </c>
      <c r="O418" s="10">
        <v>518.10569999999996</v>
      </c>
      <c r="P418" s="10">
        <v>6.5913310000000003</v>
      </c>
      <c r="Q418" s="10">
        <v>0.50770000000000004</v>
      </c>
      <c r="R418" s="10">
        <v>2.07059623</v>
      </c>
      <c r="S418" s="10">
        <v>5.1279760000000003</v>
      </c>
      <c r="T418" s="10">
        <v>102.5</v>
      </c>
      <c r="U418" s="10">
        <v>104</v>
      </c>
      <c r="V418" s="10">
        <v>102.5</v>
      </c>
      <c r="W418" s="10">
        <v>104</v>
      </c>
      <c r="X418" s="4" t="s">
        <v>146</v>
      </c>
      <c r="Y418" s="4" t="s">
        <v>2260</v>
      </c>
      <c r="AA418" s="10">
        <f t="shared" si="24"/>
        <v>5.2560179463768196E-2</v>
      </c>
      <c r="AB418" s="10">
        <f t="shared" si="25"/>
        <v>6.9643882851453065E-2</v>
      </c>
      <c r="AC418" s="10">
        <f t="shared" si="26"/>
        <v>5.3859690449367426</v>
      </c>
      <c r="AD418" s="10">
        <f t="shared" si="27"/>
        <v>0.25937563034693784</v>
      </c>
    </row>
    <row r="419" spans="1:30" x14ac:dyDescent="0.25">
      <c r="A419" s="33" t="s">
        <v>2255</v>
      </c>
      <c r="C419" s="39">
        <v>40847</v>
      </c>
      <c r="D419" s="53" t="s">
        <v>2262</v>
      </c>
      <c r="E419" s="4" t="str">
        <f>VLOOKUP(LEFT(D419,2),Sort!$A$1:$B$58,2,FALSE)</f>
        <v>Mexico</v>
      </c>
      <c r="F419" s="4" t="s">
        <v>1081</v>
      </c>
      <c r="G419" s="18">
        <v>237306855</v>
      </c>
      <c r="H419" s="18">
        <v>257245573.90000001</v>
      </c>
      <c r="I419" s="10">
        <v>0.123997912</v>
      </c>
      <c r="J419" s="10">
        <v>8.1194439999999997</v>
      </c>
      <c r="K419" s="10">
        <v>5.7304620000000002</v>
      </c>
      <c r="L419" s="10">
        <v>7.6968199999999998</v>
      </c>
      <c r="M419" s="10">
        <v>7.6968199999999998</v>
      </c>
      <c r="N419" s="10">
        <v>591.51110000000006</v>
      </c>
      <c r="O419" s="10">
        <v>607.71609999999998</v>
      </c>
      <c r="P419" s="10">
        <v>5.5872659999999996</v>
      </c>
      <c r="Q419" s="10">
        <v>2.2700000000000001E-2</v>
      </c>
      <c r="R419" s="10">
        <v>1.5839650810000001</v>
      </c>
      <c r="S419" s="10">
        <v>5.3856581520000004</v>
      </c>
      <c r="T419" s="10">
        <v>105</v>
      </c>
      <c r="U419" s="10">
        <v>107</v>
      </c>
      <c r="V419" s="10">
        <v>105</v>
      </c>
      <c r="W419" s="10">
        <v>107</v>
      </c>
      <c r="X419" s="4" t="s">
        <v>146</v>
      </c>
      <c r="Y419" s="4" t="s">
        <v>2263</v>
      </c>
      <c r="AA419" s="10">
        <f t="shared" si="24"/>
        <v>3.2104030439338127E-2</v>
      </c>
      <c r="AB419" s="10">
        <f t="shared" si="25"/>
        <v>5.3367131178113876E-2</v>
      </c>
      <c r="AC419" s="10">
        <f t="shared" si="26"/>
        <v>8.4906985494882665</v>
      </c>
      <c r="AD419" s="10">
        <f t="shared" si="27"/>
        <v>0.18691312769609</v>
      </c>
    </row>
    <row r="420" spans="1:30" x14ac:dyDescent="0.25">
      <c r="A420" s="33" t="s">
        <v>2258</v>
      </c>
      <c r="C420" s="39">
        <v>40847</v>
      </c>
      <c r="D420" s="53" t="s">
        <v>2265</v>
      </c>
      <c r="E420" s="4" t="str">
        <f>VLOOKUP(LEFT(D420,2),Sort!$A$1:$B$58,2,FALSE)</f>
        <v>Mexico</v>
      </c>
      <c r="F420" s="4" t="s">
        <v>1014</v>
      </c>
      <c r="G420" s="18">
        <v>158995593</v>
      </c>
      <c r="H420" s="18">
        <v>84863897.760000005</v>
      </c>
      <c r="I420" s="10">
        <v>4.0906228000000003E-2</v>
      </c>
      <c r="J420" s="10">
        <v>3.7</v>
      </c>
      <c r="K420" s="10">
        <v>2.3518680000000001</v>
      </c>
      <c r="L420" s="10">
        <v>33.200369000000002</v>
      </c>
      <c r="M420" s="10">
        <v>33.200369000000002</v>
      </c>
      <c r="N420" s="10">
        <v>3259.6968999999999</v>
      </c>
      <c r="O420" s="10">
        <v>3268.1876000000002</v>
      </c>
      <c r="P420" s="10">
        <v>2.3434279999999998</v>
      </c>
      <c r="Q420" s="10">
        <v>5.8599999999999999E-2</v>
      </c>
      <c r="R420" s="10">
        <v>1.6666633989999999</v>
      </c>
      <c r="S420" s="10">
        <v>-3.0084153169999999</v>
      </c>
      <c r="T420" s="10">
        <v>50</v>
      </c>
      <c r="U420" s="10">
        <v>55</v>
      </c>
      <c r="V420" s="10">
        <v>50</v>
      </c>
      <c r="W420" s="10">
        <v>55</v>
      </c>
      <c r="X420" s="4" t="s">
        <v>146</v>
      </c>
      <c r="Y420" s="4" t="s">
        <v>2266</v>
      </c>
      <c r="AA420" s="10">
        <f t="shared" si="24"/>
        <v>2.7246768439370722E-3</v>
      </c>
      <c r="AB420" s="10">
        <f t="shared" si="25"/>
        <v>0.1778122399651571</v>
      </c>
      <c r="AC420" s="10">
        <f t="shared" si="26"/>
        <v>20.550530341430331</v>
      </c>
      <c r="AD420" s="10">
        <f t="shared" si="27"/>
        <v>1.6036462695416858</v>
      </c>
    </row>
    <row r="421" spans="1:30" x14ac:dyDescent="0.25">
      <c r="A421" s="33" t="s">
        <v>2261</v>
      </c>
      <c r="C421" s="39">
        <v>40847</v>
      </c>
      <c r="D421" s="53" t="s">
        <v>2268</v>
      </c>
      <c r="E421" s="4" t="str">
        <f>VLOOKUP(LEFT(D421,2),Sort!$A$1:$B$58,2,FALSE)</f>
        <v>Mexico</v>
      </c>
      <c r="F421" s="4" t="s">
        <v>1081</v>
      </c>
      <c r="G421" s="18">
        <v>154249456</v>
      </c>
      <c r="H421" s="18">
        <v>146069949.80000001</v>
      </c>
      <c r="I421" s="10">
        <v>7.0408864000000002E-2</v>
      </c>
      <c r="J421" s="10">
        <v>5.5333329999999998</v>
      </c>
      <c r="K421" s="10">
        <v>3.9863230000000001</v>
      </c>
      <c r="L421" s="10">
        <v>11.230437</v>
      </c>
      <c r="M421" s="10">
        <v>11.230437</v>
      </c>
      <c r="N421" s="10">
        <v>1009.037</v>
      </c>
      <c r="O421" s="10">
        <v>1020.2881</v>
      </c>
      <c r="P421" s="10">
        <v>3.9383859999999999</v>
      </c>
      <c r="Q421" s="10">
        <v>2.7900000000000001E-2</v>
      </c>
      <c r="R421" s="10">
        <v>-1.3142266570000001</v>
      </c>
      <c r="S421" s="10">
        <v>-7.5059279999999999</v>
      </c>
      <c r="T421" s="10">
        <v>90</v>
      </c>
      <c r="U421" s="10">
        <v>93</v>
      </c>
      <c r="V421" s="10">
        <v>90</v>
      </c>
      <c r="W421" s="10">
        <v>93</v>
      </c>
      <c r="X421" s="4" t="s">
        <v>146</v>
      </c>
      <c r="Y421" s="4" t="s">
        <v>2269</v>
      </c>
      <c r="AA421" s="10">
        <f t="shared" si="24"/>
        <v>7.948999110062898E-3</v>
      </c>
      <c r="AB421" s="10">
        <f t="shared" si="25"/>
        <v>0.10352692233183794</v>
      </c>
      <c r="AC421" s="10">
        <f t="shared" si="26"/>
        <v>11.0427383683386</v>
      </c>
      <c r="AD421" s="10">
        <f t="shared" si="27"/>
        <v>0.28476797564813305</v>
      </c>
    </row>
    <row r="422" spans="1:30" x14ac:dyDescent="0.25">
      <c r="A422" s="33" t="s">
        <v>2264</v>
      </c>
      <c r="C422" s="39">
        <v>40847</v>
      </c>
      <c r="D422" s="53" t="s">
        <v>2271</v>
      </c>
      <c r="E422" s="4" t="str">
        <f>VLOOKUP(LEFT(D422,2),Sort!$A$1:$B$58,2,FALSE)</f>
        <v>Mexico</v>
      </c>
      <c r="F422" s="4" t="s">
        <v>1014</v>
      </c>
      <c r="G422" s="18">
        <v>213576170</v>
      </c>
      <c r="H422" s="18">
        <v>218481747.69999999</v>
      </c>
      <c r="I422" s="10">
        <v>0.10531291199999999</v>
      </c>
      <c r="J422" s="10">
        <v>6.4527780000000003</v>
      </c>
      <c r="K422" s="10">
        <v>5.4494920000000002</v>
      </c>
      <c r="L422" s="10">
        <v>4.9829920000000003</v>
      </c>
      <c r="M422" s="10">
        <v>4.9829920000000003</v>
      </c>
      <c r="N422" s="10">
        <v>357.2149</v>
      </c>
      <c r="O422" s="10">
        <v>363.73090000000002</v>
      </c>
      <c r="P422" s="10">
        <v>5.3499489999999996</v>
      </c>
      <c r="Q422" s="10">
        <v>1.5299999999999999E-2</v>
      </c>
      <c r="R422" s="10">
        <v>5.5567532359999996</v>
      </c>
      <c r="S422" s="10">
        <v>5.52365029</v>
      </c>
      <c r="T422" s="10">
        <v>102</v>
      </c>
      <c r="U422" s="10">
        <v>103.5</v>
      </c>
      <c r="V422" s="10">
        <v>102</v>
      </c>
      <c r="W422" s="10">
        <v>103.5</v>
      </c>
      <c r="X422" s="4" t="s">
        <v>146</v>
      </c>
      <c r="Y422" s="4" t="s">
        <v>2272</v>
      </c>
      <c r="AA422" s="10">
        <f t="shared" si="24"/>
        <v>2.5929443198202954E-2</v>
      </c>
      <c r="AB422" s="10">
        <f t="shared" si="25"/>
        <v>1.5109929077031575E-2</v>
      </c>
      <c r="AC422" s="10">
        <f t="shared" si="26"/>
        <v>0.78763312232015059</v>
      </c>
      <c r="AD422" s="10">
        <f t="shared" si="27"/>
        <v>0.15355488141130721</v>
      </c>
    </row>
    <row r="423" spans="1:30" x14ac:dyDescent="0.25">
      <c r="A423" s="33" t="s">
        <v>2267</v>
      </c>
      <c r="C423" s="39">
        <v>40847</v>
      </c>
      <c r="D423" s="53" t="s">
        <v>2274</v>
      </c>
      <c r="E423" s="4" t="str">
        <f>VLOOKUP(LEFT(D423,2),Sort!$A$1:$B$58,2,FALSE)</f>
        <v>Mexico</v>
      </c>
      <c r="F423" s="4" t="s">
        <v>1014</v>
      </c>
      <c r="G423" s="18">
        <v>142384113</v>
      </c>
      <c r="H423" s="18">
        <v>145647082.69999999</v>
      </c>
      <c r="I423" s="10">
        <v>7.0205033E-2</v>
      </c>
      <c r="J423" s="10">
        <v>6.5611110000000004</v>
      </c>
      <c r="K423" s="10">
        <v>5.0163880000000001</v>
      </c>
      <c r="L423" s="10">
        <v>7.4985439999999999</v>
      </c>
      <c r="M423" s="10">
        <v>7.4985439999999999</v>
      </c>
      <c r="N423" s="10">
        <v>605.5797</v>
      </c>
      <c r="O423" s="10">
        <v>616.44330000000002</v>
      </c>
      <c r="P423" s="10">
        <v>4.9260900000000003</v>
      </c>
      <c r="Q423" s="10">
        <v>2.0400000000000001E-2</v>
      </c>
      <c r="R423" s="10">
        <v>0.57353383400000002</v>
      </c>
      <c r="S423" s="10">
        <v>1.7405679999999999</v>
      </c>
      <c r="T423" s="10">
        <v>99</v>
      </c>
      <c r="U423" s="10">
        <v>100</v>
      </c>
      <c r="V423" s="10">
        <v>99</v>
      </c>
      <c r="W423" s="10">
        <v>100</v>
      </c>
      <c r="X423" s="4" t="s">
        <v>146</v>
      </c>
      <c r="Y423" s="4" t="s">
        <v>2275</v>
      </c>
      <c r="AA423" s="10">
        <f t="shared" si="24"/>
        <v>1.5911639138722945E-2</v>
      </c>
      <c r="AB423" s="10">
        <f t="shared" si="25"/>
        <v>2.9436986615837508E-2</v>
      </c>
      <c r="AC423" s="10">
        <f t="shared" si="26"/>
        <v>4.876291907625995</v>
      </c>
      <c r="AD423" s="10">
        <f t="shared" si="27"/>
        <v>9.890310042462698E-2</v>
      </c>
    </row>
    <row r="424" spans="1:30" x14ac:dyDescent="0.25">
      <c r="A424" s="33" t="s">
        <v>2270</v>
      </c>
      <c r="C424" s="39">
        <v>40847</v>
      </c>
      <c r="D424" s="53" t="s">
        <v>2277</v>
      </c>
      <c r="E424" s="4" t="str">
        <f>VLOOKUP(LEFT(D424,2),Sort!$A$1:$B$58,2,FALSE)</f>
        <v>Mexico</v>
      </c>
      <c r="F424" s="4" t="s">
        <v>1081</v>
      </c>
      <c r="G424" s="18">
        <v>284768226</v>
      </c>
      <c r="H424" s="18">
        <v>327159180.10000002</v>
      </c>
      <c r="I424" s="10">
        <v>0.15769777700000001</v>
      </c>
      <c r="J424" s="10">
        <v>13.375</v>
      </c>
      <c r="K424" s="10">
        <v>9.3906270000000003</v>
      </c>
      <c r="L424" s="10">
        <v>4.9562900000000001</v>
      </c>
      <c r="M424" s="10">
        <v>4.9562900000000001</v>
      </c>
      <c r="N424" s="10">
        <v>265.084</v>
      </c>
      <c r="O424" s="10">
        <v>264.95030000000003</v>
      </c>
      <c r="P424" s="10">
        <v>8.9652630000000002</v>
      </c>
      <c r="Q424" s="10">
        <v>1.4127000000000001</v>
      </c>
      <c r="R424" s="10">
        <v>5.1918081039999997</v>
      </c>
      <c r="S424" s="10">
        <v>6.5423488770000002</v>
      </c>
      <c r="T424" s="10">
        <v>114.05800000000001</v>
      </c>
      <c r="U424" s="10">
        <v>116.169</v>
      </c>
      <c r="V424" s="10">
        <v>114.05800000000001</v>
      </c>
      <c r="W424" s="10">
        <v>116.169</v>
      </c>
      <c r="X424" s="4" t="s">
        <v>146</v>
      </c>
      <c r="Y424" s="4" t="s">
        <v>2278</v>
      </c>
      <c r="AA424" s="10">
        <f t="shared" si="24"/>
        <v>0.62758973882325197</v>
      </c>
      <c r="AB424" s="10">
        <f t="shared" si="25"/>
        <v>2.2504682775279276E-2</v>
      </c>
      <c r="AC424" s="10">
        <f t="shared" si="26"/>
        <v>0.85911665721225827</v>
      </c>
      <c r="AD424" s="10">
        <f t="shared" si="27"/>
        <v>0.25808185878682738</v>
      </c>
    </row>
    <row r="425" spans="1:30" x14ac:dyDescent="0.25">
      <c r="A425" s="33" t="s">
        <v>2273</v>
      </c>
      <c r="C425" s="39">
        <v>40847</v>
      </c>
      <c r="D425" s="53" t="s">
        <v>2280</v>
      </c>
      <c r="E425" s="4" t="str">
        <f>VLOOKUP(LEFT(D425,2),Sort!$A$1:$B$58,2,FALSE)</f>
        <v>Mexico</v>
      </c>
      <c r="F425" s="4" t="s">
        <v>1081</v>
      </c>
      <c r="G425" s="18">
        <v>284768226</v>
      </c>
      <c r="H425" s="18">
        <v>331522897.19999999</v>
      </c>
      <c r="I425" s="10">
        <v>0.15980118200000001</v>
      </c>
      <c r="J425" s="10">
        <v>28.2</v>
      </c>
      <c r="K425" s="10">
        <v>13.895101</v>
      </c>
      <c r="L425" s="10">
        <v>5.4003069999999997</v>
      </c>
      <c r="M425" s="10">
        <v>5.4003069999999997</v>
      </c>
      <c r="N425" s="10">
        <v>234.1747</v>
      </c>
      <c r="O425" s="10">
        <v>253.16679999999999</v>
      </c>
      <c r="P425" s="10">
        <v>12.893786</v>
      </c>
      <c r="Q425" s="10">
        <v>2.3035999999999999</v>
      </c>
      <c r="R425" s="10">
        <v>6.5798739509999997</v>
      </c>
      <c r="S425" s="10">
        <v>10.075423600000001</v>
      </c>
      <c r="T425" s="10">
        <v>114.431</v>
      </c>
      <c r="U425" s="10">
        <v>117.621</v>
      </c>
      <c r="V425" s="10">
        <v>114.431</v>
      </c>
      <c r="W425" s="10">
        <v>117.621</v>
      </c>
      <c r="X425" s="4" t="s">
        <v>146</v>
      </c>
      <c r="Y425" s="4" t="s">
        <v>2281</v>
      </c>
      <c r="AA425" s="10">
        <f t="shared" si="24"/>
        <v>0.2366103350864559</v>
      </c>
      <c r="AB425" s="10">
        <f t="shared" si="25"/>
        <v>2.4847863542569164E-2</v>
      </c>
      <c r="AC425" s="10">
        <f t="shared" si="26"/>
        <v>0.83185741870323548</v>
      </c>
      <c r="AD425" s="10">
        <f t="shared" si="27"/>
        <v>0.26479300756518859</v>
      </c>
    </row>
    <row r="426" spans="1:30" x14ac:dyDescent="0.25">
      <c r="A426" s="33" t="s">
        <v>2276</v>
      </c>
      <c r="C426" s="39">
        <v>40847</v>
      </c>
      <c r="D426" s="53" t="s">
        <v>2283</v>
      </c>
      <c r="E426" s="4" t="str">
        <f>VLOOKUP(LEFT(D426,2),Sort!$A$1:$B$58,2,FALSE)</f>
        <v>Mexico</v>
      </c>
      <c r="F426" s="4" t="s">
        <v>1081</v>
      </c>
      <c r="G426" s="18">
        <v>237033953</v>
      </c>
      <c r="H426" s="18">
        <v>271026992.19999999</v>
      </c>
      <c r="I426" s="10">
        <v>0.130640852</v>
      </c>
      <c r="J426" s="10">
        <v>6.5333329999999998</v>
      </c>
      <c r="K426" s="10">
        <v>5.4191609999999999</v>
      </c>
      <c r="L426" s="10">
        <v>3.7763010000000001</v>
      </c>
      <c r="M426" s="10">
        <v>3.7763010000000001</v>
      </c>
      <c r="N426" s="10">
        <v>234.17339999999999</v>
      </c>
      <c r="O426" s="10">
        <v>241.09950000000001</v>
      </c>
      <c r="P426" s="10">
        <v>5.3186629999999999</v>
      </c>
      <c r="Q426" s="10">
        <v>1.0979000000000001</v>
      </c>
      <c r="R426" s="10">
        <v>2.8400553579999999</v>
      </c>
      <c r="S426" s="10">
        <v>5.8318814159999999</v>
      </c>
      <c r="T426" s="10">
        <v>111.541</v>
      </c>
      <c r="U426" s="10">
        <v>112.767</v>
      </c>
      <c r="V426" s="10">
        <v>111.541</v>
      </c>
      <c r="W426" s="10">
        <v>112.767</v>
      </c>
      <c r="X426" s="4" t="s">
        <v>146</v>
      </c>
      <c r="Y426" s="4" t="s">
        <v>2284</v>
      </c>
      <c r="AA426" s="10">
        <f t="shared" si="24"/>
        <v>3.1986491747772718E-2</v>
      </c>
      <c r="AB426" s="10">
        <f t="shared" si="25"/>
        <v>1.6657579398521041E-2</v>
      </c>
      <c r="AC426" s="10">
        <f t="shared" si="26"/>
        <v>0.64764567250458227</v>
      </c>
      <c r="AD426" s="10">
        <f t="shared" si="27"/>
        <v>0.20754041852152968</v>
      </c>
    </row>
    <row r="427" spans="1:30" x14ac:dyDescent="0.25">
      <c r="A427" s="33" t="s">
        <v>2279</v>
      </c>
      <c r="C427" s="39">
        <v>40847</v>
      </c>
      <c r="D427" s="53" t="s">
        <v>2286</v>
      </c>
      <c r="E427" s="4" t="str">
        <f>VLOOKUP(LEFT(D427,2),Sort!$A$1:$B$58,2,FALSE)</f>
        <v>Mexico</v>
      </c>
      <c r="F427" s="4" t="s">
        <v>1081</v>
      </c>
      <c r="G427" s="18">
        <v>142384113</v>
      </c>
      <c r="H427" s="18">
        <v>189072971.40000001</v>
      </c>
      <c r="I427" s="10">
        <v>9.1137248000000004E-2</v>
      </c>
      <c r="J427" s="10">
        <v>20.355556</v>
      </c>
      <c r="K427" s="10">
        <v>11.295932000000001</v>
      </c>
      <c r="L427" s="10">
        <v>5.530348</v>
      </c>
      <c r="M427" s="10">
        <v>5.530348</v>
      </c>
      <c r="N427" s="10">
        <v>287.02859999999998</v>
      </c>
      <c r="O427" s="10">
        <v>292.3725</v>
      </c>
      <c r="P427" s="10">
        <v>10.626504000000001</v>
      </c>
      <c r="Q427" s="10">
        <v>2.0901000000000001</v>
      </c>
      <c r="R427" s="10">
        <v>4.535249275</v>
      </c>
      <c r="S427" s="10">
        <v>7.7010703239999998</v>
      </c>
      <c r="T427" s="10">
        <v>131.56299999999999</v>
      </c>
      <c r="U427" s="10">
        <v>135.99700000000001</v>
      </c>
      <c r="V427" s="10">
        <v>131.56299999999999</v>
      </c>
      <c r="W427" s="10">
        <v>135.99700000000001</v>
      </c>
      <c r="X427" s="4" t="s">
        <v>146</v>
      </c>
      <c r="Y427" s="4" t="s">
        <v>2287</v>
      </c>
      <c r="AA427" s="10">
        <f t="shared" si="24"/>
        <v>0.10970084993707392</v>
      </c>
      <c r="AB427" s="10">
        <f t="shared" si="25"/>
        <v>1.4512391458215521E-2</v>
      </c>
      <c r="AC427" s="10">
        <f t="shared" si="26"/>
        <v>0.54789152618403747</v>
      </c>
      <c r="AD427" s="10">
        <f t="shared" si="27"/>
        <v>2.9937137023543317</v>
      </c>
    </row>
    <row r="428" spans="1:30" x14ac:dyDescent="0.25">
      <c r="A428" s="33" t="s">
        <v>2282</v>
      </c>
      <c r="C428" s="39">
        <v>40847</v>
      </c>
      <c r="D428" s="53" t="s">
        <v>2289</v>
      </c>
      <c r="E428" s="4" t="str">
        <f>VLOOKUP(LEFT(D428,2),Sort!$A$1:$B$58,2,FALSE)</f>
        <v>Mexico</v>
      </c>
      <c r="F428" s="4" t="s">
        <v>1081</v>
      </c>
      <c r="G428" s="18">
        <v>262946912</v>
      </c>
      <c r="H428" s="18">
        <v>290531796.89999998</v>
      </c>
      <c r="I428" s="10">
        <v>0.140042589</v>
      </c>
      <c r="J428" s="10">
        <v>3.233333</v>
      </c>
      <c r="K428" s="10">
        <v>2.9550269999999998</v>
      </c>
      <c r="L428" s="10">
        <v>2.271849</v>
      </c>
      <c r="M428" s="10">
        <v>2.271849</v>
      </c>
      <c r="N428" s="10">
        <v>180.4716</v>
      </c>
      <c r="O428" s="10">
        <v>182.8792</v>
      </c>
      <c r="P428" s="10">
        <v>2.946278</v>
      </c>
      <c r="Q428" s="10">
        <v>0.20880000000000001</v>
      </c>
      <c r="R428" s="10">
        <v>0.90297751500000001</v>
      </c>
      <c r="S428" s="10">
        <v>5.1110282939999996</v>
      </c>
      <c r="T428" s="10">
        <v>109.024</v>
      </c>
      <c r="U428" s="10">
        <v>110.005</v>
      </c>
      <c r="V428" s="10">
        <v>109.024</v>
      </c>
      <c r="W428" s="10">
        <v>110.005</v>
      </c>
      <c r="X428" s="4" t="s">
        <v>146</v>
      </c>
      <c r="Y428" s="4" t="s">
        <v>2290</v>
      </c>
      <c r="AA428" s="10">
        <f t="shared" si="24"/>
        <v>1.1720177970833513E-2</v>
      </c>
      <c r="AB428" s="10">
        <f t="shared" si="25"/>
        <v>1.0742512692665115E-2</v>
      </c>
      <c r="AC428" s="10">
        <f t="shared" si="26"/>
        <v>1.8617366044886516</v>
      </c>
      <c r="AD428" s="10">
        <f t="shared" si="27"/>
        <v>0.2170272220540474</v>
      </c>
    </row>
    <row r="429" spans="1:30" x14ac:dyDescent="0.25">
      <c r="A429" s="33" t="s">
        <v>2285</v>
      </c>
      <c r="C429" s="39">
        <v>40847</v>
      </c>
      <c r="D429" s="53" t="s">
        <v>2292</v>
      </c>
      <c r="E429" s="4" t="str">
        <f>VLOOKUP(LEFT(D429,2),Sort!$A$1:$B$58,2,FALSE)</f>
        <v>Mexico</v>
      </c>
      <c r="F429" s="4" t="s">
        <v>1081</v>
      </c>
      <c r="G429" s="18">
        <v>177335616</v>
      </c>
      <c r="H429" s="18">
        <v>199032038.09999999</v>
      </c>
      <c r="I429" s="10">
        <v>9.5937732999999997E-2</v>
      </c>
      <c r="J429" s="10">
        <v>8.0333330000000007</v>
      </c>
      <c r="K429" s="10">
        <v>6.5619560000000003</v>
      </c>
      <c r="L429" s="10">
        <v>3.7762820000000001</v>
      </c>
      <c r="M429" s="10">
        <v>3.7762820000000001</v>
      </c>
      <c r="N429" s="10">
        <v>201.07040000000001</v>
      </c>
      <c r="O429" s="10">
        <v>207.48740000000001</v>
      </c>
      <c r="P429" s="10">
        <v>6.3872929999999997</v>
      </c>
      <c r="Q429" s="10">
        <v>0.99550000000000005</v>
      </c>
      <c r="R429" s="10">
        <v>3.224329988</v>
      </c>
      <c r="S429" s="10">
        <v>8.1307044049999995</v>
      </c>
      <c r="T429" s="10">
        <v>109.66800000000001</v>
      </c>
      <c r="U429" s="10">
        <v>111.84699999999999</v>
      </c>
      <c r="V429" s="10">
        <v>109.66800000000001</v>
      </c>
      <c r="W429" s="10">
        <v>111.84699999999999</v>
      </c>
      <c r="X429" s="4" t="s">
        <v>146</v>
      </c>
      <c r="Y429" s="4" t="s">
        <v>2293</v>
      </c>
      <c r="AA429" s="10">
        <f t="shared" si="24"/>
        <v>2.7485821705552929E-2</v>
      </c>
      <c r="AB429" s="10">
        <f t="shared" si="25"/>
        <v>1.2232638784780061E-2</v>
      </c>
      <c r="AC429" s="10">
        <f t="shared" si="26"/>
        <v>0.40930149570830843</v>
      </c>
      <c r="AD429" s="10">
        <f t="shared" si="27"/>
        <v>0.15116646105748427</v>
      </c>
    </row>
    <row r="430" spans="1:30" x14ac:dyDescent="0.25">
      <c r="A430" s="33" t="s">
        <v>2288</v>
      </c>
      <c r="C430" s="39">
        <v>40847</v>
      </c>
      <c r="D430" s="53" t="s">
        <v>2295</v>
      </c>
      <c r="E430" s="4" t="str">
        <f>VLOOKUP(LEFT(D430,2),Sort!$A$1:$B$58,2,FALSE)</f>
        <v>Mexico</v>
      </c>
      <c r="F430" s="4" t="s">
        <v>1059</v>
      </c>
      <c r="G430" s="18">
        <v>142384113</v>
      </c>
      <c r="H430" s="18">
        <v>151911983.69999999</v>
      </c>
      <c r="I430" s="10">
        <v>7.3224850999999994E-2</v>
      </c>
      <c r="J430" s="10">
        <v>8.2166669999999993</v>
      </c>
      <c r="K430" s="10">
        <v>5.6712629999999997</v>
      </c>
      <c r="L430" s="10">
        <v>8.4676189999999991</v>
      </c>
      <c r="M430" s="10">
        <v>8.4676189999999991</v>
      </c>
      <c r="N430" s="10">
        <v>666.76969999999994</v>
      </c>
      <c r="O430" s="10">
        <v>684.9452</v>
      </c>
      <c r="P430" s="10">
        <v>5.5287329999999999</v>
      </c>
      <c r="Q430" s="10">
        <v>2.47E-2</v>
      </c>
      <c r="R430" s="10">
        <v>10.044981030000001</v>
      </c>
      <c r="S430" s="10">
        <v>-2.3148975809999999</v>
      </c>
      <c r="T430" s="10">
        <v>104</v>
      </c>
      <c r="U430" s="10">
        <v>106</v>
      </c>
      <c r="V430" s="10">
        <v>104</v>
      </c>
      <c r="W430" s="10">
        <v>106</v>
      </c>
      <c r="X430" s="4" t="s">
        <v>146</v>
      </c>
      <c r="Y430" s="4" t="s">
        <v>2296</v>
      </c>
      <c r="AA430" s="10">
        <f t="shared" si="24"/>
        <v>1.8762635129156241E-2</v>
      </c>
      <c r="AB430" s="10">
        <f t="shared" si="25"/>
        <v>7.7530901276466418E-2</v>
      </c>
      <c r="AC430" s="10">
        <f t="shared" si="26"/>
        <v>5.6512254099945674</v>
      </c>
      <c r="AD430" s="10">
        <f t="shared" si="27"/>
        <v>0.10934678439913938</v>
      </c>
    </row>
    <row r="431" spans="1:30" x14ac:dyDescent="0.25">
      <c r="A431" s="33" t="s">
        <v>2291</v>
      </c>
      <c r="C431" s="39">
        <v>40847</v>
      </c>
      <c r="D431" s="53" t="s">
        <v>2298</v>
      </c>
      <c r="E431" s="4" t="str">
        <f>VLOOKUP(LEFT(D431,2),Sort!$A$1:$B$58,2,FALSE)</f>
        <v>Malaysia</v>
      </c>
      <c r="F431" s="4" t="s">
        <v>1081</v>
      </c>
      <c r="G431" s="18">
        <v>300000000</v>
      </c>
      <c r="H431" s="18">
        <v>316603959</v>
      </c>
      <c r="I431" s="10">
        <v>0.152609933</v>
      </c>
      <c r="J431" s="10">
        <v>8.4861109999999993</v>
      </c>
      <c r="K431" s="10">
        <v>6.9974449999999999</v>
      </c>
      <c r="L431" s="10">
        <v>4.2885099999999996</v>
      </c>
      <c r="M431" s="10">
        <v>4.2885099999999996</v>
      </c>
      <c r="N431" s="10">
        <v>243.81120000000001</v>
      </c>
      <c r="O431" s="10">
        <v>250.3424</v>
      </c>
      <c r="P431" s="10">
        <v>6.7981910000000001</v>
      </c>
      <c r="Q431" s="10">
        <v>0.2802</v>
      </c>
      <c r="R431" s="10">
        <v>4.1509149929999998</v>
      </c>
      <c r="S431" s="10">
        <v>7.9861376990000004</v>
      </c>
      <c r="T431" s="10">
        <v>105.46</v>
      </c>
      <c r="U431" s="10">
        <v>107.66</v>
      </c>
      <c r="V431" s="10">
        <v>105.46</v>
      </c>
      <c r="W431" s="10">
        <v>107.66</v>
      </c>
      <c r="X431" s="4" t="s">
        <v>146</v>
      </c>
      <c r="Y431" s="4" t="s">
        <v>2299</v>
      </c>
      <c r="AA431" s="10">
        <f t="shared" si="24"/>
        <v>4.662386317778669E-2</v>
      </c>
      <c r="AB431" s="10">
        <f t="shared" si="25"/>
        <v>1.8844292775787547E-2</v>
      </c>
      <c r="AC431" s="10">
        <f t="shared" si="26"/>
        <v>0.78556000730257569</v>
      </c>
      <c r="AD431" s="10">
        <f t="shared" si="27"/>
        <v>0.23146153698580221</v>
      </c>
    </row>
    <row r="432" spans="1:30" x14ac:dyDescent="0.25">
      <c r="A432" s="33" t="s">
        <v>2294</v>
      </c>
      <c r="C432" s="39">
        <v>40847</v>
      </c>
      <c r="D432" s="53" t="s">
        <v>2301</v>
      </c>
      <c r="E432" s="4" t="str">
        <f>VLOOKUP(LEFT(D432,2),Sort!$A$1:$B$58,2,FALSE)</f>
        <v>Malaysia</v>
      </c>
      <c r="F432" s="4" t="s">
        <v>1007</v>
      </c>
      <c r="G432" s="18">
        <v>300000000</v>
      </c>
      <c r="H432" s="18">
        <v>301287501</v>
      </c>
      <c r="I432" s="10">
        <v>0.14522707000000001</v>
      </c>
      <c r="J432" s="10">
        <v>4.3722219999999998</v>
      </c>
      <c r="K432" s="10">
        <v>4.0097709999999998</v>
      </c>
      <c r="L432" s="10">
        <v>3.5104630000000001</v>
      </c>
      <c r="M432" s="10">
        <v>3.5104630000000001</v>
      </c>
      <c r="N432" s="10">
        <v>271.07740000000001</v>
      </c>
      <c r="O432" s="10">
        <v>274.28859999999997</v>
      </c>
      <c r="P432" s="10">
        <v>3.9844490000000001</v>
      </c>
      <c r="Q432" s="10">
        <v>-0.3765</v>
      </c>
      <c r="R432" s="10">
        <v>1.1193073490000001</v>
      </c>
      <c r="S432" s="10">
        <v>1.788341</v>
      </c>
      <c r="T432" s="10">
        <v>99.95</v>
      </c>
      <c r="U432" s="10">
        <v>100.96</v>
      </c>
      <c r="V432" s="10">
        <v>99.95</v>
      </c>
      <c r="W432" s="10">
        <v>100.96</v>
      </c>
      <c r="X432" s="4" t="s">
        <v>146</v>
      </c>
      <c r="Y432" s="4" t="s">
        <v>2302</v>
      </c>
      <c r="AA432" s="10">
        <f t="shared" si="24"/>
        <v>2.6310111958436019E-2</v>
      </c>
      <c r="AB432" s="10">
        <f t="shared" si="25"/>
        <v>1.7213859669303139E-2</v>
      </c>
      <c r="AC432" s="10">
        <f t="shared" si="26"/>
        <v>0.81906333589645253</v>
      </c>
      <c r="AD432" s="10">
        <f t="shared" si="27"/>
        <v>0.20655636064162342</v>
      </c>
    </row>
    <row r="433" spans="1:30" x14ac:dyDescent="0.25">
      <c r="A433" s="33" t="s">
        <v>2297</v>
      </c>
      <c r="C433" s="39">
        <v>40847</v>
      </c>
      <c r="D433" s="53" t="s">
        <v>2304</v>
      </c>
      <c r="E433" s="4" t="str">
        <f>VLOOKUP(LEFT(D433,2),Sort!$A$1:$B$58,2,FALSE)</f>
        <v>Malaysia</v>
      </c>
      <c r="F433" s="4" t="s">
        <v>1014</v>
      </c>
      <c r="G433" s="18">
        <v>500000000</v>
      </c>
      <c r="H433" s="18">
        <v>536527085</v>
      </c>
      <c r="I433" s="10">
        <v>0.25861761999999999</v>
      </c>
      <c r="J433" s="10">
        <v>3.3694440000000001</v>
      </c>
      <c r="K433" s="10">
        <v>3.0850179999999998</v>
      </c>
      <c r="L433" s="10">
        <v>2.8605160000000001</v>
      </c>
      <c r="M433" s="10">
        <v>2.8605160000000001</v>
      </c>
      <c r="N433" s="10">
        <v>235.3638</v>
      </c>
      <c r="O433" s="10">
        <v>238.42070000000001</v>
      </c>
      <c r="P433" s="10">
        <v>3.0786030000000002</v>
      </c>
      <c r="Q433" s="10">
        <v>1.3599999999999999E-2</v>
      </c>
      <c r="R433" s="10">
        <v>2.805533219</v>
      </c>
      <c r="S433" s="10">
        <v>4.5830047650000001</v>
      </c>
      <c r="T433" s="10">
        <v>106.62</v>
      </c>
      <c r="U433" s="10">
        <v>107.62</v>
      </c>
      <c r="V433" s="10">
        <v>106.62</v>
      </c>
      <c r="W433" s="10">
        <v>107.62</v>
      </c>
      <c r="X433" s="4" t="s">
        <v>146</v>
      </c>
      <c r="Y433" s="4" t="s">
        <v>2305</v>
      </c>
      <c r="AA433" s="10">
        <f t="shared" si="24"/>
        <v>2.2595837157956208E-2</v>
      </c>
      <c r="AB433" s="10">
        <f t="shared" si="25"/>
        <v>2.497863921692034E-2</v>
      </c>
      <c r="AC433" s="10">
        <f t="shared" si="26"/>
        <v>1.2678393372374852</v>
      </c>
      <c r="AD433" s="10">
        <f t="shared" si="27"/>
        <v>0.39209630946841401</v>
      </c>
    </row>
    <row r="434" spans="1:30" x14ac:dyDescent="0.25">
      <c r="A434" s="33" t="s">
        <v>2300</v>
      </c>
      <c r="C434" s="39">
        <v>40847</v>
      </c>
      <c r="D434" s="53" t="s">
        <v>2307</v>
      </c>
      <c r="E434" s="4" t="str">
        <f>VLOOKUP(LEFT(D434,2),Sort!$A$1:$B$58,2,FALSE)</f>
        <v>Malaysia</v>
      </c>
      <c r="F434" s="4" t="s">
        <v>1014</v>
      </c>
      <c r="G434" s="18">
        <v>700000000</v>
      </c>
      <c r="H434" s="18">
        <v>774099858</v>
      </c>
      <c r="I434" s="10">
        <v>0.37313281700000001</v>
      </c>
      <c r="J434" s="10">
        <v>2.661111</v>
      </c>
      <c r="K434" s="10">
        <v>2.4321440000000001</v>
      </c>
      <c r="L434" s="10">
        <v>2.2761339999999999</v>
      </c>
      <c r="M434" s="10">
        <v>2.2761339999999999</v>
      </c>
      <c r="N434" s="10">
        <v>192.86449999999999</v>
      </c>
      <c r="O434" s="10">
        <v>195.18129999999999</v>
      </c>
      <c r="P434" s="10">
        <v>2.4317709999999999</v>
      </c>
      <c r="Q434" s="10">
        <v>5.16E-2</v>
      </c>
      <c r="R434" s="10">
        <v>-1.596034843</v>
      </c>
      <c r="S434" s="10">
        <v>3.6939018350000001</v>
      </c>
      <c r="T434" s="10">
        <v>108.51</v>
      </c>
      <c r="U434" s="10">
        <v>109.88</v>
      </c>
      <c r="V434" s="10">
        <v>108.51</v>
      </c>
      <c r="W434" s="10">
        <v>109.88</v>
      </c>
      <c r="X434" s="4" t="s">
        <v>146</v>
      </c>
      <c r="Y434" s="4" t="s">
        <v>2308</v>
      </c>
      <c r="AA434" s="10">
        <f t="shared" si="24"/>
        <v>2.5701907449380126E-2</v>
      </c>
      <c r="AB434" s="10">
        <f t="shared" si="25"/>
        <v>2.8676593292070247E-2</v>
      </c>
      <c r="AC434" s="10">
        <f t="shared" si="26"/>
        <v>5.2941403245669072</v>
      </c>
      <c r="AD434" s="10">
        <f t="shared" si="27"/>
        <v>0.57759543811800962</v>
      </c>
    </row>
    <row r="435" spans="1:30" x14ac:dyDescent="0.25">
      <c r="A435" s="33" t="s">
        <v>2303</v>
      </c>
      <c r="C435" s="39">
        <v>40847</v>
      </c>
      <c r="D435" s="53" t="s">
        <v>2310</v>
      </c>
      <c r="E435" s="4" t="str">
        <f>VLOOKUP(LEFT(D435,2),Sort!$A$1:$B$58,2,FALSE)</f>
        <v>Malaysia</v>
      </c>
      <c r="F435" s="4" t="s">
        <v>1014</v>
      </c>
      <c r="G435" s="18">
        <v>300000000</v>
      </c>
      <c r="H435" s="18">
        <v>320676459</v>
      </c>
      <c r="I435" s="10">
        <v>0.15457296500000001</v>
      </c>
      <c r="J435" s="10">
        <v>2.8861110000000001</v>
      </c>
      <c r="K435" s="10">
        <v>2.6710310000000002</v>
      </c>
      <c r="L435" s="10">
        <v>2.7786119999999999</v>
      </c>
      <c r="M435" s="10">
        <v>2.7786119999999999</v>
      </c>
      <c r="N435" s="10">
        <v>239.69229999999999</v>
      </c>
      <c r="O435" s="10">
        <v>241.4204</v>
      </c>
      <c r="P435" s="10">
        <v>2.6669619999999998</v>
      </c>
      <c r="Q435" s="10">
        <v>-0.21010000000000001</v>
      </c>
      <c r="R435" s="10">
        <v>2.6584201709999999</v>
      </c>
      <c r="S435" s="10">
        <v>4.5859710229999999</v>
      </c>
      <c r="T435" s="10">
        <v>106.28</v>
      </c>
      <c r="U435" s="10">
        <v>107.15</v>
      </c>
      <c r="V435" s="10">
        <v>106.28</v>
      </c>
      <c r="W435" s="10">
        <v>107.15</v>
      </c>
      <c r="X435" s="4" t="s">
        <v>146</v>
      </c>
      <c r="Y435" s="4" t="s">
        <v>2311</v>
      </c>
      <c r="AA435" s="10">
        <f t="shared" si="24"/>
        <v>1.1692976874937751E-2</v>
      </c>
      <c r="AB435" s="10">
        <f t="shared" si="25"/>
        <v>1.4501994274639333E-2</v>
      </c>
      <c r="AC435" s="10">
        <f t="shared" si="26"/>
        <v>0.76730787831294178</v>
      </c>
      <c r="AD435" s="10">
        <f t="shared" si="27"/>
        <v>0.23332827520007426</v>
      </c>
    </row>
    <row r="436" spans="1:30" x14ac:dyDescent="0.25">
      <c r="A436" s="33" t="s">
        <v>2306</v>
      </c>
      <c r="C436" s="39">
        <v>40847</v>
      </c>
      <c r="D436" s="53" t="s">
        <v>2313</v>
      </c>
      <c r="E436" s="4" t="str">
        <f>VLOOKUP(LEFT(D436,2),Sort!$A$1:$B$58,2,FALSE)</f>
        <v>Malaysia</v>
      </c>
      <c r="F436" s="4" t="s">
        <v>1007</v>
      </c>
      <c r="G436" s="18">
        <v>400000000</v>
      </c>
      <c r="H436" s="18">
        <v>407388888</v>
      </c>
      <c r="I436" s="10">
        <v>0.19637022500000001</v>
      </c>
      <c r="J436" s="10">
        <v>5.6305560000000003</v>
      </c>
      <c r="K436" s="10">
        <v>4.672434</v>
      </c>
      <c r="L436" s="10">
        <v>6.0764250000000004</v>
      </c>
      <c r="M436" s="10">
        <v>6.0764250000000004</v>
      </c>
      <c r="N436" s="10">
        <v>490.77260000000001</v>
      </c>
      <c r="O436" s="10">
        <v>497.36799999999999</v>
      </c>
      <c r="P436" s="10">
        <v>4.6097149999999996</v>
      </c>
      <c r="Q436" s="10">
        <v>1.3599999999999999E-2</v>
      </c>
      <c r="R436" s="10">
        <v>0.13655677299999999</v>
      </c>
      <c r="S436" s="10">
        <v>1.33657914</v>
      </c>
      <c r="T436" s="10">
        <v>100</v>
      </c>
      <c r="U436" s="10">
        <v>101.5</v>
      </c>
      <c r="V436" s="10">
        <v>100</v>
      </c>
      <c r="W436" s="10">
        <v>101.5</v>
      </c>
      <c r="X436" s="4" t="s">
        <v>146</v>
      </c>
      <c r="Y436" s="4" t="s">
        <v>2314</v>
      </c>
      <c r="AA436" s="10">
        <f t="shared" si="24"/>
        <v>4.145475615138567E-2</v>
      </c>
      <c r="AB436" s="10">
        <f t="shared" si="25"/>
        <v>6.6722442621513875E-2</v>
      </c>
      <c r="AC436" s="10">
        <f t="shared" si="26"/>
        <v>5.7351500823831447</v>
      </c>
      <c r="AD436" s="10">
        <f t="shared" si="27"/>
        <v>0.2807910993143925</v>
      </c>
    </row>
    <row r="437" spans="1:30" x14ac:dyDescent="0.25">
      <c r="A437" s="33" t="s">
        <v>2309</v>
      </c>
      <c r="C437" s="39">
        <v>40847</v>
      </c>
      <c r="D437" s="53" t="s">
        <v>2316</v>
      </c>
      <c r="E437" s="4" t="str">
        <f>VLOOKUP(LEFT(D437,2),Sort!$A$1:$B$58,2,FALSE)</f>
        <v>Malaysia</v>
      </c>
      <c r="F437" s="4" t="s">
        <v>1081</v>
      </c>
      <c r="G437" s="18">
        <v>465055000</v>
      </c>
      <c r="H437" s="18">
        <v>492855601.89999998</v>
      </c>
      <c r="I437" s="10">
        <v>0.23756702399999999</v>
      </c>
      <c r="J437" s="10">
        <v>2.8861110000000001</v>
      </c>
      <c r="K437" s="10">
        <v>2.6746449999999999</v>
      </c>
      <c r="L437" s="10">
        <v>2.77711</v>
      </c>
      <c r="M437" s="10">
        <v>2.77711</v>
      </c>
      <c r="N437" s="10">
        <v>239.5421</v>
      </c>
      <c r="O437" s="10">
        <v>241.2482</v>
      </c>
      <c r="P437" s="10">
        <v>2.6705770000000002</v>
      </c>
      <c r="Q437" s="10">
        <v>7.0400000000000004E-2</v>
      </c>
      <c r="R437" s="10">
        <v>-1.1764927089999999</v>
      </c>
      <c r="S437" s="10">
        <v>2.2476815760000002</v>
      </c>
      <c r="T437" s="10">
        <v>105.38</v>
      </c>
      <c r="U437" s="10">
        <v>106.81</v>
      </c>
      <c r="V437" s="10">
        <v>105.38</v>
      </c>
      <c r="W437" s="10">
        <v>106.81</v>
      </c>
      <c r="X437" s="4" t="s">
        <v>146</v>
      </c>
      <c r="Y437" s="4" t="s">
        <v>2317</v>
      </c>
      <c r="AA437" s="10">
        <f t="shared" si="24"/>
        <v>1.7995541827410772E-2</v>
      </c>
      <c r="AB437" s="10">
        <f t="shared" si="25"/>
        <v>2.2276426412216044E-2</v>
      </c>
      <c r="AC437" s="10">
        <f t="shared" si="26"/>
        <v>1.1784533401978445</v>
      </c>
      <c r="AD437" s="10">
        <f t="shared" si="27"/>
        <v>0.35747010527904255</v>
      </c>
    </row>
    <row r="438" spans="1:30" x14ac:dyDescent="0.25">
      <c r="A438" s="33" t="s">
        <v>2312</v>
      </c>
      <c r="C438" s="39">
        <v>40847</v>
      </c>
      <c r="D438" s="53" t="s">
        <v>2319</v>
      </c>
      <c r="E438" s="4" t="str">
        <f>VLOOKUP(LEFT(D438,2),Sort!$A$1:$B$58,2,FALSE)</f>
        <v>Malaysia</v>
      </c>
      <c r="F438" s="4" t="s">
        <v>1081</v>
      </c>
      <c r="G438" s="18">
        <v>300000000</v>
      </c>
      <c r="H438" s="18">
        <v>401977500</v>
      </c>
      <c r="I438" s="10">
        <v>0.19376182</v>
      </c>
      <c r="J438" s="10">
        <v>13.744444</v>
      </c>
      <c r="K438" s="10">
        <v>9.3845810000000007</v>
      </c>
      <c r="L438" s="10">
        <v>4.1890539999999996</v>
      </c>
      <c r="M438" s="10">
        <v>4.1890539999999996</v>
      </c>
      <c r="N438" s="10">
        <v>186.4836</v>
      </c>
      <c r="O438" s="10">
        <v>187.3056</v>
      </c>
      <c r="P438" s="10">
        <v>8.9518319999999996</v>
      </c>
      <c r="Q438" s="10">
        <v>0.36840000000000001</v>
      </c>
      <c r="R438" s="10">
        <v>2.6841138820000001</v>
      </c>
      <c r="S438" s="10">
        <v>9.7594958859999998</v>
      </c>
      <c r="T438" s="10">
        <v>131.97999999999999</v>
      </c>
      <c r="U438" s="10">
        <v>138.21</v>
      </c>
      <c r="V438" s="10">
        <v>131.97999999999999</v>
      </c>
      <c r="W438" s="10">
        <v>138.21</v>
      </c>
      <c r="X438" s="4" t="s">
        <v>146</v>
      </c>
      <c r="Y438" s="4" t="s">
        <v>2320</v>
      </c>
      <c r="AA438" s="10">
        <f t="shared" si="24"/>
        <v>0.77061731788490384</v>
      </c>
      <c r="AB438" s="10">
        <f t="shared" si="25"/>
        <v>2.3370864549502351E-2</v>
      </c>
      <c r="AC438" s="10">
        <f t="shared" si="26"/>
        <v>2.6382306477384434</v>
      </c>
      <c r="AD438" s="10">
        <f t="shared" si="27"/>
        <v>6.4683379046199647</v>
      </c>
    </row>
    <row r="439" spans="1:30" x14ac:dyDescent="0.25">
      <c r="A439" s="33" t="s">
        <v>2315</v>
      </c>
      <c r="C439" s="39">
        <v>40847</v>
      </c>
      <c r="D439" s="53" t="s">
        <v>2322</v>
      </c>
      <c r="E439" s="4" t="str">
        <f>VLOOKUP(LEFT(D439,2),Sort!$A$1:$B$58,2,FALSE)</f>
        <v>Malaysia</v>
      </c>
      <c r="F439" s="4" t="s">
        <v>1037</v>
      </c>
      <c r="G439" s="18">
        <v>350000000</v>
      </c>
      <c r="H439" s="18">
        <v>381345415.5</v>
      </c>
      <c r="I439" s="10">
        <v>0.18381670999999999</v>
      </c>
      <c r="J439" s="10">
        <v>3.5055559999999999</v>
      </c>
      <c r="K439" s="10">
        <v>3.141893</v>
      </c>
      <c r="L439" s="10">
        <v>3.0098470000000002</v>
      </c>
      <c r="M439" s="10">
        <v>3.0098470000000002</v>
      </c>
      <c r="N439" s="10">
        <v>246.32249999999999</v>
      </c>
      <c r="O439" s="10">
        <v>249.72280000000001</v>
      </c>
      <c r="P439" s="10">
        <v>3.1331199999999999</v>
      </c>
      <c r="Q439" s="10">
        <v>0.32650000000000001</v>
      </c>
      <c r="R439" s="10">
        <v>-5.6564657999999997E-2</v>
      </c>
      <c r="S439" s="10">
        <v>3.7706904950000002</v>
      </c>
      <c r="T439" s="10">
        <v>106.36</v>
      </c>
      <c r="U439" s="10">
        <v>107.4</v>
      </c>
      <c r="V439" s="10">
        <v>106.36</v>
      </c>
      <c r="W439" s="10">
        <v>107.4</v>
      </c>
      <c r="X439" s="4" t="s">
        <v>146</v>
      </c>
      <c r="Y439" s="4" t="s">
        <v>2323</v>
      </c>
      <c r="AA439" s="10">
        <f t="shared" si="24"/>
        <v>1.6356448227605045E-2</v>
      </c>
      <c r="AB439" s="10">
        <f t="shared" si="25"/>
        <v>1.8680809527101001E-2</v>
      </c>
      <c r="AC439" s="10">
        <f t="shared" si="26"/>
        <v>0.94385512499484492</v>
      </c>
      <c r="AD439" s="10">
        <f t="shared" si="27"/>
        <v>0.27811917152918719</v>
      </c>
    </row>
    <row r="440" spans="1:30" x14ac:dyDescent="0.25">
      <c r="A440" s="33" t="s">
        <v>2318</v>
      </c>
      <c r="C440" s="39">
        <v>40847</v>
      </c>
      <c r="D440" s="53" t="s">
        <v>2325</v>
      </c>
      <c r="E440" s="4" t="str">
        <f>VLOOKUP(LEFT(D440,2),Sort!$A$1:$B$58,2,FALSE)</f>
        <v>Malaysia</v>
      </c>
      <c r="F440" s="4" t="s">
        <v>1037</v>
      </c>
      <c r="G440" s="18">
        <v>335500000</v>
      </c>
      <c r="H440" s="18">
        <v>419682542.80000001</v>
      </c>
      <c r="I440" s="10">
        <v>0.20229603199999999</v>
      </c>
      <c r="J440" s="10">
        <v>14</v>
      </c>
      <c r="K440" s="10">
        <v>9.5891760000000001</v>
      </c>
      <c r="L440" s="10">
        <v>4.6889390000000004</v>
      </c>
      <c r="M440" s="10">
        <v>4.6889390000000004</v>
      </c>
      <c r="N440" s="10">
        <v>235.1739</v>
      </c>
      <c r="O440" s="10">
        <v>235.45959999999999</v>
      </c>
      <c r="P440" s="10">
        <v>9.1402339999999995</v>
      </c>
      <c r="Q440" s="10">
        <v>0.37780000000000002</v>
      </c>
      <c r="R440" s="10">
        <v>1.781508732</v>
      </c>
      <c r="S440" s="10">
        <v>8.0408364760000008</v>
      </c>
      <c r="T440" s="10">
        <v>125.05</v>
      </c>
      <c r="U440" s="10">
        <v>128.61000000000001</v>
      </c>
      <c r="V440" s="10">
        <v>125.05</v>
      </c>
      <c r="W440" s="10">
        <v>128.61000000000001</v>
      </c>
      <c r="X440" s="4" t="s">
        <v>146</v>
      </c>
      <c r="Y440" s="4" t="s">
        <v>2326</v>
      </c>
      <c r="AA440" s="10">
        <f t="shared" si="24"/>
        <v>0.82209939178202907</v>
      </c>
      <c r="AB440" s="10">
        <f t="shared" si="25"/>
        <v>2.7311940786753967E-2</v>
      </c>
      <c r="AC440" s="10">
        <f t="shared" si="26"/>
        <v>0.97941312424487892</v>
      </c>
      <c r="AD440" s="10">
        <f t="shared" si="27"/>
        <v>6.2841584985417711</v>
      </c>
    </row>
    <row r="441" spans="1:30" x14ac:dyDescent="0.25">
      <c r="A441" s="33" t="s">
        <v>2321</v>
      </c>
      <c r="C441" s="39">
        <v>40847</v>
      </c>
      <c r="D441" s="53" t="s">
        <v>2328</v>
      </c>
      <c r="E441" s="4" t="str">
        <f>VLOOKUP(LEFT(D441,2),Sort!$A$1:$B$58,2,FALSE)</f>
        <v>Nigeria</v>
      </c>
      <c r="F441" s="4" t="s">
        <v>1024</v>
      </c>
      <c r="G441" s="18">
        <v>500000000</v>
      </c>
      <c r="H441" s="18">
        <v>513444445</v>
      </c>
      <c r="I441" s="10">
        <v>0.24749129</v>
      </c>
      <c r="J441" s="10">
        <v>4.2444439999999997</v>
      </c>
      <c r="K441" s="10">
        <v>3.2302599999999999</v>
      </c>
      <c r="L441" s="10">
        <v>10.961828000000001</v>
      </c>
      <c r="M441" s="10">
        <v>10.961828000000001</v>
      </c>
      <c r="N441" s="10">
        <v>1019.9450000000001</v>
      </c>
      <c r="O441" s="10">
        <v>1028.2552000000001</v>
      </c>
      <c r="P441" s="10">
        <v>3.209006</v>
      </c>
      <c r="Q441" s="10">
        <v>-0.69440000000000002</v>
      </c>
      <c r="R441" s="10">
        <v>8.3279630680000007</v>
      </c>
      <c r="S441" s="10">
        <v>2.978764</v>
      </c>
      <c r="T441" s="10">
        <v>99.75</v>
      </c>
      <c r="U441" s="10">
        <v>101.75</v>
      </c>
      <c r="V441" s="10">
        <v>99.75</v>
      </c>
      <c r="W441" s="10">
        <v>101.75</v>
      </c>
      <c r="X441" s="4" t="s">
        <v>146</v>
      </c>
      <c r="Y441" s="4" t="s">
        <v>2329</v>
      </c>
      <c r="AA441" s="10">
        <f t="shared" si="24"/>
        <v>2.2641751632869651E-2</v>
      </c>
      <c r="AB441" s="10">
        <f t="shared" si="25"/>
        <v>0.35519938928764738</v>
      </c>
      <c r="AC441" s="10">
        <f t="shared" si="26"/>
        <v>39.11897396692445</v>
      </c>
      <c r="AD441" s="10">
        <f t="shared" si="27"/>
        <v>0.35476110046152098</v>
      </c>
    </row>
    <row r="442" spans="1:30" x14ac:dyDescent="0.25">
      <c r="A442" s="33" t="s">
        <v>2324</v>
      </c>
      <c r="C442" s="39">
        <v>40847</v>
      </c>
      <c r="D442" s="53" t="s">
        <v>2331</v>
      </c>
      <c r="E442" s="4" t="str">
        <f>VLOOKUP(LEFT(D442,2),Sort!$A$1:$B$58,2,FALSE)</f>
        <v>Nigeria</v>
      </c>
      <c r="F442" s="4" t="s">
        <v>1007</v>
      </c>
      <c r="G442" s="18">
        <v>500000000</v>
      </c>
      <c r="H442" s="18">
        <v>516041665</v>
      </c>
      <c r="I442" s="10">
        <v>0.24874320599999999</v>
      </c>
      <c r="J442" s="10">
        <v>4.5750000000000002</v>
      </c>
      <c r="K442" s="10">
        <v>3.7292350000000001</v>
      </c>
      <c r="L442" s="10">
        <v>7.107882</v>
      </c>
      <c r="M442" s="10">
        <v>7.107882</v>
      </c>
      <c r="N442" s="10">
        <v>624.89819999999997</v>
      </c>
      <c r="O442" s="10">
        <v>631.30039999999997</v>
      </c>
      <c r="P442" s="10">
        <v>3.7032910000000001</v>
      </c>
      <c r="Q442" s="10">
        <v>2.0199999999999999E-2</v>
      </c>
      <c r="R442" s="10">
        <v>4.6472336509999996</v>
      </c>
      <c r="S442" s="10">
        <v>1.246186</v>
      </c>
      <c r="T442" s="10">
        <v>100</v>
      </c>
      <c r="U442" s="10">
        <v>101.5</v>
      </c>
      <c r="V442" s="10">
        <v>100</v>
      </c>
      <c r="W442" s="10">
        <v>101.5</v>
      </c>
      <c r="X442" s="4" t="s">
        <v>146</v>
      </c>
      <c r="Y442" s="4" t="s">
        <v>2332</v>
      </c>
      <c r="AA442" s="10">
        <f t="shared" si="24"/>
        <v>2.6271423314417546E-2</v>
      </c>
      <c r="AB442" s="10">
        <f t="shared" si="25"/>
        <v>9.8864322193067747E-2</v>
      </c>
      <c r="AC442" s="10">
        <f t="shared" si="26"/>
        <v>17.693575403087589</v>
      </c>
      <c r="AD442" s="10">
        <f t="shared" si="27"/>
        <v>0.35567957466571709</v>
      </c>
    </row>
    <row r="443" spans="1:30" x14ac:dyDescent="0.25">
      <c r="A443" s="33" t="s">
        <v>2327</v>
      </c>
      <c r="C443" s="39">
        <v>40847</v>
      </c>
      <c r="D443" s="53" t="s">
        <v>2334</v>
      </c>
      <c r="E443" s="4" t="str">
        <f>VLOOKUP(LEFT(D443,2),Sort!$A$1:$B$58,2,FALSE)</f>
        <v>Oman</v>
      </c>
      <c r="F443" s="4" t="s">
        <v>1024</v>
      </c>
      <c r="G443" s="18">
        <v>320000000</v>
      </c>
      <c r="H443" s="18">
        <v>288800000</v>
      </c>
      <c r="I443" s="10">
        <v>0.13920782500000001</v>
      </c>
      <c r="J443" s="10">
        <v>4.036111</v>
      </c>
      <c r="K443" s="10">
        <v>2.8932009999999999</v>
      </c>
      <c r="L443" s="10">
        <v>15.718590000000001</v>
      </c>
      <c r="M443" s="10">
        <v>15.718590000000001</v>
      </c>
      <c r="N443" s="10">
        <v>1501.7046</v>
      </c>
      <c r="O443" s="10">
        <v>1509.8659</v>
      </c>
      <c r="P443" s="10">
        <v>2.8783609999999999</v>
      </c>
      <c r="Q443" s="10">
        <v>3.4599999999999999E-2</v>
      </c>
      <c r="R443" s="10">
        <v>-0.68775673299999995</v>
      </c>
      <c r="S443" s="10">
        <v>-7.6683149999999998</v>
      </c>
      <c r="T443" s="10">
        <v>85</v>
      </c>
      <c r="U443" s="10">
        <v>87</v>
      </c>
      <c r="V443" s="10">
        <v>85</v>
      </c>
      <c r="W443" s="10">
        <v>87</v>
      </c>
      <c r="X443" s="4" t="s">
        <v>146</v>
      </c>
      <c r="Y443" s="4" t="s">
        <v>2335</v>
      </c>
      <c r="AA443" s="10">
        <f t="shared" si="24"/>
        <v>1.1406564967239553E-2</v>
      </c>
      <c r="AB443" s="10">
        <f t="shared" si="25"/>
        <v>0.28648807050436503</v>
      </c>
      <c r="AC443" s="10">
        <f t="shared" si="26"/>
        <v>32.309381697011268</v>
      </c>
      <c r="AD443" s="10">
        <f t="shared" si="27"/>
        <v>0.5267005367067974</v>
      </c>
    </row>
    <row r="444" spans="1:30" x14ac:dyDescent="0.25">
      <c r="A444" s="33" t="s">
        <v>2330</v>
      </c>
      <c r="C444" s="39">
        <v>40847</v>
      </c>
      <c r="D444" s="53" t="s">
        <v>2337</v>
      </c>
      <c r="E444" s="4" t="str">
        <f>VLOOKUP(LEFT(D444,2),Sort!$A$1:$B$58,2,FALSE)</f>
        <v>Peru</v>
      </c>
      <c r="F444" s="4" t="s">
        <v>1007</v>
      </c>
      <c r="G444" s="18">
        <v>341972692</v>
      </c>
      <c r="H444" s="18">
        <v>338624208.30000001</v>
      </c>
      <c r="I444" s="10">
        <v>0.163224167</v>
      </c>
      <c r="J444" s="10">
        <v>9.0416670000000003</v>
      </c>
      <c r="K444" s="10">
        <v>7.0160729999999996</v>
      </c>
      <c r="L444" s="10">
        <v>5.7143129999999998</v>
      </c>
      <c r="M444" s="10">
        <v>5.7143129999999998</v>
      </c>
      <c r="N444" s="10">
        <v>375.98410000000001</v>
      </c>
      <c r="O444" s="10">
        <v>384.78519999999997</v>
      </c>
      <c r="P444" s="10">
        <v>6.7997839999999998</v>
      </c>
      <c r="Q444" s="10">
        <v>1.54E-2</v>
      </c>
      <c r="R444" s="10">
        <v>5.7993366440000003</v>
      </c>
      <c r="S444" s="10">
        <v>4.8341510540000003</v>
      </c>
      <c r="T444" s="10">
        <v>96.5</v>
      </c>
      <c r="U444" s="10">
        <v>98.5</v>
      </c>
      <c r="V444" s="10">
        <v>96.5</v>
      </c>
      <c r="W444" s="10">
        <v>98.5</v>
      </c>
      <c r="X444" s="4" t="s">
        <v>146</v>
      </c>
      <c r="Y444" s="4" t="s">
        <v>2338</v>
      </c>
      <c r="AA444" s="10">
        <f t="shared" si="24"/>
        <v>4.9999368888102469E-2</v>
      </c>
      <c r="AB444" s="10">
        <f t="shared" si="25"/>
        <v>2.6855862362069063E-2</v>
      </c>
      <c r="AC444" s="10">
        <f t="shared" si="26"/>
        <v>1.2914124677005607</v>
      </c>
      <c r="AD444" s="10">
        <f t="shared" si="27"/>
        <v>0.69920021400373134</v>
      </c>
    </row>
    <row r="445" spans="1:30" x14ac:dyDescent="0.25">
      <c r="A445" s="33" t="s">
        <v>2333</v>
      </c>
      <c r="C445" s="39">
        <v>40847</v>
      </c>
      <c r="D445" s="53" t="s">
        <v>2340</v>
      </c>
      <c r="E445" s="4" t="str">
        <f>VLOOKUP(LEFT(D445,2),Sort!$A$1:$B$58,2,FALSE)</f>
        <v>Peru</v>
      </c>
      <c r="F445" s="4" t="s">
        <v>1007</v>
      </c>
      <c r="G445" s="18">
        <v>683945385</v>
      </c>
      <c r="H445" s="18">
        <v>686476933.60000002</v>
      </c>
      <c r="I445" s="10">
        <v>0.33089667900000003</v>
      </c>
      <c r="J445" s="10">
        <v>4.3694439999999997</v>
      </c>
      <c r="K445" s="10">
        <v>3.908684</v>
      </c>
      <c r="L445" s="10">
        <v>4.5574399999999997</v>
      </c>
      <c r="M445" s="10">
        <v>4.5574399999999997</v>
      </c>
      <c r="N445" s="10">
        <v>375.8562</v>
      </c>
      <c r="O445" s="10">
        <v>379.83170000000001</v>
      </c>
      <c r="P445" s="10">
        <v>3.8842490000000001</v>
      </c>
      <c r="Q445" s="10">
        <v>1.3100000000000001E-2</v>
      </c>
      <c r="R445" s="10">
        <v>4.8244503959999996</v>
      </c>
      <c r="S445" s="10">
        <v>3.2383165260000002</v>
      </c>
      <c r="T445" s="10">
        <v>99.75</v>
      </c>
      <c r="U445" s="10">
        <v>100.75</v>
      </c>
      <c r="V445" s="10">
        <v>99.75</v>
      </c>
      <c r="W445" s="10">
        <v>100.75</v>
      </c>
      <c r="X445" s="4" t="s">
        <v>146</v>
      </c>
      <c r="Y445" s="4" t="s">
        <v>2341</v>
      </c>
      <c r="AA445" s="10">
        <f t="shared" si="24"/>
        <v>3.6629888191665905E-2</v>
      </c>
      <c r="AB445" s="10">
        <f t="shared" si="25"/>
        <v>4.3421416154654578E-2</v>
      </c>
      <c r="AC445" s="10">
        <f t="shared" si="26"/>
        <v>2.5843169088882436</v>
      </c>
      <c r="AD445" s="10">
        <f t="shared" si="27"/>
        <v>0.46965518335990347</v>
      </c>
    </row>
    <row r="446" spans="1:30" x14ac:dyDescent="0.25">
      <c r="A446" s="33" t="s">
        <v>2336</v>
      </c>
      <c r="C446" s="39">
        <v>40847</v>
      </c>
      <c r="D446" s="53" t="s">
        <v>2343</v>
      </c>
      <c r="E446" s="4" t="str">
        <f>VLOOKUP(LEFT(D446,2),Sort!$A$1:$B$58,2,FALSE)</f>
        <v>Peru</v>
      </c>
      <c r="F446" s="4" t="s">
        <v>1007</v>
      </c>
      <c r="G446" s="18">
        <v>781651868</v>
      </c>
      <c r="H446" s="18">
        <v>763687444.5</v>
      </c>
      <c r="I446" s="10">
        <v>0.36811380999999999</v>
      </c>
      <c r="J446" s="10">
        <v>8.8694439999999997</v>
      </c>
      <c r="K446" s="10">
        <v>7.084314</v>
      </c>
      <c r="L446" s="10">
        <v>5.5180819999999997</v>
      </c>
      <c r="M446" s="10">
        <v>5.5180819999999997</v>
      </c>
      <c r="N446" s="10">
        <v>359.58730000000003</v>
      </c>
      <c r="O446" s="10">
        <v>367.48610000000002</v>
      </c>
      <c r="P446" s="10">
        <v>6.8704599999999996</v>
      </c>
      <c r="Q446" s="10">
        <v>1.5299999999999999E-2</v>
      </c>
      <c r="R446" s="10">
        <v>4.7361517590000002</v>
      </c>
      <c r="S446" s="10">
        <v>3.3864286649999999</v>
      </c>
      <c r="T446" s="10">
        <v>97</v>
      </c>
      <c r="U446" s="10">
        <v>99</v>
      </c>
      <c r="V446" s="10">
        <v>97</v>
      </c>
      <c r="W446" s="10">
        <v>99</v>
      </c>
      <c r="X446" s="4" t="s">
        <v>146</v>
      </c>
      <c r="Y446" s="4" t="s">
        <v>2344</v>
      </c>
      <c r="AA446" s="10">
        <f t="shared" si="24"/>
        <v>0.11385860897473167</v>
      </c>
      <c r="AB446" s="10">
        <f t="shared" si="25"/>
        <v>5.8487206014299714E-2</v>
      </c>
      <c r="AC446" s="10">
        <f t="shared" si="26"/>
        <v>2.7815391702400523</v>
      </c>
      <c r="AD446" s="10">
        <f t="shared" si="27"/>
        <v>1.5848864943541592</v>
      </c>
    </row>
    <row r="447" spans="1:30" x14ac:dyDescent="0.25">
      <c r="A447" s="33" t="s">
        <v>2339</v>
      </c>
      <c r="C447" s="39">
        <v>40847</v>
      </c>
      <c r="D447" s="53" t="s">
        <v>4672</v>
      </c>
      <c r="E447" s="4" t="str">
        <f>VLOOKUP(LEFT(D447,2),Sort!$A$1:$B$58,2,FALSE)</f>
        <v>Peru</v>
      </c>
      <c r="F447" s="4" t="e">
        <v>#N/A</v>
      </c>
      <c r="G447" s="18">
        <v>465215347</v>
      </c>
      <c r="H447" s="18">
        <v>469972494.89999998</v>
      </c>
      <c r="I447" s="10">
        <v>0.226536873</v>
      </c>
      <c r="J447" s="10">
        <v>14.869444</v>
      </c>
      <c r="K447" s="10">
        <v>9.4212690000000006</v>
      </c>
      <c r="L447" s="10">
        <v>6.7527530000000002</v>
      </c>
      <c r="M447" s="10">
        <v>6.7527530000000002</v>
      </c>
      <c r="N447" s="10">
        <v>437.13850000000002</v>
      </c>
      <c r="O447" s="10">
        <v>438.94959999999998</v>
      </c>
      <c r="P447" s="10">
        <v>8.9659530000000007</v>
      </c>
      <c r="Q447" s="10">
        <v>1.89E-2</v>
      </c>
      <c r="R447" s="10">
        <v>5.3824015239999996</v>
      </c>
      <c r="S447" s="10">
        <v>2.0734309999999998</v>
      </c>
      <c r="T447" s="10">
        <v>100.125</v>
      </c>
      <c r="U447" s="10">
        <v>101.125</v>
      </c>
      <c r="V447" s="10">
        <v>100.125</v>
      </c>
      <c r="W447" s="10">
        <v>101.125</v>
      </c>
      <c r="X447" s="4" t="s">
        <v>146</v>
      </c>
      <c r="Y447" s="4" t="s">
        <v>4673</v>
      </c>
      <c r="AA447" s="10">
        <f t="shared" si="24"/>
        <v>0.90449043452127598</v>
      </c>
      <c r="AB447" s="10">
        <f t="shared" si="25"/>
        <v>8.5539739280387078E-2</v>
      </c>
      <c r="AC447" s="10">
        <f t="shared" si="26"/>
        <v>5.8390859467575194</v>
      </c>
      <c r="AD447" s="10">
        <f t="shared" si="27"/>
        <v>0.32272981736544698</v>
      </c>
    </row>
    <row r="448" spans="1:30" x14ac:dyDescent="0.25">
      <c r="A448" s="33" t="s">
        <v>2342</v>
      </c>
      <c r="C448" s="39">
        <v>40847</v>
      </c>
      <c r="D448" s="53" t="s">
        <v>2346</v>
      </c>
      <c r="E448" s="4" t="str">
        <f>VLOOKUP(LEFT(D448,2),Sort!$A$1:$B$58,2,FALSE)</f>
        <v>Peru</v>
      </c>
      <c r="F448" s="4" t="s">
        <v>1007</v>
      </c>
      <c r="G448" s="18">
        <v>390825934</v>
      </c>
      <c r="H448" s="18">
        <v>373884716.30000001</v>
      </c>
      <c r="I448" s="10">
        <v>0.18022049200000001</v>
      </c>
      <c r="J448" s="10">
        <v>8.927778</v>
      </c>
      <c r="K448" s="10">
        <v>6.9855879999999999</v>
      </c>
      <c r="L448" s="10">
        <v>6.2292899999999998</v>
      </c>
      <c r="M448" s="10">
        <v>6.2292899999999998</v>
      </c>
      <c r="N448" s="10">
        <v>429.61529999999999</v>
      </c>
      <c r="O448" s="10">
        <v>439.18759999999997</v>
      </c>
      <c r="P448" s="10">
        <v>6.7755190000000001</v>
      </c>
      <c r="Q448" s="10">
        <v>1.67E-2</v>
      </c>
      <c r="R448" s="10">
        <v>4.053657447</v>
      </c>
      <c r="S448" s="10">
        <v>3.7992590229999998</v>
      </c>
      <c r="T448" s="10">
        <v>95.25</v>
      </c>
      <c r="U448" s="10">
        <v>96.75</v>
      </c>
      <c r="V448" s="10">
        <v>95.25</v>
      </c>
      <c r="W448" s="10">
        <v>96.75</v>
      </c>
      <c r="X448" s="4" t="s">
        <v>146</v>
      </c>
      <c r="Y448" s="4" t="s">
        <v>2347</v>
      </c>
      <c r="AA448" s="10">
        <f t="shared" si="24"/>
        <v>5.4965869339878841E-2</v>
      </c>
      <c r="AB448" s="10">
        <f t="shared" si="25"/>
        <v>6.2775600826325287E-2</v>
      </c>
      <c r="AC448" s="10">
        <f t="shared" si="26"/>
        <v>4.6477798704551558</v>
      </c>
      <c r="AD448" s="10">
        <f t="shared" si="27"/>
        <v>0.75829118157406838</v>
      </c>
    </row>
    <row r="449" spans="1:30" x14ac:dyDescent="0.25">
      <c r="A449" s="33" t="s">
        <v>2345</v>
      </c>
      <c r="C449" s="39">
        <v>40847</v>
      </c>
      <c r="D449" s="53" t="s">
        <v>2349</v>
      </c>
      <c r="E449" s="4" t="str">
        <f>VLOOKUP(LEFT(D449,2),Sort!$A$1:$B$58,2,FALSE)</f>
        <v>Peru</v>
      </c>
      <c r="F449" s="4" t="s">
        <v>1214</v>
      </c>
      <c r="G449" s="18">
        <v>293119451</v>
      </c>
      <c r="H449" s="18">
        <v>298028184.69999999</v>
      </c>
      <c r="I449" s="10">
        <v>0.143656009</v>
      </c>
      <c r="J449" s="10">
        <v>9.4222219999999997</v>
      </c>
      <c r="K449" s="10">
        <v>6.5697419999999997</v>
      </c>
      <c r="L449" s="10">
        <v>7.9155040000000003</v>
      </c>
      <c r="M449" s="10">
        <v>7.9155040000000003</v>
      </c>
      <c r="N449" s="10">
        <v>588.97410000000002</v>
      </c>
      <c r="O449" s="10">
        <v>608.7518</v>
      </c>
      <c r="P449" s="10">
        <v>6.3716689999999998</v>
      </c>
      <c r="Q449" s="10">
        <v>1.0165999999999999</v>
      </c>
      <c r="R449" s="10">
        <v>3.725022917</v>
      </c>
      <c r="S449" s="10">
        <v>7.1021980620000003</v>
      </c>
      <c r="T449" s="10">
        <v>101</v>
      </c>
      <c r="U449" s="10">
        <v>103</v>
      </c>
      <c r="V449" s="10">
        <v>101</v>
      </c>
      <c r="W449" s="10">
        <v>103</v>
      </c>
      <c r="X449" s="4" t="s">
        <v>146</v>
      </c>
      <c r="Y449" s="4" t="s">
        <v>2350</v>
      </c>
      <c r="AA449" s="10">
        <f t="shared" si="24"/>
        <v>4.1205773695198351E-2</v>
      </c>
      <c r="AB449" s="10">
        <f t="shared" si="25"/>
        <v>6.3584392495150036E-2</v>
      </c>
      <c r="AC449" s="10">
        <f t="shared" si="26"/>
        <v>9.8535418340724021</v>
      </c>
      <c r="AD449" s="10">
        <f t="shared" si="27"/>
        <v>0.20845037375524436</v>
      </c>
    </row>
    <row r="450" spans="1:30" x14ac:dyDescent="0.25">
      <c r="A450" s="33" t="s">
        <v>2348</v>
      </c>
      <c r="C450" s="39">
        <v>40847</v>
      </c>
      <c r="D450" s="53" t="s">
        <v>2352</v>
      </c>
      <c r="E450" s="4" t="str">
        <f>VLOOKUP(LEFT(D450,2),Sort!$A$1:$B$58,2,FALSE)</f>
        <v>Peru</v>
      </c>
      <c r="F450" s="4" t="s">
        <v>1214</v>
      </c>
      <c r="G450" s="18">
        <v>390825934</v>
      </c>
      <c r="H450" s="18">
        <v>407923861.19999999</v>
      </c>
      <c r="I450" s="10">
        <v>0.196628094</v>
      </c>
      <c r="J450" s="10">
        <v>8.4527780000000003</v>
      </c>
      <c r="K450" s="10">
        <v>6.9455470000000004</v>
      </c>
      <c r="L450" s="10">
        <v>4.4763909999999996</v>
      </c>
      <c r="M450" s="10">
        <v>4.4763909999999996</v>
      </c>
      <c r="N450" s="10">
        <v>263.22370000000001</v>
      </c>
      <c r="O450" s="10">
        <v>269.83089999999999</v>
      </c>
      <c r="P450" s="10">
        <v>6.7484440000000001</v>
      </c>
      <c r="Q450" s="10">
        <v>1.3958999999999999</v>
      </c>
      <c r="R450" s="10">
        <v>2.7986410720000001</v>
      </c>
      <c r="S450" s="10">
        <v>7.2822787419999999</v>
      </c>
      <c r="T450" s="10">
        <v>104.121</v>
      </c>
      <c r="U450" s="10">
        <v>106.264</v>
      </c>
      <c r="V450" s="10">
        <v>104.121</v>
      </c>
      <c r="W450" s="10">
        <v>106.264</v>
      </c>
      <c r="X450" s="4" t="s">
        <v>146</v>
      </c>
      <c r="Y450" s="4" t="s">
        <v>2353</v>
      </c>
      <c r="AA450" s="10">
        <f t="shared" si="24"/>
        <v>5.9626317057255324E-2</v>
      </c>
      <c r="AB450" s="10">
        <f t="shared" si="25"/>
        <v>2.5343360331386903E-2</v>
      </c>
      <c r="AC450" s="10">
        <f t="shared" si="26"/>
        <v>1.0909363295356087</v>
      </c>
      <c r="AD450" s="10">
        <f t="shared" si="27"/>
        <v>0.29435633394823335</v>
      </c>
    </row>
    <row r="451" spans="1:30" x14ac:dyDescent="0.25">
      <c r="A451" s="33" t="s">
        <v>2351</v>
      </c>
      <c r="C451" s="39">
        <v>40847</v>
      </c>
      <c r="D451" s="53" t="s">
        <v>2355</v>
      </c>
      <c r="E451" s="4" t="str">
        <f>VLOOKUP(LEFT(D451,2),Sort!$A$1:$B$58,2,FALSE)</f>
        <v>Peru</v>
      </c>
      <c r="F451" s="4" t="s">
        <v>1214</v>
      </c>
      <c r="G451" s="18">
        <v>1074771319</v>
      </c>
      <c r="H451" s="18">
        <v>1122757171</v>
      </c>
      <c r="I451" s="10">
        <v>0.54119315800000001</v>
      </c>
      <c r="J451" s="10">
        <v>28.452777999999999</v>
      </c>
      <c r="K451" s="10">
        <v>13.211696999999999</v>
      </c>
      <c r="L451" s="10">
        <v>6.2303160000000002</v>
      </c>
      <c r="M451" s="10">
        <v>6.2303160000000002</v>
      </c>
      <c r="N451" s="10">
        <v>315.89150000000001</v>
      </c>
      <c r="O451" s="10">
        <v>340.8449</v>
      </c>
      <c r="P451" s="10">
        <v>12.284572000000001</v>
      </c>
      <c r="Q451" s="10">
        <v>3.1139999999999999</v>
      </c>
      <c r="R451" s="10">
        <v>6.7038997780000003</v>
      </c>
      <c r="S451" s="10">
        <v>5.4730228990000001</v>
      </c>
      <c r="T451" s="10">
        <v>104.146</v>
      </c>
      <c r="U451" s="10">
        <v>106.881</v>
      </c>
      <c r="V451" s="10">
        <v>104.146</v>
      </c>
      <c r="W451" s="10">
        <v>106.881</v>
      </c>
      <c r="X451" s="4" t="s">
        <v>146</v>
      </c>
      <c r="Y451" s="4" t="s">
        <v>2356</v>
      </c>
      <c r="AA451" s="10">
        <f t="shared" si="24"/>
        <v>0.76190867093183501</v>
      </c>
      <c r="AB451" s="10">
        <f t="shared" si="25"/>
        <v>0.18854304995674376</v>
      </c>
      <c r="AC451" s="10">
        <f t="shared" si="26"/>
        <v>3.7928987585152045</v>
      </c>
      <c r="AD451" s="10">
        <f t="shared" si="27"/>
        <v>0.81488150703456708</v>
      </c>
    </row>
    <row r="452" spans="1:30" x14ac:dyDescent="0.25">
      <c r="A452" s="33" t="s">
        <v>2354</v>
      </c>
      <c r="C452" s="39">
        <v>40847</v>
      </c>
      <c r="D452" s="53" t="s">
        <v>2358</v>
      </c>
      <c r="E452" s="4" t="str">
        <f>VLOOKUP(LEFT(D452,2),Sort!$A$1:$B$58,2,FALSE)</f>
        <v>Peru</v>
      </c>
      <c r="F452" s="4" t="s">
        <v>1214</v>
      </c>
      <c r="G452" s="18">
        <v>956448767</v>
      </c>
      <c r="H452" s="18">
        <v>1092800103</v>
      </c>
      <c r="I452" s="10">
        <v>0.526753205</v>
      </c>
      <c r="J452" s="10">
        <v>23.733332999999998</v>
      </c>
      <c r="K452" s="10">
        <v>11.864947000000001</v>
      </c>
      <c r="L452" s="10">
        <v>6.2803360000000001</v>
      </c>
      <c r="M452" s="10">
        <v>6.2803360000000001</v>
      </c>
      <c r="N452" s="10">
        <v>344.86829999999998</v>
      </c>
      <c r="O452" s="10">
        <v>357.84179999999998</v>
      </c>
      <c r="P452" s="10">
        <v>11.103659</v>
      </c>
      <c r="Q452" s="10">
        <v>2.7915000000000001</v>
      </c>
      <c r="R452" s="10">
        <v>6.0049300299999997</v>
      </c>
      <c r="S452" s="10">
        <v>6.4630489850000004</v>
      </c>
      <c r="T452" s="10">
        <v>112.256</v>
      </c>
      <c r="U452" s="10">
        <v>114.93</v>
      </c>
      <c r="V452" s="10">
        <v>112.256</v>
      </c>
      <c r="W452" s="10">
        <v>114.93</v>
      </c>
      <c r="X452" s="4" t="s">
        <v>146</v>
      </c>
      <c r="Y452" s="4" t="s">
        <v>2359</v>
      </c>
      <c r="AA452" s="10">
        <f t="shared" si="24"/>
        <v>0.66598585235119356</v>
      </c>
      <c r="AB452" s="10">
        <f t="shared" si="25"/>
        <v>0.18498572780116621</v>
      </c>
      <c r="AC452" s="10">
        <f t="shared" si="26"/>
        <v>3.8757915348415453</v>
      </c>
      <c r="AD452" s="10">
        <f t="shared" si="27"/>
        <v>0.85286884471100877</v>
      </c>
    </row>
    <row r="453" spans="1:30" x14ac:dyDescent="0.25">
      <c r="A453" s="33" t="s">
        <v>2357</v>
      </c>
      <c r="C453" s="39">
        <v>40847</v>
      </c>
      <c r="D453" s="53" t="s">
        <v>2361</v>
      </c>
      <c r="E453" s="4" t="str">
        <f>VLOOKUP(LEFT(D453,2),Sort!$A$1:$B$58,2,FALSE)</f>
        <v>Philippines</v>
      </c>
      <c r="F453" s="4" t="s">
        <v>1014</v>
      </c>
      <c r="G453" s="18">
        <v>500000000</v>
      </c>
      <c r="H453" s="18">
        <v>501770835</v>
      </c>
      <c r="I453" s="10">
        <v>0.241864358</v>
      </c>
      <c r="J453" s="10">
        <v>5.7916670000000003</v>
      </c>
      <c r="K453" s="10">
        <v>4.7697570000000002</v>
      </c>
      <c r="L453" s="10">
        <v>6.2887690000000003</v>
      </c>
      <c r="M453" s="10">
        <v>6.2887690000000003</v>
      </c>
      <c r="N453" s="10">
        <v>507.26229999999998</v>
      </c>
      <c r="O453" s="10">
        <v>514.00459999999998</v>
      </c>
      <c r="P453" s="10">
        <v>4.7003370000000002</v>
      </c>
      <c r="Q453" s="10">
        <v>1.7999999999999999E-2</v>
      </c>
      <c r="R453" s="10">
        <v>6.931968028</v>
      </c>
      <c r="S453" s="10">
        <v>7.0594650669999996</v>
      </c>
      <c r="T453" s="10">
        <v>99</v>
      </c>
      <c r="U453" s="10">
        <v>101</v>
      </c>
      <c r="V453" s="10">
        <v>99</v>
      </c>
      <c r="W453" s="10">
        <v>101</v>
      </c>
      <c r="X453" s="4" t="s">
        <v>146</v>
      </c>
      <c r="Y453" s="4" t="s">
        <v>2362</v>
      </c>
      <c r="AA453" s="10">
        <f t="shared" ref="AA453:AA516" si="28">IF(K453&lt;1.99,($H453/$H$629)*K453,IF(AND(K453&gt;1.99,K453&lt;3.99),($H453/$H$630)*K453,IF(AND(K453&gt;3.99,K453&lt;5.99),($H453/$H$631)*K453,IF(AND(K453&gt;5.99,K453&lt;7.99),($H453/$H$632)*K453,IF(AND(K453&gt;7.99,K453&lt;9.99),($H453/$H$633)*K453,IF(K453&gt;9.99,($H453/$H$634)*K453))))))</f>
        <v>5.2122312911089451E-2</v>
      </c>
      <c r="AB453" s="10">
        <f t="shared" ref="AB453:AB516" si="29">IF(M453&lt;1.99,($H453/$H$613)*M453,IF(AND(M453&gt;1.99,M453&lt;3.99),($H453/$H$614)*M453,IF(AND(M453&gt;3.99,M453&lt;5.99),($H453/$H$615)*M453,IF(AND(M453&gt;5.99,M453&lt;7.99),($H453/$H$616)*M453,IF(AND(M453&gt;7.99,M453&lt;9.99),($H453/$H$617)*M453,IF(M453&gt;9.99,($H453/$H$618)*M453))))))</f>
        <v>8.5052223789009215E-2</v>
      </c>
      <c r="AC453" s="10">
        <f t="shared" ref="AC453:AC516" si="30">IF(O453&lt;199.99,($H453/$H$621)*O453,IF(AND(O453&gt;199.99,O453&lt;399.99),($H453/$H$622)*O453,IF(AND(O453&gt;399.99,O453&lt;599.99),($H453/$H$623)*O453,IF(AND(O453&gt;599.99,O453&lt;799.99),($H453/$H$624)*O453,IF(AND(O453&gt;799.99,O453&lt;999.99),($H453/$H$625)*O453,IF(O453&gt;999.99,($H453/$H$626)*O453))))))</f>
        <v>7.3001231897847685</v>
      </c>
      <c r="AD453" s="10">
        <f t="shared" ref="AD453:AD516" si="31">IF(U453&lt;49.99,($H453/$H$637)*U453,IF(AND(U453&gt;49.99,U453&lt;79.99),($H453/$H$638)*U453,IF(AND(U453&gt;79.99,U453&lt;99.99),($H453/$H$639)*U453,IF(AND(U453&gt;99.99,U453&lt;119.99),($H453/$H$640)*U453,IF(AND(U453&gt;119.99,U453&lt;139.99),($H453/$H$641)*U453,IF(U453&gt;139.99,($H453/$H$642)*U453))))))</f>
        <v>0.34413980196388427</v>
      </c>
    </row>
    <row r="454" spans="1:30" x14ac:dyDescent="0.25">
      <c r="A454" s="33" t="s">
        <v>2360</v>
      </c>
      <c r="C454" s="39">
        <v>40847</v>
      </c>
      <c r="D454" s="53" t="s">
        <v>2364</v>
      </c>
      <c r="E454" s="4" t="str">
        <f>VLOOKUP(LEFT(D454,2),Sort!$A$1:$B$58,2,FALSE)</f>
        <v>Philippines</v>
      </c>
      <c r="F454" s="4" t="s">
        <v>1014</v>
      </c>
      <c r="G454" s="18">
        <v>300000000</v>
      </c>
      <c r="H454" s="18">
        <v>305579166</v>
      </c>
      <c r="I454" s="10">
        <v>0.14729574500000001</v>
      </c>
      <c r="J454" s="10">
        <v>9.213889</v>
      </c>
      <c r="K454" s="10">
        <v>6.9353360000000004</v>
      </c>
      <c r="L454" s="10">
        <v>6.0684430000000003</v>
      </c>
      <c r="M454" s="10">
        <v>6.0684430000000003</v>
      </c>
      <c r="N454" s="10">
        <v>408.17079999999999</v>
      </c>
      <c r="O454" s="10">
        <v>420.47489999999999</v>
      </c>
      <c r="P454" s="10">
        <v>6.7208129999999997</v>
      </c>
      <c r="Q454" s="10">
        <v>1.77E-2</v>
      </c>
      <c r="R454" s="10">
        <v>5.1681344339999997</v>
      </c>
      <c r="S454" s="10">
        <v>6.2520740000000004</v>
      </c>
      <c r="T454" s="10">
        <v>100</v>
      </c>
      <c r="U454" s="10">
        <v>103</v>
      </c>
      <c r="V454" s="10">
        <v>100</v>
      </c>
      <c r="W454" s="10">
        <v>103</v>
      </c>
      <c r="X454" s="4" t="s">
        <v>146</v>
      </c>
      <c r="Y454" s="4" t="s">
        <v>2365</v>
      </c>
      <c r="AA454" s="10">
        <f t="shared" si="28"/>
        <v>4.4600904730492594E-2</v>
      </c>
      <c r="AB454" s="10">
        <f t="shared" si="29"/>
        <v>4.9982230657691605E-2</v>
      </c>
      <c r="AC454" s="10">
        <f t="shared" si="30"/>
        <v>3.6368181497545402</v>
      </c>
      <c r="AD454" s="10">
        <f t="shared" si="31"/>
        <v>0.21373176979430783</v>
      </c>
    </row>
    <row r="455" spans="1:30" x14ac:dyDescent="0.25">
      <c r="A455" s="33" t="s">
        <v>2363</v>
      </c>
      <c r="C455" s="39">
        <v>40847</v>
      </c>
      <c r="D455" s="53" t="s">
        <v>2367</v>
      </c>
      <c r="E455" s="4" t="str">
        <f>VLOOKUP(LEFT(D455,2),Sort!$A$1:$B$58,2,FALSE)</f>
        <v>Philippines</v>
      </c>
      <c r="F455" s="4" t="s">
        <v>1014</v>
      </c>
      <c r="G455" s="18">
        <v>400000000</v>
      </c>
      <c r="H455" s="18">
        <v>406479168</v>
      </c>
      <c r="I455" s="10">
        <v>0.195931721</v>
      </c>
      <c r="J455" s="10">
        <v>8.9027779999999996</v>
      </c>
      <c r="K455" s="10">
        <v>6.8884970000000001</v>
      </c>
      <c r="L455" s="10">
        <v>5.7925680000000002</v>
      </c>
      <c r="M455" s="10">
        <v>5.7925680000000002</v>
      </c>
      <c r="N455" s="10">
        <v>386.41140000000001</v>
      </c>
      <c r="O455" s="10">
        <v>397.15339999999998</v>
      </c>
      <c r="P455" s="10">
        <v>6.6840929999999998</v>
      </c>
      <c r="Q455" s="10">
        <v>1.7399999999999999E-2</v>
      </c>
      <c r="R455" s="10">
        <v>7.9637886880000002</v>
      </c>
      <c r="S455" s="10">
        <v>7.6049078630000002</v>
      </c>
      <c r="T455" s="10">
        <v>101</v>
      </c>
      <c r="U455" s="10">
        <v>104</v>
      </c>
      <c r="V455" s="10">
        <v>101</v>
      </c>
      <c r="W455" s="10">
        <v>104</v>
      </c>
      <c r="X455" s="4" t="s">
        <v>146</v>
      </c>
      <c r="Y455" s="4" t="s">
        <v>2368</v>
      </c>
      <c r="AA455" s="10">
        <f t="shared" si="28"/>
        <v>5.8927116123232724E-2</v>
      </c>
      <c r="AB455" s="10">
        <f t="shared" si="29"/>
        <v>3.2678830704004819E-2</v>
      </c>
      <c r="AC455" s="10">
        <f t="shared" si="30"/>
        <v>1.6000191871146425</v>
      </c>
      <c r="AD455" s="10">
        <f t="shared" si="31"/>
        <v>0.28706467165065808</v>
      </c>
    </row>
    <row r="456" spans="1:30" x14ac:dyDescent="0.25">
      <c r="A456" s="33" t="s">
        <v>2366</v>
      </c>
      <c r="C456" s="39">
        <v>40847</v>
      </c>
      <c r="D456" s="53" t="s">
        <v>2370</v>
      </c>
      <c r="E456" s="4" t="str">
        <f>VLOOKUP(LEFT(D456,2),Sort!$A$1:$B$58,2,FALSE)</f>
        <v>Philippines</v>
      </c>
      <c r="F456" s="4" t="s">
        <v>1007</v>
      </c>
      <c r="G456" s="18">
        <v>300000000</v>
      </c>
      <c r="H456" s="18">
        <v>322584375</v>
      </c>
      <c r="I456" s="10">
        <v>0.155492622</v>
      </c>
      <c r="J456" s="10">
        <v>5.7249999999999996</v>
      </c>
      <c r="K456" s="10">
        <v>4.6532239999999998</v>
      </c>
      <c r="L456" s="10">
        <v>5.615666</v>
      </c>
      <c r="M456" s="10">
        <v>5.615666</v>
      </c>
      <c r="N456" s="10">
        <v>441.91539999999998</v>
      </c>
      <c r="O456" s="10">
        <v>449.59160000000003</v>
      </c>
      <c r="P456" s="10">
        <v>4.5897009999999998</v>
      </c>
      <c r="Q456" s="10">
        <v>1.9099999999999999E-2</v>
      </c>
      <c r="R456" s="10">
        <v>7.0416060639999998</v>
      </c>
      <c r="S456" s="10">
        <v>5.0026779430000001</v>
      </c>
      <c r="T456" s="10">
        <v>105.5</v>
      </c>
      <c r="U456" s="10">
        <v>108.5</v>
      </c>
      <c r="V456" s="10">
        <v>105.5</v>
      </c>
      <c r="W456" s="10">
        <v>108.5</v>
      </c>
      <c r="X456" s="4" t="s">
        <v>146</v>
      </c>
      <c r="Y456" s="4" t="s">
        <v>2371</v>
      </c>
      <c r="AA456" s="10">
        <f t="shared" si="28"/>
        <v>3.2690329455258287E-2</v>
      </c>
      <c r="AB456" s="10">
        <f t="shared" si="29"/>
        <v>2.5142107095510863E-2</v>
      </c>
      <c r="AC456" s="10">
        <f t="shared" si="30"/>
        <v>4.1050578774852822</v>
      </c>
      <c r="AD456" s="10">
        <f t="shared" si="31"/>
        <v>0.23767372991882094</v>
      </c>
    </row>
    <row r="457" spans="1:30" x14ac:dyDescent="0.25">
      <c r="A457" s="33" t="s">
        <v>2369</v>
      </c>
      <c r="C457" s="39">
        <v>40847</v>
      </c>
      <c r="D457" s="53" t="s">
        <v>2373</v>
      </c>
      <c r="E457" s="4" t="str">
        <f>VLOOKUP(LEFT(D457,2),Sort!$A$1:$B$58,2,FALSE)</f>
        <v>Philippines</v>
      </c>
      <c r="F457" s="4" t="s">
        <v>1014</v>
      </c>
      <c r="G457" s="18">
        <v>450000000</v>
      </c>
      <c r="H457" s="18">
        <v>463240624.5</v>
      </c>
      <c r="I457" s="10">
        <v>0.22329196600000001</v>
      </c>
      <c r="J457" s="10">
        <v>8.3722220000000007</v>
      </c>
      <c r="K457" s="10">
        <v>6.308656</v>
      </c>
      <c r="L457" s="10">
        <v>6.5867360000000001</v>
      </c>
      <c r="M457" s="10">
        <v>6.5867360000000001</v>
      </c>
      <c r="N457" s="10">
        <v>475.76729999999998</v>
      </c>
      <c r="O457" s="10">
        <v>488.39589999999998</v>
      </c>
      <c r="P457" s="10">
        <v>6.1403990000000004</v>
      </c>
      <c r="Q457" s="10">
        <v>1.9900000000000001E-2</v>
      </c>
      <c r="R457" s="10">
        <v>3.5963119190000001</v>
      </c>
      <c r="S457" s="10">
        <v>1.8554157170000001</v>
      </c>
      <c r="T457" s="10">
        <v>102</v>
      </c>
      <c r="U457" s="10">
        <v>105</v>
      </c>
      <c r="V457" s="10">
        <v>102</v>
      </c>
      <c r="W457" s="10">
        <v>105</v>
      </c>
      <c r="X457" s="4" t="s">
        <v>146</v>
      </c>
      <c r="Y457" s="4" t="s">
        <v>2374</v>
      </c>
      <c r="AA457" s="10">
        <f t="shared" si="28"/>
        <v>6.1502944144629298E-2</v>
      </c>
      <c r="AB457" s="10">
        <f t="shared" si="29"/>
        <v>8.2241592544656239E-2</v>
      </c>
      <c r="AC457" s="10">
        <f t="shared" si="30"/>
        <v>6.4037801912913332</v>
      </c>
      <c r="AD457" s="10">
        <f t="shared" si="31"/>
        <v>0.33029656217051678</v>
      </c>
    </row>
    <row r="458" spans="1:30" x14ac:dyDescent="0.25">
      <c r="A458" s="33" t="s">
        <v>2372</v>
      </c>
      <c r="C458" s="39">
        <v>40847</v>
      </c>
      <c r="D458" s="53" t="s">
        <v>2376</v>
      </c>
      <c r="E458" s="4" t="str">
        <f>VLOOKUP(LEFT(D458,2),Sort!$A$1:$B$58,2,FALSE)</f>
        <v>Philippines</v>
      </c>
      <c r="F458" s="4" t="s">
        <v>1014</v>
      </c>
      <c r="G458" s="18">
        <v>300000000</v>
      </c>
      <c r="H458" s="18">
        <v>318999999</v>
      </c>
      <c r="I458" s="10">
        <v>0.15376487599999999</v>
      </c>
      <c r="J458" s="10">
        <v>1.2083330000000001</v>
      </c>
      <c r="K458" s="10">
        <v>1.156139</v>
      </c>
      <c r="L458" s="10">
        <v>2.0985239999999998</v>
      </c>
      <c r="M458" s="10">
        <v>2.0985239999999998</v>
      </c>
      <c r="N458" s="10">
        <v>197.10659999999999</v>
      </c>
      <c r="O458" s="10">
        <v>197.3038</v>
      </c>
      <c r="P458" s="10">
        <v>1.1418839999999999</v>
      </c>
      <c r="Q458" s="10">
        <v>2.0899999999999998E-2</v>
      </c>
      <c r="R458" s="10">
        <v>0.58860627300000001</v>
      </c>
      <c r="S458" s="10">
        <v>5.3706147900000003</v>
      </c>
      <c r="T458" s="10">
        <v>104</v>
      </c>
      <c r="U458" s="10">
        <v>107</v>
      </c>
      <c r="V458" s="10">
        <v>104</v>
      </c>
      <c r="W458" s="10">
        <v>107</v>
      </c>
      <c r="X458" s="4" t="s">
        <v>146</v>
      </c>
      <c r="Y458" s="4" t="s">
        <v>2377</v>
      </c>
      <c r="AA458" s="10">
        <f t="shared" si="28"/>
        <v>2.2476177789154787E-2</v>
      </c>
      <c r="AB458" s="10">
        <f t="shared" si="29"/>
        <v>1.0895254144888436E-2</v>
      </c>
      <c r="AC458" s="10">
        <f t="shared" si="30"/>
        <v>2.2053950003055856</v>
      </c>
      <c r="AD458" s="10">
        <f t="shared" si="31"/>
        <v>0.23178353137114785</v>
      </c>
    </row>
    <row r="459" spans="1:30" x14ac:dyDescent="0.25">
      <c r="A459" s="33" t="s">
        <v>2375</v>
      </c>
      <c r="C459" s="39">
        <v>40847</v>
      </c>
      <c r="D459" s="53" t="s">
        <v>2379</v>
      </c>
      <c r="E459" s="4" t="str">
        <f>VLOOKUP(LEFT(D459,2),Sort!$A$1:$B$58,2,FALSE)</f>
        <v>Philippines</v>
      </c>
      <c r="F459" s="4" t="s">
        <v>1014</v>
      </c>
      <c r="G459" s="18">
        <v>400000000</v>
      </c>
      <c r="H459" s="18">
        <v>397222224</v>
      </c>
      <c r="I459" s="10">
        <v>0.19146967400000001</v>
      </c>
      <c r="J459" s="10">
        <v>5.9444439999999998</v>
      </c>
      <c r="K459" s="10">
        <v>5.0752490000000003</v>
      </c>
      <c r="L459" s="10">
        <v>5.3009769999999996</v>
      </c>
      <c r="M459" s="10">
        <v>5.3009769999999996</v>
      </c>
      <c r="N459" s="10">
        <v>403.98379999999997</v>
      </c>
      <c r="O459" s="10">
        <v>409.21559999999999</v>
      </c>
      <c r="P459" s="10">
        <v>4.995787</v>
      </c>
      <c r="Q459" s="10">
        <v>1.54E-2</v>
      </c>
      <c r="R459" s="10">
        <v>6.91664105</v>
      </c>
      <c r="S459" s="10">
        <v>5.6216548700000004</v>
      </c>
      <c r="T459" s="10">
        <v>99</v>
      </c>
      <c r="U459" s="10">
        <v>101</v>
      </c>
      <c r="V459" s="10">
        <v>99</v>
      </c>
      <c r="W459" s="10">
        <v>101</v>
      </c>
      <c r="X459" s="4" t="s">
        <v>146</v>
      </c>
      <c r="Y459" s="4" t="s">
        <v>2380</v>
      </c>
      <c r="AA459" s="10">
        <f t="shared" si="28"/>
        <v>4.3904891004152222E-2</v>
      </c>
      <c r="AB459" s="10">
        <f t="shared" si="29"/>
        <v>2.9224462564972003E-2</v>
      </c>
      <c r="AC459" s="10">
        <f t="shared" si="30"/>
        <v>4.6009073580839051</v>
      </c>
      <c r="AD459" s="10">
        <f t="shared" si="31"/>
        <v>0.27243507985675114</v>
      </c>
    </row>
    <row r="460" spans="1:30" x14ac:dyDescent="0.25">
      <c r="A460" s="33" t="s">
        <v>2378</v>
      </c>
      <c r="C460" s="39">
        <v>40847</v>
      </c>
      <c r="D460" s="53" t="s">
        <v>2382</v>
      </c>
      <c r="E460" s="4" t="str">
        <f>VLOOKUP(LEFT(D460,2),Sort!$A$1:$B$58,2,FALSE)</f>
        <v>Philippines</v>
      </c>
      <c r="F460" s="4" t="s">
        <v>1059</v>
      </c>
      <c r="G460" s="18">
        <v>379156000</v>
      </c>
      <c r="H460" s="18">
        <v>385538458.10000002</v>
      </c>
      <c r="I460" s="10">
        <v>0.185837847</v>
      </c>
      <c r="J460" s="10">
        <v>2.8861110000000001</v>
      </c>
      <c r="K460" s="10">
        <v>2.6196459999999999</v>
      </c>
      <c r="L460" s="10">
        <v>4.8708</v>
      </c>
      <c r="M460" s="10">
        <v>4.8708</v>
      </c>
      <c r="N460" s="10">
        <v>448.91109999999998</v>
      </c>
      <c r="O460" s="10">
        <v>450.7808</v>
      </c>
      <c r="P460" s="10">
        <v>2.6156069999999998</v>
      </c>
      <c r="Q460" s="10">
        <v>1.6400000000000001E-2</v>
      </c>
      <c r="R460" s="10">
        <v>0.95978802799999996</v>
      </c>
      <c r="S460" s="10">
        <v>0.62427596299999999</v>
      </c>
      <c r="T460" s="10">
        <v>101</v>
      </c>
      <c r="U460" s="10">
        <v>103</v>
      </c>
      <c r="V460" s="10">
        <v>101</v>
      </c>
      <c r="W460" s="10">
        <v>103</v>
      </c>
      <c r="X460" s="4" t="s">
        <v>146</v>
      </c>
      <c r="Y460" s="4" t="s">
        <v>2383</v>
      </c>
      <c r="AA460" s="10">
        <f t="shared" si="28"/>
        <v>1.3787622909419053E-2</v>
      </c>
      <c r="AB460" s="10">
        <f t="shared" si="29"/>
        <v>2.6063040460856841E-2</v>
      </c>
      <c r="AC460" s="10">
        <f t="shared" si="30"/>
        <v>4.9191592756040672</v>
      </c>
      <c r="AD460" s="10">
        <f t="shared" si="31"/>
        <v>0.26965783712323371</v>
      </c>
    </row>
    <row r="461" spans="1:30" x14ac:dyDescent="0.25">
      <c r="A461" s="33" t="s">
        <v>2381</v>
      </c>
      <c r="C461" s="39">
        <v>40847</v>
      </c>
      <c r="D461" s="53" t="s">
        <v>2385</v>
      </c>
      <c r="E461" s="4" t="str">
        <f>VLOOKUP(LEFT(D461,2),Sort!$A$1:$B$58,2,FALSE)</f>
        <v>Philippines</v>
      </c>
      <c r="F461" s="4" t="s">
        <v>1014</v>
      </c>
      <c r="G461" s="18">
        <v>300000000</v>
      </c>
      <c r="H461" s="18">
        <v>302541666</v>
      </c>
      <c r="I461" s="10">
        <v>0.145831604</v>
      </c>
      <c r="J461" s="10">
        <v>4.2361110000000002</v>
      </c>
      <c r="K461" s="10">
        <v>3.583431</v>
      </c>
      <c r="L461" s="10">
        <v>6.4491319999999996</v>
      </c>
      <c r="M461" s="10">
        <v>6.4491319999999996</v>
      </c>
      <c r="N461" s="10">
        <v>568.91880000000003</v>
      </c>
      <c r="O461" s="10">
        <v>574.31290000000001</v>
      </c>
      <c r="P461" s="10">
        <v>3.5619740000000002</v>
      </c>
      <c r="Q461" s="10">
        <v>1.9300000000000001E-2</v>
      </c>
      <c r="R461" s="10">
        <v>4.1780234839999997</v>
      </c>
      <c r="S461" s="10">
        <v>-0.41070800000000002</v>
      </c>
      <c r="T461" s="10">
        <v>99</v>
      </c>
      <c r="U461" s="10">
        <v>102</v>
      </c>
      <c r="V461" s="10">
        <v>99</v>
      </c>
      <c r="W461" s="10">
        <v>102</v>
      </c>
      <c r="X461" s="4" t="s">
        <v>146</v>
      </c>
      <c r="Y461" s="4" t="s">
        <v>2386</v>
      </c>
      <c r="AA461" s="10">
        <f t="shared" si="28"/>
        <v>1.480005480042906E-2</v>
      </c>
      <c r="AB461" s="10">
        <f t="shared" si="29"/>
        <v>5.2589746365044536E-2</v>
      </c>
      <c r="AC461" s="10">
        <f t="shared" si="30"/>
        <v>4.9180340808548904</v>
      </c>
      <c r="AD461" s="10">
        <f t="shared" si="31"/>
        <v>0.2095528065838328</v>
      </c>
    </row>
    <row r="462" spans="1:30" x14ac:dyDescent="0.25">
      <c r="A462" s="33" t="s">
        <v>2384</v>
      </c>
      <c r="C462" s="39">
        <v>40847</v>
      </c>
      <c r="D462" s="53" t="s">
        <v>2388</v>
      </c>
      <c r="E462" s="4" t="str">
        <f>VLOOKUP(LEFT(D462,2),Sort!$A$1:$B$58,2,FALSE)</f>
        <v>Philippines</v>
      </c>
      <c r="F462" s="4" t="s">
        <v>1059</v>
      </c>
      <c r="G462" s="18">
        <v>300000000</v>
      </c>
      <c r="H462" s="18">
        <v>297000000</v>
      </c>
      <c r="I462" s="10">
        <v>0.14316040199999999</v>
      </c>
      <c r="J462" s="10">
        <v>6</v>
      </c>
      <c r="K462" s="10">
        <v>4.9202859999999999</v>
      </c>
      <c r="L462" s="10">
        <v>6.6948860000000003</v>
      </c>
      <c r="M462" s="10">
        <v>6.6948860000000003</v>
      </c>
      <c r="N462" s="10">
        <v>541.73860000000002</v>
      </c>
      <c r="O462" s="10">
        <v>549.24969999999996</v>
      </c>
      <c r="P462" s="10">
        <v>4.842022</v>
      </c>
      <c r="Q462" s="10">
        <v>1.8700000000000001E-2</v>
      </c>
      <c r="R462" s="10">
        <v>6.8151800979999999</v>
      </c>
      <c r="S462" s="10">
        <v>7.6215777390000001</v>
      </c>
      <c r="T462" s="10">
        <v>99</v>
      </c>
      <c r="U462" s="10">
        <v>101</v>
      </c>
      <c r="V462" s="10">
        <v>99</v>
      </c>
      <c r="W462" s="10">
        <v>101</v>
      </c>
      <c r="X462" s="4" t="s">
        <v>146</v>
      </c>
      <c r="Y462" s="4" t="s">
        <v>2389</v>
      </c>
      <c r="AA462" s="10">
        <f t="shared" si="28"/>
        <v>3.1825028944681331E-2</v>
      </c>
      <c r="AB462" s="10">
        <f t="shared" si="29"/>
        <v>5.3593763031118971E-2</v>
      </c>
      <c r="AC462" s="10">
        <f t="shared" si="30"/>
        <v>4.6172569771756251</v>
      </c>
      <c r="AD462" s="10">
        <f t="shared" si="31"/>
        <v>0.20369761264277872</v>
      </c>
    </row>
    <row r="463" spans="1:30" x14ac:dyDescent="0.25">
      <c r="A463" s="33" t="s">
        <v>2387</v>
      </c>
      <c r="C463" s="39">
        <v>40847</v>
      </c>
      <c r="D463" s="53" t="s">
        <v>2391</v>
      </c>
      <c r="E463" s="4" t="str">
        <f>VLOOKUP(LEFT(D463,2),Sort!$A$1:$B$58,2,FALSE)</f>
        <v>Qatar</v>
      </c>
      <c r="F463" s="4" t="s">
        <v>1007</v>
      </c>
      <c r="G463" s="18">
        <v>779944131</v>
      </c>
      <c r="H463" s="18">
        <v>846564361.5</v>
      </c>
      <c r="I463" s="10">
        <v>0.40806227</v>
      </c>
      <c r="J463" s="10">
        <v>3.0416669999999999</v>
      </c>
      <c r="K463" s="10">
        <v>2.7752889999999999</v>
      </c>
      <c r="L463" s="10">
        <v>2.674115</v>
      </c>
      <c r="M463" s="10">
        <v>2.674115</v>
      </c>
      <c r="N463" s="10">
        <v>226.29480000000001</v>
      </c>
      <c r="O463" s="10">
        <v>227.55119999999999</v>
      </c>
      <c r="P463" s="10">
        <v>2.768945</v>
      </c>
      <c r="Q463" s="10">
        <v>1.2800000000000001E-2</v>
      </c>
      <c r="R463" s="10">
        <v>1.060389934</v>
      </c>
      <c r="S463" s="10">
        <v>5.9056747239999998</v>
      </c>
      <c r="T463" s="10">
        <v>106.25</v>
      </c>
      <c r="U463" s="10">
        <v>106.75</v>
      </c>
      <c r="V463" s="10">
        <v>106.25</v>
      </c>
      <c r="W463" s="10">
        <v>106.75</v>
      </c>
      <c r="X463" s="4" t="s">
        <v>146</v>
      </c>
      <c r="Y463" s="4" t="s">
        <v>2392</v>
      </c>
      <c r="AA463" s="10">
        <f t="shared" si="28"/>
        <v>3.2073568265086005E-2</v>
      </c>
      <c r="AB463" s="10">
        <f t="shared" si="29"/>
        <v>3.6844511666609493E-2</v>
      </c>
      <c r="AC463" s="10">
        <f t="shared" si="30"/>
        <v>1.9092716529974669</v>
      </c>
      <c r="AD463" s="10">
        <f t="shared" si="31"/>
        <v>0.61367153813569308</v>
      </c>
    </row>
    <row r="464" spans="1:30" x14ac:dyDescent="0.25">
      <c r="A464" s="33" t="s">
        <v>2390</v>
      </c>
      <c r="C464" s="39">
        <v>40847</v>
      </c>
      <c r="D464" s="53" t="s">
        <v>2394</v>
      </c>
      <c r="E464" s="4" t="str">
        <f>VLOOKUP(LEFT(D464,2),Sort!$A$1:$B$58,2,FALSE)</f>
        <v>Qatar</v>
      </c>
      <c r="F464" s="4" t="s">
        <v>1007</v>
      </c>
      <c r="G464" s="18">
        <v>467966478</v>
      </c>
      <c r="H464" s="18">
        <v>567116875.5</v>
      </c>
      <c r="I464" s="10">
        <v>0.27336255799999998</v>
      </c>
      <c r="J464" s="10">
        <v>8.0416670000000003</v>
      </c>
      <c r="K464" s="10">
        <v>6.1553680000000002</v>
      </c>
      <c r="L464" s="10">
        <v>4.6753450000000001</v>
      </c>
      <c r="M464" s="10">
        <v>4.6753450000000001</v>
      </c>
      <c r="N464" s="10">
        <v>290.82060000000001</v>
      </c>
      <c r="O464" s="10">
        <v>301.92599999999999</v>
      </c>
      <c r="P464" s="10">
        <v>5.9971589999999999</v>
      </c>
      <c r="Q464" s="10">
        <v>1.72E-2</v>
      </c>
      <c r="R464" s="10">
        <v>0.901993351</v>
      </c>
      <c r="S464" s="10">
        <v>11.53188821</v>
      </c>
      <c r="T464" s="10">
        <v>117.75</v>
      </c>
      <c r="U464" s="10">
        <v>118.75</v>
      </c>
      <c r="V464" s="10">
        <v>117.75</v>
      </c>
      <c r="W464" s="10">
        <v>118.75</v>
      </c>
      <c r="X464" s="4" t="s">
        <v>146</v>
      </c>
      <c r="Y464" s="4" t="s">
        <v>2395</v>
      </c>
      <c r="AA464" s="10">
        <f t="shared" si="28"/>
        <v>7.3464751491401969E-2</v>
      </c>
      <c r="AB464" s="10">
        <f t="shared" si="29"/>
        <v>3.6799617867642527E-2</v>
      </c>
      <c r="AC464" s="10">
        <f t="shared" si="30"/>
        <v>1.697077583079396</v>
      </c>
      <c r="AD464" s="10">
        <f t="shared" si="31"/>
        <v>0.45731379782704468</v>
      </c>
    </row>
    <row r="465" spans="1:30" x14ac:dyDescent="0.25">
      <c r="A465" s="33" t="s">
        <v>2393</v>
      </c>
      <c r="C465" s="39">
        <v>40847</v>
      </c>
      <c r="D465" s="53" t="s">
        <v>2397</v>
      </c>
      <c r="E465" s="4" t="str">
        <f>VLOOKUP(LEFT(D465,2),Sort!$A$1:$B$58,2,FALSE)</f>
        <v>Qatar</v>
      </c>
      <c r="F465" s="4" t="s">
        <v>1024</v>
      </c>
      <c r="G465" s="18">
        <v>662952511</v>
      </c>
      <c r="H465" s="18">
        <v>736360526.60000002</v>
      </c>
      <c r="I465" s="10">
        <v>0.354941646</v>
      </c>
      <c r="J465" s="10">
        <v>16.738219000000001</v>
      </c>
      <c r="K465" s="10">
        <v>10.797941</v>
      </c>
      <c r="L465" s="10">
        <v>4.9863549999999996</v>
      </c>
      <c r="M465" s="10">
        <v>4.9863549999999996</v>
      </c>
      <c r="N465" s="10">
        <v>251.00530000000001</v>
      </c>
      <c r="O465" s="10">
        <v>246.1242</v>
      </c>
      <c r="P465" s="10">
        <v>10.204620999999999</v>
      </c>
      <c r="Q465" s="10">
        <v>1.52E-2</v>
      </c>
      <c r="R465" s="10">
        <v>2.2761096730000001</v>
      </c>
      <c r="S465" s="10">
        <v>8.3116910649999998</v>
      </c>
      <c r="T465" s="10">
        <v>109</v>
      </c>
      <c r="U465" s="10">
        <v>112</v>
      </c>
      <c r="V465" s="10">
        <v>109</v>
      </c>
      <c r="W465" s="10">
        <v>112</v>
      </c>
      <c r="X465" s="4" t="s">
        <v>146</v>
      </c>
      <c r="Y465" s="4" t="s">
        <v>2398</v>
      </c>
      <c r="AA465" s="10">
        <f t="shared" si="28"/>
        <v>0.40840394018218762</v>
      </c>
      <c r="AB465" s="10">
        <f t="shared" si="29"/>
        <v>5.0960158360649099E-2</v>
      </c>
      <c r="AC465" s="10">
        <f t="shared" si="30"/>
        <v>1.7962774999324287</v>
      </c>
      <c r="AD465" s="10">
        <f t="shared" si="31"/>
        <v>0.56003689392384337</v>
      </c>
    </row>
    <row r="466" spans="1:30" x14ac:dyDescent="0.25">
      <c r="A466" s="33" t="s">
        <v>2396</v>
      </c>
      <c r="C466" s="39">
        <v>40847</v>
      </c>
      <c r="D466" s="53" t="s">
        <v>2400</v>
      </c>
      <c r="E466" s="4" t="str">
        <f>VLOOKUP(LEFT(D466,2),Sort!$A$1:$B$58,2,FALSE)</f>
        <v>Qatar</v>
      </c>
      <c r="F466" s="4" t="s">
        <v>1007</v>
      </c>
      <c r="G466" s="18">
        <v>1169916196</v>
      </c>
      <c r="H466" s="18">
        <v>1201499874</v>
      </c>
      <c r="I466" s="10">
        <v>0.57914883800000005</v>
      </c>
      <c r="J466" s="10">
        <v>4.036111</v>
      </c>
      <c r="K466" s="10">
        <v>3.741536</v>
      </c>
      <c r="L466" s="10">
        <v>2.6646190000000001</v>
      </c>
      <c r="M466" s="10">
        <v>2.6646190000000001</v>
      </c>
      <c r="N466" s="10">
        <v>196.3075</v>
      </c>
      <c r="O466" s="10">
        <v>199.0941</v>
      </c>
      <c r="P466" s="10">
        <v>3.7211530000000002</v>
      </c>
      <c r="Q466" s="10">
        <v>8.5000000000000006E-3</v>
      </c>
      <c r="R466" s="10">
        <v>1.475255129</v>
      </c>
      <c r="S466" s="10">
        <v>6.1105997939999996</v>
      </c>
      <c r="T466" s="10">
        <v>101.25</v>
      </c>
      <c r="U466" s="10">
        <v>101.75</v>
      </c>
      <c r="V466" s="10">
        <v>101.25</v>
      </c>
      <c r="W466" s="10">
        <v>101.75</v>
      </c>
      <c r="X466" s="4" t="s">
        <v>146</v>
      </c>
      <c r="Y466" s="4" t="s">
        <v>2401</v>
      </c>
      <c r="AA466" s="10">
        <f t="shared" si="28"/>
        <v>6.136952202321793E-2</v>
      </c>
      <c r="AB466" s="10">
        <f t="shared" si="29"/>
        <v>5.2106462850741053E-2</v>
      </c>
      <c r="AC466" s="10">
        <f t="shared" si="30"/>
        <v>8.3818980495028637</v>
      </c>
      <c r="AD466" s="10">
        <f t="shared" si="31"/>
        <v>0.83016852486274106</v>
      </c>
    </row>
    <row r="467" spans="1:30" x14ac:dyDescent="0.25">
      <c r="A467" s="33" t="s">
        <v>2399</v>
      </c>
      <c r="C467" s="39">
        <v>40847</v>
      </c>
      <c r="D467" s="53" t="s">
        <v>2403</v>
      </c>
      <c r="E467" s="4" t="str">
        <f>VLOOKUP(LEFT(D467,2),Sort!$A$1:$B$58,2,FALSE)</f>
        <v>Qatar</v>
      </c>
      <c r="F467" s="4" t="s">
        <v>1081</v>
      </c>
      <c r="G467" s="18">
        <v>779944131</v>
      </c>
      <c r="H467" s="18">
        <v>789132847.79999995</v>
      </c>
      <c r="I467" s="10">
        <v>0.380379042</v>
      </c>
      <c r="J467" s="10">
        <v>4.947222</v>
      </c>
      <c r="K467" s="10">
        <v>4.5698749999999997</v>
      </c>
      <c r="L467" s="10">
        <v>2.9374370000000001</v>
      </c>
      <c r="M467" s="10">
        <v>2.9374370000000001</v>
      </c>
      <c r="N467" s="10">
        <v>196.98480000000001</v>
      </c>
      <c r="O467" s="10">
        <v>199.56440000000001</v>
      </c>
      <c r="P467" s="10">
        <v>4.524127</v>
      </c>
      <c r="Q467" s="10">
        <v>9.2999999999999992E-3</v>
      </c>
      <c r="R467" s="10">
        <v>1.0094168450000001</v>
      </c>
      <c r="S467" s="10">
        <v>9.0169121479999994</v>
      </c>
      <c r="T467" s="10">
        <v>101</v>
      </c>
      <c r="U467" s="10">
        <v>102</v>
      </c>
      <c r="V467" s="10">
        <v>101</v>
      </c>
      <c r="W467" s="10">
        <v>102</v>
      </c>
      <c r="X467" s="4" t="s">
        <v>146</v>
      </c>
      <c r="Y467" s="4" t="s">
        <v>2404</v>
      </c>
      <c r="AA467" s="10">
        <f t="shared" si="28"/>
        <v>7.8537387873830744E-2</v>
      </c>
      <c r="AB467" s="10">
        <f t="shared" si="29"/>
        <v>3.7726926442667709E-2</v>
      </c>
      <c r="AC467" s="10">
        <f t="shared" si="30"/>
        <v>5.5181492962081098</v>
      </c>
      <c r="AD467" s="10">
        <f t="shared" si="31"/>
        <v>0.54658588091460614</v>
      </c>
    </row>
    <row r="468" spans="1:30" x14ac:dyDescent="0.25">
      <c r="A468" s="33" t="s">
        <v>2402</v>
      </c>
      <c r="C468" s="39">
        <v>40847</v>
      </c>
      <c r="D468" s="53" t="s">
        <v>2406</v>
      </c>
      <c r="E468" s="4" t="str">
        <f>VLOOKUP(LEFT(D468,2),Sort!$A$1:$B$58,2,FALSE)</f>
        <v>Qatar</v>
      </c>
      <c r="F468" s="4" t="s">
        <v>1081</v>
      </c>
      <c r="G468" s="18">
        <v>779944131</v>
      </c>
      <c r="H468" s="18">
        <v>794573496.29999995</v>
      </c>
      <c r="I468" s="10">
        <v>0.38300155200000002</v>
      </c>
      <c r="J468" s="10">
        <v>9.286111</v>
      </c>
      <c r="K468" s="10">
        <v>7.6557300000000001</v>
      </c>
      <c r="L468" s="10">
        <v>4.4027269999999996</v>
      </c>
      <c r="M468" s="10">
        <v>4.4027269999999996</v>
      </c>
      <c r="N468" s="10">
        <v>240.24619999999999</v>
      </c>
      <c r="O468" s="10">
        <v>246.75890000000001</v>
      </c>
      <c r="P468" s="10">
        <v>7.4059090000000003</v>
      </c>
      <c r="Q468" s="10">
        <v>1.2999999999999999E-2</v>
      </c>
      <c r="R468" s="10">
        <v>1.7571126829999999</v>
      </c>
      <c r="S468" s="10">
        <v>11.01565048</v>
      </c>
      <c r="T468" s="10">
        <v>101.625</v>
      </c>
      <c r="U468" s="10">
        <v>102.625</v>
      </c>
      <c r="V468" s="10">
        <v>101.625</v>
      </c>
      <c r="W468" s="10">
        <v>102.625</v>
      </c>
      <c r="X468" s="4" t="s">
        <v>146</v>
      </c>
      <c r="Y468" s="4" t="s">
        <v>2407</v>
      </c>
      <c r="AA468" s="10">
        <f t="shared" si="28"/>
        <v>0.12801860898057382</v>
      </c>
      <c r="AB468" s="10">
        <f t="shared" si="29"/>
        <v>4.8552646394428418E-2</v>
      </c>
      <c r="AC468" s="10">
        <f t="shared" si="30"/>
        <v>1.9432805911228019</v>
      </c>
      <c r="AD468" s="10">
        <f t="shared" si="31"/>
        <v>0.55372656691504518</v>
      </c>
    </row>
    <row r="469" spans="1:30" x14ac:dyDescent="0.25">
      <c r="A469" s="33" t="s">
        <v>2405</v>
      </c>
      <c r="C469" s="39">
        <v>40847</v>
      </c>
      <c r="D469" s="53" t="s">
        <v>2409</v>
      </c>
      <c r="E469" s="4" t="str">
        <f>VLOOKUP(LEFT(D469,2),Sort!$A$1:$B$58,2,FALSE)</f>
        <v>Qatar</v>
      </c>
      <c r="F469" s="4" t="s">
        <v>1081</v>
      </c>
      <c r="G469" s="18">
        <v>584958098</v>
      </c>
      <c r="H469" s="18">
        <v>590482699.70000005</v>
      </c>
      <c r="I469" s="10">
        <v>0.28462538900000001</v>
      </c>
      <c r="J469" s="10">
        <v>13.961111000000001</v>
      </c>
      <c r="K469" s="10">
        <v>10.322578</v>
      </c>
      <c r="L469" s="10">
        <v>4.8506410000000004</v>
      </c>
      <c r="M469" s="10">
        <v>4.8506410000000004</v>
      </c>
      <c r="N469" s="10">
        <v>251.54169999999999</v>
      </c>
      <c r="O469" s="10">
        <v>244.5445</v>
      </c>
      <c r="P469" s="10">
        <v>9.8193169999999999</v>
      </c>
      <c r="Q469" s="10">
        <v>1.38E-2</v>
      </c>
      <c r="R469" s="10">
        <v>3.204211017</v>
      </c>
      <c r="S469" s="10">
        <v>16.197804640000001</v>
      </c>
      <c r="T469" s="10">
        <v>100.75</v>
      </c>
      <c r="U469" s="10">
        <v>101.5</v>
      </c>
      <c r="V469" s="10">
        <v>100.75</v>
      </c>
      <c r="W469" s="10">
        <v>101.5</v>
      </c>
      <c r="X469" s="4" t="s">
        <v>146</v>
      </c>
      <c r="Y469" s="4" t="s">
        <v>2410</v>
      </c>
      <c r="AA469" s="10">
        <f t="shared" si="28"/>
        <v>0.31307891836906571</v>
      </c>
      <c r="AB469" s="10">
        <f t="shared" si="29"/>
        <v>3.9752402949141181E-2</v>
      </c>
      <c r="AC469" s="10">
        <f t="shared" si="30"/>
        <v>1.431178127659783</v>
      </c>
      <c r="AD469" s="10">
        <f t="shared" si="31"/>
        <v>0.40698774870583432</v>
      </c>
    </row>
    <row r="470" spans="1:30" x14ac:dyDescent="0.25">
      <c r="A470" s="33" t="s">
        <v>2408</v>
      </c>
      <c r="C470" s="39">
        <v>40847</v>
      </c>
      <c r="D470" s="53" t="s">
        <v>2412</v>
      </c>
      <c r="E470" s="4" t="str">
        <f>VLOOKUP(LEFT(D470,2),Sort!$A$1:$B$58,2,FALSE)</f>
        <v>Qatar</v>
      </c>
      <c r="F470" s="4" t="s">
        <v>1081</v>
      </c>
      <c r="G470" s="18">
        <v>701949718</v>
      </c>
      <c r="H470" s="18">
        <v>788513764.10000002</v>
      </c>
      <c r="I470" s="10">
        <v>0.380080631</v>
      </c>
      <c r="J470" s="10">
        <v>2.6027779999999998</v>
      </c>
      <c r="K470" s="10">
        <v>2.3625409999999998</v>
      </c>
      <c r="L470" s="10">
        <v>2.4120279999999998</v>
      </c>
      <c r="M470" s="10">
        <v>2.4120279999999998</v>
      </c>
      <c r="N470" s="10">
        <v>207.34059999999999</v>
      </c>
      <c r="O470" s="10">
        <v>209.6352</v>
      </c>
      <c r="P470" s="10">
        <v>2.3619110000000001</v>
      </c>
      <c r="Q470" s="10">
        <v>1.61E-2</v>
      </c>
      <c r="R470" s="10">
        <v>1.3127724700000001</v>
      </c>
      <c r="S470" s="10">
        <v>5.3960535519999997</v>
      </c>
      <c r="T470" s="10">
        <v>109.75</v>
      </c>
      <c r="U470" s="10">
        <v>110.25</v>
      </c>
      <c r="V470" s="10">
        <v>109.75</v>
      </c>
      <c r="W470" s="10">
        <v>110.25</v>
      </c>
      <c r="X470" s="4" t="s">
        <v>146</v>
      </c>
      <c r="Y470" s="4" t="s">
        <v>2413</v>
      </c>
      <c r="AA470" s="10">
        <f t="shared" si="28"/>
        <v>2.5431250498179923E-2</v>
      </c>
      <c r="AB470" s="10">
        <f t="shared" si="29"/>
        <v>3.0954540863659716E-2</v>
      </c>
      <c r="AC470" s="10">
        <f t="shared" si="30"/>
        <v>1.6383326965005378</v>
      </c>
      <c r="AD470" s="10">
        <f t="shared" si="31"/>
        <v>0.59033154762030604</v>
      </c>
    </row>
    <row r="471" spans="1:30" x14ac:dyDescent="0.25">
      <c r="A471" s="33" t="s">
        <v>2411</v>
      </c>
      <c r="C471" s="39">
        <v>40847</v>
      </c>
      <c r="D471" s="53" t="s">
        <v>2415</v>
      </c>
      <c r="E471" s="4" t="str">
        <f>VLOOKUP(LEFT(D471,2),Sort!$A$1:$B$58,2,FALSE)</f>
        <v>Qatar</v>
      </c>
      <c r="F471" s="4" t="s">
        <v>1081</v>
      </c>
      <c r="G471" s="18">
        <v>467966478</v>
      </c>
      <c r="H471" s="18">
        <v>591407260.5</v>
      </c>
      <c r="I471" s="10">
        <v>0.28507104700000002</v>
      </c>
      <c r="J471" s="10">
        <v>7.6027779999999998</v>
      </c>
      <c r="K471" s="10">
        <v>5.9041980000000001</v>
      </c>
      <c r="L471" s="10">
        <v>4.1255139999999999</v>
      </c>
      <c r="M471" s="10">
        <v>4.1255139999999999</v>
      </c>
      <c r="N471" s="10">
        <v>244.05940000000001</v>
      </c>
      <c r="O471" s="10">
        <v>255.7663</v>
      </c>
      <c r="P471" s="10">
        <v>5.7652359999999998</v>
      </c>
      <c r="Q471" s="10">
        <v>1.7299999999999999E-2</v>
      </c>
      <c r="R471" s="10">
        <v>1.495793049</v>
      </c>
      <c r="S471" s="10">
        <v>9.1758046170000007</v>
      </c>
      <c r="T471" s="10">
        <v>123.25</v>
      </c>
      <c r="U471" s="10">
        <v>124.25</v>
      </c>
      <c r="V471" s="10">
        <v>123.25</v>
      </c>
      <c r="W471" s="10">
        <v>124.25</v>
      </c>
      <c r="X471" s="4" t="s">
        <v>146</v>
      </c>
      <c r="Y471" s="4" t="s">
        <v>2416</v>
      </c>
      <c r="AA471" s="10">
        <f t="shared" si="28"/>
        <v>7.6044809384329809E-2</v>
      </c>
      <c r="AB471" s="10">
        <f t="shared" si="29"/>
        <v>3.3862716279863918E-2</v>
      </c>
      <c r="AC471" s="10">
        <f t="shared" si="30"/>
        <v>1.4991965896186727</v>
      </c>
      <c r="AD471" s="10">
        <f t="shared" si="31"/>
        <v>8.5552860850737211</v>
      </c>
    </row>
    <row r="472" spans="1:30" x14ac:dyDescent="0.25">
      <c r="A472" s="33" t="s">
        <v>2414</v>
      </c>
      <c r="C472" s="39">
        <v>40847</v>
      </c>
      <c r="D472" s="53" t="s">
        <v>2418</v>
      </c>
      <c r="E472" s="4" t="str">
        <f>VLOOKUP(LEFT(D472,2),Sort!$A$1:$B$58,2,FALSE)</f>
        <v>Qatar</v>
      </c>
      <c r="F472" s="4" t="s">
        <v>1024</v>
      </c>
      <c r="G472" s="18">
        <v>869637706</v>
      </c>
      <c r="H472" s="18">
        <v>945767243.10000002</v>
      </c>
      <c r="I472" s="10">
        <v>0.45588019699999999</v>
      </c>
      <c r="J472" s="10">
        <v>2.9083329999999998</v>
      </c>
      <c r="K472" s="10">
        <v>2.697368</v>
      </c>
      <c r="L472" s="10">
        <v>2.2831100000000002</v>
      </c>
      <c r="M472" s="10">
        <v>2.2831100000000002</v>
      </c>
      <c r="N472" s="10">
        <v>189.80430000000001</v>
      </c>
      <c r="O472" s="10">
        <v>191.45500000000001</v>
      </c>
      <c r="P472" s="10">
        <v>2.6933609999999999</v>
      </c>
      <c r="Q472" s="10">
        <v>1.4E-2</v>
      </c>
      <c r="R472" s="10">
        <v>0.48766095799999998</v>
      </c>
      <c r="S472" s="10">
        <v>4.7893296220000003</v>
      </c>
      <c r="T472" s="10">
        <v>108.25</v>
      </c>
      <c r="U472" s="10">
        <v>109</v>
      </c>
      <c r="V472" s="10">
        <v>108.25</v>
      </c>
      <c r="W472" s="10">
        <v>109</v>
      </c>
      <c r="X472" s="4" t="s">
        <v>146</v>
      </c>
      <c r="Y472" s="4" t="s">
        <v>2419</v>
      </c>
      <c r="AA472" s="10">
        <f t="shared" si="28"/>
        <v>3.4825996495076478E-2</v>
      </c>
      <c r="AB472" s="10">
        <f t="shared" si="29"/>
        <v>3.5143405798228791E-2</v>
      </c>
      <c r="AC472" s="10">
        <f t="shared" si="30"/>
        <v>6.3447020918062522</v>
      </c>
      <c r="AD472" s="10">
        <f t="shared" si="31"/>
        <v>0.700033594004006</v>
      </c>
    </row>
    <row r="473" spans="1:30" x14ac:dyDescent="0.25">
      <c r="A473" s="33" t="s">
        <v>2417</v>
      </c>
      <c r="C473" s="39">
        <v>40847</v>
      </c>
      <c r="D473" s="53" t="s">
        <v>2421</v>
      </c>
      <c r="E473" s="4" t="str">
        <f>VLOOKUP(LEFT(D473,2),Sort!$A$1:$B$58,2,FALSE)</f>
        <v>Qatar</v>
      </c>
      <c r="F473" s="4" t="s">
        <v>1024</v>
      </c>
      <c r="G473" s="18">
        <v>962201475.20000005</v>
      </c>
      <c r="H473" s="18">
        <v>1045053279</v>
      </c>
      <c r="I473" s="10">
        <v>0.50373820700000005</v>
      </c>
      <c r="J473" s="10">
        <v>4.9038370000000002</v>
      </c>
      <c r="K473" s="10">
        <v>4.3104060000000004</v>
      </c>
      <c r="L473" s="10">
        <v>3.2280039999999999</v>
      </c>
      <c r="M473" s="10">
        <v>3.2280039999999999</v>
      </c>
      <c r="N473" s="10">
        <v>227.30840000000001</v>
      </c>
      <c r="O473" s="10">
        <v>197.84049999999999</v>
      </c>
      <c r="P473" s="10">
        <v>4.2339330000000004</v>
      </c>
      <c r="Q473" s="10">
        <v>1.3599999999999999E-2</v>
      </c>
      <c r="R473" s="10">
        <v>1.4355222059999999</v>
      </c>
      <c r="S473" s="10">
        <v>6.7046777149999999</v>
      </c>
      <c r="T473" s="10">
        <v>108.125</v>
      </c>
      <c r="U473" s="10">
        <v>109.125</v>
      </c>
      <c r="V473" s="10">
        <v>95.279750000000007</v>
      </c>
      <c r="W473" s="10">
        <v>96.16095</v>
      </c>
      <c r="X473" s="4" t="s">
        <v>146</v>
      </c>
      <c r="Y473" s="4" t="s">
        <v>2422</v>
      </c>
      <c r="AA473" s="10">
        <f t="shared" si="28"/>
        <v>9.8102171631506085E-2</v>
      </c>
      <c r="AB473" s="10">
        <f t="shared" si="29"/>
        <v>5.4904158480580265E-2</v>
      </c>
      <c r="AC473" s="10">
        <f t="shared" si="30"/>
        <v>7.2445912582885139</v>
      </c>
      <c r="AD473" s="10">
        <f t="shared" si="31"/>
        <v>0.77440973700983928</v>
      </c>
    </row>
    <row r="474" spans="1:30" x14ac:dyDescent="0.25">
      <c r="A474" s="33" t="s">
        <v>2420</v>
      </c>
      <c r="C474" s="39">
        <v>40847</v>
      </c>
      <c r="D474" s="53" t="s">
        <v>2424</v>
      </c>
      <c r="E474" s="4" t="str">
        <f>VLOOKUP(LEFT(D474,2),Sort!$A$1:$B$58,2,FALSE)</f>
        <v>Qatar</v>
      </c>
      <c r="F474" s="4" t="s">
        <v>1024</v>
      </c>
      <c r="G474" s="18">
        <v>453810492.39999998</v>
      </c>
      <c r="H474" s="18">
        <v>490839615.19999999</v>
      </c>
      <c r="I474" s="10">
        <v>0.23659527499999999</v>
      </c>
      <c r="J474" s="10">
        <v>2.926971</v>
      </c>
      <c r="K474" s="10">
        <v>2.695163</v>
      </c>
      <c r="L474" s="10">
        <v>2.885837</v>
      </c>
      <c r="M474" s="10">
        <v>2.885837</v>
      </c>
      <c r="N474" s="10">
        <v>249.7937</v>
      </c>
      <c r="O474" s="10">
        <v>229.28110000000001</v>
      </c>
      <c r="P474" s="10">
        <v>2.6812100000000001</v>
      </c>
      <c r="Q474" s="10">
        <v>1.4999999999999999E-2</v>
      </c>
      <c r="R474" s="10">
        <v>1.0072746450000001</v>
      </c>
      <c r="S474" s="10">
        <v>3.264230907</v>
      </c>
      <c r="T474" s="10">
        <v>107.625</v>
      </c>
      <c r="U474" s="10">
        <v>108.125</v>
      </c>
      <c r="V474" s="10">
        <v>83.495474999999999</v>
      </c>
      <c r="W474" s="10">
        <v>83.883375000000001</v>
      </c>
      <c r="X474" s="4" t="s">
        <v>146</v>
      </c>
      <c r="Y474" s="4" t="s">
        <v>2425</v>
      </c>
      <c r="AA474" s="10">
        <f t="shared" si="28"/>
        <v>1.8059416985326582E-2</v>
      </c>
      <c r="AB474" s="10">
        <f t="shared" si="29"/>
        <v>2.3053886319166245E-2</v>
      </c>
      <c r="AC474" s="10">
        <f t="shared" si="30"/>
        <v>1.1154149894113359</v>
      </c>
      <c r="AD474" s="10">
        <f t="shared" si="31"/>
        <v>0.36039092243736975</v>
      </c>
    </row>
    <row r="475" spans="1:30" x14ac:dyDescent="0.25">
      <c r="A475" s="33" t="s">
        <v>2423</v>
      </c>
      <c r="C475" s="39">
        <v>40847</v>
      </c>
      <c r="D475" s="53" t="s">
        <v>2427</v>
      </c>
      <c r="E475" s="4" t="str">
        <f>VLOOKUP(LEFT(D475,2),Sort!$A$1:$B$58,2,FALSE)</f>
        <v>Qatar</v>
      </c>
      <c r="F475" s="4" t="s">
        <v>1024</v>
      </c>
      <c r="G475" s="18">
        <v>662952511</v>
      </c>
      <c r="H475" s="18">
        <v>719536502.20000005</v>
      </c>
      <c r="I475" s="10">
        <v>0.34683210399999997</v>
      </c>
      <c r="J475" s="10">
        <v>13.227083</v>
      </c>
      <c r="K475" s="10">
        <v>9.5815819999999992</v>
      </c>
      <c r="L475" s="10">
        <v>4.7054879999999999</v>
      </c>
      <c r="M475" s="10">
        <v>4.7054879999999999</v>
      </c>
      <c r="N475" s="10">
        <v>240.7552</v>
      </c>
      <c r="O475" s="10">
        <v>238.53550000000001</v>
      </c>
      <c r="P475" s="10">
        <v>9.1424800000000008</v>
      </c>
      <c r="Q475" s="10">
        <v>1.49E-2</v>
      </c>
      <c r="R475" s="10">
        <v>-1.4043572799999999</v>
      </c>
      <c r="S475" s="10">
        <v>9.4253735659999993</v>
      </c>
      <c r="T475" s="10">
        <v>108</v>
      </c>
      <c r="U475" s="10">
        <v>111</v>
      </c>
      <c r="V475" s="10">
        <v>108</v>
      </c>
      <c r="W475" s="10">
        <v>111</v>
      </c>
      <c r="X475" s="4" t="s">
        <v>146</v>
      </c>
      <c r="Y475" s="4" t="s">
        <v>2428</v>
      </c>
      <c r="AA475" s="10">
        <f t="shared" si="28"/>
        <v>1.4083551424603697</v>
      </c>
      <c r="AB475" s="10">
        <f t="shared" si="29"/>
        <v>4.6990987924753889E-2</v>
      </c>
      <c r="AC475" s="10">
        <f t="shared" si="30"/>
        <v>1.7011180997813293</v>
      </c>
      <c r="AD475" s="10">
        <f t="shared" si="31"/>
        <v>0.54235534605226465</v>
      </c>
    </row>
    <row r="476" spans="1:30" x14ac:dyDescent="0.25">
      <c r="A476" s="33" t="s">
        <v>2426</v>
      </c>
      <c r="C476" s="39">
        <v>40847</v>
      </c>
      <c r="D476" s="53" t="s">
        <v>2430</v>
      </c>
      <c r="E476" s="4" t="str">
        <f>VLOOKUP(LEFT(D476,2),Sort!$A$1:$B$58,2,FALSE)</f>
        <v>Qatar</v>
      </c>
      <c r="F476" s="4" t="s">
        <v>1024</v>
      </c>
      <c r="G476" s="18">
        <v>479665640</v>
      </c>
      <c r="H476" s="18">
        <v>570772132.5</v>
      </c>
      <c r="I476" s="10">
        <v>0.27512447099999998</v>
      </c>
      <c r="J476" s="10">
        <v>7.9083329999999998</v>
      </c>
      <c r="K476" s="10">
        <v>6.3930720000000001</v>
      </c>
      <c r="L476" s="10">
        <v>3.8474689999999998</v>
      </c>
      <c r="M476" s="10">
        <v>3.8474689999999998</v>
      </c>
      <c r="N476" s="10">
        <v>210.5308</v>
      </c>
      <c r="O476" s="10">
        <v>219.7</v>
      </c>
      <c r="P476" s="10">
        <v>6.2302840000000002</v>
      </c>
      <c r="Q476" s="10">
        <v>1.5800000000000002E-2</v>
      </c>
      <c r="R476" s="10">
        <v>-0.20965509900000001</v>
      </c>
      <c r="S476" s="10">
        <v>7.4752548660000002</v>
      </c>
      <c r="T476" s="10">
        <v>118.375</v>
      </c>
      <c r="U476" s="10">
        <v>119.625</v>
      </c>
      <c r="V476" s="10">
        <v>118.375</v>
      </c>
      <c r="W476" s="10">
        <v>119.625</v>
      </c>
      <c r="X476" s="4" t="s">
        <v>146</v>
      </c>
      <c r="Y476" s="4" t="s">
        <v>2431</v>
      </c>
      <c r="AA476" s="10">
        <f t="shared" si="28"/>
        <v>7.6793555779262612E-2</v>
      </c>
      <c r="AB476" s="10">
        <f t="shared" si="29"/>
        <v>3.5741323731253688E-2</v>
      </c>
      <c r="AC476" s="10">
        <f t="shared" si="30"/>
        <v>1.2428577667788685</v>
      </c>
      <c r="AD476" s="10">
        <f t="shared" si="31"/>
        <v>0.4636527367773729</v>
      </c>
    </row>
    <row r="477" spans="1:30" x14ac:dyDescent="0.25">
      <c r="A477" s="33" t="s">
        <v>2429</v>
      </c>
      <c r="C477" s="39">
        <v>40847</v>
      </c>
      <c r="D477" s="53" t="s">
        <v>2433</v>
      </c>
      <c r="E477" s="4" t="str">
        <f>VLOOKUP(LEFT(D477,2),Sort!$A$1:$B$58,2,FALSE)</f>
        <v>Qatar</v>
      </c>
      <c r="F477" s="4" t="s">
        <v>1024</v>
      </c>
      <c r="G477" s="18">
        <v>623955304</v>
      </c>
      <c r="H477" s="18">
        <v>696212029.89999998</v>
      </c>
      <c r="I477" s="10">
        <v>0.335589205</v>
      </c>
      <c r="J477" s="10">
        <v>12.987833</v>
      </c>
      <c r="K477" s="10">
        <v>9.2840120000000006</v>
      </c>
      <c r="L477" s="10">
        <v>4.859877</v>
      </c>
      <c r="M477" s="10">
        <v>4.859877</v>
      </c>
      <c r="N477" s="10">
        <v>257.40949999999998</v>
      </c>
      <c r="O477" s="10">
        <v>257.54570000000001</v>
      </c>
      <c r="P477" s="10">
        <v>8.8706580000000006</v>
      </c>
      <c r="Q477" s="10">
        <v>1.5800000000000002E-2</v>
      </c>
      <c r="R477" s="10">
        <v>1.355724886</v>
      </c>
      <c r="S477" s="10">
        <v>10.39544441</v>
      </c>
      <c r="T477" s="10">
        <v>111</v>
      </c>
      <c r="U477" s="10">
        <v>114</v>
      </c>
      <c r="V477" s="10">
        <v>111</v>
      </c>
      <c r="W477" s="10">
        <v>114</v>
      </c>
      <c r="X477" s="4" t="s">
        <v>146</v>
      </c>
      <c r="Y477" s="4" t="s">
        <v>2434</v>
      </c>
      <c r="AA477" s="10">
        <f t="shared" si="28"/>
        <v>1.3203812511582032</v>
      </c>
      <c r="AB477" s="10">
        <f t="shared" si="29"/>
        <v>4.6959544499450688E-2</v>
      </c>
      <c r="AC477" s="10">
        <f t="shared" si="30"/>
        <v>1.7771514462189839</v>
      </c>
      <c r="AD477" s="10">
        <f t="shared" si="31"/>
        <v>0.53895746360484942</v>
      </c>
    </row>
    <row r="478" spans="1:30" x14ac:dyDescent="0.25">
      <c r="A478" s="33" t="s">
        <v>2432</v>
      </c>
      <c r="C478" s="39">
        <v>40847</v>
      </c>
      <c r="D478" s="53" t="s">
        <v>2436</v>
      </c>
      <c r="E478" s="4" t="str">
        <f>VLOOKUP(LEFT(D478,2),Sort!$A$1:$B$58,2,FALSE)</f>
        <v>Russia</v>
      </c>
      <c r="F478" s="4" t="s">
        <v>1007</v>
      </c>
      <c r="G478" s="18">
        <v>253010686</v>
      </c>
      <c r="H478" s="18">
        <v>241897543.30000001</v>
      </c>
      <c r="I478" s="10">
        <v>0.11659983</v>
      </c>
      <c r="J478" s="10">
        <v>9.4861109999999993</v>
      </c>
      <c r="K478" s="10">
        <v>6.6862979999999999</v>
      </c>
      <c r="L478" s="10">
        <v>8.2897479999999995</v>
      </c>
      <c r="M478" s="10">
        <v>8.2897479999999995</v>
      </c>
      <c r="N478" s="10">
        <v>625.20169999999996</v>
      </c>
      <c r="O478" s="10">
        <v>644.23450000000003</v>
      </c>
      <c r="P478" s="10">
        <v>6.4824489999999999</v>
      </c>
      <c r="Q478" s="10">
        <v>2.2499999999999999E-2</v>
      </c>
      <c r="R478" s="10">
        <v>11.424755230000001</v>
      </c>
      <c r="S478" s="10">
        <v>-3.6595270000000002</v>
      </c>
      <c r="T478" s="10">
        <v>95.5</v>
      </c>
      <c r="U478" s="10">
        <v>96.5</v>
      </c>
      <c r="V478" s="10">
        <v>95.5</v>
      </c>
      <c r="W478" s="10">
        <v>96.5</v>
      </c>
      <c r="X478" s="4" t="s">
        <v>146</v>
      </c>
      <c r="Y478" s="4" t="s">
        <v>2437</v>
      </c>
      <c r="AA478" s="10">
        <f t="shared" si="28"/>
        <v>3.4038436804954726E-2</v>
      </c>
      <c r="AB478" s="10">
        <f t="shared" si="29"/>
        <v>0.12086325197104289</v>
      </c>
      <c r="AC478" s="10">
        <f t="shared" si="30"/>
        <v>8.463893791338915</v>
      </c>
      <c r="AD478" s="10">
        <f t="shared" si="31"/>
        <v>0.48933478634627614</v>
      </c>
    </row>
    <row r="479" spans="1:30" x14ac:dyDescent="0.25">
      <c r="A479" s="33" t="s">
        <v>2435</v>
      </c>
      <c r="C479" s="39">
        <v>40847</v>
      </c>
      <c r="D479" s="53" t="s">
        <v>2439</v>
      </c>
      <c r="E479" s="4" t="str">
        <f>VLOOKUP(LEFT(D479,2),Sort!$A$1:$B$58,2,FALSE)</f>
        <v>Russia</v>
      </c>
      <c r="F479" s="4" t="s">
        <v>1007</v>
      </c>
      <c r="G479" s="18">
        <v>253010686</v>
      </c>
      <c r="H479" s="18">
        <v>251951203.80000001</v>
      </c>
      <c r="I479" s="10">
        <v>0.121445911</v>
      </c>
      <c r="J479" s="10">
        <v>5.894444</v>
      </c>
      <c r="K479" s="10">
        <v>4.6599570000000003</v>
      </c>
      <c r="L479" s="10">
        <v>7.9261720000000002</v>
      </c>
      <c r="M479" s="10">
        <v>7.9261720000000002</v>
      </c>
      <c r="N479" s="10">
        <v>667.97580000000005</v>
      </c>
      <c r="O479" s="10">
        <v>677.048</v>
      </c>
      <c r="P479" s="10">
        <v>4.5910039999999999</v>
      </c>
      <c r="Q479" s="10">
        <v>0.78120000000000001</v>
      </c>
      <c r="R479" s="10">
        <v>11.6147165</v>
      </c>
      <c r="S479" s="10">
        <v>3.368311335</v>
      </c>
      <c r="T479" s="10">
        <v>98.75</v>
      </c>
      <c r="U479" s="10">
        <v>99.75</v>
      </c>
      <c r="V479" s="10">
        <v>98.75</v>
      </c>
      <c r="W479" s="10">
        <v>99.75</v>
      </c>
      <c r="X479" s="4" t="s">
        <v>146</v>
      </c>
      <c r="Y479" s="4" t="s">
        <v>2440</v>
      </c>
      <c r="AA479" s="10">
        <f t="shared" si="28"/>
        <v>2.556938941130887E-2</v>
      </c>
      <c r="AB479" s="10">
        <f t="shared" si="29"/>
        <v>5.3826302302999979E-2</v>
      </c>
      <c r="AC479" s="10">
        <f t="shared" si="30"/>
        <v>9.2646851762315237</v>
      </c>
      <c r="AD479" s="10">
        <f t="shared" si="31"/>
        <v>0.52683747723326113</v>
      </c>
    </row>
    <row r="480" spans="1:30" x14ac:dyDescent="0.25">
      <c r="A480" s="33" t="s">
        <v>2438</v>
      </c>
      <c r="C480" s="39">
        <v>40847</v>
      </c>
      <c r="D480" s="53" t="s">
        <v>2442</v>
      </c>
      <c r="E480" s="4" t="str">
        <f>VLOOKUP(LEFT(D480,2),Sort!$A$1:$B$58,2,FALSE)</f>
        <v>Russia</v>
      </c>
      <c r="F480" s="4" t="s">
        <v>1007</v>
      </c>
      <c r="G480" s="18">
        <v>151806411</v>
      </c>
      <c r="H480" s="18">
        <v>155222055.19999999</v>
      </c>
      <c r="I480" s="10">
        <v>7.4820375999999994E-2</v>
      </c>
      <c r="J480" s="10">
        <v>3.375</v>
      </c>
      <c r="K480" s="10">
        <v>2.9014380000000002</v>
      </c>
      <c r="L480" s="10">
        <v>7.2322350000000002</v>
      </c>
      <c r="M480" s="10">
        <v>7.2322350000000002</v>
      </c>
      <c r="N480" s="10">
        <v>672.37350000000004</v>
      </c>
      <c r="O480" s="10">
        <v>676.39869999999996</v>
      </c>
      <c r="P480" s="10">
        <v>2.8952990000000001</v>
      </c>
      <c r="Q480" s="10">
        <v>2.1700000000000001E-2</v>
      </c>
      <c r="R480" s="10">
        <v>5.0034222929999999</v>
      </c>
      <c r="S480" s="10">
        <v>3.8430419699999998</v>
      </c>
      <c r="T480" s="10">
        <v>101.25</v>
      </c>
      <c r="U480" s="10">
        <v>102.25</v>
      </c>
      <c r="V480" s="10">
        <v>101.25</v>
      </c>
      <c r="W480" s="10">
        <v>102.25</v>
      </c>
      <c r="X480" s="4" t="s">
        <v>146</v>
      </c>
      <c r="Y480" s="4" t="s">
        <v>2443</v>
      </c>
      <c r="AA480" s="10">
        <f t="shared" si="28"/>
        <v>6.1481691442845758E-3</v>
      </c>
      <c r="AB480" s="10">
        <f t="shared" si="29"/>
        <v>3.0258024823270065E-2</v>
      </c>
      <c r="AC480" s="10">
        <f t="shared" si="30"/>
        <v>5.7023118239518711</v>
      </c>
      <c r="AD480" s="10">
        <f t="shared" si="31"/>
        <v>0.10777669507085673</v>
      </c>
    </row>
    <row r="481" spans="1:30" x14ac:dyDescent="0.25">
      <c r="A481" s="33" t="s">
        <v>2441</v>
      </c>
      <c r="C481" s="39">
        <v>40847</v>
      </c>
      <c r="D481" s="53" t="s">
        <v>2445</v>
      </c>
      <c r="E481" s="4" t="str">
        <f>VLOOKUP(LEFT(D481,2),Sort!$A$1:$B$58,2,FALSE)</f>
        <v>Russia</v>
      </c>
      <c r="F481" s="4" t="s">
        <v>1007</v>
      </c>
      <c r="G481" s="18">
        <v>75903206</v>
      </c>
      <c r="H481" s="18">
        <v>68846495.560000002</v>
      </c>
      <c r="I481" s="10">
        <v>3.3185495000000002E-2</v>
      </c>
      <c r="J481" s="10">
        <v>5.302778</v>
      </c>
      <c r="K481" s="10">
        <v>8.0083000000000001E-2</v>
      </c>
      <c r="L481" s="10">
        <v>5.2128459999999999</v>
      </c>
      <c r="M481" s="10">
        <v>5.2128459999999999</v>
      </c>
      <c r="N481" s="10">
        <v>414.06779999999998</v>
      </c>
      <c r="O481" s="10">
        <v>415.85160000000002</v>
      </c>
      <c r="P481" s="10">
        <v>4.6833530000000003</v>
      </c>
      <c r="Q481" s="10">
        <v>2.6499999999999999E-2</v>
      </c>
      <c r="R481" s="10">
        <v>-8.4098463670000001</v>
      </c>
      <c r="S481" s="10">
        <v>-4.4351303660000001</v>
      </c>
      <c r="T481" s="10">
        <v>89</v>
      </c>
      <c r="U481" s="10">
        <v>91</v>
      </c>
      <c r="V481" s="10">
        <v>89</v>
      </c>
      <c r="W481" s="10">
        <v>91</v>
      </c>
      <c r="X481" s="4" t="s">
        <v>146</v>
      </c>
      <c r="Y481" s="4" t="s">
        <v>2446</v>
      </c>
      <c r="AA481" s="10">
        <f t="shared" si="28"/>
        <v>3.3600357493537419E-4</v>
      </c>
      <c r="AB481" s="10">
        <f t="shared" si="29"/>
        <v>4.9809686503555972E-3</v>
      </c>
      <c r="AC481" s="10">
        <f t="shared" si="30"/>
        <v>0.81035997788826031</v>
      </c>
      <c r="AD481" s="10">
        <f t="shared" si="31"/>
        <v>0.13133199767276829</v>
      </c>
    </row>
    <row r="482" spans="1:30" x14ac:dyDescent="0.25">
      <c r="A482" s="33" t="s">
        <v>2444</v>
      </c>
      <c r="C482" s="39">
        <v>40847</v>
      </c>
      <c r="D482" s="53" t="s">
        <v>2448</v>
      </c>
      <c r="E482" s="4" t="str">
        <f>VLOOKUP(LEFT(D482,2),Sort!$A$1:$B$58,2,FALSE)</f>
        <v>Russia</v>
      </c>
      <c r="F482" s="4" t="s">
        <v>1007</v>
      </c>
      <c r="G482" s="18">
        <v>99054948</v>
      </c>
      <c r="H482" s="18">
        <v>107538591.2</v>
      </c>
      <c r="I482" s="10">
        <v>5.1835919000000001E-2</v>
      </c>
      <c r="J482" s="10">
        <v>1.641667</v>
      </c>
      <c r="K482" s="10">
        <v>1.486083</v>
      </c>
      <c r="L482" s="10">
        <v>4.9127029999999996</v>
      </c>
      <c r="M482" s="10">
        <v>4.9127029999999996</v>
      </c>
      <c r="N482" s="10">
        <v>471.98110000000003</v>
      </c>
      <c r="O482" s="10">
        <v>472.6311</v>
      </c>
      <c r="P482" s="10">
        <v>1.4819899999999999</v>
      </c>
      <c r="Q482" s="10">
        <v>2.3699999999999999E-2</v>
      </c>
      <c r="R482" s="10">
        <v>3.7950558660000002</v>
      </c>
      <c r="S482" s="10">
        <v>4.4999620809999996</v>
      </c>
      <c r="T482" s="10">
        <v>105.25</v>
      </c>
      <c r="U482" s="10">
        <v>106.75</v>
      </c>
      <c r="V482" s="10">
        <v>105.25</v>
      </c>
      <c r="W482" s="10">
        <v>106.75</v>
      </c>
      <c r="X482" s="4" t="s">
        <v>146</v>
      </c>
      <c r="Y482" s="4" t="s">
        <v>2449</v>
      </c>
      <c r="AA482" s="10">
        <f t="shared" si="28"/>
        <v>9.7393311897158823E-3</v>
      </c>
      <c r="AB482" s="10">
        <f t="shared" si="29"/>
        <v>7.332328721003663E-3</v>
      </c>
      <c r="AC482" s="10">
        <f t="shared" si="30"/>
        <v>1.4386144125202458</v>
      </c>
      <c r="AD482" s="10">
        <f t="shared" si="31"/>
        <v>7.7954347799047419E-2</v>
      </c>
    </row>
    <row r="483" spans="1:30" x14ac:dyDescent="0.25">
      <c r="A483" s="33" t="s">
        <v>2447</v>
      </c>
      <c r="C483" s="39">
        <v>40847</v>
      </c>
      <c r="D483" s="53" t="s">
        <v>2451</v>
      </c>
      <c r="E483" s="4" t="str">
        <f>VLOOKUP(LEFT(D483,2),Sort!$A$1:$B$58,2,FALSE)</f>
        <v>Russia</v>
      </c>
      <c r="F483" s="4" t="s">
        <v>1024</v>
      </c>
      <c r="G483" s="18">
        <v>88553740</v>
      </c>
      <c r="H483" s="18">
        <v>92916241.709999993</v>
      </c>
      <c r="I483" s="10">
        <v>4.4787631000000001E-2</v>
      </c>
      <c r="J483" s="10">
        <v>3.355556</v>
      </c>
      <c r="K483" s="10">
        <v>2.7992400000000002</v>
      </c>
      <c r="L483" s="10">
        <v>8.3038129999999999</v>
      </c>
      <c r="M483" s="10">
        <v>8.3038129999999999</v>
      </c>
      <c r="N483" s="10">
        <v>780.09910000000002</v>
      </c>
      <c r="O483" s="10">
        <v>784.59040000000005</v>
      </c>
      <c r="P483" s="10">
        <v>2.7931539999999999</v>
      </c>
      <c r="Q483" s="10">
        <v>2.6100000000000002E-2</v>
      </c>
      <c r="R483" s="10">
        <v>12.63231701</v>
      </c>
      <c r="S483" s="10">
        <v>6.2206001149999999</v>
      </c>
      <c r="T483" s="10">
        <v>103.5</v>
      </c>
      <c r="U483" s="10">
        <v>104.5</v>
      </c>
      <c r="V483" s="10">
        <v>103.5</v>
      </c>
      <c r="W483" s="10">
        <v>104.5</v>
      </c>
      <c r="X483" s="4" t="s">
        <v>146</v>
      </c>
      <c r="Y483" s="4" t="s">
        <v>2452</v>
      </c>
      <c r="AA483" s="10">
        <f t="shared" si="28"/>
        <v>3.5506744368544178E-3</v>
      </c>
      <c r="AB483" s="10">
        <f t="shared" si="29"/>
        <v>4.6504040097684385E-2</v>
      </c>
      <c r="AC483" s="10">
        <f t="shared" si="30"/>
        <v>3.9594001381145425</v>
      </c>
      <c r="AD483" s="10">
        <f t="shared" si="31"/>
        <v>6.5935004699167798E-2</v>
      </c>
    </row>
    <row r="484" spans="1:30" x14ac:dyDescent="0.25">
      <c r="A484" s="33" t="s">
        <v>2450</v>
      </c>
      <c r="C484" s="39">
        <v>40847</v>
      </c>
      <c r="D484" s="53" t="s">
        <v>2454</v>
      </c>
      <c r="E484" s="4" t="str">
        <f>VLOOKUP(LEFT(D484,2),Sort!$A$1:$B$58,2,FALSE)</f>
        <v>Russia</v>
      </c>
      <c r="F484" s="4" t="s">
        <v>1014</v>
      </c>
      <c r="G484" s="18">
        <v>253010686</v>
      </c>
      <c r="H484" s="18">
        <v>262498586.69999999</v>
      </c>
      <c r="I484" s="10">
        <v>0.12652997699999999</v>
      </c>
      <c r="J484" s="10">
        <v>9</v>
      </c>
      <c r="K484" s="10">
        <v>6.6082549999999998</v>
      </c>
      <c r="L484" s="10">
        <v>7.0288779999999997</v>
      </c>
      <c r="M484" s="10">
        <v>7.0288779999999997</v>
      </c>
      <c r="N484" s="10">
        <v>508.22109999999998</v>
      </c>
      <c r="O484" s="10">
        <v>523.53639999999996</v>
      </c>
      <c r="P484" s="10">
        <v>6.4143100000000004</v>
      </c>
      <c r="Q484" s="10">
        <v>-0.21179999999999999</v>
      </c>
      <c r="R484" s="10">
        <v>11.792370310000001</v>
      </c>
      <c r="S484" s="10">
        <v>4.8533373160000002</v>
      </c>
      <c r="T484" s="10">
        <v>103.75</v>
      </c>
      <c r="U484" s="10">
        <v>104.75</v>
      </c>
      <c r="V484" s="10">
        <v>103.75</v>
      </c>
      <c r="W484" s="10">
        <v>104.75</v>
      </c>
      <c r="X484" s="4" t="s">
        <v>146</v>
      </c>
      <c r="Y484" s="4" t="s">
        <v>2455</v>
      </c>
      <c r="AA484" s="10">
        <f t="shared" si="28"/>
        <v>3.6506162573509651E-2</v>
      </c>
      <c r="AB484" s="10">
        <f t="shared" si="29"/>
        <v>4.9731045656185503E-2</v>
      </c>
      <c r="AC484" s="10">
        <f t="shared" si="30"/>
        <v>3.889838946799312</v>
      </c>
      <c r="AD484" s="10">
        <f t="shared" si="31"/>
        <v>0.18671925981250093</v>
      </c>
    </row>
    <row r="485" spans="1:30" x14ac:dyDescent="0.25">
      <c r="A485" s="33" t="s">
        <v>2453</v>
      </c>
      <c r="C485" s="39">
        <v>40847</v>
      </c>
      <c r="D485" s="53" t="s">
        <v>2457</v>
      </c>
      <c r="E485" s="4" t="str">
        <f>VLOOKUP(LEFT(D485,2),Sort!$A$1:$B$58,2,FALSE)</f>
        <v>Russia</v>
      </c>
      <c r="F485" s="4" t="s">
        <v>1014</v>
      </c>
      <c r="G485" s="18">
        <v>126505343</v>
      </c>
      <c r="H485" s="18">
        <v>142751615.80000001</v>
      </c>
      <c r="I485" s="10">
        <v>6.8809356000000002E-2</v>
      </c>
      <c r="J485" s="10">
        <v>3.0388890000000002</v>
      </c>
      <c r="K485" s="10">
        <v>2.5840730000000001</v>
      </c>
      <c r="L485" s="10">
        <v>5.3543050000000001</v>
      </c>
      <c r="M485" s="10">
        <v>5.3543050000000001</v>
      </c>
      <c r="N485" s="10">
        <v>494.39490000000001</v>
      </c>
      <c r="O485" s="10">
        <v>496.4615</v>
      </c>
      <c r="P485" s="10">
        <v>2.57802</v>
      </c>
      <c r="Q485" s="10">
        <v>-0.1993</v>
      </c>
      <c r="R485" s="10">
        <v>5.8041797239999999</v>
      </c>
      <c r="S485" s="10">
        <v>3.4319782170000002</v>
      </c>
      <c r="T485" s="10">
        <v>108.75</v>
      </c>
      <c r="U485" s="10">
        <v>109.75</v>
      </c>
      <c r="V485" s="10">
        <v>108.75</v>
      </c>
      <c r="W485" s="10">
        <v>109.75</v>
      </c>
      <c r="X485" s="4" t="s">
        <v>146</v>
      </c>
      <c r="Y485" s="4" t="s">
        <v>2458</v>
      </c>
      <c r="AA485" s="10">
        <f t="shared" si="28"/>
        <v>5.0357584943020077E-3</v>
      </c>
      <c r="AB485" s="10">
        <f t="shared" si="29"/>
        <v>1.0608188150587852E-2</v>
      </c>
      <c r="AC485" s="10">
        <f t="shared" si="30"/>
        <v>2.0059697351368921</v>
      </c>
      <c r="AD485" s="10">
        <f t="shared" si="31"/>
        <v>0.10638825304179315</v>
      </c>
    </row>
    <row r="486" spans="1:30" x14ac:dyDescent="0.25">
      <c r="A486" s="33" t="s">
        <v>2456</v>
      </c>
      <c r="C486" s="39">
        <v>40847</v>
      </c>
      <c r="D486" s="53" t="s">
        <v>2460</v>
      </c>
      <c r="E486" s="4" t="str">
        <f>VLOOKUP(LEFT(D486,2),Sort!$A$1:$B$58,2,FALSE)</f>
        <v>Russia</v>
      </c>
      <c r="F486" s="4" t="s">
        <v>1007</v>
      </c>
      <c r="G486" s="18">
        <v>189758014</v>
      </c>
      <c r="H486" s="18">
        <v>196812520.5</v>
      </c>
      <c r="I486" s="10">
        <v>9.4867877000000003E-2</v>
      </c>
      <c r="J486" s="10">
        <v>3.355556</v>
      </c>
      <c r="K486" s="10">
        <v>2.964845</v>
      </c>
      <c r="L486" s="10">
        <v>5.4578040000000003</v>
      </c>
      <c r="M486" s="10">
        <v>5.4578040000000003</v>
      </c>
      <c r="N486" s="10">
        <v>495.4982</v>
      </c>
      <c r="O486" s="10">
        <v>498.99720000000002</v>
      </c>
      <c r="P486" s="10">
        <v>2.958555</v>
      </c>
      <c r="Q486" s="10">
        <v>-0.22259999999999999</v>
      </c>
      <c r="R486" s="10">
        <v>9.2378609130000005</v>
      </c>
      <c r="S486" s="10">
        <v>5.3977237630000001</v>
      </c>
      <c r="T486" s="10">
        <v>102.75</v>
      </c>
      <c r="U486" s="10">
        <v>103.75</v>
      </c>
      <c r="V486" s="10">
        <v>102.75</v>
      </c>
      <c r="W486" s="10">
        <v>103.75</v>
      </c>
      <c r="X486" s="4" t="s">
        <v>146</v>
      </c>
      <c r="Y486" s="4" t="s">
        <v>2461</v>
      </c>
      <c r="AA486" s="10">
        <f t="shared" si="28"/>
        <v>7.9658807347634634E-3</v>
      </c>
      <c r="AB486" s="10">
        <f t="shared" si="29"/>
        <v>1.4908286603395049E-2</v>
      </c>
      <c r="AC486" s="10">
        <f t="shared" si="30"/>
        <v>2.7797683156909829</v>
      </c>
      <c r="AD486" s="10">
        <f t="shared" si="31"/>
        <v>0.13865928121215496</v>
      </c>
    </row>
    <row r="487" spans="1:30" x14ac:dyDescent="0.25">
      <c r="A487" s="33" t="s">
        <v>2459</v>
      </c>
      <c r="C487" s="39">
        <v>40847</v>
      </c>
      <c r="D487" s="53" t="s">
        <v>2463</v>
      </c>
      <c r="E487" s="4" t="str">
        <f>VLOOKUP(LEFT(D487,2),Sort!$A$1:$B$58,2,FALSE)</f>
        <v>Russia</v>
      </c>
      <c r="F487" s="4" t="s">
        <v>1007</v>
      </c>
      <c r="G487" s="18">
        <v>101204274</v>
      </c>
      <c r="H487" s="18">
        <v>97430510.329999998</v>
      </c>
      <c r="I487" s="10">
        <v>4.6963605999999998E-2</v>
      </c>
      <c r="J487" s="10">
        <v>5.519444</v>
      </c>
      <c r="K487" s="10">
        <v>0.408499</v>
      </c>
      <c r="L487" s="10">
        <v>6.4678959999999996</v>
      </c>
      <c r="M487" s="10">
        <v>6.4678959999999996</v>
      </c>
      <c r="N487" s="10">
        <v>533.19200000000001</v>
      </c>
      <c r="O487" s="10">
        <v>537.99620000000004</v>
      </c>
      <c r="P487" s="10">
        <v>4.5416530000000002</v>
      </c>
      <c r="Q487" s="10">
        <v>1.9599999999999999E-2</v>
      </c>
      <c r="R487" s="10">
        <v>-2.0058378669999999</v>
      </c>
      <c r="S487" s="10">
        <v>-6.8575311E-2</v>
      </c>
      <c r="T487" s="10">
        <v>93</v>
      </c>
      <c r="U487" s="10">
        <v>95</v>
      </c>
      <c r="V487" s="10">
        <v>93</v>
      </c>
      <c r="W487" s="10">
        <v>95</v>
      </c>
      <c r="X487" s="4" t="s">
        <v>146</v>
      </c>
      <c r="Y487" s="4" t="s">
        <v>2464</v>
      </c>
      <c r="AA487" s="10">
        <f t="shared" si="28"/>
        <v>2.4255358648710796E-3</v>
      </c>
      <c r="AB487" s="10">
        <f t="shared" si="29"/>
        <v>1.6985276516866352E-2</v>
      </c>
      <c r="AC487" s="10">
        <f t="shared" si="30"/>
        <v>1.4836516845689214</v>
      </c>
      <c r="AD487" s="10">
        <f t="shared" si="31"/>
        <v>0.19402866788576895</v>
      </c>
    </row>
    <row r="488" spans="1:30" x14ac:dyDescent="0.25">
      <c r="A488" s="33" t="s">
        <v>2462</v>
      </c>
      <c r="C488" s="39">
        <v>40847</v>
      </c>
      <c r="D488" s="53" t="s">
        <v>2466</v>
      </c>
      <c r="E488" s="4" t="str">
        <f>VLOOKUP(LEFT(D488,2),Sort!$A$1:$B$58,2,FALSE)</f>
        <v>Russia</v>
      </c>
      <c r="F488" s="4" t="s">
        <v>1007</v>
      </c>
      <c r="G488" s="18">
        <v>126505343</v>
      </c>
      <c r="H488" s="18">
        <v>134998595.5</v>
      </c>
      <c r="I488" s="10">
        <v>6.5072232999999993E-2</v>
      </c>
      <c r="J488" s="10">
        <v>1.5277780000000001</v>
      </c>
      <c r="K488" s="10">
        <v>1.398774</v>
      </c>
      <c r="L488" s="10">
        <v>4.7594950000000003</v>
      </c>
      <c r="M488" s="10">
        <v>4.7594950000000003</v>
      </c>
      <c r="N488" s="10">
        <v>458.38010000000003</v>
      </c>
      <c r="O488" s="10">
        <v>458.8793</v>
      </c>
      <c r="P488" s="10">
        <v>1.3936679999999999</v>
      </c>
      <c r="Q488" s="10">
        <v>1.9099999999999999E-2</v>
      </c>
      <c r="R488" s="10">
        <v>3.7130692679999999</v>
      </c>
      <c r="S488" s="10">
        <v>2.8217942159999998</v>
      </c>
      <c r="T488" s="10">
        <v>103.25</v>
      </c>
      <c r="U488" s="10">
        <v>103.75</v>
      </c>
      <c r="V488" s="10">
        <v>103.25</v>
      </c>
      <c r="W488" s="10">
        <v>103.75</v>
      </c>
      <c r="X488" s="4" t="s">
        <v>146</v>
      </c>
      <c r="Y488" s="4" t="s">
        <v>2467</v>
      </c>
      <c r="AA488" s="10">
        <f t="shared" si="28"/>
        <v>1.150796485663784E-2</v>
      </c>
      <c r="AB488" s="10">
        <f t="shared" si="29"/>
        <v>8.9175838139479505E-3</v>
      </c>
      <c r="AC488" s="10">
        <f t="shared" si="30"/>
        <v>1.7534181022660533</v>
      </c>
      <c r="AD488" s="10">
        <f t="shared" si="31"/>
        <v>9.5109844481060121E-2</v>
      </c>
    </row>
    <row r="489" spans="1:30" x14ac:dyDescent="0.25">
      <c r="A489" s="33" t="s">
        <v>2465</v>
      </c>
      <c r="C489" s="39">
        <v>40847</v>
      </c>
      <c r="D489" s="53" t="s">
        <v>2469</v>
      </c>
      <c r="E489" s="4" t="str">
        <f>VLOOKUP(LEFT(D489,2),Sort!$A$1:$B$58,2,FALSE)</f>
        <v>Russia</v>
      </c>
      <c r="F489" s="4" t="s">
        <v>1007</v>
      </c>
      <c r="G489" s="18">
        <v>75903206</v>
      </c>
      <c r="H489" s="18">
        <v>72994186.030000001</v>
      </c>
      <c r="I489" s="10">
        <v>3.5184770999999997E-2</v>
      </c>
      <c r="J489" s="10">
        <v>4.0611110000000004</v>
      </c>
      <c r="K489" s="10">
        <v>-2.1679999999999998E-3</v>
      </c>
      <c r="L489" s="10">
        <v>7.0029019999999997</v>
      </c>
      <c r="M489" s="10">
        <v>7.0029019999999997</v>
      </c>
      <c r="N489" s="10">
        <v>629.4058</v>
      </c>
      <c r="O489" s="10">
        <v>633.67899999999997</v>
      </c>
      <c r="P489" s="10">
        <v>3.452045</v>
      </c>
      <c r="Q489" s="10">
        <v>2.0899999999999998E-2</v>
      </c>
      <c r="R489" s="10">
        <v>-1.473961802</v>
      </c>
      <c r="S489" s="10">
        <v>2.5942188509999999</v>
      </c>
      <c r="T489" s="10">
        <v>93</v>
      </c>
      <c r="U489" s="10">
        <v>95</v>
      </c>
      <c r="V489" s="10">
        <v>93</v>
      </c>
      <c r="W489" s="10">
        <v>95</v>
      </c>
      <c r="X489" s="4" t="s">
        <v>146</v>
      </c>
      <c r="Y489" s="4" t="s">
        <v>2470</v>
      </c>
      <c r="AA489" s="10">
        <f t="shared" si="28"/>
        <v>-9.6442680714420665E-6</v>
      </c>
      <c r="AB489" s="10">
        <f t="shared" si="29"/>
        <v>1.3777833586630451E-2</v>
      </c>
      <c r="AC489" s="10">
        <f t="shared" si="30"/>
        <v>2.5121892556765433</v>
      </c>
      <c r="AD489" s="10">
        <f t="shared" si="31"/>
        <v>0.14536477978855419</v>
      </c>
    </row>
    <row r="490" spans="1:30" x14ac:dyDescent="0.25">
      <c r="A490" s="33" t="s">
        <v>2468</v>
      </c>
      <c r="C490" s="39">
        <v>40847</v>
      </c>
      <c r="D490" s="53" t="s">
        <v>2472</v>
      </c>
      <c r="E490" s="4" t="str">
        <f>VLOOKUP(LEFT(D490,2),Sort!$A$1:$B$58,2,FALSE)</f>
        <v>Russia</v>
      </c>
      <c r="F490" s="4" t="s">
        <v>1214</v>
      </c>
      <c r="G490" s="18">
        <v>215059083</v>
      </c>
      <c r="H490" s="18">
        <v>202935127.19999999</v>
      </c>
      <c r="I490" s="10">
        <v>9.7819106000000003E-2</v>
      </c>
      <c r="J490" s="10">
        <v>6.483333</v>
      </c>
      <c r="K490" s="10">
        <v>5.1941800000000002</v>
      </c>
      <c r="L490" s="10">
        <v>7.6938209999999998</v>
      </c>
      <c r="M490" s="10">
        <v>7.6938209999999998</v>
      </c>
      <c r="N490" s="10">
        <v>627.39790000000005</v>
      </c>
      <c r="O490" s="10">
        <v>636.6884</v>
      </c>
      <c r="P490" s="10">
        <v>5.101153</v>
      </c>
      <c r="Q490" s="10">
        <v>-0.2445</v>
      </c>
      <c r="R490" s="10">
        <v>13.12972201</v>
      </c>
      <c r="S490" s="10">
        <v>-2.2768389999999998</v>
      </c>
      <c r="T490" s="10">
        <v>94.25</v>
      </c>
      <c r="U490" s="10">
        <v>95.25</v>
      </c>
      <c r="V490" s="10">
        <v>94.25</v>
      </c>
      <c r="W490" s="10">
        <v>95.25</v>
      </c>
      <c r="X490" s="4" t="s">
        <v>146</v>
      </c>
      <c r="Y490" s="4" t="s">
        <v>2473</v>
      </c>
      <c r="AA490" s="10">
        <f t="shared" si="28"/>
        <v>2.2956000953359992E-2</v>
      </c>
      <c r="AB490" s="10">
        <f t="shared" si="29"/>
        <v>4.2083700595913751E-2</v>
      </c>
      <c r="AC490" s="10">
        <f t="shared" si="30"/>
        <v>7.0174436564867069</v>
      </c>
      <c r="AD490" s="10">
        <f t="shared" si="31"/>
        <v>0.40520008872739094</v>
      </c>
    </row>
    <row r="491" spans="1:30" x14ac:dyDescent="0.25">
      <c r="A491" s="33" t="s">
        <v>2471</v>
      </c>
      <c r="C491" s="39">
        <v>40847</v>
      </c>
      <c r="D491" s="53" t="s">
        <v>2475</v>
      </c>
      <c r="E491" s="4" t="str">
        <f>VLOOKUP(LEFT(D491,2),Sort!$A$1:$B$58,2,FALSE)</f>
        <v>Russia</v>
      </c>
      <c r="F491" s="4" t="s">
        <v>1214</v>
      </c>
      <c r="G491" s="18">
        <v>145911262</v>
      </c>
      <c r="H491" s="18">
        <v>157350096.5</v>
      </c>
      <c r="I491" s="10">
        <v>7.5846137999999994E-2</v>
      </c>
      <c r="J491" s="10">
        <v>4.019444</v>
      </c>
      <c r="K491" s="10">
        <v>3.2908029999999999</v>
      </c>
      <c r="L491" s="10">
        <v>6.8414979999999996</v>
      </c>
      <c r="M491" s="10">
        <v>6.8414979999999996</v>
      </c>
      <c r="N491" s="10">
        <v>614.48199999999997</v>
      </c>
      <c r="O491" s="10">
        <v>620.1875</v>
      </c>
      <c r="P491" s="10">
        <v>3.2735080000000001</v>
      </c>
      <c r="Q491" s="10">
        <v>-0.55520000000000003</v>
      </c>
      <c r="R491" s="10">
        <v>8.5747248969999994</v>
      </c>
      <c r="S491" s="10">
        <v>3.7633199070000001</v>
      </c>
      <c r="T491" s="10">
        <v>103.875</v>
      </c>
      <c r="U491" s="10">
        <v>104.875</v>
      </c>
      <c r="V491" s="10">
        <v>103.875</v>
      </c>
      <c r="W491" s="10">
        <v>104.875</v>
      </c>
      <c r="X491" s="4" t="s">
        <v>146</v>
      </c>
      <c r="Y491" s="4" t="s">
        <v>2476</v>
      </c>
      <c r="AA491" s="10">
        <f t="shared" si="28"/>
        <v>7.0688372230683673E-3</v>
      </c>
      <c r="AB491" s="10">
        <f t="shared" si="29"/>
        <v>2.9015685412974668E-2</v>
      </c>
      <c r="AC491" s="10">
        <f t="shared" si="30"/>
        <v>5.3001088773722795</v>
      </c>
      <c r="AD491" s="10">
        <f t="shared" si="31"/>
        <v>0.11205909310168082</v>
      </c>
    </row>
    <row r="492" spans="1:30" x14ac:dyDescent="0.25">
      <c r="A492" s="33" t="s">
        <v>2474</v>
      </c>
      <c r="C492" s="39">
        <v>40847</v>
      </c>
      <c r="D492" s="53" t="s">
        <v>2478</v>
      </c>
      <c r="E492" s="4" t="str">
        <f>VLOOKUP(LEFT(D492,2),Sort!$A$1:$B$58,2,FALSE)</f>
        <v>Russia</v>
      </c>
      <c r="F492" s="4" t="s">
        <v>1214</v>
      </c>
      <c r="G492" s="18">
        <v>135075574</v>
      </c>
      <c r="H492" s="18">
        <v>141960207.19999999</v>
      </c>
      <c r="I492" s="10">
        <v>6.8427879999999996E-2</v>
      </c>
      <c r="J492" s="10">
        <v>1.4750000000000001</v>
      </c>
      <c r="K492" s="10">
        <v>1.387254</v>
      </c>
      <c r="L492" s="10">
        <v>4.8746330000000002</v>
      </c>
      <c r="M492" s="10">
        <v>4.8746330000000002</v>
      </c>
      <c r="N492" s="10">
        <v>470.69080000000002</v>
      </c>
      <c r="O492" s="10">
        <v>471.2029</v>
      </c>
      <c r="P492" s="10">
        <v>1.380344</v>
      </c>
      <c r="Q492" s="10">
        <v>0.1426</v>
      </c>
      <c r="R492" s="10">
        <v>4.4040454929999999</v>
      </c>
      <c r="S492" s="10">
        <v>4.1202441250000001</v>
      </c>
      <c r="T492" s="10">
        <v>104.875</v>
      </c>
      <c r="U492" s="10">
        <v>105.625</v>
      </c>
      <c r="V492" s="10">
        <v>104.875</v>
      </c>
      <c r="W492" s="10">
        <v>105.625</v>
      </c>
      <c r="X492" s="4" t="s">
        <v>146</v>
      </c>
      <c r="Y492" s="4" t="s">
        <v>2479</v>
      </c>
      <c r="AA492" s="10">
        <f t="shared" si="28"/>
        <v>1.2001743362876875E-2</v>
      </c>
      <c r="AB492" s="10">
        <f t="shared" si="29"/>
        <v>9.6042979275550774E-3</v>
      </c>
      <c r="AC492" s="10">
        <f t="shared" si="30"/>
        <v>1.8933562941368531</v>
      </c>
      <c r="AD492" s="10">
        <f t="shared" si="31"/>
        <v>0.10182196230411585</v>
      </c>
    </row>
    <row r="493" spans="1:30" x14ac:dyDescent="0.25">
      <c r="A493" s="33" t="s">
        <v>2477</v>
      </c>
      <c r="C493" s="39">
        <v>40847</v>
      </c>
      <c r="D493" s="53" t="s">
        <v>2481</v>
      </c>
      <c r="E493" s="4" t="str">
        <f>VLOOKUP(LEFT(D493,2),Sort!$A$1:$B$58,2,FALSE)</f>
        <v>Russia</v>
      </c>
      <c r="F493" s="4" t="s">
        <v>1214</v>
      </c>
      <c r="G493" s="18">
        <v>129339063</v>
      </c>
      <c r="H493" s="18">
        <v>139346673</v>
      </c>
      <c r="I493" s="10">
        <v>6.7168099999999994E-2</v>
      </c>
      <c r="J493" s="10">
        <v>6.4749999999999996</v>
      </c>
      <c r="K493" s="10">
        <v>4.9110290000000001</v>
      </c>
      <c r="L493" s="10">
        <v>7.8020940000000003</v>
      </c>
      <c r="M493" s="10">
        <v>7.8020940000000003</v>
      </c>
      <c r="N493" s="10">
        <v>638.47069999999997</v>
      </c>
      <c r="O493" s="10">
        <v>651.90859999999998</v>
      </c>
      <c r="P493" s="10">
        <v>4.8266869999999997</v>
      </c>
      <c r="Q493" s="10">
        <v>-0.66720000000000002</v>
      </c>
      <c r="R493" s="10">
        <v>11.245634539999999</v>
      </c>
      <c r="S493" s="10">
        <v>4.3991340750000001</v>
      </c>
      <c r="T493" s="10">
        <v>107.5</v>
      </c>
      <c r="U493" s="10">
        <v>108.5</v>
      </c>
      <c r="V493" s="10">
        <v>107.5</v>
      </c>
      <c r="W493" s="10">
        <v>108.5</v>
      </c>
      <c r="X493" s="4" t="s">
        <v>146</v>
      </c>
      <c r="Y493" s="4" t="s">
        <v>2482</v>
      </c>
      <c r="AA493" s="10">
        <f t="shared" si="28"/>
        <v>1.490359750203705E-2</v>
      </c>
      <c r="AB493" s="10">
        <f t="shared" si="29"/>
        <v>2.930369588509851E-2</v>
      </c>
      <c r="AC493" s="10">
        <f t="shared" si="30"/>
        <v>4.9337607227508871</v>
      </c>
      <c r="AD493" s="10">
        <f t="shared" si="31"/>
        <v>0.10266784782644311</v>
      </c>
    </row>
    <row r="494" spans="1:30" x14ac:dyDescent="0.25">
      <c r="A494" s="33" t="s">
        <v>2480</v>
      </c>
      <c r="C494" s="39">
        <v>40847</v>
      </c>
      <c r="D494" s="53" t="s">
        <v>2484</v>
      </c>
      <c r="E494" s="4" t="str">
        <f>VLOOKUP(LEFT(D494,2),Sort!$A$1:$B$58,2,FALSE)</f>
        <v>Russia</v>
      </c>
      <c r="F494" s="4" t="s">
        <v>1024</v>
      </c>
      <c r="G494" s="18">
        <v>253010686</v>
      </c>
      <c r="H494" s="18">
        <v>268009776.80000001</v>
      </c>
      <c r="I494" s="10">
        <v>0.12918648899999999</v>
      </c>
      <c r="J494" s="10">
        <v>4.0750000000000002</v>
      </c>
      <c r="K494" s="10">
        <v>3.6116600000000001</v>
      </c>
      <c r="L494" s="10">
        <v>3.8205879999999999</v>
      </c>
      <c r="M494" s="10">
        <v>3.8205879999999999</v>
      </c>
      <c r="N494" s="10">
        <v>310.7688</v>
      </c>
      <c r="O494" s="10">
        <v>314.82510000000002</v>
      </c>
      <c r="P494" s="10">
        <v>3.5923229999999999</v>
      </c>
      <c r="Q494" s="10">
        <v>-0.22220000000000001</v>
      </c>
      <c r="R494" s="10">
        <v>5.6301565099999999</v>
      </c>
      <c r="S494" s="10">
        <v>5.5831543339999996</v>
      </c>
      <c r="T494" s="10">
        <v>103.75</v>
      </c>
      <c r="U494" s="10">
        <v>104.75</v>
      </c>
      <c r="V494" s="10">
        <v>103.75</v>
      </c>
      <c r="W494" s="10">
        <v>104.75</v>
      </c>
      <c r="X494" s="4" t="s">
        <v>146</v>
      </c>
      <c r="Y494" s="4" t="s">
        <v>2485</v>
      </c>
      <c r="AA494" s="10">
        <f t="shared" si="28"/>
        <v>1.321406927591777E-2</v>
      </c>
      <c r="AB494" s="10">
        <f t="shared" si="29"/>
        <v>1.66653173197913E-2</v>
      </c>
      <c r="AC494" s="10">
        <f t="shared" si="30"/>
        <v>0.83627401004343482</v>
      </c>
      <c r="AD494" s="10">
        <f t="shared" si="31"/>
        <v>0.19063945362799772</v>
      </c>
    </row>
    <row r="495" spans="1:30" x14ac:dyDescent="0.25">
      <c r="A495" s="33" t="s">
        <v>2483</v>
      </c>
      <c r="C495" s="39">
        <v>40847</v>
      </c>
      <c r="D495" s="53" t="s">
        <v>2487</v>
      </c>
      <c r="E495" s="4" t="str">
        <f>VLOOKUP(LEFT(D495,2),Sort!$A$1:$B$58,2,FALSE)</f>
        <v>Russia</v>
      </c>
      <c r="F495" s="4" t="s">
        <v>1024</v>
      </c>
      <c r="G495" s="18">
        <v>341564426</v>
      </c>
      <c r="H495" s="18">
        <v>377097865.10000002</v>
      </c>
      <c r="I495" s="10">
        <v>0.181769299</v>
      </c>
      <c r="J495" s="10">
        <v>5.052778</v>
      </c>
      <c r="K495" s="10">
        <v>4.2817800000000004</v>
      </c>
      <c r="L495" s="10">
        <v>4.2942530000000003</v>
      </c>
      <c r="M495" s="10">
        <v>4.2942530000000003</v>
      </c>
      <c r="N495" s="10">
        <v>329.57100000000003</v>
      </c>
      <c r="O495" s="10">
        <v>335.02260000000001</v>
      </c>
      <c r="P495" s="10">
        <v>4.2367990000000004</v>
      </c>
      <c r="Q495" s="10">
        <v>-0.32300000000000001</v>
      </c>
      <c r="R495" s="10">
        <v>7.1407235990000002</v>
      </c>
      <c r="S495" s="10">
        <v>7.0032554840000003</v>
      </c>
      <c r="T495" s="10">
        <v>107.625</v>
      </c>
      <c r="U495" s="10">
        <v>108.625</v>
      </c>
      <c r="V495" s="10">
        <v>107.625</v>
      </c>
      <c r="W495" s="10">
        <v>108.625</v>
      </c>
      <c r="X495" s="4" t="s">
        <v>146</v>
      </c>
      <c r="Y495" s="4" t="s">
        <v>2488</v>
      </c>
      <c r="AA495" s="10">
        <f t="shared" si="28"/>
        <v>3.51641750511364E-2</v>
      </c>
      <c r="AB495" s="10">
        <f t="shared" si="29"/>
        <v>2.2474952169556247E-2</v>
      </c>
      <c r="AC495" s="10">
        <f t="shared" si="30"/>
        <v>1.2521512495860729</v>
      </c>
      <c r="AD495" s="10">
        <f t="shared" si="31"/>
        <v>0.27815827160942114</v>
      </c>
    </row>
    <row r="496" spans="1:30" x14ac:dyDescent="0.25">
      <c r="A496" s="33" t="s">
        <v>2486</v>
      </c>
      <c r="C496" s="39">
        <v>40847</v>
      </c>
      <c r="D496" s="53" t="s">
        <v>2490</v>
      </c>
      <c r="E496" s="4" t="str">
        <f>VLOOKUP(LEFT(D496,2),Sort!$A$1:$B$58,2,FALSE)</f>
        <v>Russia</v>
      </c>
      <c r="F496" s="4" t="s">
        <v>1024</v>
      </c>
      <c r="G496" s="18">
        <v>328913891</v>
      </c>
      <c r="H496" s="18">
        <v>348690388</v>
      </c>
      <c r="I496" s="10">
        <v>0.16807628299999999</v>
      </c>
      <c r="J496" s="10">
        <v>10.344443999999999</v>
      </c>
      <c r="K496" s="10">
        <v>7.6710640000000003</v>
      </c>
      <c r="L496" s="10">
        <v>5.7318189999999998</v>
      </c>
      <c r="M496" s="10">
        <v>5.7318189999999998</v>
      </c>
      <c r="N496" s="10">
        <v>358.03210000000001</v>
      </c>
      <c r="O496" s="10">
        <v>371.79829999999998</v>
      </c>
      <c r="P496" s="10">
        <v>7.403003</v>
      </c>
      <c r="Q496" s="10">
        <v>-0.45250000000000001</v>
      </c>
      <c r="R496" s="10">
        <v>7.6201527489999998</v>
      </c>
      <c r="S496" s="10">
        <v>8.1323567860000008</v>
      </c>
      <c r="T496" s="10">
        <v>105</v>
      </c>
      <c r="U496" s="10">
        <v>106</v>
      </c>
      <c r="V496" s="10">
        <v>105</v>
      </c>
      <c r="W496" s="10">
        <v>106</v>
      </c>
      <c r="X496" s="4" t="s">
        <v>146</v>
      </c>
      <c r="Y496" s="4" t="s">
        <v>2491</v>
      </c>
      <c r="AA496" s="10">
        <f t="shared" si="28"/>
        <v>5.6292171570706033E-2</v>
      </c>
      <c r="AB496" s="10">
        <f t="shared" si="29"/>
        <v>2.7738918097123089E-2</v>
      </c>
      <c r="AC496" s="10">
        <f t="shared" si="30"/>
        <v>1.2849197019299197</v>
      </c>
      <c r="AD496" s="10">
        <f t="shared" si="31"/>
        <v>0.25098857739877078</v>
      </c>
    </row>
    <row r="497" spans="1:30" x14ac:dyDescent="0.25">
      <c r="A497" s="33" t="s">
        <v>2489</v>
      </c>
      <c r="C497" s="39">
        <v>40847</v>
      </c>
      <c r="D497" s="53" t="s">
        <v>2493</v>
      </c>
      <c r="E497" s="4" t="str">
        <f>VLOOKUP(LEFT(D497,2),Sort!$A$1:$B$58,2,FALSE)</f>
        <v>Russia</v>
      </c>
      <c r="F497" s="4" t="s">
        <v>1024</v>
      </c>
      <c r="G497" s="18">
        <v>316263357</v>
      </c>
      <c r="H497" s="18">
        <v>341750458</v>
      </c>
      <c r="I497" s="10">
        <v>0.164731087</v>
      </c>
      <c r="J497" s="10">
        <v>25.786110999999998</v>
      </c>
      <c r="K497" s="10">
        <v>12.043115999999999</v>
      </c>
      <c r="L497" s="10">
        <v>6.6734249999999999</v>
      </c>
      <c r="M497" s="10">
        <v>6.6734249999999999</v>
      </c>
      <c r="N497" s="10">
        <v>373.7491</v>
      </c>
      <c r="O497" s="10">
        <v>393.95589999999999</v>
      </c>
      <c r="P497" s="10">
        <v>11.246047000000001</v>
      </c>
      <c r="Q497" s="10">
        <v>-1.1252</v>
      </c>
      <c r="R497" s="10">
        <v>9.4355462209999992</v>
      </c>
      <c r="S497" s="10">
        <v>8.5771616399999999</v>
      </c>
      <c r="T497" s="10">
        <v>106.5</v>
      </c>
      <c r="U497" s="10">
        <v>107.5</v>
      </c>
      <c r="V497" s="10">
        <v>106.5</v>
      </c>
      <c r="W497" s="10">
        <v>107.5</v>
      </c>
      <c r="X497" s="4" t="s">
        <v>146</v>
      </c>
      <c r="Y497" s="4" t="s">
        <v>2494</v>
      </c>
      <c r="AA497" s="10">
        <f t="shared" si="28"/>
        <v>0.21140071332445012</v>
      </c>
      <c r="AB497" s="10">
        <f t="shared" si="29"/>
        <v>6.1471315226913396E-2</v>
      </c>
      <c r="AC497" s="10">
        <f t="shared" si="30"/>
        <v>1.3343978301070232</v>
      </c>
      <c r="AD497" s="10">
        <f t="shared" si="31"/>
        <v>0.24947422690682211</v>
      </c>
    </row>
    <row r="498" spans="1:30" x14ac:dyDescent="0.25">
      <c r="A498" s="33" t="s">
        <v>2492</v>
      </c>
      <c r="C498" s="39">
        <v>40847</v>
      </c>
      <c r="D498" s="53" t="s">
        <v>2496</v>
      </c>
      <c r="E498" s="4" t="str">
        <f>VLOOKUP(LEFT(D498,2),Sort!$A$1:$B$58,2,FALSE)</f>
        <v>Russia</v>
      </c>
      <c r="F498" s="4" t="s">
        <v>1024</v>
      </c>
      <c r="G498" s="18">
        <v>126505343</v>
      </c>
      <c r="H498" s="18">
        <v>138289420.69999999</v>
      </c>
      <c r="I498" s="10">
        <v>6.6658482000000005E-2</v>
      </c>
      <c r="J498" s="10">
        <v>1.7416670000000001</v>
      </c>
      <c r="K498" s="10">
        <v>1.622841</v>
      </c>
      <c r="L498" s="10">
        <v>2.699287</v>
      </c>
      <c r="M498" s="10">
        <v>2.699287</v>
      </c>
      <c r="N498" s="10">
        <v>249.12950000000001</v>
      </c>
      <c r="O498" s="10">
        <v>249.6986</v>
      </c>
      <c r="P498" s="10">
        <v>1.6189579999999999</v>
      </c>
      <c r="Q498" s="10">
        <v>-9.5200000000000007E-2</v>
      </c>
      <c r="R498" s="10">
        <v>3.2677533699999999</v>
      </c>
      <c r="S498" s="10">
        <v>3.8271569219999999</v>
      </c>
      <c r="T498" s="10">
        <v>107.375</v>
      </c>
      <c r="U498" s="10">
        <v>108.125</v>
      </c>
      <c r="V498" s="10">
        <v>107.375</v>
      </c>
      <c r="W498" s="10">
        <v>108.125</v>
      </c>
      <c r="X498" s="4" t="s">
        <v>146</v>
      </c>
      <c r="Y498" s="4" t="s">
        <v>2497</v>
      </c>
      <c r="AA498" s="10">
        <f t="shared" si="28"/>
        <v>1.3676867963707918E-2</v>
      </c>
      <c r="AB498" s="10">
        <f t="shared" si="29"/>
        <v>6.0753424576062594E-3</v>
      </c>
      <c r="AC498" s="10">
        <f t="shared" si="30"/>
        <v>0.34224229345148549</v>
      </c>
      <c r="AD498" s="10">
        <f t="shared" si="31"/>
        <v>0.10153673490493458</v>
      </c>
    </row>
    <row r="499" spans="1:30" x14ac:dyDescent="0.25">
      <c r="A499" s="33" t="s">
        <v>2495</v>
      </c>
      <c r="C499" s="39">
        <v>40847</v>
      </c>
      <c r="D499" s="53" t="s">
        <v>2499</v>
      </c>
      <c r="E499" s="4" t="str">
        <f>VLOOKUP(LEFT(D499,2),Sort!$A$1:$B$58,2,FALSE)</f>
        <v>Russia</v>
      </c>
      <c r="F499" s="4" t="s">
        <v>1024</v>
      </c>
      <c r="G499" s="18">
        <v>316263357</v>
      </c>
      <c r="H499" s="18">
        <v>356899902.89999998</v>
      </c>
      <c r="I499" s="10">
        <v>0.17203344600000001</v>
      </c>
      <c r="J499" s="10">
        <v>2.7416670000000001</v>
      </c>
      <c r="K499" s="10">
        <v>2.441176</v>
      </c>
      <c r="L499" s="10">
        <v>3.5835729999999999</v>
      </c>
      <c r="M499" s="10">
        <v>3.5835729999999999</v>
      </c>
      <c r="N499" s="10">
        <v>322.38400000000001</v>
      </c>
      <c r="O499" s="10">
        <v>324.93740000000003</v>
      </c>
      <c r="P499" s="10">
        <v>2.4383629999999998</v>
      </c>
      <c r="Q499" s="10">
        <v>-0.2011</v>
      </c>
      <c r="R499" s="10">
        <v>4.5216991450000004</v>
      </c>
      <c r="S499" s="10">
        <v>4.2727849659999997</v>
      </c>
      <c r="T499" s="10">
        <v>110.75</v>
      </c>
      <c r="U499" s="10">
        <v>111.75</v>
      </c>
      <c r="V499" s="10">
        <v>110.75</v>
      </c>
      <c r="W499" s="10">
        <v>111.75</v>
      </c>
      <c r="X499" s="4" t="s">
        <v>146</v>
      </c>
      <c r="Y499" s="4" t="s">
        <v>2500</v>
      </c>
      <c r="AA499" s="10">
        <f t="shared" si="28"/>
        <v>1.1893908807553923E-2</v>
      </c>
      <c r="AB499" s="10">
        <f t="shared" si="29"/>
        <v>2.0815911299128565E-2</v>
      </c>
      <c r="AC499" s="10">
        <f t="shared" si="30"/>
        <v>1.1494093979588353</v>
      </c>
      <c r="AD499" s="10">
        <f t="shared" si="31"/>
        <v>0.27083331002605915</v>
      </c>
    </row>
    <row r="500" spans="1:30" x14ac:dyDescent="0.25">
      <c r="A500" s="33" t="s">
        <v>2498</v>
      </c>
      <c r="C500" s="39">
        <v>40847</v>
      </c>
      <c r="D500" s="53" t="s">
        <v>2502</v>
      </c>
      <c r="E500" s="4" t="str">
        <f>VLOOKUP(LEFT(D500,2),Sort!$A$1:$B$58,2,FALSE)</f>
        <v>Russia</v>
      </c>
      <c r="F500" s="4" t="s">
        <v>1024</v>
      </c>
      <c r="G500" s="18">
        <v>303612823</v>
      </c>
      <c r="H500" s="18">
        <v>375325540.30000001</v>
      </c>
      <c r="I500" s="10">
        <v>0.18091500099999999</v>
      </c>
      <c r="J500" s="10">
        <v>22.486111000000001</v>
      </c>
      <c r="K500" s="10">
        <v>11.281568999999999</v>
      </c>
      <c r="L500" s="10">
        <v>6.5312000000000001</v>
      </c>
      <c r="M500" s="10">
        <v>6.5312000000000001</v>
      </c>
      <c r="N500" s="10">
        <v>376.29059999999998</v>
      </c>
      <c r="O500" s="10">
        <v>390.15640000000002</v>
      </c>
      <c r="P500" s="10">
        <v>10.593946000000001</v>
      </c>
      <c r="Q500" s="10">
        <v>-0.78339999999999999</v>
      </c>
      <c r="R500" s="10">
        <v>7.7740470369999999</v>
      </c>
      <c r="S500" s="10">
        <v>9.1760046240000008</v>
      </c>
      <c r="T500" s="10">
        <v>123.5</v>
      </c>
      <c r="U500" s="10">
        <v>124.5</v>
      </c>
      <c r="V500" s="10">
        <v>123.5</v>
      </c>
      <c r="W500" s="10">
        <v>124.5</v>
      </c>
      <c r="X500" s="4" t="s">
        <v>146</v>
      </c>
      <c r="Y500" s="4" t="s">
        <v>2503</v>
      </c>
      <c r="AA500" s="10">
        <f t="shared" si="28"/>
        <v>0.2174883988666777</v>
      </c>
      <c r="AB500" s="10">
        <f t="shared" si="29"/>
        <v>6.6071735960490416E-2</v>
      </c>
      <c r="AC500" s="10">
        <f t="shared" si="30"/>
        <v>1.4513610594631807</v>
      </c>
      <c r="AD500" s="10">
        <f t="shared" si="31"/>
        <v>5.4403765167222184</v>
      </c>
    </row>
    <row r="501" spans="1:30" x14ac:dyDescent="0.25">
      <c r="A501" s="33" t="s">
        <v>2501</v>
      </c>
      <c r="C501" s="39">
        <v>40847</v>
      </c>
      <c r="D501" s="53" t="s">
        <v>2505</v>
      </c>
      <c r="E501" s="4" t="str">
        <f>VLOOKUP(LEFT(D501,2),Sort!$A$1:$B$58,2,FALSE)</f>
        <v>Russia</v>
      </c>
      <c r="F501" s="4" t="s">
        <v>1024</v>
      </c>
      <c r="G501" s="18">
        <v>569274043</v>
      </c>
      <c r="H501" s="18">
        <v>733691453.29999995</v>
      </c>
      <c r="I501" s="10">
        <v>0.35365509499999997</v>
      </c>
      <c r="J501" s="10">
        <v>7.4722220000000004</v>
      </c>
      <c r="K501" s="10">
        <v>5.6534490000000002</v>
      </c>
      <c r="L501" s="10">
        <v>5.0646440000000004</v>
      </c>
      <c r="M501" s="10">
        <v>5.0646440000000004</v>
      </c>
      <c r="N501" s="10">
        <v>340.41809999999998</v>
      </c>
      <c r="O501" s="10">
        <v>354.82369999999997</v>
      </c>
      <c r="P501" s="10">
        <v>5.527425</v>
      </c>
      <c r="Q501" s="10">
        <v>-0.36670000000000003</v>
      </c>
      <c r="R501" s="10">
        <v>7.2563774570000001</v>
      </c>
      <c r="S501" s="10">
        <v>7.3566013559999996</v>
      </c>
      <c r="T501" s="10">
        <v>124</v>
      </c>
      <c r="U501" s="10">
        <v>125</v>
      </c>
      <c r="V501" s="10">
        <v>124</v>
      </c>
      <c r="W501" s="10">
        <v>125</v>
      </c>
      <c r="X501" s="4" t="s">
        <v>146</v>
      </c>
      <c r="Y501" s="4" t="s">
        <v>2506</v>
      </c>
      <c r="AA501" s="10">
        <f t="shared" si="28"/>
        <v>9.0333523241788408E-2</v>
      </c>
      <c r="AB501" s="10">
        <f t="shared" si="29"/>
        <v>5.1572651278728475E-2</v>
      </c>
      <c r="AC501" s="10">
        <f t="shared" si="30"/>
        <v>2.5802078557302712</v>
      </c>
      <c r="AD501" s="10">
        <f t="shared" si="31"/>
        <v>10.677632282289467</v>
      </c>
    </row>
    <row r="502" spans="1:30" x14ac:dyDescent="0.25">
      <c r="A502" s="33" t="s">
        <v>2504</v>
      </c>
      <c r="C502" s="39">
        <v>40847</v>
      </c>
      <c r="D502" s="53" t="s">
        <v>2508</v>
      </c>
      <c r="E502" s="4" t="str">
        <f>VLOOKUP(LEFT(D502,2),Sort!$A$1:$B$58,2,FALSE)</f>
        <v>Russia</v>
      </c>
      <c r="F502" s="4" t="s">
        <v>1024</v>
      </c>
      <c r="G502" s="18">
        <v>442768700</v>
      </c>
      <c r="H502" s="18">
        <v>488850467.89999998</v>
      </c>
      <c r="I502" s="10">
        <v>0.23563646299999999</v>
      </c>
      <c r="J502" s="10">
        <v>1.3277779999999999</v>
      </c>
      <c r="K502" s="10">
        <v>1.256753</v>
      </c>
      <c r="L502" s="10">
        <v>2.4939650000000002</v>
      </c>
      <c r="M502" s="10">
        <v>2.4939650000000002</v>
      </c>
      <c r="N502" s="10">
        <v>234.84710000000001</v>
      </c>
      <c r="O502" s="10">
        <v>235.30699999999999</v>
      </c>
      <c r="P502" s="10">
        <v>1.2478929999999999</v>
      </c>
      <c r="Q502" s="10">
        <v>-0.1115</v>
      </c>
      <c r="R502" s="10">
        <v>3.0315780000000001</v>
      </c>
      <c r="S502" s="10">
        <v>3.1924622440000001</v>
      </c>
      <c r="T502" s="10">
        <v>108.75</v>
      </c>
      <c r="U502" s="10">
        <v>109.25</v>
      </c>
      <c r="V502" s="10">
        <v>108.75</v>
      </c>
      <c r="W502" s="10">
        <v>109.25</v>
      </c>
      <c r="X502" s="4" t="s">
        <v>146</v>
      </c>
      <c r="Y502" s="4" t="s">
        <v>2509</v>
      </c>
      <c r="AA502" s="10">
        <f t="shared" si="28"/>
        <v>3.7441021702629036E-2</v>
      </c>
      <c r="AB502" s="10">
        <f t="shared" si="29"/>
        <v>1.9842625352297628E-2</v>
      </c>
      <c r="AC502" s="10">
        <f t="shared" si="30"/>
        <v>1.1400909412845213</v>
      </c>
      <c r="AD502" s="10">
        <f t="shared" si="31"/>
        <v>0.36266495991669118</v>
      </c>
    </row>
    <row r="503" spans="1:30" x14ac:dyDescent="0.25">
      <c r="A503" s="33" t="s">
        <v>2507</v>
      </c>
      <c r="C503" s="39">
        <v>40847</v>
      </c>
      <c r="D503" s="53" t="s">
        <v>2511</v>
      </c>
      <c r="E503" s="4" t="str">
        <f>VLOOKUP(LEFT(D503,2),Sort!$A$1:$B$58,2,FALSE)</f>
        <v>Russia</v>
      </c>
      <c r="F503" s="4" t="s">
        <v>1007</v>
      </c>
      <c r="G503" s="18">
        <v>239845275</v>
      </c>
      <c r="H503" s="18">
        <v>246374395.80000001</v>
      </c>
      <c r="I503" s="10">
        <v>0.118757769</v>
      </c>
      <c r="J503" s="10">
        <v>3.8888889999999998</v>
      </c>
      <c r="K503" s="10">
        <v>3.4007710000000002</v>
      </c>
      <c r="L503" s="10">
        <v>5.6280580000000002</v>
      </c>
      <c r="M503" s="10">
        <v>5.6280580000000002</v>
      </c>
      <c r="N503" s="10">
        <v>496.9502</v>
      </c>
      <c r="O503" s="10">
        <v>501.58229999999998</v>
      </c>
      <c r="P503" s="10">
        <v>3.3850159999999998</v>
      </c>
      <c r="Q503" s="10">
        <v>1.7600000000000001E-2</v>
      </c>
      <c r="R503" s="10">
        <v>5.4083359999999997E-3</v>
      </c>
      <c r="S503" s="10">
        <v>4.2176097219999997</v>
      </c>
      <c r="T503" s="10">
        <v>102</v>
      </c>
      <c r="U503" s="10">
        <v>103</v>
      </c>
      <c r="V503" s="10">
        <v>102</v>
      </c>
      <c r="W503" s="10">
        <v>103</v>
      </c>
      <c r="X503" s="4" t="s">
        <v>146</v>
      </c>
      <c r="Y503" s="4" t="s">
        <v>2512</v>
      </c>
      <c r="AA503" s="10">
        <f t="shared" si="28"/>
        <v>1.1438051397413463E-2</v>
      </c>
      <c r="AB503" s="10">
        <f t="shared" si="29"/>
        <v>1.9244702924030403E-2</v>
      </c>
      <c r="AC503" s="10">
        <f t="shared" si="30"/>
        <v>3.4978045901938013</v>
      </c>
      <c r="AD503" s="10">
        <f t="shared" si="31"/>
        <v>0.17232207396736363</v>
      </c>
    </row>
    <row r="504" spans="1:30" x14ac:dyDescent="0.25">
      <c r="A504" s="33" t="s">
        <v>2510</v>
      </c>
      <c r="C504" s="39">
        <v>40847</v>
      </c>
      <c r="D504" s="53" t="s">
        <v>2514</v>
      </c>
      <c r="E504" s="4" t="str">
        <f>VLOOKUP(LEFT(D504,2),Sort!$A$1:$B$58,2,FALSE)</f>
        <v>Russia</v>
      </c>
      <c r="F504" s="4" t="s">
        <v>1007</v>
      </c>
      <c r="G504" s="18">
        <v>253010686</v>
      </c>
      <c r="H504" s="18">
        <v>264132613.19999999</v>
      </c>
      <c r="I504" s="10">
        <v>0.127317613</v>
      </c>
      <c r="J504" s="10">
        <v>3.1166670000000001</v>
      </c>
      <c r="K504" s="10">
        <v>2.754213</v>
      </c>
      <c r="L504" s="10">
        <v>5.1925049999999997</v>
      </c>
      <c r="M504" s="10">
        <v>5.1925049999999997</v>
      </c>
      <c r="N504" s="10">
        <v>475.94380000000001</v>
      </c>
      <c r="O504" s="10">
        <v>478.02629999999999</v>
      </c>
      <c r="P504" s="10">
        <v>2.7479469999999999</v>
      </c>
      <c r="Q504" s="10">
        <v>1.66E-2</v>
      </c>
      <c r="R504" s="10">
        <v>-1.3302955E-2</v>
      </c>
      <c r="S504" s="10">
        <v>5.2801623089999996</v>
      </c>
      <c r="T504" s="10">
        <v>102</v>
      </c>
      <c r="U504" s="10">
        <v>103</v>
      </c>
      <c r="V504" s="10">
        <v>102</v>
      </c>
      <c r="W504" s="10">
        <v>103</v>
      </c>
      <c r="X504" s="4" t="s">
        <v>146</v>
      </c>
      <c r="Y504" s="4" t="s">
        <v>2515</v>
      </c>
      <c r="AA504" s="10">
        <f t="shared" si="28"/>
        <v>9.9311292678246465E-3</v>
      </c>
      <c r="AB504" s="10">
        <f t="shared" si="29"/>
        <v>1.9035137847723392E-2</v>
      </c>
      <c r="AC504" s="10">
        <f t="shared" si="30"/>
        <v>3.5738110545066224</v>
      </c>
      <c r="AD504" s="10">
        <f t="shared" si="31"/>
        <v>0.18474273497962015</v>
      </c>
    </row>
    <row r="505" spans="1:30" x14ac:dyDescent="0.25">
      <c r="A505" s="33" t="s">
        <v>2513</v>
      </c>
      <c r="C505" s="39">
        <v>40847</v>
      </c>
      <c r="D505" s="53" t="s">
        <v>2517</v>
      </c>
      <c r="E505" s="4" t="str">
        <f>VLOOKUP(LEFT(D505,2),Sort!$A$1:$B$58,2,FALSE)</f>
        <v>Russia</v>
      </c>
      <c r="F505" s="4" t="s">
        <v>1007</v>
      </c>
      <c r="G505" s="18">
        <v>112157360</v>
      </c>
      <c r="H505" s="18">
        <v>121365975</v>
      </c>
      <c r="I505" s="10">
        <v>5.8501016000000003E-2</v>
      </c>
      <c r="J505" s="10">
        <v>1.6527780000000001</v>
      </c>
      <c r="K505" s="10">
        <v>1.5209999999999999</v>
      </c>
      <c r="L505" s="10">
        <v>3.8319380000000001</v>
      </c>
      <c r="M505" s="10">
        <v>3.8319380000000001</v>
      </c>
      <c r="N505" s="10">
        <v>363.73689999999999</v>
      </c>
      <c r="O505" s="10">
        <v>364.3272</v>
      </c>
      <c r="P505" s="10">
        <v>1.5172829999999999</v>
      </c>
      <c r="Q505" s="10">
        <v>2.0400000000000001E-2</v>
      </c>
      <c r="R505" s="10">
        <v>0.10824942</v>
      </c>
      <c r="S505" s="10">
        <v>5.4461632169999996</v>
      </c>
      <c r="T505" s="10">
        <v>105.5</v>
      </c>
      <c r="U505" s="10">
        <v>106.5</v>
      </c>
      <c r="V505" s="10">
        <v>105.5</v>
      </c>
      <c r="W505" s="10">
        <v>106.5</v>
      </c>
      <c r="X505" s="4" t="s">
        <v>146</v>
      </c>
      <c r="Y505" s="4" t="s">
        <v>2518</v>
      </c>
      <c r="AA505" s="10">
        <f t="shared" si="28"/>
        <v>1.1249879970454178E-2</v>
      </c>
      <c r="AB505" s="10">
        <f t="shared" si="29"/>
        <v>7.5691683695561758E-3</v>
      </c>
      <c r="AC505" s="10">
        <f t="shared" si="30"/>
        <v>0.43824518992530598</v>
      </c>
      <c r="AD505" s="10">
        <f t="shared" si="31"/>
        <v>8.7771732913940637E-2</v>
      </c>
    </row>
    <row r="506" spans="1:30" x14ac:dyDescent="0.25">
      <c r="A506" s="33" t="s">
        <v>2516</v>
      </c>
      <c r="C506" s="39">
        <v>40847</v>
      </c>
      <c r="D506" s="53" t="s">
        <v>2520</v>
      </c>
      <c r="E506" s="4" t="str">
        <f>VLOOKUP(LEFT(D506,2),Sort!$A$1:$B$58,2,FALSE)</f>
        <v>Russia</v>
      </c>
      <c r="F506" s="4" t="s">
        <v>1014</v>
      </c>
      <c r="G506" s="18">
        <v>88553740</v>
      </c>
      <c r="H506" s="18">
        <v>84833252.909999996</v>
      </c>
      <c r="I506" s="10">
        <v>4.0891456E-2</v>
      </c>
      <c r="J506" s="10">
        <v>4.6388889999999998</v>
      </c>
      <c r="K506" s="10">
        <v>3.7086429999999999</v>
      </c>
      <c r="L506" s="10">
        <v>9.0903290000000005</v>
      </c>
      <c r="M506" s="10">
        <v>9.0903290000000005</v>
      </c>
      <c r="N506" s="10">
        <v>821.27729999999997</v>
      </c>
      <c r="O506" s="10">
        <v>828.09760000000006</v>
      </c>
      <c r="P506" s="10">
        <v>3.6804559999999999</v>
      </c>
      <c r="Q506" s="10">
        <v>-0.497</v>
      </c>
      <c r="R506" s="10">
        <v>15.14832732</v>
      </c>
      <c r="S506" s="10">
        <v>-6.8465600000000002</v>
      </c>
      <c r="T506" s="10">
        <v>93</v>
      </c>
      <c r="U506" s="10">
        <v>95</v>
      </c>
      <c r="V506" s="10">
        <v>93</v>
      </c>
      <c r="W506" s="10">
        <v>95</v>
      </c>
      <c r="X506" s="4" t="s">
        <v>146</v>
      </c>
      <c r="Y506" s="4" t="s">
        <v>2521</v>
      </c>
      <c r="AA506" s="10">
        <f t="shared" si="28"/>
        <v>4.294970968921499E-3</v>
      </c>
      <c r="AB506" s="10">
        <f t="shared" si="29"/>
        <v>4.6480116808266803E-2</v>
      </c>
      <c r="AC506" s="10">
        <f t="shared" si="30"/>
        <v>6.5124836490676135</v>
      </c>
      <c r="AD506" s="10">
        <f t="shared" si="31"/>
        <v>0.16894177192332305</v>
      </c>
    </row>
    <row r="507" spans="1:30" x14ac:dyDescent="0.25">
      <c r="A507" s="33" t="s">
        <v>2519</v>
      </c>
      <c r="C507" s="39">
        <v>40847</v>
      </c>
      <c r="D507" s="53" t="s">
        <v>2523</v>
      </c>
      <c r="E507" s="4" t="str">
        <f>VLOOKUP(LEFT(D507,2),Sort!$A$1:$B$58,2,FALSE)</f>
        <v>Russia</v>
      </c>
      <c r="F507" s="4" t="s">
        <v>1024</v>
      </c>
      <c r="G507" s="18">
        <v>253010686</v>
      </c>
      <c r="H507" s="18">
        <v>263979754.30000001</v>
      </c>
      <c r="I507" s="10">
        <v>0.127243932</v>
      </c>
      <c r="J507" s="10">
        <v>9.016667</v>
      </c>
      <c r="K507" s="10">
        <v>6.8440070000000004</v>
      </c>
      <c r="L507" s="10">
        <v>5.818581</v>
      </c>
      <c r="M507" s="10">
        <v>5.818581</v>
      </c>
      <c r="N507" s="10">
        <v>386.87920000000003</v>
      </c>
      <c r="O507" s="10">
        <v>397.28489999999999</v>
      </c>
      <c r="P507" s="10">
        <v>6.6358269999999999</v>
      </c>
      <c r="Q507" s="10">
        <v>-0.57930000000000004</v>
      </c>
      <c r="R507" s="10">
        <v>11.607747120000001</v>
      </c>
      <c r="S507" s="10">
        <v>6.3085094880000003</v>
      </c>
      <c r="T507" s="10">
        <v>101.375</v>
      </c>
      <c r="U507" s="10">
        <v>102.125</v>
      </c>
      <c r="V507" s="10">
        <v>101.375</v>
      </c>
      <c r="W507" s="10">
        <v>102.125</v>
      </c>
      <c r="X507" s="4" t="s">
        <v>146</v>
      </c>
      <c r="Y507" s="4" t="s">
        <v>2524</v>
      </c>
      <c r="AA507" s="10">
        <f t="shared" si="28"/>
        <v>3.8021871185082178E-2</v>
      </c>
      <c r="AB507" s="10">
        <f t="shared" si="29"/>
        <v>2.131791761522546E-2</v>
      </c>
      <c r="AC507" s="10">
        <f t="shared" si="30"/>
        <v>1.0394444670534013</v>
      </c>
      <c r="AD507" s="10">
        <f t="shared" si="31"/>
        <v>0.18306731242740015</v>
      </c>
    </row>
    <row r="508" spans="1:30" x14ac:dyDescent="0.25">
      <c r="A508" s="33" t="s">
        <v>2522</v>
      </c>
      <c r="C508" s="39">
        <v>40847</v>
      </c>
      <c r="D508" s="53" t="s">
        <v>2526</v>
      </c>
      <c r="E508" s="4" t="str">
        <f>VLOOKUP(LEFT(D508,2),Sort!$A$1:$B$58,2,FALSE)</f>
        <v>Russia</v>
      </c>
      <c r="F508" s="4" t="s">
        <v>1024</v>
      </c>
      <c r="G508" s="18">
        <v>227709617</v>
      </c>
      <c r="H508" s="18">
        <v>249119064.19999999</v>
      </c>
      <c r="I508" s="10">
        <v>0.120080759</v>
      </c>
      <c r="J508" s="10">
        <v>3.0055559999999999</v>
      </c>
      <c r="K508" s="10">
        <v>2.666941</v>
      </c>
      <c r="L508" s="10">
        <v>3.7995130000000001</v>
      </c>
      <c r="M508" s="10">
        <v>3.7995130000000001</v>
      </c>
      <c r="N508" s="10">
        <v>339.88909999999998</v>
      </c>
      <c r="O508" s="10">
        <v>341.1748</v>
      </c>
      <c r="P508" s="10">
        <v>2.6606519999999998</v>
      </c>
      <c r="Q508" s="10">
        <v>-0.21190000000000001</v>
      </c>
      <c r="R508" s="10">
        <v>3.5453025880000002</v>
      </c>
      <c r="S508" s="10">
        <v>4.1900404480000004</v>
      </c>
      <c r="T508" s="10">
        <v>106.25</v>
      </c>
      <c r="U508" s="10">
        <v>107.25</v>
      </c>
      <c r="V508" s="10">
        <v>106.25</v>
      </c>
      <c r="W508" s="10">
        <v>107.25</v>
      </c>
      <c r="X508" s="4" t="s">
        <v>146</v>
      </c>
      <c r="Y508" s="4" t="s">
        <v>2527</v>
      </c>
      <c r="AA508" s="10">
        <f t="shared" si="28"/>
        <v>9.0698364291723031E-3</v>
      </c>
      <c r="AB508" s="10">
        <f t="shared" si="29"/>
        <v>1.5405210664585219E-2</v>
      </c>
      <c r="AC508" s="10">
        <f t="shared" si="30"/>
        <v>0.84238868021793711</v>
      </c>
      <c r="AD508" s="10">
        <f t="shared" si="31"/>
        <v>0.18143137027982964</v>
      </c>
    </row>
    <row r="509" spans="1:30" x14ac:dyDescent="0.25">
      <c r="A509" s="33" t="s">
        <v>2525</v>
      </c>
      <c r="C509" s="39">
        <v>40847</v>
      </c>
      <c r="D509" s="53" t="s">
        <v>2529</v>
      </c>
      <c r="E509" s="4" t="str">
        <f>VLOOKUP(LEFT(D509,2),Sort!$A$1:$B$58,2,FALSE)</f>
        <v>Russia</v>
      </c>
      <c r="F509" s="4" t="s">
        <v>1024</v>
      </c>
      <c r="G509" s="18">
        <v>126505343</v>
      </c>
      <c r="H509" s="18">
        <v>137989132.40000001</v>
      </c>
      <c r="I509" s="10">
        <v>6.6513736000000004E-2</v>
      </c>
      <c r="J509" s="10">
        <v>5.5944440000000002</v>
      </c>
      <c r="K509" s="10">
        <v>4.6583490000000003</v>
      </c>
      <c r="L509" s="10">
        <v>4.8097830000000004</v>
      </c>
      <c r="M509" s="10">
        <v>4.8097830000000004</v>
      </c>
      <c r="N509" s="10">
        <v>365.17189999999999</v>
      </c>
      <c r="O509" s="10">
        <v>371.2715</v>
      </c>
      <c r="P509" s="10">
        <v>4.5959320000000004</v>
      </c>
      <c r="Q509" s="10">
        <v>-0.21260000000000001</v>
      </c>
      <c r="R509" s="10">
        <v>8.1762180969999996</v>
      </c>
      <c r="S509" s="10">
        <v>6.7822309799999996</v>
      </c>
      <c r="T509" s="10">
        <v>106.5</v>
      </c>
      <c r="U509" s="10">
        <v>107.5</v>
      </c>
      <c r="V509" s="10">
        <v>106.5</v>
      </c>
      <c r="W509" s="10">
        <v>107.5</v>
      </c>
      <c r="X509" s="4" t="s">
        <v>146</v>
      </c>
      <c r="Y509" s="4" t="s">
        <v>2530</v>
      </c>
      <c r="AA509" s="10">
        <f t="shared" si="28"/>
        <v>1.39990613520703E-2</v>
      </c>
      <c r="AB509" s="10">
        <f t="shared" si="29"/>
        <v>9.2114381799490008E-3</v>
      </c>
      <c r="AC509" s="10">
        <f t="shared" si="30"/>
        <v>0.50776774484725973</v>
      </c>
      <c r="AD509" s="10">
        <f t="shared" si="31"/>
        <v>0.10073061007290041</v>
      </c>
    </row>
    <row r="510" spans="1:30" x14ac:dyDescent="0.25">
      <c r="A510" s="33" t="s">
        <v>2528</v>
      </c>
      <c r="C510" s="39">
        <v>40847</v>
      </c>
      <c r="D510" s="53" t="s">
        <v>2532</v>
      </c>
      <c r="E510" s="4" t="str">
        <f>VLOOKUP(LEFT(D510,2),Sort!$A$1:$B$58,2,FALSE)</f>
        <v>Russia</v>
      </c>
      <c r="F510" s="4" t="s">
        <v>1024</v>
      </c>
      <c r="G510" s="18">
        <v>126505343</v>
      </c>
      <c r="H510" s="18">
        <v>137194257.59999999</v>
      </c>
      <c r="I510" s="10">
        <v>6.6130589000000004E-2</v>
      </c>
      <c r="J510" s="10">
        <v>10.594443999999999</v>
      </c>
      <c r="K510" s="10">
        <v>7.6469820000000004</v>
      </c>
      <c r="L510" s="10">
        <v>5.7936230000000002</v>
      </c>
      <c r="M510" s="10">
        <v>5.7936230000000002</v>
      </c>
      <c r="N510" s="10">
        <v>362.9425</v>
      </c>
      <c r="O510" s="10">
        <v>375.52809999999999</v>
      </c>
      <c r="P510" s="10">
        <v>7.3722430000000001</v>
      </c>
      <c r="Q510" s="10">
        <v>-0.442</v>
      </c>
      <c r="R510" s="10">
        <v>12.75470237</v>
      </c>
      <c r="S510" s="10">
        <v>9.0647639200000008</v>
      </c>
      <c r="T510" s="10">
        <v>105.75</v>
      </c>
      <c r="U510" s="10">
        <v>106.75</v>
      </c>
      <c r="V510" s="10">
        <v>105.75</v>
      </c>
      <c r="W510" s="10">
        <v>106.75</v>
      </c>
      <c r="X510" s="4" t="s">
        <v>146</v>
      </c>
      <c r="Y510" s="4" t="s">
        <v>2533</v>
      </c>
      <c r="AA510" s="10">
        <f t="shared" si="28"/>
        <v>2.207895033871092E-2</v>
      </c>
      <c r="AB510" s="10">
        <f t="shared" si="29"/>
        <v>1.1031720251678588E-2</v>
      </c>
      <c r="AC510" s="10">
        <f t="shared" si="30"/>
        <v>0.51063077630159848</v>
      </c>
      <c r="AD510" s="10">
        <f t="shared" si="31"/>
        <v>9.9451636418522324E-2</v>
      </c>
    </row>
    <row r="511" spans="1:30" x14ac:dyDescent="0.25">
      <c r="A511" s="33" t="s">
        <v>2531</v>
      </c>
      <c r="C511" s="39">
        <v>40847</v>
      </c>
      <c r="D511" s="53" t="s">
        <v>2535</v>
      </c>
      <c r="E511" s="4" t="str">
        <f>VLOOKUP(LEFT(D511,2),Sort!$A$1:$B$58,2,FALSE)</f>
        <v>Russia</v>
      </c>
      <c r="F511" s="4" t="s">
        <v>1024</v>
      </c>
      <c r="G511" s="18">
        <v>151806411</v>
      </c>
      <c r="H511" s="18">
        <v>170721067.80000001</v>
      </c>
      <c r="I511" s="10">
        <v>8.2291235000000004E-2</v>
      </c>
      <c r="J511" s="10">
        <v>8.0055560000000003</v>
      </c>
      <c r="K511" s="10">
        <v>6.0534470000000002</v>
      </c>
      <c r="L511" s="10">
        <v>5.6966279999999996</v>
      </c>
      <c r="M511" s="10">
        <v>5.6966279999999996</v>
      </c>
      <c r="N511" s="10">
        <v>393.62540000000001</v>
      </c>
      <c r="O511" s="10">
        <v>404.87520000000001</v>
      </c>
      <c r="P511" s="10">
        <v>5.8984350000000001</v>
      </c>
      <c r="Q511" s="10">
        <v>-9.3200000000000005E-2</v>
      </c>
      <c r="R511" s="10">
        <v>8.8978526720000009</v>
      </c>
      <c r="S511" s="10">
        <v>6.3631052070000003</v>
      </c>
      <c r="T511" s="10">
        <v>108.875</v>
      </c>
      <c r="U511" s="10">
        <v>109.875</v>
      </c>
      <c r="V511" s="10">
        <v>108.875</v>
      </c>
      <c r="W511" s="10">
        <v>109.875</v>
      </c>
      <c r="X511" s="4" t="s">
        <v>146</v>
      </c>
      <c r="Y511" s="4" t="s">
        <v>2536</v>
      </c>
      <c r="AA511" s="10">
        <f t="shared" si="28"/>
        <v>2.1749149753324107E-2</v>
      </c>
      <c r="AB511" s="10">
        <f t="shared" si="29"/>
        <v>1.3497770926098883E-2</v>
      </c>
      <c r="AC511" s="10">
        <f t="shared" si="30"/>
        <v>1.9564378782727181</v>
      </c>
      <c r="AD511" s="10">
        <f t="shared" si="31"/>
        <v>0.1273779110915465</v>
      </c>
    </row>
    <row r="512" spans="1:30" x14ac:dyDescent="0.25">
      <c r="A512" s="33" t="s">
        <v>2534</v>
      </c>
      <c r="C512" s="39">
        <v>40847</v>
      </c>
      <c r="D512" s="53" t="s">
        <v>2538</v>
      </c>
      <c r="E512" s="4" t="str">
        <f>VLOOKUP(LEFT(D512,2),Sort!$A$1:$B$58,2,FALSE)</f>
        <v>Russia</v>
      </c>
      <c r="F512" s="4" t="s">
        <v>1007</v>
      </c>
      <c r="G512" s="18">
        <v>189758014</v>
      </c>
      <c r="H512" s="18">
        <v>185188009.09999999</v>
      </c>
      <c r="I512" s="10">
        <v>8.9264611999999993E-2</v>
      </c>
      <c r="J512" s="10">
        <v>4.7166670000000002</v>
      </c>
      <c r="K512" s="10">
        <v>3.9343400000000002</v>
      </c>
      <c r="L512" s="10">
        <v>7.3236559999999997</v>
      </c>
      <c r="M512" s="10">
        <v>7.3236559999999997</v>
      </c>
      <c r="N512" s="10">
        <v>642.33889999999997</v>
      </c>
      <c r="O512" s="10">
        <v>648.13310000000001</v>
      </c>
      <c r="P512" s="10">
        <v>3.9031549999999999</v>
      </c>
      <c r="Q512" s="10">
        <v>-0.23710000000000001</v>
      </c>
      <c r="R512" s="10">
        <v>13.3651701</v>
      </c>
      <c r="S512" s="10">
        <v>-3.2561840000000002</v>
      </c>
      <c r="T512" s="10">
        <v>95.75</v>
      </c>
      <c r="U512" s="10">
        <v>96.75</v>
      </c>
      <c r="V512" s="10">
        <v>95.75</v>
      </c>
      <c r="W512" s="10">
        <v>96.75</v>
      </c>
      <c r="X512" s="4" t="s">
        <v>146</v>
      </c>
      <c r="Y512" s="4" t="s">
        <v>2539</v>
      </c>
      <c r="AA512" s="10">
        <f t="shared" si="28"/>
        <v>9.9463522112332361E-3</v>
      </c>
      <c r="AB512" s="10">
        <f t="shared" si="29"/>
        <v>3.6555726183558158E-2</v>
      </c>
      <c r="AC512" s="10">
        <f t="shared" si="30"/>
        <v>6.5188626837208306</v>
      </c>
      <c r="AD512" s="10">
        <f t="shared" si="31"/>
        <v>0.37558752233432313</v>
      </c>
    </row>
    <row r="513" spans="1:30" x14ac:dyDescent="0.25">
      <c r="A513" s="33" t="s">
        <v>2537</v>
      </c>
      <c r="C513" s="39">
        <v>40847</v>
      </c>
      <c r="D513" s="53" t="s">
        <v>2541</v>
      </c>
      <c r="E513" s="4" t="str">
        <f>VLOOKUP(LEFT(D513,2),Sort!$A$1:$B$58,2,FALSE)</f>
        <v>Russia</v>
      </c>
      <c r="F513" s="4" t="s">
        <v>1081</v>
      </c>
      <c r="G513" s="18">
        <v>189758014</v>
      </c>
      <c r="H513" s="18">
        <v>212791870.19999999</v>
      </c>
      <c r="I513" s="10">
        <v>0.10257026800000001</v>
      </c>
      <c r="J513" s="10">
        <v>8.6361109999999996</v>
      </c>
      <c r="K513" s="10">
        <v>6.1112719999999996</v>
      </c>
      <c r="L513" s="10">
        <v>7.0565959999999999</v>
      </c>
      <c r="M513" s="10">
        <v>7.0565959999999999</v>
      </c>
      <c r="N513" s="10">
        <v>517.8098</v>
      </c>
      <c r="O513" s="10">
        <v>534.00509999999997</v>
      </c>
      <c r="P513" s="10">
        <v>5.9446269999999997</v>
      </c>
      <c r="Q513" s="10">
        <v>2.1399999999999999E-2</v>
      </c>
      <c r="R513" s="10">
        <v>11.063768659999999</v>
      </c>
      <c r="S513" s="10">
        <v>2.1334200920000002</v>
      </c>
      <c r="T513" s="10">
        <v>109</v>
      </c>
      <c r="U513" s="10">
        <v>110</v>
      </c>
      <c r="V513" s="10">
        <v>109</v>
      </c>
      <c r="W513" s="10">
        <v>110</v>
      </c>
      <c r="X513" s="4" t="s">
        <v>146</v>
      </c>
      <c r="Y513" s="4" t="s">
        <v>2542</v>
      </c>
      <c r="AA513" s="10">
        <f t="shared" si="28"/>
        <v>2.7367748238140664E-2</v>
      </c>
      <c r="AB513" s="10">
        <f t="shared" si="29"/>
        <v>4.0472953848716721E-2</v>
      </c>
      <c r="AC513" s="10">
        <f t="shared" si="30"/>
        <v>3.2163122500545911</v>
      </c>
      <c r="AD513" s="10">
        <f t="shared" si="31"/>
        <v>0.1589482799762818</v>
      </c>
    </row>
    <row r="514" spans="1:30" x14ac:dyDescent="0.25">
      <c r="A514" s="33" t="s">
        <v>2540</v>
      </c>
      <c r="C514" s="39">
        <v>40847</v>
      </c>
      <c r="D514" s="53" t="s">
        <v>2544</v>
      </c>
      <c r="E514" s="4" t="str">
        <f>VLOOKUP(LEFT(D514,2),Sort!$A$1:$B$58,2,FALSE)</f>
        <v>Russia</v>
      </c>
      <c r="F514" s="4" t="s">
        <v>1007</v>
      </c>
      <c r="G514" s="18">
        <v>88553740</v>
      </c>
      <c r="H514" s="18">
        <v>88922714.209999993</v>
      </c>
      <c r="I514" s="10">
        <v>4.2862665000000001E-2</v>
      </c>
      <c r="J514" s="10">
        <v>3.9666670000000002</v>
      </c>
      <c r="K514" s="10">
        <v>3.3100459999999998</v>
      </c>
      <c r="L514" s="10">
        <v>8.1852730000000005</v>
      </c>
      <c r="M514" s="10">
        <v>8.1852730000000005</v>
      </c>
      <c r="N514" s="10">
        <v>750.40060000000005</v>
      </c>
      <c r="O514" s="10">
        <v>756.43179999999995</v>
      </c>
      <c r="P514" s="10">
        <v>3.2948170000000001</v>
      </c>
      <c r="Q514" s="10">
        <v>-0.34799999999999998</v>
      </c>
      <c r="R514" s="10">
        <v>3.8303889949999999</v>
      </c>
      <c r="S514" s="10">
        <v>4.0626863760000003</v>
      </c>
      <c r="T514" s="10">
        <v>100.125</v>
      </c>
      <c r="U514" s="10">
        <v>101.875</v>
      </c>
      <c r="V514" s="10">
        <v>100.125</v>
      </c>
      <c r="W514" s="10">
        <v>101.875</v>
      </c>
      <c r="X514" s="4" t="s">
        <v>146</v>
      </c>
      <c r="Y514" s="4" t="s">
        <v>2545</v>
      </c>
      <c r="AA514" s="10">
        <f t="shared" si="28"/>
        <v>4.0181470145105756E-3</v>
      </c>
      <c r="AB514" s="10">
        <f t="shared" si="29"/>
        <v>4.3869973097203405E-2</v>
      </c>
      <c r="AC514" s="10">
        <f t="shared" si="30"/>
        <v>3.6532320346959009</v>
      </c>
      <c r="AD514" s="10">
        <f t="shared" si="31"/>
        <v>6.1516050956549287E-2</v>
      </c>
    </row>
    <row r="515" spans="1:30" x14ac:dyDescent="0.25">
      <c r="A515" s="33" t="s">
        <v>2543</v>
      </c>
      <c r="C515" s="39">
        <v>40847</v>
      </c>
      <c r="D515" s="53" t="s">
        <v>2547</v>
      </c>
      <c r="E515" s="4" t="str">
        <f>VLOOKUP(LEFT(D515,2),Sort!$A$1:$B$58,2,FALSE)</f>
        <v>Russia</v>
      </c>
      <c r="F515" s="4" t="s">
        <v>1024</v>
      </c>
      <c r="G515" s="18">
        <v>151806411</v>
      </c>
      <c r="H515" s="18">
        <v>157812631.69999999</v>
      </c>
      <c r="I515" s="10">
        <v>7.6069090000000006E-2</v>
      </c>
      <c r="J515" s="10">
        <v>4.25</v>
      </c>
      <c r="K515" s="10">
        <v>3.7612369999999999</v>
      </c>
      <c r="L515" s="10">
        <v>4.3800509999999999</v>
      </c>
      <c r="M515" s="10">
        <v>4.3800509999999999</v>
      </c>
      <c r="N515" s="10">
        <v>361.60509999999999</v>
      </c>
      <c r="O515" s="10">
        <v>365.709</v>
      </c>
      <c r="P515" s="10">
        <v>3.7356349999999998</v>
      </c>
      <c r="Q515" s="10">
        <v>-0.3453</v>
      </c>
      <c r="R515" s="10">
        <v>5.6283232490000001</v>
      </c>
      <c r="S515" s="10">
        <v>6.1291609999999999</v>
      </c>
      <c r="T515" s="10">
        <v>102.625</v>
      </c>
      <c r="U515" s="10">
        <v>103.625</v>
      </c>
      <c r="V515" s="10">
        <v>102.625</v>
      </c>
      <c r="W515" s="10">
        <v>103.625</v>
      </c>
      <c r="X515" s="4" t="s">
        <v>146</v>
      </c>
      <c r="Y515" s="4" t="s">
        <v>2548</v>
      </c>
      <c r="AA515" s="10">
        <f t="shared" si="28"/>
        <v>8.1031064619798178E-3</v>
      </c>
      <c r="AB515" s="10">
        <f t="shared" si="29"/>
        <v>9.5935204198712293E-3</v>
      </c>
      <c r="AC515" s="10">
        <f t="shared" si="30"/>
        <v>0.57201316383563183</v>
      </c>
      <c r="AD515" s="10">
        <f t="shared" si="31"/>
        <v>0.11104894110691918</v>
      </c>
    </row>
    <row r="516" spans="1:30" x14ac:dyDescent="0.25">
      <c r="A516" s="33" t="s">
        <v>2546</v>
      </c>
      <c r="C516" s="39">
        <v>40847</v>
      </c>
      <c r="D516" s="53" t="s">
        <v>2550</v>
      </c>
      <c r="E516" s="4" t="str">
        <f>VLOOKUP(LEFT(D516,2),Sort!$A$1:$B$58,2,FALSE)</f>
        <v>Russia</v>
      </c>
      <c r="F516" s="4" t="s">
        <v>1024</v>
      </c>
      <c r="G516" s="18">
        <v>164456946</v>
      </c>
      <c r="H516" s="18">
        <v>173750408</v>
      </c>
      <c r="I516" s="10">
        <v>8.3751441999999995E-2</v>
      </c>
      <c r="J516" s="10">
        <v>9.25</v>
      </c>
      <c r="K516" s="10">
        <v>6.9760619999999998</v>
      </c>
      <c r="L516" s="10">
        <v>5.89337</v>
      </c>
      <c r="M516" s="10">
        <v>5.89337</v>
      </c>
      <c r="N516" s="10">
        <v>389.98700000000002</v>
      </c>
      <c r="O516" s="10">
        <v>402.44450000000001</v>
      </c>
      <c r="P516" s="10">
        <v>6.7572359999999998</v>
      </c>
      <c r="Q516" s="10">
        <v>-0.45379999999999998</v>
      </c>
      <c r="R516" s="10">
        <v>8.7645409169999997</v>
      </c>
      <c r="S516" s="10">
        <v>8.1515319999999996</v>
      </c>
      <c r="T516" s="10">
        <v>104</v>
      </c>
      <c r="U516" s="10">
        <v>105</v>
      </c>
      <c r="V516" s="10">
        <v>104</v>
      </c>
      <c r="W516" s="10">
        <v>105</v>
      </c>
      <c r="X516" s="4" t="s">
        <v>146</v>
      </c>
      <c r="Y516" s="4" t="s">
        <v>2551</v>
      </c>
      <c r="AA516" s="10">
        <f t="shared" si="28"/>
        <v>2.5508715235474412E-2</v>
      </c>
      <c r="AB516" s="10">
        <f t="shared" si="29"/>
        <v>1.4211719129470007E-2</v>
      </c>
      <c r="AC516" s="10">
        <f t="shared" si="30"/>
        <v>1.9791996163427754</v>
      </c>
      <c r="AD516" s="10">
        <f t="shared" si="31"/>
        <v>0.12388629019760042</v>
      </c>
    </row>
    <row r="517" spans="1:30" x14ac:dyDescent="0.25">
      <c r="A517" s="33" t="s">
        <v>2549</v>
      </c>
      <c r="C517" s="39">
        <v>40847</v>
      </c>
      <c r="D517" s="53" t="s">
        <v>2553</v>
      </c>
      <c r="E517" s="4" t="str">
        <f>VLOOKUP(LEFT(D517,2),Sort!$A$1:$B$58,2,FALSE)</f>
        <v>Russia</v>
      </c>
      <c r="F517" s="4" t="s">
        <v>1007</v>
      </c>
      <c r="G517" s="18">
        <v>82228473</v>
      </c>
      <c r="H517" s="18">
        <v>67214924.579999998</v>
      </c>
      <c r="I517" s="10">
        <v>3.2399042000000003E-2</v>
      </c>
      <c r="J517" s="10">
        <v>4.4666670000000002</v>
      </c>
      <c r="K517" s="10">
        <v>3.3234979999999998</v>
      </c>
      <c r="L517" s="10">
        <v>15.319279999999999</v>
      </c>
      <c r="M517" s="10">
        <v>15.319279999999999</v>
      </c>
      <c r="N517" s="10">
        <v>1449.2012999999999</v>
      </c>
      <c r="O517" s="10">
        <v>1458.7280000000001</v>
      </c>
      <c r="P517" s="10">
        <v>3.3018589999999999</v>
      </c>
      <c r="Q517" s="10">
        <v>-0.1154</v>
      </c>
      <c r="R517" s="10">
        <v>2.123614178</v>
      </c>
      <c r="S517" s="10">
        <v>-12.91760113</v>
      </c>
      <c r="T517" s="10">
        <v>81.375</v>
      </c>
      <c r="U517" s="10">
        <v>86.375</v>
      </c>
      <c r="V517" s="10">
        <v>81.375</v>
      </c>
      <c r="W517" s="10">
        <v>86.375</v>
      </c>
      <c r="X517" s="4" t="s">
        <v>146</v>
      </c>
      <c r="Y517" s="4" t="s">
        <v>2554</v>
      </c>
      <c r="AA517" s="10">
        <f t="shared" ref="AA517:AA580" si="32">IF(K517&lt;1.99,($H517/$H$629)*K517,IF(AND(K517&gt;1.99,K517&lt;3.99),($H517/$H$630)*K517,IF(AND(K517&gt;3.99,K517&lt;5.99),($H517/$H$631)*K517,IF(AND(K517&gt;5.99,K517&lt;7.99),($H517/$H$632)*K517,IF(AND(K517&gt;7.99,K517&lt;9.99),($H517/$H$633)*K517,IF(K517&gt;9.99,($H517/$H$634)*K517))))))</f>
        <v>3.0495813316228299E-3</v>
      </c>
      <c r="AB517" s="10">
        <f t="shared" ref="AB517:AB580" si="33">IF(M517&lt;1.99,($H517/$H$613)*M517,IF(AND(M517&gt;1.99,M517&lt;3.99),($H517/$H$614)*M517,IF(AND(M517&gt;3.99,M517&lt;5.99),($H517/$H$615)*M517,IF(AND(M517&gt;5.99,M517&lt;7.99),($H517/$H$616)*M517,IF(AND(M517&gt;7.99,M517&lt;9.99),($H517/$H$617)*M517,IF(M517&gt;9.99,($H517/$H$618)*M517))))))</f>
        <v>6.4983011998845E-2</v>
      </c>
      <c r="AC517" s="10">
        <f t="shared" ref="AC517:AC580" si="34">IF(O517&lt;199.99,($H517/$H$621)*O517,IF(AND(O517&gt;199.99,O517&lt;399.99),($H517/$H$622)*O517,IF(AND(O517&gt;399.99,O517&lt;599.99),($H517/$H$623)*O517,IF(AND(O517&gt;599.99,O517&lt;799.99),($H517/$H$624)*O517,IF(AND(O517&gt;799.99,O517&lt;999.99),($H517/$H$625)*O517,IF(O517&gt;999.99,($H517/$H$626)*O517))))))</f>
        <v>7.2649581393917471</v>
      </c>
      <c r="AD517" s="10">
        <f t="shared" ref="AD517:AD580" si="35">IF(U517&lt;49.99,($H517/$H$637)*U517,IF(AND(U517&gt;49.99,U517&lt;79.99),($H517/$H$638)*U517,IF(AND(U517&gt;79.99,U517&lt;99.99),($H517/$H$639)*U517,IF(AND(U517&gt;99.99,U517&lt;119.99),($H517/$H$640)*U517,IF(AND(U517&gt;119.99,U517&lt;139.99),($H517/$H$641)*U517,IF(U517&gt;139.99,($H517/$H$642)*U517))))))</f>
        <v>0.12170294721338049</v>
      </c>
    </row>
    <row r="518" spans="1:30" x14ac:dyDescent="0.25">
      <c r="A518" s="33" t="s">
        <v>2552</v>
      </c>
      <c r="C518" s="39">
        <v>40847</v>
      </c>
      <c r="D518" s="53" t="s">
        <v>2556</v>
      </c>
      <c r="E518" s="4" t="str">
        <f>VLOOKUP(LEFT(D518,2),Sort!$A$1:$B$58,2,FALSE)</f>
        <v>Russia</v>
      </c>
      <c r="F518" s="4" t="s">
        <v>1007</v>
      </c>
      <c r="G518" s="18">
        <v>316263357</v>
      </c>
      <c r="H518" s="18">
        <v>324043435.60000002</v>
      </c>
      <c r="I518" s="10">
        <v>0.15619592099999999</v>
      </c>
      <c r="J518" s="10">
        <v>5.391667</v>
      </c>
      <c r="K518" s="10">
        <v>4.6692330000000002</v>
      </c>
      <c r="L518" s="10">
        <v>4.8398560000000002</v>
      </c>
      <c r="M518" s="10">
        <v>4.8398560000000002</v>
      </c>
      <c r="N518" s="10">
        <v>374.15100000000001</v>
      </c>
      <c r="O518" s="10">
        <v>379.2765</v>
      </c>
      <c r="P518" s="10">
        <v>4.6138919999999999</v>
      </c>
      <c r="Q518" s="10">
        <v>-0.35010000000000002</v>
      </c>
      <c r="R518" s="10">
        <v>7.1029102689999997</v>
      </c>
      <c r="S518" s="10">
        <v>6.9052306239999997</v>
      </c>
      <c r="T518" s="10">
        <v>101.875</v>
      </c>
      <c r="U518" s="10">
        <v>102.625</v>
      </c>
      <c r="V518" s="10">
        <v>101.875</v>
      </c>
      <c r="W518" s="10">
        <v>102.625</v>
      </c>
      <c r="X518" s="4" t="s">
        <v>146</v>
      </c>
      <c r="Y518" s="4" t="s">
        <v>2557</v>
      </c>
      <c r="AA518" s="10">
        <f t="shared" si="32"/>
        <v>3.2951165823092092E-2</v>
      </c>
      <c r="AB518" s="10">
        <f t="shared" si="33"/>
        <v>2.1766707589585717E-2</v>
      </c>
      <c r="AC518" s="10">
        <f t="shared" si="34"/>
        <v>1.2181135535769689</v>
      </c>
      <c r="AD518" s="10">
        <f t="shared" si="35"/>
        <v>0.22582109768534014</v>
      </c>
    </row>
    <row r="519" spans="1:30" x14ac:dyDescent="0.25">
      <c r="A519" s="33" t="s">
        <v>2555</v>
      </c>
      <c r="C519" s="39">
        <v>40847</v>
      </c>
      <c r="D519" s="53" t="s">
        <v>2559</v>
      </c>
      <c r="E519" s="4" t="str">
        <f>VLOOKUP(LEFT(D519,2),Sort!$A$1:$B$58,2,FALSE)</f>
        <v>Russia</v>
      </c>
      <c r="F519" s="4" t="s">
        <v>1007</v>
      </c>
      <c r="G519" s="18">
        <v>379516028</v>
      </c>
      <c r="H519" s="18">
        <v>401421313.60000002</v>
      </c>
      <c r="I519" s="10">
        <v>0.193493726</v>
      </c>
      <c r="J519" s="10">
        <v>3.677778</v>
      </c>
      <c r="K519" s="10">
        <v>3.274553</v>
      </c>
      <c r="L519" s="10">
        <v>4.1647420000000004</v>
      </c>
      <c r="M519" s="10">
        <v>4.1647420000000004</v>
      </c>
      <c r="N519" s="10">
        <v>356.78309999999999</v>
      </c>
      <c r="O519" s="10">
        <v>360.68110000000001</v>
      </c>
      <c r="P519" s="10">
        <v>3.2632330000000001</v>
      </c>
      <c r="Q519" s="10">
        <v>-0.45619999999999999</v>
      </c>
      <c r="R519" s="10">
        <v>5.1471136810000004</v>
      </c>
      <c r="S519" s="10">
        <v>6.2893077240000004</v>
      </c>
      <c r="T519" s="10">
        <v>104</v>
      </c>
      <c r="U519" s="10">
        <v>104.5</v>
      </c>
      <c r="V519" s="10">
        <v>104</v>
      </c>
      <c r="W519" s="10">
        <v>104.5</v>
      </c>
      <c r="X519" s="4" t="s">
        <v>146</v>
      </c>
      <c r="Y519" s="4" t="s">
        <v>2560</v>
      </c>
      <c r="AA519" s="10">
        <f t="shared" si="32"/>
        <v>1.7944507148235447E-2</v>
      </c>
      <c r="AB519" s="10">
        <f t="shared" si="33"/>
        <v>2.3203078276351076E-2</v>
      </c>
      <c r="AC519" s="10">
        <f t="shared" si="34"/>
        <v>1.4350017348557946</v>
      </c>
      <c r="AD519" s="10">
        <f t="shared" si="35"/>
        <v>0.28485564753221781</v>
      </c>
    </row>
    <row r="520" spans="1:30" x14ac:dyDescent="0.25">
      <c r="A520" s="33" t="s">
        <v>2558</v>
      </c>
      <c r="C520" s="39">
        <v>40847</v>
      </c>
      <c r="D520" s="53" t="s">
        <v>2562</v>
      </c>
      <c r="E520" s="4" t="str">
        <f>VLOOKUP(LEFT(D520,2),Sort!$A$1:$B$58,2,FALSE)</f>
        <v>Russia</v>
      </c>
      <c r="F520" s="4" t="s">
        <v>1007</v>
      </c>
      <c r="G520" s="18">
        <v>253010686</v>
      </c>
      <c r="H520" s="18">
        <v>252506273.80000001</v>
      </c>
      <c r="I520" s="10">
        <v>0.12171346700000001</v>
      </c>
      <c r="J520" s="10">
        <v>9.6194439999999997</v>
      </c>
      <c r="K520" s="10">
        <v>7.3125270000000002</v>
      </c>
      <c r="L520" s="10">
        <v>5.9401419999999998</v>
      </c>
      <c r="M520" s="10">
        <v>5.9401419999999998</v>
      </c>
      <c r="N520" s="10">
        <v>387.74329999999998</v>
      </c>
      <c r="O520" s="10">
        <v>399.72680000000003</v>
      </c>
      <c r="P520" s="10">
        <v>7.0730849999999998</v>
      </c>
      <c r="Q520" s="10">
        <v>-1.5868</v>
      </c>
      <c r="R520" s="10">
        <v>7.6238328590000002</v>
      </c>
      <c r="S520" s="10">
        <v>0.22216743</v>
      </c>
      <c r="T520" s="10">
        <v>97.625</v>
      </c>
      <c r="U520" s="10">
        <v>98.375</v>
      </c>
      <c r="V520" s="10">
        <v>97.625</v>
      </c>
      <c r="W520" s="10">
        <v>98.375</v>
      </c>
      <c r="X520" s="4" t="s">
        <v>146</v>
      </c>
      <c r="Y520" s="4" t="s">
        <v>2563</v>
      </c>
      <c r="AA520" s="10">
        <f t="shared" si="32"/>
        <v>3.8859040827996613E-2</v>
      </c>
      <c r="AB520" s="10">
        <f t="shared" si="33"/>
        <v>2.0817380237037626E-2</v>
      </c>
      <c r="AC520" s="10">
        <f t="shared" si="34"/>
        <v>1.0003778168901409</v>
      </c>
      <c r="AD520" s="10">
        <f t="shared" si="35"/>
        <v>0.52071997522802949</v>
      </c>
    </row>
    <row r="521" spans="1:30" x14ac:dyDescent="0.25">
      <c r="A521" s="33" t="s">
        <v>2561</v>
      </c>
      <c r="C521" s="39">
        <v>40847</v>
      </c>
      <c r="D521" s="53" t="s">
        <v>2565</v>
      </c>
      <c r="E521" s="4" t="str">
        <f>VLOOKUP(LEFT(D521,2),Sort!$A$1:$B$58,2,FALSE)</f>
        <v>Russia</v>
      </c>
      <c r="F521" s="4" t="s">
        <v>1007</v>
      </c>
      <c r="G521" s="18">
        <v>126505343</v>
      </c>
      <c r="H521" s="18">
        <v>135422662.90000001</v>
      </c>
      <c r="I521" s="10">
        <v>6.5276642999999995E-2</v>
      </c>
      <c r="J521" s="10">
        <v>1.663889</v>
      </c>
      <c r="K521" s="10">
        <v>1.5555410000000001</v>
      </c>
      <c r="L521" s="10">
        <v>2.9746730000000001</v>
      </c>
      <c r="M521" s="10">
        <v>2.9746730000000001</v>
      </c>
      <c r="N521" s="10">
        <v>277.8426</v>
      </c>
      <c r="O521" s="10">
        <v>278.35660000000001</v>
      </c>
      <c r="P521" s="10">
        <v>1.5520590000000001</v>
      </c>
      <c r="Q521" s="10">
        <v>-9.9900000000000003E-2</v>
      </c>
      <c r="R521" s="10">
        <v>1.7857281549999999</v>
      </c>
      <c r="S521" s="10">
        <v>3.3516084770000001</v>
      </c>
      <c r="T521" s="10">
        <v>104.875</v>
      </c>
      <c r="U521" s="10">
        <v>105.625</v>
      </c>
      <c r="V521" s="10">
        <v>104.875</v>
      </c>
      <c r="W521" s="10">
        <v>105.625</v>
      </c>
      <c r="X521" s="4" t="s">
        <v>146</v>
      </c>
      <c r="Y521" s="4" t="s">
        <v>2566</v>
      </c>
      <c r="AA521" s="10">
        <f t="shared" si="32"/>
        <v>1.2837916227000746E-2</v>
      </c>
      <c r="AB521" s="10">
        <f t="shared" si="33"/>
        <v>6.5563680296445905E-3</v>
      </c>
      <c r="AC521" s="10">
        <f t="shared" si="34"/>
        <v>0.37361257508027751</v>
      </c>
      <c r="AD521" s="10">
        <f t="shared" si="35"/>
        <v>9.7132862433063488E-2</v>
      </c>
    </row>
    <row r="522" spans="1:30" x14ac:dyDescent="0.25">
      <c r="A522" s="33" t="s">
        <v>2564</v>
      </c>
      <c r="C522" s="39">
        <v>40847</v>
      </c>
      <c r="D522" s="53" t="s">
        <v>2568</v>
      </c>
      <c r="E522" s="4" t="str">
        <f>VLOOKUP(LEFT(D522,2),Sort!$A$1:$B$58,2,FALSE)</f>
        <v>Russia</v>
      </c>
      <c r="F522" s="4" t="s">
        <v>1007</v>
      </c>
      <c r="G522" s="18">
        <v>126505343</v>
      </c>
      <c r="H522" s="18">
        <v>136339868.40000001</v>
      </c>
      <c r="I522" s="10">
        <v>6.5718755000000004E-2</v>
      </c>
      <c r="J522" s="10">
        <v>1.5333330000000001</v>
      </c>
      <c r="K522" s="10">
        <v>1.4297219999999999</v>
      </c>
      <c r="L522" s="10">
        <v>2.7898800000000001</v>
      </c>
      <c r="M522" s="10">
        <v>2.7898800000000001</v>
      </c>
      <c r="N522" s="10">
        <v>261.3347</v>
      </c>
      <c r="O522" s="10">
        <v>261.798</v>
      </c>
      <c r="P522" s="10">
        <v>1.4247620000000001</v>
      </c>
      <c r="Q522" s="10">
        <v>-0.21479999999999999</v>
      </c>
      <c r="R522" s="10">
        <v>1.654407508</v>
      </c>
      <c r="S522" s="10">
        <v>3.2463319560000001</v>
      </c>
      <c r="T522" s="10">
        <v>104.75</v>
      </c>
      <c r="U522" s="10">
        <v>105.5</v>
      </c>
      <c r="V522" s="10">
        <v>104.75</v>
      </c>
      <c r="W522" s="10">
        <v>105.5</v>
      </c>
      <c r="X522" s="4" t="s">
        <v>146</v>
      </c>
      <c r="Y522" s="4" t="s">
        <v>2569</v>
      </c>
      <c r="AA522" s="10">
        <f t="shared" si="32"/>
        <v>1.1879446227349195E-2</v>
      </c>
      <c r="AB522" s="10">
        <f t="shared" si="33"/>
        <v>6.1907196473567332E-3</v>
      </c>
      <c r="AC522" s="10">
        <f t="shared" si="34"/>
        <v>0.35376739834482207</v>
      </c>
      <c r="AD522" s="10">
        <f t="shared" si="35"/>
        <v>9.7675005882827334E-2</v>
      </c>
    </row>
    <row r="523" spans="1:30" x14ac:dyDescent="0.25">
      <c r="A523" s="33" t="s">
        <v>2567</v>
      </c>
      <c r="C523" s="39">
        <v>40847</v>
      </c>
      <c r="D523" s="53" t="s">
        <v>2571</v>
      </c>
      <c r="E523" s="4" t="str">
        <f>VLOOKUP(LEFT(D523,2),Sort!$A$1:$B$58,2,FALSE)</f>
        <v>Russia</v>
      </c>
      <c r="F523" s="4" t="s">
        <v>1214</v>
      </c>
      <c r="G523" s="18">
        <v>126505343</v>
      </c>
      <c r="H523" s="18">
        <v>124998699.8</v>
      </c>
      <c r="I523" s="10">
        <v>6.0252067999999999E-2</v>
      </c>
      <c r="J523" s="10">
        <v>4.730556</v>
      </c>
      <c r="K523" s="10">
        <v>3.9875509999999998</v>
      </c>
      <c r="L523" s="10">
        <v>6.7160039999999999</v>
      </c>
      <c r="M523" s="10">
        <v>6.7160039999999999</v>
      </c>
      <c r="N523" s="10">
        <v>581.16819999999996</v>
      </c>
      <c r="O523" s="10">
        <v>586.71199999999999</v>
      </c>
      <c r="P523" s="10">
        <v>3.9557500000000001</v>
      </c>
      <c r="Q523" s="10">
        <v>-0.61119999999999997</v>
      </c>
      <c r="R523" s="10">
        <v>13.96932178</v>
      </c>
      <c r="S523" s="10">
        <v>-1.61117395</v>
      </c>
      <c r="T523" s="10">
        <v>97.125</v>
      </c>
      <c r="U523" s="10">
        <v>98.125</v>
      </c>
      <c r="V523" s="10">
        <v>97.125</v>
      </c>
      <c r="W523" s="10">
        <v>98.125</v>
      </c>
      <c r="X523" s="4" t="s">
        <v>146</v>
      </c>
      <c r="Y523" s="4" t="s">
        <v>2572</v>
      </c>
      <c r="AA523" s="10">
        <f t="shared" si="32"/>
        <v>6.8044155631150627E-3</v>
      </c>
      <c r="AB523" s="10">
        <f t="shared" si="33"/>
        <v>2.2627212621599963E-2</v>
      </c>
      <c r="AC523" s="10">
        <f t="shared" si="34"/>
        <v>2.0758130365228764</v>
      </c>
      <c r="AD523" s="10">
        <f t="shared" si="35"/>
        <v>0.25711800207639218</v>
      </c>
    </row>
    <row r="524" spans="1:30" x14ac:dyDescent="0.25">
      <c r="A524" s="33" t="s">
        <v>2570</v>
      </c>
      <c r="C524" s="39">
        <v>40847</v>
      </c>
      <c r="D524" s="53" t="s">
        <v>2574</v>
      </c>
      <c r="E524" s="4" t="str">
        <f>VLOOKUP(LEFT(D524,2),Sort!$A$1:$B$58,2,FALSE)</f>
        <v>Russia</v>
      </c>
      <c r="F524" s="4" t="s">
        <v>1214</v>
      </c>
      <c r="G524" s="18">
        <v>253010686</v>
      </c>
      <c r="H524" s="18">
        <v>247062123.90000001</v>
      </c>
      <c r="I524" s="10">
        <v>0.119089269</v>
      </c>
      <c r="J524" s="10">
        <v>5.9777779999999998</v>
      </c>
      <c r="K524" s="10">
        <v>4.8990320000000001</v>
      </c>
      <c r="L524" s="10">
        <v>7.0109779999999997</v>
      </c>
      <c r="M524" s="10">
        <v>7.0109779999999997</v>
      </c>
      <c r="N524" s="10">
        <v>574.00220000000002</v>
      </c>
      <c r="O524" s="10">
        <v>581.41570000000002</v>
      </c>
      <c r="P524" s="10">
        <v>4.8235229999999998</v>
      </c>
      <c r="Q524" s="10">
        <v>-0.2364</v>
      </c>
      <c r="R524" s="10">
        <v>16.670071249999999</v>
      </c>
      <c r="S524" s="10">
        <v>4.1769672440000001</v>
      </c>
      <c r="T524" s="10">
        <v>97.5</v>
      </c>
      <c r="U524" s="10">
        <v>98.5</v>
      </c>
      <c r="V524" s="10">
        <v>97.5</v>
      </c>
      <c r="W524" s="10">
        <v>98.5</v>
      </c>
      <c r="X524" s="4" t="s">
        <v>146</v>
      </c>
      <c r="Y524" s="4" t="s">
        <v>2575</v>
      </c>
      <c r="AA524" s="10">
        <f t="shared" si="32"/>
        <v>2.6359578242171756E-2</v>
      </c>
      <c r="AB524" s="10">
        <f t="shared" si="33"/>
        <v>4.6687367965502199E-2</v>
      </c>
      <c r="AC524" s="10">
        <f t="shared" si="34"/>
        <v>4.0658438365684439</v>
      </c>
      <c r="AD524" s="10">
        <f t="shared" si="35"/>
        <v>0.5101404024547892</v>
      </c>
    </row>
    <row r="525" spans="1:30" x14ac:dyDescent="0.25">
      <c r="A525" s="33" t="s">
        <v>2573</v>
      </c>
      <c r="C525" s="39">
        <v>40847</v>
      </c>
      <c r="D525" s="53" t="s">
        <v>2577</v>
      </c>
      <c r="E525" s="4" t="str">
        <f>VLOOKUP(LEFT(D525,2),Sort!$A$1:$B$58,2,FALSE)</f>
        <v>Russia</v>
      </c>
      <c r="F525" s="4" t="s">
        <v>1214</v>
      </c>
      <c r="G525" s="18">
        <v>94879007</v>
      </c>
      <c r="H525" s="18">
        <v>102217634.40000001</v>
      </c>
      <c r="I525" s="10">
        <v>4.9271102999999997E-2</v>
      </c>
      <c r="J525" s="10">
        <v>2.4666670000000002</v>
      </c>
      <c r="K525" s="10">
        <v>2.1974909999999999</v>
      </c>
      <c r="L525" s="10">
        <v>5.5599290000000003</v>
      </c>
      <c r="M525" s="10">
        <v>5.5599290000000003</v>
      </c>
      <c r="N525" s="10">
        <v>524.19960000000003</v>
      </c>
      <c r="O525" s="10">
        <v>526.63109999999995</v>
      </c>
      <c r="P525" s="10">
        <v>2.1978800000000001</v>
      </c>
      <c r="Q525" s="10">
        <v>-9.2100000000000001E-2</v>
      </c>
      <c r="R525" s="10">
        <v>4.8722447100000004</v>
      </c>
      <c r="S525" s="10">
        <v>3.0707466339999998</v>
      </c>
      <c r="T525" s="10">
        <v>107.375</v>
      </c>
      <c r="U525" s="10">
        <v>108.375</v>
      </c>
      <c r="V525" s="10">
        <v>107.375</v>
      </c>
      <c r="W525" s="10">
        <v>108.375</v>
      </c>
      <c r="X525" s="4" t="s">
        <v>146</v>
      </c>
      <c r="Y525" s="4" t="s">
        <v>2578</v>
      </c>
      <c r="AA525" s="10">
        <f t="shared" si="32"/>
        <v>3.0664226487276533E-3</v>
      </c>
      <c r="AB525" s="10">
        <f t="shared" si="33"/>
        <v>7.8877320025846041E-3</v>
      </c>
      <c r="AC525" s="10">
        <f t="shared" si="34"/>
        <v>1.5236671246673381</v>
      </c>
      <c r="AD525" s="10">
        <f t="shared" si="35"/>
        <v>7.5225148266223077E-2</v>
      </c>
    </row>
    <row r="526" spans="1:30" x14ac:dyDescent="0.25">
      <c r="A526" s="33" t="s">
        <v>2576</v>
      </c>
      <c r="C526" s="39">
        <v>40847</v>
      </c>
      <c r="D526" s="53" t="s">
        <v>2580</v>
      </c>
      <c r="E526" s="4" t="str">
        <f>VLOOKUP(LEFT(D526,2),Sort!$A$1:$B$58,2,FALSE)</f>
        <v>Russia</v>
      </c>
      <c r="F526" s="4" t="s">
        <v>1214</v>
      </c>
      <c r="G526" s="18">
        <v>137524464</v>
      </c>
      <c r="H526" s="18">
        <v>150996130.80000001</v>
      </c>
      <c r="I526" s="10">
        <v>7.2783390000000003E-2</v>
      </c>
      <c r="J526" s="10">
        <v>1.7388889999999999</v>
      </c>
      <c r="K526" s="10">
        <v>1.574473</v>
      </c>
      <c r="L526" s="10">
        <v>4.7426300000000001</v>
      </c>
      <c r="M526" s="10">
        <v>4.7426300000000001</v>
      </c>
      <c r="N526" s="10">
        <v>453.50580000000002</v>
      </c>
      <c r="O526" s="10">
        <v>454.28930000000003</v>
      </c>
      <c r="P526" s="10">
        <v>1.5729759999999999</v>
      </c>
      <c r="Q526" s="10">
        <v>-0.2026</v>
      </c>
      <c r="R526" s="10">
        <v>4.7795143449999999</v>
      </c>
      <c r="S526" s="10">
        <v>3.4702198069999999</v>
      </c>
      <c r="T526" s="10">
        <v>107.25</v>
      </c>
      <c r="U526" s="10">
        <v>108.25</v>
      </c>
      <c r="V526" s="10">
        <v>107.25</v>
      </c>
      <c r="W526" s="10">
        <v>108.25</v>
      </c>
      <c r="X526" s="4" t="s">
        <v>146</v>
      </c>
      <c r="Y526" s="4" t="s">
        <v>2581</v>
      </c>
      <c r="AA526" s="10">
        <f t="shared" si="32"/>
        <v>1.4488477875516062E-2</v>
      </c>
      <c r="AB526" s="10">
        <f t="shared" si="33"/>
        <v>9.9389873474464811E-3</v>
      </c>
      <c r="AC526" s="10">
        <f t="shared" si="34"/>
        <v>1.9415836013162604</v>
      </c>
      <c r="AD526" s="10">
        <f t="shared" si="35"/>
        <v>0.11099459729187232</v>
      </c>
    </row>
    <row r="527" spans="1:30" x14ac:dyDescent="0.25">
      <c r="A527" s="33" t="s">
        <v>2579</v>
      </c>
      <c r="C527" s="39">
        <v>40847</v>
      </c>
      <c r="D527" s="53" t="s">
        <v>2583</v>
      </c>
      <c r="E527" s="4" t="str">
        <f>VLOOKUP(LEFT(D527,2),Sort!$A$1:$B$58,2,FALSE)</f>
        <v>Russia</v>
      </c>
      <c r="F527" s="4" t="s">
        <v>1014</v>
      </c>
      <c r="G527" s="18">
        <v>126505343</v>
      </c>
      <c r="H527" s="18">
        <v>121213203.2</v>
      </c>
      <c r="I527" s="10">
        <v>5.8427377000000003E-2</v>
      </c>
      <c r="J527" s="10">
        <v>6.2388890000000004</v>
      </c>
      <c r="K527" s="10">
        <v>4.7780829999999996</v>
      </c>
      <c r="L527" s="10">
        <v>8.7504399999999993</v>
      </c>
      <c r="M527" s="10">
        <v>8.7504399999999993</v>
      </c>
      <c r="N527" s="10">
        <v>740.25869999999998</v>
      </c>
      <c r="O527" s="10">
        <v>750.55780000000004</v>
      </c>
      <c r="P527" s="10">
        <v>4.6981039999999998</v>
      </c>
      <c r="Q527" s="10">
        <v>0.28420000000000001</v>
      </c>
      <c r="R527" s="10">
        <v>11.461534909999999</v>
      </c>
      <c r="S527" s="10">
        <v>-3.8722629999999998</v>
      </c>
      <c r="T527" s="10">
        <v>93.75</v>
      </c>
      <c r="U527" s="10">
        <v>95.25</v>
      </c>
      <c r="V527" s="10">
        <v>93.75</v>
      </c>
      <c r="W527" s="10">
        <v>95.25</v>
      </c>
      <c r="X527" s="4" t="s">
        <v>146</v>
      </c>
      <c r="Y527" s="4" t="s">
        <v>2584</v>
      </c>
      <c r="AA527" s="10">
        <f t="shared" si="32"/>
        <v>1.261321004815528E-2</v>
      </c>
      <c r="AB527" s="10">
        <f t="shared" si="33"/>
        <v>6.3929500082374108E-2</v>
      </c>
      <c r="AC527" s="10">
        <f t="shared" si="34"/>
        <v>4.9411591192824327</v>
      </c>
      <c r="AD527" s="10">
        <f t="shared" si="35"/>
        <v>0.24202611627294099</v>
      </c>
    </row>
    <row r="528" spans="1:30" x14ac:dyDescent="0.25">
      <c r="A528" s="33" t="s">
        <v>2582</v>
      </c>
      <c r="C528" s="39">
        <v>40847</v>
      </c>
      <c r="D528" s="53" t="s">
        <v>2586</v>
      </c>
      <c r="E528" s="4" t="str">
        <f>VLOOKUP(LEFT(D528,2),Sort!$A$1:$B$58,2,FALSE)</f>
        <v>Russia</v>
      </c>
      <c r="F528" s="4" t="s">
        <v>1024</v>
      </c>
      <c r="G528" s="18">
        <v>126505343</v>
      </c>
      <c r="H528" s="18">
        <v>135461745.40000001</v>
      </c>
      <c r="I528" s="10">
        <v>6.5295481000000002E-2</v>
      </c>
      <c r="J528" s="10">
        <v>3.2472219999999998</v>
      </c>
      <c r="K528" s="10">
        <v>2.9077470000000001</v>
      </c>
      <c r="L528" s="10">
        <v>4.0894510000000004</v>
      </c>
      <c r="M528" s="10">
        <v>4.0894510000000004</v>
      </c>
      <c r="N528" s="10">
        <v>361.82619999999997</v>
      </c>
      <c r="O528" s="10">
        <v>364.4348</v>
      </c>
      <c r="P528" s="10">
        <v>2.896477</v>
      </c>
      <c r="Q528" s="10">
        <v>-0.21679999999999999</v>
      </c>
      <c r="R528" s="10">
        <v>4.883855874</v>
      </c>
      <c r="S528" s="10">
        <v>4.2653601940000003</v>
      </c>
      <c r="T528" s="10">
        <v>105.5</v>
      </c>
      <c r="U528" s="10">
        <v>106.5</v>
      </c>
      <c r="V528" s="10">
        <v>105.5</v>
      </c>
      <c r="W528" s="10">
        <v>106.5</v>
      </c>
      <c r="X528" s="4" t="s">
        <v>146</v>
      </c>
      <c r="Y528" s="4" t="s">
        <v>2587</v>
      </c>
      <c r="AA528" s="10">
        <f t="shared" si="32"/>
        <v>5.3771526589055417E-3</v>
      </c>
      <c r="AB528" s="10">
        <f t="shared" si="33"/>
        <v>7.6884492260482721E-3</v>
      </c>
      <c r="AC528" s="10">
        <f t="shared" si="34"/>
        <v>0.48928862698543679</v>
      </c>
      <c r="AD528" s="10">
        <f t="shared" si="35"/>
        <v>9.7965777783312225E-2</v>
      </c>
    </row>
    <row r="529" spans="1:30" x14ac:dyDescent="0.25">
      <c r="A529" s="33" t="s">
        <v>2585</v>
      </c>
      <c r="C529" s="39">
        <v>40847</v>
      </c>
      <c r="D529" s="53" t="s">
        <v>2589</v>
      </c>
      <c r="E529" s="4" t="str">
        <f>VLOOKUP(LEFT(D529,2),Sort!$A$1:$B$58,2,FALSE)</f>
        <v>Russia</v>
      </c>
      <c r="F529" s="4" t="s">
        <v>1024</v>
      </c>
      <c r="G529" s="18">
        <v>278311754</v>
      </c>
      <c r="H529" s="18">
        <v>318927875.60000002</v>
      </c>
      <c r="I529" s="10">
        <v>0.153730111</v>
      </c>
      <c r="J529" s="10">
        <v>6.3611110000000002</v>
      </c>
      <c r="K529" s="10">
        <v>5.1078150000000004</v>
      </c>
      <c r="L529" s="10">
        <v>5.1692980000000004</v>
      </c>
      <c r="M529" s="10">
        <v>5.1692980000000004</v>
      </c>
      <c r="N529" s="10">
        <v>378.54509999999999</v>
      </c>
      <c r="O529" s="10">
        <v>388.15609999999998</v>
      </c>
      <c r="P529" s="10">
        <v>5.0209859999999997</v>
      </c>
      <c r="Q529" s="10">
        <v>1.9099999999999999E-2</v>
      </c>
      <c r="R529" s="10">
        <v>9.6787712139999993</v>
      </c>
      <c r="S529" s="10">
        <v>5.84960301</v>
      </c>
      <c r="T529" s="10">
        <v>113.5</v>
      </c>
      <c r="U529" s="10">
        <v>114.5</v>
      </c>
      <c r="V529" s="10">
        <v>113.5</v>
      </c>
      <c r="W529" s="10">
        <v>114.5</v>
      </c>
      <c r="X529" s="4" t="s">
        <v>146</v>
      </c>
      <c r="Y529" s="4" t="s">
        <v>2590</v>
      </c>
      <c r="AA529" s="10">
        <f t="shared" si="32"/>
        <v>3.5477225591581493E-2</v>
      </c>
      <c r="AB529" s="10">
        <f t="shared" si="33"/>
        <v>2.2881322582581493E-2</v>
      </c>
      <c r="AC529" s="10">
        <f t="shared" si="34"/>
        <v>1.2269518180494394</v>
      </c>
      <c r="AD529" s="10">
        <f t="shared" si="35"/>
        <v>0.24797396293086421</v>
      </c>
    </row>
    <row r="530" spans="1:30" x14ac:dyDescent="0.25">
      <c r="A530" s="33" t="s">
        <v>2588</v>
      </c>
      <c r="C530" s="39">
        <v>40847</v>
      </c>
      <c r="D530" s="53" t="s">
        <v>2592</v>
      </c>
      <c r="E530" s="4" t="str">
        <f>VLOOKUP(LEFT(D530,2),Sort!$A$1:$B$58,2,FALSE)</f>
        <v>Russia</v>
      </c>
      <c r="F530" s="4" t="s">
        <v>1024</v>
      </c>
      <c r="G530" s="18">
        <v>202408549</v>
      </c>
      <c r="H530" s="18">
        <v>218684866.09999999</v>
      </c>
      <c r="I530" s="10">
        <v>0.105410819</v>
      </c>
      <c r="J530" s="10">
        <v>5.3805560000000003</v>
      </c>
      <c r="K530" s="10">
        <v>4.5507689999999998</v>
      </c>
      <c r="L530" s="10">
        <v>4.8623909999999997</v>
      </c>
      <c r="M530" s="10">
        <v>4.8623909999999997</v>
      </c>
      <c r="N530" s="10">
        <v>376.73169999999999</v>
      </c>
      <c r="O530" s="10">
        <v>383.18110000000001</v>
      </c>
      <c r="P530" s="10">
        <v>4.4978379999999998</v>
      </c>
      <c r="Q530" s="10">
        <v>-0.21390000000000001</v>
      </c>
      <c r="R530" s="10">
        <v>8.013191698</v>
      </c>
      <c r="S530" s="10">
        <v>6.2010142960000003</v>
      </c>
      <c r="T530" s="10">
        <v>107.25</v>
      </c>
      <c r="U530" s="10">
        <v>108.25</v>
      </c>
      <c r="V530" s="10">
        <v>107.25</v>
      </c>
      <c r="W530" s="10">
        <v>108.25</v>
      </c>
      <c r="X530" s="4" t="s">
        <v>146</v>
      </c>
      <c r="Y530" s="4" t="s">
        <v>2593</v>
      </c>
      <c r="AA530" s="10">
        <f t="shared" si="32"/>
        <v>2.1673324352585854E-2</v>
      </c>
      <c r="AB530" s="10">
        <f t="shared" si="33"/>
        <v>1.47579380415871E-2</v>
      </c>
      <c r="AC530" s="10">
        <f t="shared" si="34"/>
        <v>0.83052253664844511</v>
      </c>
      <c r="AD530" s="10">
        <f t="shared" si="35"/>
        <v>0.16075139487346729</v>
      </c>
    </row>
    <row r="531" spans="1:30" x14ac:dyDescent="0.25">
      <c r="A531" s="33" t="s">
        <v>2591</v>
      </c>
      <c r="C531" s="39">
        <v>40847</v>
      </c>
      <c r="D531" s="53" t="s">
        <v>2595</v>
      </c>
      <c r="E531" s="4" t="str">
        <f>VLOOKUP(LEFT(D531,2),Sort!$A$1:$B$58,2,FALSE)</f>
        <v>Russia</v>
      </c>
      <c r="F531" s="4" t="s">
        <v>1024</v>
      </c>
      <c r="G531" s="18">
        <v>151806411</v>
      </c>
      <c r="H531" s="18">
        <v>161357564.90000001</v>
      </c>
      <c r="I531" s="10">
        <v>7.7777823999999995E-2</v>
      </c>
      <c r="J531" s="10">
        <v>1.361111</v>
      </c>
      <c r="K531" s="10">
        <v>1.299331</v>
      </c>
      <c r="L531" s="10">
        <v>2.7847819999999999</v>
      </c>
      <c r="M531" s="10">
        <v>2.7847819999999999</v>
      </c>
      <c r="N531" s="10">
        <v>263.42540000000002</v>
      </c>
      <c r="O531" s="10">
        <v>263.85199999999998</v>
      </c>
      <c r="P531" s="10">
        <v>1.291436</v>
      </c>
      <c r="Q531" s="10">
        <v>1.9599999999999999E-2</v>
      </c>
      <c r="R531" s="10">
        <v>3.4888421510000001</v>
      </c>
      <c r="S531" s="10">
        <v>3.1680855550000002</v>
      </c>
      <c r="T531" s="10">
        <v>105.25</v>
      </c>
      <c r="U531" s="10">
        <v>106.25</v>
      </c>
      <c r="V531" s="10">
        <v>105.25</v>
      </c>
      <c r="W531" s="10">
        <v>106.25</v>
      </c>
      <c r="X531" s="4" t="s">
        <v>146</v>
      </c>
      <c r="Y531" s="4" t="s">
        <v>2596</v>
      </c>
      <c r="AA531" s="10">
        <f t="shared" si="32"/>
        <v>1.2777057726045749E-2</v>
      </c>
      <c r="AB531" s="10">
        <f t="shared" si="33"/>
        <v>7.3132981185464099E-3</v>
      </c>
      <c r="AC531" s="10">
        <f t="shared" si="34"/>
        <v>0.42196685062938694</v>
      </c>
      <c r="AD531" s="10">
        <f t="shared" si="35"/>
        <v>0.11641967588085847</v>
      </c>
    </row>
    <row r="532" spans="1:30" x14ac:dyDescent="0.25">
      <c r="A532" s="33" t="s">
        <v>2594</v>
      </c>
      <c r="C532" s="39">
        <v>40847</v>
      </c>
      <c r="D532" s="53" t="s">
        <v>2598</v>
      </c>
      <c r="E532" s="4" t="str">
        <f>VLOOKUP(LEFT(D532,2),Sort!$A$1:$B$58,2,FALSE)</f>
        <v>Russia</v>
      </c>
      <c r="F532" s="4" t="s">
        <v>1024</v>
      </c>
      <c r="G532" s="18">
        <v>253010686</v>
      </c>
      <c r="H532" s="18">
        <v>284478890.10000002</v>
      </c>
      <c r="I532" s="10">
        <v>0.13712495699999999</v>
      </c>
      <c r="J532" s="10">
        <v>4.7083329999999997</v>
      </c>
      <c r="K532" s="10">
        <v>3.9477660000000001</v>
      </c>
      <c r="L532" s="10">
        <v>4.799461</v>
      </c>
      <c r="M532" s="10">
        <v>4.799461</v>
      </c>
      <c r="N532" s="10">
        <v>390.1628</v>
      </c>
      <c r="O532" s="10">
        <v>396.38729999999998</v>
      </c>
      <c r="P532" s="10">
        <v>3.916741</v>
      </c>
      <c r="Q532" s="10">
        <v>-0.2034</v>
      </c>
      <c r="R532" s="10">
        <v>6.9772043669999997</v>
      </c>
      <c r="S532" s="10">
        <v>4.748737201</v>
      </c>
      <c r="T532" s="10">
        <v>110.25</v>
      </c>
      <c r="U532" s="10">
        <v>111.25</v>
      </c>
      <c r="V532" s="10">
        <v>110.25</v>
      </c>
      <c r="W532" s="10">
        <v>111.25</v>
      </c>
      <c r="X532" s="4" t="s">
        <v>146</v>
      </c>
      <c r="Y532" s="4" t="s">
        <v>2599</v>
      </c>
      <c r="AA532" s="10">
        <f t="shared" si="32"/>
        <v>1.5331354657675737E-2</v>
      </c>
      <c r="AB532" s="10">
        <f t="shared" si="33"/>
        <v>1.8949579909528679E-2</v>
      </c>
      <c r="AC532" s="10">
        <f t="shared" si="34"/>
        <v>1.1176308708729987</v>
      </c>
      <c r="AD532" s="10">
        <f t="shared" si="35"/>
        <v>0.2149107701477119</v>
      </c>
    </row>
    <row r="533" spans="1:30" x14ac:dyDescent="0.25">
      <c r="A533" s="33" t="s">
        <v>2597</v>
      </c>
      <c r="C533" s="39">
        <v>40847</v>
      </c>
      <c r="D533" s="53" t="s">
        <v>2601</v>
      </c>
      <c r="E533" s="4" t="str">
        <f>VLOOKUP(LEFT(D533,2),Sort!$A$1:$B$58,2,FALSE)</f>
        <v>Russia</v>
      </c>
      <c r="F533" s="4" t="s">
        <v>1024</v>
      </c>
      <c r="G533" s="18">
        <v>126505343</v>
      </c>
      <c r="H533" s="18">
        <v>140841736.80000001</v>
      </c>
      <c r="I533" s="10">
        <v>6.7888752999999996E-2</v>
      </c>
      <c r="J533" s="10">
        <v>8.25</v>
      </c>
      <c r="K533" s="10">
        <v>6.3041479999999996</v>
      </c>
      <c r="L533" s="10">
        <v>5.6384829999999999</v>
      </c>
      <c r="M533" s="10">
        <v>5.6384829999999999</v>
      </c>
      <c r="N533" s="10">
        <v>383.23160000000001</v>
      </c>
      <c r="O533" s="10">
        <v>394.60469999999998</v>
      </c>
      <c r="P533" s="10">
        <v>6.1342509999999999</v>
      </c>
      <c r="Q533" s="10">
        <v>-0.42920000000000003</v>
      </c>
      <c r="R533" s="10">
        <v>9.9378027459999991</v>
      </c>
      <c r="S533" s="10">
        <v>6.2287723650000002</v>
      </c>
      <c r="T533" s="10">
        <v>109.5</v>
      </c>
      <c r="U533" s="10">
        <v>110.5</v>
      </c>
      <c r="V533" s="10">
        <v>109.5</v>
      </c>
      <c r="W533" s="10">
        <v>110.5</v>
      </c>
      <c r="X533" s="4" t="s">
        <v>146</v>
      </c>
      <c r="Y533" s="4" t="s">
        <v>2602</v>
      </c>
      <c r="AA533" s="10">
        <f t="shared" si="32"/>
        <v>1.8685735331297144E-2</v>
      </c>
      <c r="AB533" s="10">
        <f t="shared" si="33"/>
        <v>1.1021754215863742E-2</v>
      </c>
      <c r="AC533" s="10">
        <f t="shared" si="34"/>
        <v>0.5508359017711375</v>
      </c>
      <c r="AD533" s="10">
        <f t="shared" si="35"/>
        <v>0.10568218064812471</v>
      </c>
    </row>
    <row r="534" spans="1:30" x14ac:dyDescent="0.25">
      <c r="A534" s="33" t="s">
        <v>2600</v>
      </c>
      <c r="C534" s="39">
        <v>40847</v>
      </c>
      <c r="D534" s="53" t="s">
        <v>2604</v>
      </c>
      <c r="E534" s="4" t="str">
        <f>VLOOKUP(LEFT(D534,2),Sort!$A$1:$B$58,2,FALSE)</f>
        <v>Russia</v>
      </c>
      <c r="F534" s="4" t="s">
        <v>1024</v>
      </c>
      <c r="G534" s="18">
        <v>328913891</v>
      </c>
      <c r="H534" s="18">
        <v>348775356.30000001</v>
      </c>
      <c r="I534" s="10">
        <v>0.16811724</v>
      </c>
      <c r="J534" s="10">
        <v>2.338889</v>
      </c>
      <c r="K534" s="10">
        <v>2.1753939999999998</v>
      </c>
      <c r="L534" s="10">
        <v>2.9390000000000001</v>
      </c>
      <c r="M534" s="10">
        <v>2.9390000000000001</v>
      </c>
      <c r="N534" s="10">
        <v>264.0489</v>
      </c>
      <c r="O534" s="10">
        <v>265.59649999999999</v>
      </c>
      <c r="P534" s="10">
        <v>2.1774789999999999</v>
      </c>
      <c r="Q534" s="10">
        <v>1.49E-2</v>
      </c>
      <c r="R534" s="10">
        <v>3.2281150630000002</v>
      </c>
      <c r="S534" s="10">
        <v>4.131408317</v>
      </c>
      <c r="T534" s="10">
        <v>105.125</v>
      </c>
      <c r="U534" s="10">
        <v>106.125</v>
      </c>
      <c r="V534" s="10">
        <v>105.125</v>
      </c>
      <c r="W534" s="10">
        <v>106.125</v>
      </c>
      <c r="X534" s="4" t="s">
        <v>146</v>
      </c>
      <c r="Y534" s="4" t="s">
        <v>2605</v>
      </c>
      <c r="AA534" s="10">
        <f t="shared" si="32"/>
        <v>1.0357687416910564E-2</v>
      </c>
      <c r="AB534" s="10">
        <f t="shared" si="33"/>
        <v>1.6683152517440444E-2</v>
      </c>
      <c r="AC534" s="10">
        <f t="shared" si="34"/>
        <v>0.91811429952338419</v>
      </c>
      <c r="AD534" s="10">
        <f t="shared" si="35"/>
        <v>0.25134578710152644</v>
      </c>
    </row>
    <row r="535" spans="1:30" x14ac:dyDescent="0.25">
      <c r="A535" s="33" t="s">
        <v>2603</v>
      </c>
      <c r="C535" s="39">
        <v>40847</v>
      </c>
      <c r="D535" s="53" t="s">
        <v>2607</v>
      </c>
      <c r="E535" s="4" t="str">
        <f>VLOOKUP(LEFT(D535,2),Sort!$A$1:$B$58,2,FALSE)</f>
        <v>Russia</v>
      </c>
      <c r="F535" s="4" t="s">
        <v>1024</v>
      </c>
      <c r="G535" s="18">
        <v>151806411</v>
      </c>
      <c r="H535" s="18">
        <v>166933075.80000001</v>
      </c>
      <c r="I535" s="10">
        <v>8.0465340999999996E-2</v>
      </c>
      <c r="J535" s="10">
        <v>1.7611110000000001</v>
      </c>
      <c r="K535" s="10">
        <v>1.6422730000000001</v>
      </c>
      <c r="L535" s="10">
        <v>2.375464</v>
      </c>
      <c r="M535" s="10">
        <v>2.375464</v>
      </c>
      <c r="N535" s="10">
        <v>216.45359999999999</v>
      </c>
      <c r="O535" s="10">
        <v>217.04990000000001</v>
      </c>
      <c r="P535" s="10">
        <v>1.63893</v>
      </c>
      <c r="Q535" s="10">
        <v>1.95E-2</v>
      </c>
      <c r="R535" s="10">
        <v>3.2621555600000001</v>
      </c>
      <c r="S535" s="10">
        <v>3.4490641169999998</v>
      </c>
      <c r="T535" s="10">
        <v>108.125</v>
      </c>
      <c r="U535" s="10">
        <v>109.125</v>
      </c>
      <c r="V535" s="10">
        <v>108.125</v>
      </c>
      <c r="W535" s="10">
        <v>109.125</v>
      </c>
      <c r="X535" s="4" t="s">
        <v>146</v>
      </c>
      <c r="Y535" s="4" t="s">
        <v>2608</v>
      </c>
      <c r="AA535" s="10">
        <f t="shared" si="32"/>
        <v>1.670742321852484E-2</v>
      </c>
      <c r="AB535" s="10">
        <f t="shared" si="33"/>
        <v>6.4539202053923127E-3</v>
      </c>
      <c r="AC535" s="10">
        <f t="shared" si="34"/>
        <v>0.35911256290085386</v>
      </c>
      <c r="AD535" s="10">
        <f t="shared" si="35"/>
        <v>0.12370144367397518</v>
      </c>
    </row>
    <row r="536" spans="1:30" x14ac:dyDescent="0.25">
      <c r="A536" s="33" t="s">
        <v>2606</v>
      </c>
      <c r="C536" s="39">
        <v>40847</v>
      </c>
      <c r="D536" s="53" t="s">
        <v>2610</v>
      </c>
      <c r="E536" s="4" t="str">
        <f>VLOOKUP(LEFT(D536,2),Sort!$A$1:$B$58,2,FALSE)</f>
        <v>Russia</v>
      </c>
      <c r="F536" s="4" t="s">
        <v>1024</v>
      </c>
      <c r="G536" s="18">
        <v>265661220</v>
      </c>
      <c r="H536" s="18">
        <v>330292166.30000001</v>
      </c>
      <c r="I536" s="10">
        <v>0.15920794399999999</v>
      </c>
      <c r="J536" s="10">
        <v>6.7611109999999996</v>
      </c>
      <c r="K536" s="10">
        <v>5.2965629999999999</v>
      </c>
      <c r="L536" s="10">
        <v>4.5742779999999996</v>
      </c>
      <c r="M536" s="10">
        <v>4.5742779999999996</v>
      </c>
      <c r="N536" s="10">
        <v>307.26310000000001</v>
      </c>
      <c r="O536" s="10">
        <v>319.74029999999999</v>
      </c>
      <c r="P536" s="10">
        <v>5.193632</v>
      </c>
      <c r="Q536" s="10">
        <v>1.9400000000000001E-2</v>
      </c>
      <c r="R536" s="10">
        <v>6.1259623970000003</v>
      </c>
      <c r="S536" s="10">
        <v>5.2364693600000001</v>
      </c>
      <c r="T536" s="10">
        <v>122.25</v>
      </c>
      <c r="U536" s="10">
        <v>123.75</v>
      </c>
      <c r="V536" s="10">
        <v>122.25</v>
      </c>
      <c r="W536" s="10">
        <v>123.75</v>
      </c>
      <c r="X536" s="4" t="s">
        <v>146</v>
      </c>
      <c r="Y536" s="4" t="s">
        <v>2611</v>
      </c>
      <c r="AA536" s="10">
        <f t="shared" si="32"/>
        <v>3.8099074521447999E-2</v>
      </c>
      <c r="AB536" s="10">
        <f t="shared" si="33"/>
        <v>2.0969008866060401E-2</v>
      </c>
      <c r="AC536" s="10">
        <f t="shared" si="34"/>
        <v>1.0467049171465823</v>
      </c>
      <c r="AD536" s="10">
        <f t="shared" si="35"/>
        <v>4.7587727767490398</v>
      </c>
    </row>
    <row r="537" spans="1:30" x14ac:dyDescent="0.25">
      <c r="A537" s="33" t="s">
        <v>2609</v>
      </c>
      <c r="C537" s="39">
        <v>40847</v>
      </c>
      <c r="D537" s="53" t="s">
        <v>2613</v>
      </c>
      <c r="E537" s="4" t="str">
        <f>VLOOKUP(LEFT(D537,2),Sort!$A$1:$B$58,2,FALSE)</f>
        <v>Russia</v>
      </c>
      <c r="F537" s="4" t="s">
        <v>1007</v>
      </c>
      <c r="G537" s="18">
        <v>101204274</v>
      </c>
      <c r="H537" s="18">
        <v>102212850.5</v>
      </c>
      <c r="I537" s="10">
        <v>4.9268797000000003E-2</v>
      </c>
      <c r="J537" s="10">
        <v>4.5666669999999998</v>
      </c>
      <c r="K537" s="10">
        <v>3.9597600000000002</v>
      </c>
      <c r="L537" s="10">
        <v>5.2444920000000002</v>
      </c>
      <c r="M537" s="10">
        <v>5.2444920000000002</v>
      </c>
      <c r="N537" s="10">
        <v>438.80250000000001</v>
      </c>
      <c r="O537" s="10">
        <v>443.15890000000002</v>
      </c>
      <c r="P537" s="10">
        <v>3.9315289999999998</v>
      </c>
      <c r="Q537" s="10">
        <v>-0.47889999999999999</v>
      </c>
      <c r="R537" s="10">
        <v>4.8341502040000002</v>
      </c>
      <c r="S537" s="10">
        <v>0.66012400000000004</v>
      </c>
      <c r="T537" s="10">
        <v>98.75</v>
      </c>
      <c r="U537" s="10">
        <v>99.5</v>
      </c>
      <c r="V537" s="10">
        <v>98.75</v>
      </c>
      <c r="W537" s="10">
        <v>99.5</v>
      </c>
      <c r="X537" s="4" t="s">
        <v>146</v>
      </c>
      <c r="Y537" s="4" t="s">
        <v>2614</v>
      </c>
      <c r="AA537" s="10">
        <f t="shared" si="32"/>
        <v>5.5252692613371205E-3</v>
      </c>
      <c r="AB537" s="10">
        <f t="shared" si="33"/>
        <v>7.4398812209253897E-3</v>
      </c>
      <c r="AC537" s="10">
        <f t="shared" si="34"/>
        <v>1.2821024917991266</v>
      </c>
      <c r="AD537" s="10">
        <f t="shared" si="35"/>
        <v>0.21319445267216797</v>
      </c>
    </row>
    <row r="538" spans="1:30" x14ac:dyDescent="0.25">
      <c r="A538" s="33" t="s">
        <v>2612</v>
      </c>
      <c r="C538" s="39">
        <v>40847</v>
      </c>
      <c r="D538" s="53" t="s">
        <v>2616</v>
      </c>
      <c r="E538" s="4" t="str">
        <f>VLOOKUP(LEFT(D538,2),Sort!$A$1:$B$58,2,FALSE)</f>
        <v>Russia</v>
      </c>
      <c r="F538" s="4" t="s">
        <v>1007</v>
      </c>
      <c r="G538" s="18">
        <v>175437609</v>
      </c>
      <c r="H538" s="18">
        <v>182254091.69999999</v>
      </c>
      <c r="I538" s="10">
        <v>8.7850400999999995E-2</v>
      </c>
      <c r="J538" s="10">
        <v>23.658332999999999</v>
      </c>
      <c r="K538" s="10">
        <v>12.468908000000001</v>
      </c>
      <c r="L538" s="10">
        <v>6.0294999999999996</v>
      </c>
      <c r="M538" s="10">
        <v>6.0294999999999996</v>
      </c>
      <c r="N538" s="10">
        <v>320.16570000000002</v>
      </c>
      <c r="O538" s="10">
        <v>328.01409999999998</v>
      </c>
      <c r="P538" s="10">
        <v>11.645424</v>
      </c>
      <c r="Q538" s="10">
        <v>-0.70030000000000003</v>
      </c>
      <c r="R538" s="10">
        <v>5.8442712659999998</v>
      </c>
      <c r="S538" s="10">
        <v>4.3760016039999998</v>
      </c>
      <c r="T538" s="10">
        <v>101.75</v>
      </c>
      <c r="U538" s="10">
        <v>102.75</v>
      </c>
      <c r="V538" s="10">
        <v>101.75</v>
      </c>
      <c r="W538" s="10">
        <v>102.75</v>
      </c>
      <c r="X538" s="4" t="s">
        <v>146</v>
      </c>
      <c r="Y538" s="4" t="s">
        <v>2617</v>
      </c>
      <c r="AA538" s="10">
        <f t="shared" si="32"/>
        <v>0.11672508031480953</v>
      </c>
      <c r="AB538" s="10">
        <f t="shared" si="33"/>
        <v>2.9619191715754764E-2</v>
      </c>
      <c r="AC538" s="10">
        <f t="shared" si="34"/>
        <v>0.59251372218762421</v>
      </c>
      <c r="AD538" s="10">
        <f t="shared" si="35"/>
        <v>0.12716489404421757</v>
      </c>
    </row>
    <row r="539" spans="1:30" x14ac:dyDescent="0.25">
      <c r="A539" s="33" t="s">
        <v>2615</v>
      </c>
      <c r="C539" s="39">
        <v>40847</v>
      </c>
      <c r="D539" s="53" t="s">
        <v>2619</v>
      </c>
      <c r="E539" s="4" t="str">
        <f>VLOOKUP(LEFT(D539,2),Sort!$A$1:$B$58,2,FALSE)</f>
        <v>Russia</v>
      </c>
      <c r="F539" s="4" t="s">
        <v>1007</v>
      </c>
      <c r="G539" s="18">
        <v>431585628</v>
      </c>
      <c r="H539" s="18">
        <v>463782213.60000002</v>
      </c>
      <c r="I539" s="10">
        <v>0.22355302399999999</v>
      </c>
      <c r="J539" s="10">
        <v>6.572222</v>
      </c>
      <c r="K539" s="10">
        <v>5.2115900000000002</v>
      </c>
      <c r="L539" s="10">
        <v>5.8536919999999997</v>
      </c>
      <c r="M539" s="10">
        <v>5.8536919999999997</v>
      </c>
      <c r="N539" s="10">
        <v>440.76729999999998</v>
      </c>
      <c r="O539" s="10">
        <v>450.03480000000002</v>
      </c>
      <c r="P539" s="10">
        <v>5.1161989999999999</v>
      </c>
      <c r="Q539" s="10">
        <v>-9.8500000000000004E-2</v>
      </c>
      <c r="R539" s="10">
        <v>3.901094815</v>
      </c>
      <c r="S539" s="10">
        <v>4.1580678239999997</v>
      </c>
      <c r="T539" s="10">
        <v>104.5</v>
      </c>
      <c r="U539" s="10">
        <v>105.5</v>
      </c>
      <c r="V539" s="10">
        <v>104.5</v>
      </c>
      <c r="W539" s="10">
        <v>105.5</v>
      </c>
      <c r="X539" s="4" t="s">
        <v>146</v>
      </c>
      <c r="Y539" s="4" t="s">
        <v>2620</v>
      </c>
      <c r="AA539" s="10">
        <f t="shared" si="32"/>
        <v>5.2638843805008641E-2</v>
      </c>
      <c r="AB539" s="10">
        <f t="shared" si="33"/>
        <v>3.7679144317343309E-2</v>
      </c>
      <c r="AC539" s="10">
        <f t="shared" si="34"/>
        <v>5.9076935023968478</v>
      </c>
      <c r="AD539" s="10">
        <f t="shared" si="35"/>
        <v>0.33225740183955377</v>
      </c>
    </row>
    <row r="540" spans="1:30" x14ac:dyDescent="0.25">
      <c r="A540" s="33" t="s">
        <v>2618</v>
      </c>
      <c r="C540" s="39">
        <v>40847</v>
      </c>
      <c r="D540" s="53" t="s">
        <v>2622</v>
      </c>
      <c r="E540" s="4" t="str">
        <f>VLOOKUP(LEFT(D540,2),Sort!$A$1:$B$58,2,FALSE)</f>
        <v>Russia</v>
      </c>
      <c r="F540" s="4" t="s">
        <v>1007</v>
      </c>
      <c r="G540" s="18">
        <v>189758014</v>
      </c>
      <c r="H540" s="18">
        <v>192121370.40000001</v>
      </c>
      <c r="I540" s="10">
        <v>9.2606642000000003E-2</v>
      </c>
      <c r="J540" s="10">
        <v>6.302778</v>
      </c>
      <c r="K540" s="10">
        <v>5.1605489999999996</v>
      </c>
      <c r="L540" s="10">
        <v>6.1191979999999999</v>
      </c>
      <c r="M540" s="10">
        <v>6.1191979999999999</v>
      </c>
      <c r="N540" s="10">
        <v>475.25299999999999</v>
      </c>
      <c r="O540" s="10">
        <v>482.42540000000002</v>
      </c>
      <c r="P540" s="10">
        <v>5.0678340000000004</v>
      </c>
      <c r="Q540" s="10">
        <v>-0.106</v>
      </c>
      <c r="R540" s="10">
        <v>7.9902105570000002</v>
      </c>
      <c r="S540" s="10">
        <v>4.0515699999999999</v>
      </c>
      <c r="T540" s="10">
        <v>100</v>
      </c>
      <c r="U540" s="10">
        <v>101</v>
      </c>
      <c r="V540" s="10">
        <v>100</v>
      </c>
      <c r="W540" s="10">
        <v>101</v>
      </c>
      <c r="X540" s="4" t="s">
        <v>146</v>
      </c>
      <c r="Y540" s="4" t="s">
        <v>2623</v>
      </c>
      <c r="AA540" s="10">
        <f t="shared" si="32"/>
        <v>2.1592035832374214E-2</v>
      </c>
      <c r="AB540" s="10">
        <f t="shared" si="33"/>
        <v>3.1687268061822746E-2</v>
      </c>
      <c r="AC540" s="10">
        <f t="shared" si="34"/>
        <v>2.6233945377093959</v>
      </c>
      <c r="AD540" s="10">
        <f t="shared" si="35"/>
        <v>0.13176654709811117</v>
      </c>
    </row>
    <row r="541" spans="1:30" x14ac:dyDescent="0.25">
      <c r="A541" s="33" t="s">
        <v>2621</v>
      </c>
      <c r="C541" s="39">
        <v>40847</v>
      </c>
      <c r="D541" s="53" t="s">
        <v>2625</v>
      </c>
      <c r="E541" s="4" t="str">
        <f>VLOOKUP(LEFT(D541,2),Sort!$A$1:$B$58,2,FALSE)</f>
        <v>Russia</v>
      </c>
      <c r="F541" s="4" t="s">
        <v>1007</v>
      </c>
      <c r="G541" s="18">
        <v>316263357</v>
      </c>
      <c r="H541" s="18">
        <v>331869505.19999999</v>
      </c>
      <c r="I541" s="10">
        <v>0.159968255</v>
      </c>
      <c r="J541" s="10">
        <v>3.3361109999999998</v>
      </c>
      <c r="K541" s="10">
        <v>2.9649030000000001</v>
      </c>
      <c r="L541" s="10">
        <v>4.941376</v>
      </c>
      <c r="M541" s="10">
        <v>4.941376</v>
      </c>
      <c r="N541" s="10">
        <v>444.42320000000001</v>
      </c>
      <c r="O541" s="10">
        <v>447.75200000000001</v>
      </c>
      <c r="P541" s="10">
        <v>2.9585499999999998</v>
      </c>
      <c r="Q541" s="10">
        <v>-0.1019</v>
      </c>
      <c r="R541" s="10">
        <v>6.2018415339999997</v>
      </c>
      <c r="S541" s="10">
        <v>4.9967470880000002</v>
      </c>
      <c r="T541" s="10">
        <v>103.875</v>
      </c>
      <c r="U541" s="10">
        <v>104.625</v>
      </c>
      <c r="V541" s="10">
        <v>103.875</v>
      </c>
      <c r="W541" s="10">
        <v>104.625</v>
      </c>
      <c r="X541" s="4" t="s">
        <v>146</v>
      </c>
      <c r="Y541" s="4" t="s">
        <v>2626</v>
      </c>
      <c r="AA541" s="10">
        <f t="shared" si="32"/>
        <v>1.3432502197910803E-2</v>
      </c>
      <c r="AB541" s="10">
        <f t="shared" si="33"/>
        <v>2.2760003478950998E-2</v>
      </c>
      <c r="AC541" s="10">
        <f t="shared" si="34"/>
        <v>4.2059359114250343</v>
      </c>
      <c r="AD541" s="10">
        <f t="shared" si="35"/>
        <v>0.23578215610526412</v>
      </c>
    </row>
    <row r="542" spans="1:30" x14ac:dyDescent="0.25">
      <c r="A542" s="33" t="s">
        <v>2624</v>
      </c>
      <c r="C542" s="39">
        <v>40847</v>
      </c>
      <c r="D542" s="53" t="s">
        <v>2628</v>
      </c>
      <c r="E542" s="4" t="str">
        <f>VLOOKUP(LEFT(D542,2),Sort!$A$1:$B$58,2,FALSE)</f>
        <v>Russia</v>
      </c>
      <c r="F542" s="4" t="s">
        <v>1007</v>
      </c>
      <c r="G542" s="18">
        <v>253010686</v>
      </c>
      <c r="H542" s="18">
        <v>248871289.5</v>
      </c>
      <c r="I542" s="10">
        <v>0.11996132599999999</v>
      </c>
      <c r="J542" s="10">
        <v>8.9444440000000007</v>
      </c>
      <c r="K542" s="10">
        <v>6.7934190000000001</v>
      </c>
      <c r="L542" s="10">
        <v>6.7006410000000001</v>
      </c>
      <c r="M542" s="10">
        <v>6.7006410000000001</v>
      </c>
      <c r="N542" s="10">
        <v>476.43819999999999</v>
      </c>
      <c r="O542" s="10">
        <v>488.49380000000002</v>
      </c>
      <c r="P542" s="10">
        <v>6.5923369999999997</v>
      </c>
      <c r="Q542" s="10">
        <v>-0.4874</v>
      </c>
      <c r="R542" s="10">
        <v>8.3012103699999997</v>
      </c>
      <c r="S542" s="10">
        <v>5.886343997</v>
      </c>
      <c r="T542" s="10">
        <v>98</v>
      </c>
      <c r="U542" s="10">
        <v>99</v>
      </c>
      <c r="V542" s="10">
        <v>98</v>
      </c>
      <c r="W542" s="10">
        <v>99</v>
      </c>
      <c r="X542" s="4" t="s">
        <v>146</v>
      </c>
      <c r="Y542" s="4" t="s">
        <v>2629</v>
      </c>
      <c r="AA542" s="10">
        <f t="shared" si="32"/>
        <v>3.5580792776832501E-2</v>
      </c>
      <c r="AB542" s="10">
        <f t="shared" si="33"/>
        <v>4.4947523121210926E-2</v>
      </c>
      <c r="AC542" s="10">
        <f t="shared" si="34"/>
        <v>3.4410550663187482</v>
      </c>
      <c r="AD542" s="10">
        <f t="shared" si="35"/>
        <v>0.51648452308823323</v>
      </c>
    </row>
    <row r="543" spans="1:30" x14ac:dyDescent="0.25">
      <c r="A543" s="33" t="s">
        <v>2627</v>
      </c>
      <c r="C543" s="39">
        <v>40847</v>
      </c>
      <c r="D543" s="53" t="s">
        <v>2631</v>
      </c>
      <c r="E543" s="4" t="str">
        <f>VLOOKUP(LEFT(D543,2),Sort!$A$1:$B$58,2,FALSE)</f>
        <v>Russia</v>
      </c>
      <c r="F543" s="4" t="s">
        <v>1007</v>
      </c>
      <c r="G543" s="18">
        <v>101204274</v>
      </c>
      <c r="H543" s="18">
        <v>92839516.079999998</v>
      </c>
      <c r="I543" s="10">
        <v>4.4750647999999997E-2</v>
      </c>
      <c r="J543" s="10">
        <v>3.9055559999999998</v>
      </c>
      <c r="K543" s="10">
        <v>3.2563439999999999</v>
      </c>
      <c r="L543" s="10">
        <v>9.6561109999999992</v>
      </c>
      <c r="M543" s="10">
        <v>9.6561109999999992</v>
      </c>
      <c r="N543" s="10">
        <v>899.26890000000003</v>
      </c>
      <c r="O543" s="10">
        <v>904.8048</v>
      </c>
      <c r="P543" s="10">
        <v>3.2414580000000002</v>
      </c>
      <c r="Q543" s="10">
        <v>2.3599999999999999E-2</v>
      </c>
      <c r="R543" s="10">
        <v>-7.4598145000000002</v>
      </c>
      <c r="S543" s="10">
        <v>2.1165061519999999</v>
      </c>
      <c r="T543" s="10">
        <v>91</v>
      </c>
      <c r="U543" s="10">
        <v>94</v>
      </c>
      <c r="V543" s="10">
        <v>91</v>
      </c>
      <c r="W543" s="10">
        <v>94</v>
      </c>
      <c r="X543" s="4" t="s">
        <v>146</v>
      </c>
      <c r="Y543" s="4" t="s">
        <v>2632</v>
      </c>
      <c r="AA543" s="10">
        <f t="shared" si="32"/>
        <v>4.1270737385811765E-3</v>
      </c>
      <c r="AB543" s="10">
        <f t="shared" si="33"/>
        <v>5.4032692137087453E-2</v>
      </c>
      <c r="AC543" s="10">
        <f t="shared" si="34"/>
        <v>7.7872974492432654</v>
      </c>
      <c r="AD543" s="10">
        <f t="shared" si="35"/>
        <v>0.18293973306157554</v>
      </c>
    </row>
    <row r="544" spans="1:30" x14ac:dyDescent="0.25">
      <c r="A544" s="33" t="s">
        <v>2630</v>
      </c>
      <c r="C544" s="39">
        <v>40847</v>
      </c>
      <c r="D544" s="53" t="s">
        <v>2634</v>
      </c>
      <c r="E544" s="4" t="str">
        <f>VLOOKUP(LEFT(D544,2),Sort!$A$1:$B$58,2,FALSE)</f>
        <v>Russia</v>
      </c>
      <c r="F544" s="4" t="s">
        <v>1081</v>
      </c>
      <c r="G544" s="18">
        <v>126505343</v>
      </c>
      <c r="H544" s="18">
        <v>122589195.5</v>
      </c>
      <c r="I544" s="10">
        <v>5.9090635000000002E-2</v>
      </c>
      <c r="J544" s="10">
        <v>5.3277780000000003</v>
      </c>
      <c r="K544" s="10">
        <v>4.3778139999999999</v>
      </c>
      <c r="L544" s="10">
        <v>7.2300120000000003</v>
      </c>
      <c r="M544" s="10">
        <v>7.2300120000000003</v>
      </c>
      <c r="N544" s="10">
        <v>615.04809999999998</v>
      </c>
      <c r="O544" s="10">
        <v>621.447</v>
      </c>
      <c r="P544" s="10">
        <v>4.3275750000000004</v>
      </c>
      <c r="Q544" s="10">
        <v>-0.62309999999999999</v>
      </c>
      <c r="R544" s="10">
        <v>10.53574985</v>
      </c>
      <c r="S544" s="10">
        <v>-4.0059829999999996</v>
      </c>
      <c r="T544" s="10">
        <v>94.75</v>
      </c>
      <c r="U544" s="10">
        <v>95.75</v>
      </c>
      <c r="V544" s="10">
        <v>94.75</v>
      </c>
      <c r="W544" s="10">
        <v>95.75</v>
      </c>
      <c r="X544" s="4" t="s">
        <v>146</v>
      </c>
      <c r="Y544" s="4" t="s">
        <v>2635</v>
      </c>
      <c r="AA544" s="10">
        <f t="shared" si="32"/>
        <v>1.168776608333737E-2</v>
      </c>
      <c r="AB544" s="10">
        <f t="shared" si="33"/>
        <v>2.3889432282891629E-2</v>
      </c>
      <c r="AC544" s="10">
        <f t="shared" si="34"/>
        <v>4.1376243560744648</v>
      </c>
      <c r="AD544" s="10">
        <f t="shared" si="35"/>
        <v>0.24605845740627716</v>
      </c>
    </row>
    <row r="545" spans="1:30" x14ac:dyDescent="0.25">
      <c r="A545" s="33" t="s">
        <v>2633</v>
      </c>
      <c r="C545" s="39">
        <v>40847</v>
      </c>
      <c r="D545" s="53" t="s">
        <v>2637</v>
      </c>
      <c r="E545" s="4" t="str">
        <f>VLOOKUP(LEFT(D545,2),Sort!$A$1:$B$58,2,FALSE)</f>
        <v>Russia</v>
      </c>
      <c r="F545" s="4" t="s">
        <v>1081</v>
      </c>
      <c r="G545" s="18">
        <v>126505343</v>
      </c>
      <c r="H545" s="18">
        <v>125735287.3</v>
      </c>
      <c r="I545" s="10">
        <v>6.0607119000000001E-2</v>
      </c>
      <c r="J545" s="10">
        <v>4.2472219999999998</v>
      </c>
      <c r="K545" s="10">
        <v>3.6153469999999999</v>
      </c>
      <c r="L545" s="10">
        <v>6.8332940000000004</v>
      </c>
      <c r="M545" s="10">
        <v>6.8332940000000004</v>
      </c>
      <c r="N545" s="10">
        <v>607.01049999999998</v>
      </c>
      <c r="O545" s="10">
        <v>612.02250000000004</v>
      </c>
      <c r="P545" s="10">
        <v>3.5909170000000001</v>
      </c>
      <c r="Q545" s="10">
        <v>-0.60699999999999998</v>
      </c>
      <c r="R545" s="10">
        <v>8.1677185879999996</v>
      </c>
      <c r="S545" s="10">
        <v>1.4108890000000001</v>
      </c>
      <c r="T545" s="10">
        <v>97.75</v>
      </c>
      <c r="U545" s="10">
        <v>98.75</v>
      </c>
      <c r="V545" s="10">
        <v>97.75</v>
      </c>
      <c r="W545" s="10">
        <v>98.75</v>
      </c>
      <c r="X545" s="4" t="s">
        <v>146</v>
      </c>
      <c r="Y545" s="4" t="s">
        <v>2638</v>
      </c>
      <c r="AA545" s="10">
        <f t="shared" si="32"/>
        <v>6.205635295040559E-3</v>
      </c>
      <c r="AB545" s="10">
        <f t="shared" si="33"/>
        <v>2.3158045400903913E-2</v>
      </c>
      <c r="AC545" s="10">
        <f t="shared" si="34"/>
        <v>4.1794519431236177</v>
      </c>
      <c r="AD545" s="10">
        <f t="shared" si="35"/>
        <v>0.26028048190926667</v>
      </c>
    </row>
    <row r="546" spans="1:30" x14ac:dyDescent="0.25">
      <c r="A546" s="33" t="s">
        <v>2636</v>
      </c>
      <c r="C546" s="39">
        <v>40847</v>
      </c>
      <c r="D546" s="53" t="s">
        <v>2640</v>
      </c>
      <c r="E546" s="4" t="str">
        <f>VLOOKUP(LEFT(D546,2),Sort!$A$1:$B$58,2,FALSE)</f>
        <v>Russia</v>
      </c>
      <c r="F546" s="4" t="s">
        <v>1081</v>
      </c>
      <c r="G546" s="18">
        <v>379516028</v>
      </c>
      <c r="H546" s="18">
        <v>363708479.5</v>
      </c>
      <c r="I546" s="10">
        <v>0.17531532699999999</v>
      </c>
      <c r="J546" s="10">
        <v>10.327778</v>
      </c>
      <c r="K546" s="10">
        <v>6.9184400000000004</v>
      </c>
      <c r="L546" s="10">
        <v>8.4222959999999993</v>
      </c>
      <c r="M546" s="10">
        <v>8.4222959999999993</v>
      </c>
      <c r="N546" s="10">
        <v>627.16449999999998</v>
      </c>
      <c r="O546" s="10">
        <v>646.99680000000001</v>
      </c>
      <c r="P546" s="10">
        <v>6.6859659999999996</v>
      </c>
      <c r="Q546" s="10">
        <v>-1.2663</v>
      </c>
      <c r="R546" s="10">
        <v>17.58706935</v>
      </c>
      <c r="S546" s="10">
        <v>-4.4043159999999997</v>
      </c>
      <c r="T546" s="10">
        <v>93.25</v>
      </c>
      <c r="U546" s="10">
        <v>93.75</v>
      </c>
      <c r="V546" s="10">
        <v>93.25</v>
      </c>
      <c r="W546" s="10">
        <v>93.75</v>
      </c>
      <c r="X546" s="4" t="s">
        <v>146</v>
      </c>
      <c r="Y546" s="4" t="s">
        <v>2641</v>
      </c>
      <c r="AA546" s="10">
        <f t="shared" si="32"/>
        <v>5.2955860078147905E-2</v>
      </c>
      <c r="AB546" s="10">
        <f t="shared" si="33"/>
        <v>0.18463133750033106</v>
      </c>
      <c r="AC546" s="10">
        <f t="shared" si="34"/>
        <v>12.780573076758692</v>
      </c>
      <c r="AD546" s="10">
        <f t="shared" si="35"/>
        <v>0.71477939093045251</v>
      </c>
    </row>
    <row r="547" spans="1:30" x14ac:dyDescent="0.25">
      <c r="A547" s="33" t="s">
        <v>2639</v>
      </c>
      <c r="C547" s="39">
        <v>40847</v>
      </c>
      <c r="D547" s="53" t="s">
        <v>2643</v>
      </c>
      <c r="E547" s="4" t="str">
        <f>VLOOKUP(LEFT(D547,2),Sort!$A$1:$B$58,2,FALSE)</f>
        <v>Russia</v>
      </c>
      <c r="F547" s="4" t="s">
        <v>1081</v>
      </c>
      <c r="G547" s="18">
        <v>253010686</v>
      </c>
      <c r="H547" s="18">
        <v>246264211.69999999</v>
      </c>
      <c r="I547" s="10">
        <v>0.118704658</v>
      </c>
      <c r="J547" s="10">
        <v>9.2472220000000007</v>
      </c>
      <c r="K547" s="10">
        <v>6.4413119999999999</v>
      </c>
      <c r="L547" s="10">
        <v>8.3951259999999994</v>
      </c>
      <c r="M547" s="10">
        <v>8.3951259999999994</v>
      </c>
      <c r="N547" s="10">
        <v>640.21460000000002</v>
      </c>
      <c r="O547" s="10">
        <v>657.96550000000002</v>
      </c>
      <c r="P547" s="10">
        <v>6.2462340000000003</v>
      </c>
      <c r="Q547" s="10">
        <v>-1.8687</v>
      </c>
      <c r="R547" s="10">
        <v>16.072357709999999</v>
      </c>
      <c r="S547" s="10">
        <v>1.1667E-2</v>
      </c>
      <c r="T547" s="10">
        <v>95.375</v>
      </c>
      <c r="U547" s="10">
        <v>95.875</v>
      </c>
      <c r="V547" s="10">
        <v>95.375</v>
      </c>
      <c r="W547" s="10">
        <v>95.875</v>
      </c>
      <c r="X547" s="4" t="s">
        <v>146</v>
      </c>
      <c r="Y547" s="4" t="s">
        <v>2644</v>
      </c>
      <c r="AA547" s="10">
        <f t="shared" si="32"/>
        <v>3.3383207291226139E-2</v>
      </c>
      <c r="AB547" s="10">
        <f t="shared" si="33"/>
        <v>0.12460917202378601</v>
      </c>
      <c r="AC547" s="10">
        <f t="shared" si="34"/>
        <v>8.8003347804573107</v>
      </c>
      <c r="AD547" s="10">
        <f t="shared" si="35"/>
        <v>0.49494164680449876</v>
      </c>
    </row>
    <row r="548" spans="1:30" x14ac:dyDescent="0.25">
      <c r="A548" s="33" t="s">
        <v>2642</v>
      </c>
      <c r="C548" s="39">
        <v>40847</v>
      </c>
      <c r="D548" s="53" t="s">
        <v>2646</v>
      </c>
      <c r="E548" s="4" t="str">
        <f>VLOOKUP(LEFT(D548,2),Sort!$A$1:$B$58,2,FALSE)</f>
        <v>Russia</v>
      </c>
      <c r="F548" s="4" t="s">
        <v>1081</v>
      </c>
      <c r="G548" s="18">
        <v>151806411</v>
      </c>
      <c r="H548" s="18">
        <v>163065387</v>
      </c>
      <c r="I548" s="10">
        <v>7.8601031000000002E-2</v>
      </c>
      <c r="J548" s="10">
        <v>4.5555560000000002</v>
      </c>
      <c r="K548" s="10">
        <v>3.668094</v>
      </c>
      <c r="L548" s="10">
        <v>7.0120719999999999</v>
      </c>
      <c r="M548" s="10">
        <v>7.0120719999999999</v>
      </c>
      <c r="N548" s="10">
        <v>615.88499999999999</v>
      </c>
      <c r="O548" s="10">
        <v>622.67039999999997</v>
      </c>
      <c r="P548" s="10">
        <v>3.6428090000000002</v>
      </c>
      <c r="Q548" s="10">
        <v>-0.67230000000000001</v>
      </c>
      <c r="R548" s="10">
        <v>8.4742905430000004</v>
      </c>
      <c r="S548" s="10">
        <v>0.94986826599999996</v>
      </c>
      <c r="T548" s="10">
        <v>103.75</v>
      </c>
      <c r="U548" s="10">
        <v>104.75</v>
      </c>
      <c r="V548" s="10">
        <v>103.75</v>
      </c>
      <c r="W548" s="10">
        <v>104.75</v>
      </c>
      <c r="X548" s="4" t="s">
        <v>146</v>
      </c>
      <c r="Y548" s="4" t="s">
        <v>2647</v>
      </c>
      <c r="AA548" s="10">
        <f t="shared" si="32"/>
        <v>8.1654725843957922E-3</v>
      </c>
      <c r="AB548" s="10">
        <f t="shared" si="33"/>
        <v>3.0819299858064392E-2</v>
      </c>
      <c r="AC548" s="10">
        <f t="shared" si="34"/>
        <v>5.5146096373144173</v>
      </c>
      <c r="AD548" s="10">
        <f t="shared" si="35"/>
        <v>0.11599090396808988</v>
      </c>
    </row>
    <row r="549" spans="1:30" x14ac:dyDescent="0.25">
      <c r="A549" s="33" t="s">
        <v>2645</v>
      </c>
      <c r="C549" s="39">
        <v>40847</v>
      </c>
      <c r="D549" s="53" t="s">
        <v>2649</v>
      </c>
      <c r="E549" s="4" t="str">
        <f>VLOOKUP(LEFT(D549,2),Sort!$A$1:$B$58,2,FALSE)</f>
        <v>Russia</v>
      </c>
      <c r="F549" s="4" t="s">
        <v>1081</v>
      </c>
      <c r="G549" s="18">
        <v>202572246</v>
      </c>
      <c r="H549" s="18">
        <v>212842237.5</v>
      </c>
      <c r="I549" s="10">
        <v>0.10259454599999999</v>
      </c>
      <c r="J549" s="10">
        <v>1.4916670000000001</v>
      </c>
      <c r="K549" s="10">
        <v>1.4097850000000001</v>
      </c>
      <c r="L549" s="10">
        <v>4.3515069999999998</v>
      </c>
      <c r="M549" s="10">
        <v>4.3515069999999998</v>
      </c>
      <c r="N549" s="10">
        <v>418.12650000000002</v>
      </c>
      <c r="O549" s="10">
        <v>418.6309</v>
      </c>
      <c r="P549" s="10">
        <v>1.403394</v>
      </c>
      <c r="Q549" s="10">
        <v>2.2100000000000002E-2</v>
      </c>
      <c r="R549" s="10">
        <v>4.4684111800000004</v>
      </c>
      <c r="S549" s="10">
        <v>3.6157087969999999</v>
      </c>
      <c r="T549" s="10">
        <v>105</v>
      </c>
      <c r="U549" s="10">
        <v>105.75</v>
      </c>
      <c r="V549" s="10">
        <v>105</v>
      </c>
      <c r="W549" s="10">
        <v>105.75</v>
      </c>
      <c r="X549" s="4" t="s">
        <v>146</v>
      </c>
      <c r="Y549" s="4" t="s">
        <v>2650</v>
      </c>
      <c r="AA549" s="10">
        <f t="shared" si="32"/>
        <v>1.8286577326045529E-2</v>
      </c>
      <c r="AB549" s="10">
        <f t="shared" si="33"/>
        <v>1.2854481897355802E-2</v>
      </c>
      <c r="AC549" s="10">
        <f t="shared" si="34"/>
        <v>2.5220103566436847</v>
      </c>
      <c r="AD549" s="10">
        <f t="shared" si="35"/>
        <v>0.15284326548679669</v>
      </c>
    </row>
    <row r="550" spans="1:30" x14ac:dyDescent="0.25">
      <c r="A550" s="33" t="s">
        <v>2648</v>
      </c>
      <c r="C550" s="39">
        <v>40847</v>
      </c>
      <c r="D550" s="53" t="s">
        <v>2652</v>
      </c>
      <c r="E550" s="4" t="str">
        <f>VLOOKUP(LEFT(D550,2),Sort!$A$1:$B$58,2,FALSE)</f>
        <v>Russia</v>
      </c>
      <c r="F550" s="4" t="s">
        <v>1081</v>
      </c>
      <c r="G550" s="18">
        <v>253010686</v>
      </c>
      <c r="H550" s="18">
        <v>265853614.69999999</v>
      </c>
      <c r="I550" s="10">
        <v>0.128147173</v>
      </c>
      <c r="J550" s="10">
        <v>6.4916669999999996</v>
      </c>
      <c r="K550" s="10">
        <v>4.94747</v>
      </c>
      <c r="L550" s="10">
        <v>7.9970840000000001</v>
      </c>
      <c r="M550" s="10">
        <v>7.9970840000000001</v>
      </c>
      <c r="N550" s="10">
        <v>657.47879999999998</v>
      </c>
      <c r="O550" s="10">
        <v>670.57650000000001</v>
      </c>
      <c r="P550" s="10">
        <v>4.8619370000000002</v>
      </c>
      <c r="Q550" s="10">
        <v>-0.68489999999999995</v>
      </c>
      <c r="R550" s="10">
        <v>9.2507440259999996</v>
      </c>
      <c r="S550" s="10">
        <v>-1.1337100550000001</v>
      </c>
      <c r="T550" s="10">
        <v>105</v>
      </c>
      <c r="U550" s="10">
        <v>105.625</v>
      </c>
      <c r="V550" s="10">
        <v>105</v>
      </c>
      <c r="W550" s="10">
        <v>105.625</v>
      </c>
      <c r="X550" s="4" t="s">
        <v>146</v>
      </c>
      <c r="Y550" s="4" t="s">
        <v>2653</v>
      </c>
      <c r="AA550" s="10">
        <f t="shared" si="32"/>
        <v>2.864492895503308E-2</v>
      </c>
      <c r="AB550" s="10">
        <f t="shared" si="33"/>
        <v>0.12814324465002414</v>
      </c>
      <c r="AC550" s="10">
        <f t="shared" si="34"/>
        <v>9.6824590350732791</v>
      </c>
      <c r="AD550" s="10">
        <f t="shared" si="35"/>
        <v>0.1906853847871556</v>
      </c>
    </row>
    <row r="551" spans="1:30" x14ac:dyDescent="0.25">
      <c r="A551" s="33" t="s">
        <v>2651</v>
      </c>
      <c r="C551" s="39">
        <v>40847</v>
      </c>
      <c r="D551" s="53" t="s">
        <v>2655</v>
      </c>
      <c r="E551" s="4" t="str">
        <f>VLOOKUP(LEFT(D551,2),Sort!$A$1:$B$58,2,FALSE)</f>
        <v>Saudi Arabia</v>
      </c>
      <c r="F551" s="4" t="s">
        <v>1007</v>
      </c>
      <c r="G551" s="18">
        <v>450000000</v>
      </c>
      <c r="H551" s="18">
        <v>391540608</v>
      </c>
      <c r="I551" s="10">
        <v>0.188731013</v>
      </c>
      <c r="J551" s="10">
        <v>4.9916669999999996</v>
      </c>
      <c r="K551" s="10">
        <v>-1.4128E-2</v>
      </c>
      <c r="L551" s="10">
        <v>4.6227770000000001</v>
      </c>
      <c r="M551" s="10">
        <v>4.6227770000000001</v>
      </c>
      <c r="N551" s="10">
        <v>364.221</v>
      </c>
      <c r="O551" s="10">
        <v>365.86810000000003</v>
      </c>
      <c r="P551" s="10">
        <v>4.6253270000000004</v>
      </c>
      <c r="Q551" s="10">
        <v>3.5000000000000001E-3</v>
      </c>
      <c r="R551" s="10">
        <v>-0.184435827</v>
      </c>
      <c r="S551" s="10">
        <v>-0.88366741599999998</v>
      </c>
      <c r="T551" s="10">
        <v>87</v>
      </c>
      <c r="U551" s="10">
        <v>91</v>
      </c>
      <c r="V551" s="10">
        <v>87</v>
      </c>
      <c r="W551" s="10">
        <v>91</v>
      </c>
      <c r="X551" s="4" t="s">
        <v>146</v>
      </c>
      <c r="Y551" s="4" t="s">
        <v>2656</v>
      </c>
      <c r="AA551" s="10">
        <f t="shared" si="32"/>
        <v>-3.3711588935425937E-4</v>
      </c>
      <c r="AB551" s="10">
        <f t="shared" si="33"/>
        <v>2.5120994558711755E-2</v>
      </c>
      <c r="AC551" s="10">
        <f t="shared" si="34"/>
        <v>1.4198091437397333</v>
      </c>
      <c r="AD551" s="10">
        <f t="shared" si="35"/>
        <v>0.74690526802248003</v>
      </c>
    </row>
    <row r="552" spans="1:30" x14ac:dyDescent="0.25">
      <c r="A552" s="33" t="s">
        <v>2654</v>
      </c>
      <c r="C552" s="39">
        <v>40847</v>
      </c>
      <c r="D552" s="53" t="s">
        <v>2658</v>
      </c>
      <c r="E552" s="4" t="str">
        <f>VLOOKUP(LEFT(D552,2),Sort!$A$1:$B$58,2,FALSE)</f>
        <v>Saudi Arabia</v>
      </c>
      <c r="F552" s="4" t="s">
        <v>1007</v>
      </c>
      <c r="G552" s="18">
        <v>650000000</v>
      </c>
      <c r="H552" s="18">
        <v>675282289.5</v>
      </c>
      <c r="I552" s="10">
        <v>0.32550061899999999</v>
      </c>
      <c r="J552" s="10">
        <v>3.4083329999999998</v>
      </c>
      <c r="K552" s="10">
        <v>3.1650320000000001</v>
      </c>
      <c r="L552" s="10">
        <v>2.7789830000000002</v>
      </c>
      <c r="M552" s="10">
        <v>2.7789830000000002</v>
      </c>
      <c r="N552" s="10">
        <v>226.07499999999999</v>
      </c>
      <c r="O552" s="10">
        <v>228.96039999999999</v>
      </c>
      <c r="P552" s="10">
        <v>3.1586080000000001</v>
      </c>
      <c r="Q552" s="10">
        <v>1.14E-2</v>
      </c>
      <c r="R552" s="10">
        <v>-0.64025463500000002</v>
      </c>
      <c r="S552" s="10">
        <v>1.8232203380000001</v>
      </c>
      <c r="T552" s="10">
        <v>103.5</v>
      </c>
      <c r="U552" s="10">
        <v>104.75</v>
      </c>
      <c r="V552" s="10">
        <v>103.5</v>
      </c>
      <c r="W552" s="10">
        <v>104.75</v>
      </c>
      <c r="X552" s="4" t="s">
        <v>146</v>
      </c>
      <c r="Y552" s="4" t="s">
        <v>2659</v>
      </c>
      <c r="AA552" s="10">
        <f t="shared" si="32"/>
        <v>2.9177128492797508E-2</v>
      </c>
      <c r="AB552" s="10">
        <f t="shared" si="33"/>
        <v>3.0542458523476267E-2</v>
      </c>
      <c r="AC552" s="10">
        <f t="shared" si="34"/>
        <v>1.5324077780931304</v>
      </c>
      <c r="AD552" s="10">
        <f t="shared" si="35"/>
        <v>0.4803386214190653</v>
      </c>
    </row>
    <row r="553" spans="1:30" x14ac:dyDescent="0.25">
      <c r="A553" s="33" t="s">
        <v>2657</v>
      </c>
      <c r="C553" s="39">
        <v>40847</v>
      </c>
      <c r="D553" s="53" t="s">
        <v>2661</v>
      </c>
      <c r="E553" s="4" t="str">
        <f>VLOOKUP(LEFT(D553,2),Sort!$A$1:$B$58,2,FALSE)</f>
        <v>Saudi Arabia</v>
      </c>
      <c r="F553" s="4" t="s">
        <v>1007</v>
      </c>
      <c r="G553" s="18">
        <v>1000000000</v>
      </c>
      <c r="H553" s="18">
        <v>1007583330</v>
      </c>
      <c r="I553" s="10">
        <v>0.48567688399999998</v>
      </c>
      <c r="J553" s="10">
        <v>3.9972219999999998</v>
      </c>
      <c r="K553" s="10">
        <v>3.7702629999999999</v>
      </c>
      <c r="L553" s="10">
        <v>2.5368409999999999</v>
      </c>
      <c r="M553" s="10">
        <v>2.5368409999999999</v>
      </c>
      <c r="N553" s="10">
        <v>184.6652</v>
      </c>
      <c r="O553" s="10">
        <v>187.3586</v>
      </c>
      <c r="P553" s="10">
        <v>3.749679</v>
      </c>
      <c r="Q553" s="10">
        <v>8.3000000000000001E-3</v>
      </c>
      <c r="R553" s="10">
        <v>0.13068003</v>
      </c>
      <c r="S553" s="10">
        <v>4.1119430540000002</v>
      </c>
      <c r="T553" s="10">
        <v>100.75</v>
      </c>
      <c r="U553" s="10">
        <v>101.75</v>
      </c>
      <c r="V553" s="10">
        <v>100.75</v>
      </c>
      <c r="W553" s="10">
        <v>101.75</v>
      </c>
      <c r="X553" s="4" t="s">
        <v>146</v>
      </c>
      <c r="Y553" s="4" t="s">
        <v>2662</v>
      </c>
      <c r="AA553" s="10">
        <f t="shared" si="32"/>
        <v>5.1859903311553317E-2</v>
      </c>
      <c r="AB553" s="10">
        <f t="shared" si="33"/>
        <v>4.1601306001296259E-2</v>
      </c>
      <c r="AC553" s="10">
        <f t="shared" si="34"/>
        <v>6.6147717130084995</v>
      </c>
      <c r="AD553" s="10">
        <f t="shared" si="35"/>
        <v>0.69618314978066198</v>
      </c>
    </row>
    <row r="554" spans="1:30" x14ac:dyDescent="0.25">
      <c r="A554" s="33" t="s">
        <v>2660</v>
      </c>
      <c r="C554" s="39">
        <v>40847</v>
      </c>
      <c r="D554" s="53" t="s">
        <v>2664</v>
      </c>
      <c r="E554" s="4" t="str">
        <f>VLOOKUP(LEFT(D554,2),Sort!$A$1:$B$58,2,FALSE)</f>
        <v>Saudi Arabia</v>
      </c>
      <c r="F554" s="4" t="s">
        <v>1007</v>
      </c>
      <c r="G554" s="18">
        <v>600000000</v>
      </c>
      <c r="H554" s="18">
        <v>614550000</v>
      </c>
      <c r="I554" s="10">
        <v>0.296226347</v>
      </c>
      <c r="J554" s="10">
        <v>4.0250000000000004</v>
      </c>
      <c r="K554" s="10">
        <v>3.744516</v>
      </c>
      <c r="L554" s="10">
        <v>2.4747659999999998</v>
      </c>
      <c r="M554" s="10">
        <v>2.4747659999999998</v>
      </c>
      <c r="N554" s="10">
        <v>177.64660000000001</v>
      </c>
      <c r="O554" s="10">
        <v>180.35040000000001</v>
      </c>
      <c r="P554" s="10">
        <v>3.724091</v>
      </c>
      <c r="Q554" s="10">
        <v>8.0999999999999996E-3</v>
      </c>
      <c r="R554" s="10">
        <v>0.22832881199999999</v>
      </c>
      <c r="S554" s="10">
        <v>6.4377460229999999</v>
      </c>
      <c r="T554" s="10">
        <v>101</v>
      </c>
      <c r="U554" s="10">
        <v>102</v>
      </c>
      <c r="V554" s="10">
        <v>101</v>
      </c>
      <c r="W554" s="10">
        <v>102</v>
      </c>
      <c r="X554" s="4" t="s">
        <v>146</v>
      </c>
      <c r="Y554" s="4" t="s">
        <v>2665</v>
      </c>
      <c r="AA554" s="10">
        <f t="shared" si="32"/>
        <v>3.141463344425164E-2</v>
      </c>
      <c r="AB554" s="10">
        <f t="shared" si="33"/>
        <v>2.4752787118186154E-2</v>
      </c>
      <c r="AC554" s="10">
        <f t="shared" si="34"/>
        <v>3.8836008474659898</v>
      </c>
      <c r="AD554" s="10">
        <f t="shared" si="35"/>
        <v>0.42566261695040197</v>
      </c>
    </row>
    <row r="555" spans="1:30" x14ac:dyDescent="0.25">
      <c r="A555" s="33" t="s">
        <v>2663</v>
      </c>
      <c r="C555" s="39">
        <v>40847</v>
      </c>
      <c r="D555" s="53" t="s">
        <v>2667</v>
      </c>
      <c r="E555" s="4" t="str">
        <f>VLOOKUP(LEFT(D555,2),Sort!$A$1:$B$58,2,FALSE)</f>
        <v>Singapore</v>
      </c>
      <c r="F555" s="4" t="s">
        <v>1014</v>
      </c>
      <c r="G555" s="18">
        <v>408227848</v>
      </c>
      <c r="H555" s="18">
        <v>384960277.19999999</v>
      </c>
      <c r="I555" s="10">
        <v>0.18555915100000001</v>
      </c>
      <c r="J555" s="10">
        <v>5.6527779999999996</v>
      </c>
      <c r="K555" s="10">
        <v>4.5568790000000003</v>
      </c>
      <c r="L555" s="10">
        <v>7.5034029999999996</v>
      </c>
      <c r="M555" s="10">
        <v>7.5034029999999996</v>
      </c>
      <c r="N555" s="10">
        <v>632.81600000000003</v>
      </c>
      <c r="O555" s="10">
        <v>639.93709999999999</v>
      </c>
      <c r="P555" s="10">
        <v>4.4956639999999997</v>
      </c>
      <c r="Q555" s="10">
        <v>1.0916999999999999</v>
      </c>
      <c r="R555" s="10">
        <v>15.302643399999999</v>
      </c>
      <c r="S555" s="10">
        <v>-3.7216585769999999</v>
      </c>
      <c r="T555" s="10">
        <v>92</v>
      </c>
      <c r="U555" s="10">
        <v>96</v>
      </c>
      <c r="V555" s="10">
        <v>92</v>
      </c>
      <c r="W555" s="10">
        <v>96</v>
      </c>
      <c r="X555" s="4" t="s">
        <v>146</v>
      </c>
      <c r="Y555" s="4" t="s">
        <v>2668</v>
      </c>
      <c r="AA555" s="10">
        <f t="shared" si="32"/>
        <v>3.8203699958442923E-2</v>
      </c>
      <c r="AB555" s="10">
        <f t="shared" si="33"/>
        <v>7.7855411956455109E-2</v>
      </c>
      <c r="AC555" s="10">
        <f t="shared" si="34"/>
        <v>13.3797493041641</v>
      </c>
      <c r="AD555" s="10">
        <f t="shared" si="35"/>
        <v>0.77470163191150054</v>
      </c>
    </row>
    <row r="556" spans="1:30" x14ac:dyDescent="0.25">
      <c r="A556" s="33" t="s">
        <v>2666</v>
      </c>
      <c r="C556" s="39">
        <v>40847</v>
      </c>
      <c r="D556" s="53" t="s">
        <v>2670</v>
      </c>
      <c r="E556" s="4" t="str">
        <f>VLOOKUP(LEFT(D556,2),Sort!$A$1:$B$58,2,FALSE)</f>
        <v>Singapore</v>
      </c>
      <c r="F556" s="4" t="s">
        <v>1014</v>
      </c>
      <c r="G556" s="18">
        <v>408227848</v>
      </c>
      <c r="H556" s="18">
        <v>420842713.10000002</v>
      </c>
      <c r="I556" s="10">
        <v>0.20285525900000001</v>
      </c>
      <c r="J556" s="10">
        <v>3.4305560000000002</v>
      </c>
      <c r="K556" s="10">
        <v>3.16588</v>
      </c>
      <c r="L556" s="10">
        <v>3.2617889999999998</v>
      </c>
      <c r="M556" s="10">
        <v>3.2617889999999998</v>
      </c>
      <c r="N556" s="10">
        <v>273.70670000000001</v>
      </c>
      <c r="O556" s="10">
        <v>276.61419999999998</v>
      </c>
      <c r="P556" s="10">
        <v>3.1570140000000002</v>
      </c>
      <c r="Q556" s="10">
        <v>-1.0823</v>
      </c>
      <c r="R556" s="10">
        <v>0.93610130000000003</v>
      </c>
      <c r="S556" s="10">
        <v>5.3305917349999996</v>
      </c>
      <c r="T556" s="10">
        <v>102.43</v>
      </c>
      <c r="U556" s="10">
        <v>103.41</v>
      </c>
      <c r="V556" s="10">
        <v>102.43</v>
      </c>
      <c r="W556" s="10">
        <v>103.41</v>
      </c>
      <c r="X556" s="4" t="s">
        <v>146</v>
      </c>
      <c r="Y556" s="4" t="s">
        <v>2671</v>
      </c>
      <c r="AA556" s="10">
        <f t="shared" si="32"/>
        <v>1.8188351725980805E-2</v>
      </c>
      <c r="AB556" s="10">
        <f t="shared" si="33"/>
        <v>2.234129888007038E-2</v>
      </c>
      <c r="AC556" s="10">
        <f t="shared" si="34"/>
        <v>1.1537797050328127</v>
      </c>
      <c r="AD556" s="10">
        <f t="shared" si="35"/>
        <v>0.29552244132646344</v>
      </c>
    </row>
    <row r="557" spans="1:30" x14ac:dyDescent="0.25">
      <c r="A557" s="33" t="s">
        <v>2669</v>
      </c>
      <c r="C557" s="39">
        <v>40847</v>
      </c>
      <c r="D557" s="53" t="s">
        <v>2673</v>
      </c>
      <c r="E557" s="4" t="str">
        <f>VLOOKUP(LEFT(D557,2),Sort!$A$1:$B$58,2,FALSE)</f>
        <v>Singapore</v>
      </c>
      <c r="F557" s="4" t="s">
        <v>1007</v>
      </c>
      <c r="G557" s="18">
        <v>612341772</v>
      </c>
      <c r="H557" s="18">
        <v>660369776.29999995</v>
      </c>
      <c r="I557" s="10">
        <v>0.31831246699999999</v>
      </c>
      <c r="J557" s="10">
        <v>8.0333330000000007</v>
      </c>
      <c r="K557" s="10">
        <v>2.7502330000000001</v>
      </c>
      <c r="L557" s="10">
        <v>3.7706599999999999</v>
      </c>
      <c r="M557" s="10">
        <v>3.7706599999999999</v>
      </c>
      <c r="N557" s="10">
        <v>200.50819999999999</v>
      </c>
      <c r="O557" s="10">
        <v>204.589</v>
      </c>
      <c r="P557" s="10">
        <v>6.5295690000000004</v>
      </c>
      <c r="Q557" s="10">
        <v>0.19869999999999999</v>
      </c>
      <c r="R557" s="10">
        <v>1.438082906</v>
      </c>
      <c r="S557" s="10">
        <v>5.2167080229999998</v>
      </c>
      <c r="T557" s="10">
        <v>105.51</v>
      </c>
      <c r="U557" s="10">
        <v>106.42</v>
      </c>
      <c r="V557" s="10">
        <v>105.51</v>
      </c>
      <c r="W557" s="10">
        <v>106.42</v>
      </c>
      <c r="X557" s="4" t="s">
        <v>146</v>
      </c>
      <c r="Y557" s="4" t="s">
        <v>2674</v>
      </c>
      <c r="AA557" s="10">
        <f t="shared" si="32"/>
        <v>2.4793381335801428E-2</v>
      </c>
      <c r="AB557" s="10">
        <f t="shared" si="33"/>
        <v>4.0526332679749436E-2</v>
      </c>
      <c r="AC557" s="10">
        <f t="shared" si="34"/>
        <v>1.3390539678913582</v>
      </c>
      <c r="AD557" s="10">
        <f t="shared" si="35"/>
        <v>0.47721991480593046</v>
      </c>
    </row>
    <row r="558" spans="1:30" x14ac:dyDescent="0.25">
      <c r="A558" s="33" t="s">
        <v>2672</v>
      </c>
      <c r="C558" s="39">
        <v>40847</v>
      </c>
      <c r="D558" s="53" t="s">
        <v>2676</v>
      </c>
      <c r="E558" s="4" t="str">
        <f>VLOOKUP(LEFT(D558,2),Sort!$A$1:$B$58,2,FALSE)</f>
        <v>Singapore</v>
      </c>
      <c r="F558" s="4" t="s">
        <v>1007</v>
      </c>
      <c r="G558" s="18">
        <v>816455696</v>
      </c>
      <c r="H558" s="18">
        <v>817735931.20000005</v>
      </c>
      <c r="I558" s="10">
        <v>0.39416634499999997</v>
      </c>
      <c r="J558" s="10">
        <v>3.8638889999999999</v>
      </c>
      <c r="K558" s="10">
        <v>3.6790039999999999</v>
      </c>
      <c r="L558" s="10">
        <v>2.2700010000000002</v>
      </c>
      <c r="M558" s="10">
        <v>2.2700010000000002</v>
      </c>
      <c r="N558" s="10">
        <v>161.87450000000001</v>
      </c>
      <c r="O558" s="10">
        <v>164.31</v>
      </c>
      <c r="P558" s="10">
        <v>3.6613859999999998</v>
      </c>
      <c r="Q558" s="10">
        <v>0.63139999999999996</v>
      </c>
      <c r="R558" s="10">
        <v>0.93817476399999999</v>
      </c>
      <c r="S558" s="10">
        <v>4.8088806560000004</v>
      </c>
      <c r="T558" s="10">
        <v>99.833539999999999</v>
      </c>
      <c r="U558" s="10">
        <v>100.38500000000001</v>
      </c>
      <c r="V558" s="10">
        <v>99.833539999999999</v>
      </c>
      <c r="W558" s="10">
        <v>100.38500000000001</v>
      </c>
      <c r="X558" s="4" t="s">
        <v>146</v>
      </c>
      <c r="Y558" s="4" t="s">
        <v>2677</v>
      </c>
      <c r="AA558" s="10">
        <f t="shared" si="32"/>
        <v>4.1069784494533003E-2</v>
      </c>
      <c r="AB558" s="10">
        <f t="shared" si="33"/>
        <v>3.0211471062423632E-2</v>
      </c>
      <c r="AC558" s="10">
        <f t="shared" si="34"/>
        <v>4.7080095048443837</v>
      </c>
      <c r="AD558" s="10">
        <f t="shared" si="35"/>
        <v>0.55742959214903676</v>
      </c>
    </row>
    <row r="559" spans="1:30" x14ac:dyDescent="0.25">
      <c r="A559" s="33" t="s">
        <v>2675</v>
      </c>
      <c r="C559" s="39">
        <v>40847</v>
      </c>
      <c r="D559" s="53" t="s">
        <v>2679</v>
      </c>
      <c r="E559" s="4" t="str">
        <f>VLOOKUP(LEFT(D559,2),Sort!$A$1:$B$58,2,FALSE)</f>
        <v>Singapore</v>
      </c>
      <c r="F559" s="4" t="s">
        <v>1007</v>
      </c>
      <c r="G559" s="18">
        <v>408227848</v>
      </c>
      <c r="H559" s="18">
        <v>423409670.19999999</v>
      </c>
      <c r="I559" s="10">
        <v>0.20409258799999999</v>
      </c>
      <c r="J559" s="10">
        <v>5.536111</v>
      </c>
      <c r="K559" s="10">
        <v>0.52067699999999995</v>
      </c>
      <c r="L559" s="10">
        <v>2.638131</v>
      </c>
      <c r="M559" s="10">
        <v>2.638131</v>
      </c>
      <c r="N559" s="10">
        <v>149.72460000000001</v>
      </c>
      <c r="O559" s="10">
        <v>151.09989999999999</v>
      </c>
      <c r="P559" s="10">
        <v>4.9697899999999997</v>
      </c>
      <c r="Q559" s="10">
        <v>1.37E-2</v>
      </c>
      <c r="R559" s="10">
        <v>0.172504298</v>
      </c>
      <c r="S559" s="10">
        <v>2.0309775719999998</v>
      </c>
      <c r="T559" s="10">
        <v>101.37</v>
      </c>
      <c r="U559" s="10">
        <v>101.91</v>
      </c>
      <c r="V559" s="10">
        <v>101.37</v>
      </c>
      <c r="W559" s="10">
        <v>101.91</v>
      </c>
      <c r="X559" s="4" t="s">
        <v>146</v>
      </c>
      <c r="Y559" s="4" t="s">
        <v>2680</v>
      </c>
      <c r="AA559" s="10">
        <f t="shared" si="32"/>
        <v>1.3435409010366486E-2</v>
      </c>
      <c r="AB559" s="10">
        <f t="shared" si="33"/>
        <v>1.8179832303610019E-2</v>
      </c>
      <c r="AC559" s="10">
        <f t="shared" si="34"/>
        <v>2.241739807375811</v>
      </c>
      <c r="AD559" s="10">
        <f t="shared" si="35"/>
        <v>0.29301219116680921</v>
      </c>
    </row>
    <row r="560" spans="1:30" x14ac:dyDescent="0.25">
      <c r="A560" s="33" t="s">
        <v>2678</v>
      </c>
      <c r="C560" s="39">
        <v>40847</v>
      </c>
      <c r="D560" s="53" t="s">
        <v>2682</v>
      </c>
      <c r="E560" s="4" t="str">
        <f>VLOOKUP(LEFT(D560,2),Sort!$A$1:$B$58,2,FALSE)</f>
        <v>Singapore</v>
      </c>
      <c r="F560" s="4" t="s">
        <v>1007</v>
      </c>
      <c r="G560" s="18">
        <v>1224683544</v>
      </c>
      <c r="H560" s="18">
        <v>1201439197</v>
      </c>
      <c r="I560" s="10">
        <v>0.57911959000000002</v>
      </c>
      <c r="J560" s="10">
        <v>5.536111</v>
      </c>
      <c r="K560" s="10">
        <v>2.2693999999999999E-2</v>
      </c>
      <c r="L560" s="10">
        <v>1.8567750000000001</v>
      </c>
      <c r="M560" s="10">
        <v>1.8567750000000001</v>
      </c>
      <c r="N560" s="10">
        <v>71.588999999999999</v>
      </c>
      <c r="O560" s="10">
        <v>71.294499999999999</v>
      </c>
      <c r="P560" s="10">
        <v>5.3109919999999997</v>
      </c>
      <c r="Q560" s="10">
        <v>1.4E-3</v>
      </c>
      <c r="R560" s="10">
        <v>0.55461333499999999</v>
      </c>
      <c r="S560" s="10">
        <v>1.4817985090000001</v>
      </c>
      <c r="T560" s="10">
        <v>98</v>
      </c>
      <c r="U560" s="10">
        <v>99</v>
      </c>
      <c r="V560" s="10">
        <v>98</v>
      </c>
      <c r="W560" s="10">
        <v>99</v>
      </c>
      <c r="X560" s="4" t="s">
        <v>146</v>
      </c>
      <c r="Y560" s="4" t="s">
        <v>2683</v>
      </c>
      <c r="AA560" s="10">
        <f t="shared" si="32"/>
        <v>1.6616309497545785E-3</v>
      </c>
      <c r="AB560" s="10">
        <f t="shared" si="33"/>
        <v>0.5037714147579907</v>
      </c>
      <c r="AC560" s="10">
        <f t="shared" si="34"/>
        <v>3.0013599193159006</v>
      </c>
      <c r="AD560" s="10">
        <f t="shared" si="35"/>
        <v>2.4933561116219272</v>
      </c>
    </row>
    <row r="561" spans="1:30" x14ac:dyDescent="0.25">
      <c r="A561" s="33" t="s">
        <v>2681</v>
      </c>
      <c r="C561" s="39">
        <v>40847</v>
      </c>
      <c r="D561" s="53" t="s">
        <v>2685</v>
      </c>
      <c r="E561" s="4" t="str">
        <f>VLOOKUP(LEFT(D561,2),Sort!$A$1:$B$58,2,FALSE)</f>
        <v>Singapore</v>
      </c>
      <c r="F561" s="4" t="s">
        <v>1007</v>
      </c>
      <c r="G561" s="18">
        <v>734810127</v>
      </c>
      <c r="H561" s="18">
        <v>669028741.39999998</v>
      </c>
      <c r="I561" s="10">
        <v>0.32248627400000002</v>
      </c>
      <c r="J561" s="10">
        <v>9.6999999999999993</v>
      </c>
      <c r="K561" s="10">
        <v>-6.8052000000000001E-2</v>
      </c>
      <c r="L561" s="10">
        <v>4.1887420000000004</v>
      </c>
      <c r="M561" s="10">
        <v>4.1887420000000004</v>
      </c>
      <c r="N561" s="10">
        <v>211.0942</v>
      </c>
      <c r="O561" s="10">
        <v>214.0592</v>
      </c>
      <c r="P561" s="10">
        <v>8.4435690000000001</v>
      </c>
      <c r="Q561" s="10">
        <v>3.0999999999999999E-3</v>
      </c>
      <c r="R561" s="10">
        <v>8.5312200000000005E-2</v>
      </c>
      <c r="S561" s="10">
        <v>0.94291171299999998</v>
      </c>
      <c r="T561" s="10">
        <v>91</v>
      </c>
      <c r="U561" s="10">
        <v>93</v>
      </c>
      <c r="V561" s="10">
        <v>91</v>
      </c>
      <c r="W561" s="10">
        <v>93</v>
      </c>
      <c r="X561" s="4" t="s">
        <v>146</v>
      </c>
      <c r="Y561" s="4" t="s">
        <v>2686</v>
      </c>
      <c r="AA561" s="10">
        <f t="shared" si="32"/>
        <v>-2.7746448007811659E-3</v>
      </c>
      <c r="AB561" s="10">
        <f t="shared" si="33"/>
        <v>3.8894255387058242E-2</v>
      </c>
      <c r="AC561" s="10">
        <f t="shared" si="34"/>
        <v>1.4194081228925801</v>
      </c>
      <c r="AD561" s="10">
        <f t="shared" si="35"/>
        <v>1.3042926392441074</v>
      </c>
    </row>
    <row r="562" spans="1:30" x14ac:dyDescent="0.25">
      <c r="A562" s="33" t="s">
        <v>2684</v>
      </c>
      <c r="C562" s="39">
        <v>40847</v>
      </c>
      <c r="D562" s="53" t="s">
        <v>2688</v>
      </c>
      <c r="E562" s="4" t="str">
        <f>VLOOKUP(LEFT(D562,2),Sort!$A$1:$B$58,2,FALSE)</f>
        <v>Singapore</v>
      </c>
      <c r="F562" s="4" t="s">
        <v>1007</v>
      </c>
      <c r="G562" s="18">
        <v>408227848</v>
      </c>
      <c r="H562" s="18">
        <v>403288291</v>
      </c>
      <c r="I562" s="10">
        <v>0.194393649</v>
      </c>
      <c r="J562" s="10">
        <v>11.033333000000001</v>
      </c>
      <c r="K562" s="10">
        <v>9.0713570000000008</v>
      </c>
      <c r="L562" s="10">
        <v>3.965287</v>
      </c>
      <c r="M562" s="10">
        <v>3.965287</v>
      </c>
      <c r="N562" s="10">
        <v>177.8794</v>
      </c>
      <c r="O562" s="10">
        <v>176.87350000000001</v>
      </c>
      <c r="P562" s="10">
        <v>8.7061060000000001</v>
      </c>
      <c r="Q562" s="10">
        <v>-0.49309999999999998</v>
      </c>
      <c r="R562" s="10">
        <v>3.3170058199999999</v>
      </c>
      <c r="S562" s="10">
        <v>7.3958777160000002</v>
      </c>
      <c r="T562" s="10">
        <v>97.04</v>
      </c>
      <c r="U562" s="10">
        <v>98.09</v>
      </c>
      <c r="V562" s="10">
        <v>97.04</v>
      </c>
      <c r="W562" s="10">
        <v>98.09</v>
      </c>
      <c r="X562" s="4" t="s">
        <v>146</v>
      </c>
      <c r="Y562" s="4" t="s">
        <v>2689</v>
      </c>
      <c r="AA562" s="10">
        <f t="shared" si="32"/>
        <v>0.74732584921453993</v>
      </c>
      <c r="AB562" s="10">
        <f t="shared" si="33"/>
        <v>2.6026932286234573E-2</v>
      </c>
      <c r="AC562" s="10">
        <f t="shared" si="34"/>
        <v>2.4994165261356263</v>
      </c>
      <c r="AD562" s="10">
        <f t="shared" si="35"/>
        <v>0.82925417532041945</v>
      </c>
    </row>
    <row r="563" spans="1:30" x14ac:dyDescent="0.25">
      <c r="A563" s="33" t="s">
        <v>2687</v>
      </c>
      <c r="C563" s="39">
        <v>40847</v>
      </c>
      <c r="D563" s="53" t="s">
        <v>2691</v>
      </c>
      <c r="E563" s="4" t="str">
        <f>VLOOKUP(LEFT(D563,2),Sort!$A$1:$B$58,2,FALSE)</f>
        <v>Singapore</v>
      </c>
      <c r="F563" s="4" t="s">
        <v>1007</v>
      </c>
      <c r="G563" s="18">
        <v>408227848</v>
      </c>
      <c r="H563" s="18">
        <v>429937066.10000002</v>
      </c>
      <c r="I563" s="10">
        <v>0.20723893299999999</v>
      </c>
      <c r="J563" s="10">
        <v>8.0416670000000003</v>
      </c>
      <c r="K563" s="10">
        <v>6.8322950000000002</v>
      </c>
      <c r="L563" s="10">
        <v>3.632701</v>
      </c>
      <c r="M563" s="10">
        <v>3.632701</v>
      </c>
      <c r="N563" s="10">
        <v>186.55619999999999</v>
      </c>
      <c r="O563" s="10">
        <v>190.02930000000001</v>
      </c>
      <c r="P563" s="10">
        <v>6.6462620000000001</v>
      </c>
      <c r="Q563" s="10">
        <v>0.34470000000000001</v>
      </c>
      <c r="R563" s="10">
        <v>1.4649280710000001</v>
      </c>
      <c r="S563" s="10">
        <v>5.258643352</v>
      </c>
      <c r="T563" s="10">
        <v>103.37</v>
      </c>
      <c r="U563" s="10">
        <v>104.27</v>
      </c>
      <c r="V563" s="10">
        <v>103.37</v>
      </c>
      <c r="W563" s="10">
        <v>104.27</v>
      </c>
      <c r="X563" s="4" t="s">
        <v>146</v>
      </c>
      <c r="Y563" s="4" t="s">
        <v>2692</v>
      </c>
      <c r="AA563" s="10">
        <f t="shared" si="32"/>
        <v>6.1819276646185264E-2</v>
      </c>
      <c r="AB563" s="10">
        <f t="shared" si="33"/>
        <v>2.541951645988207E-2</v>
      </c>
      <c r="AC563" s="10">
        <f t="shared" si="34"/>
        <v>2.8627650820609882</v>
      </c>
      <c r="AD563" s="10">
        <f t="shared" si="35"/>
        <v>0.3044194366934268</v>
      </c>
    </row>
    <row r="564" spans="1:30" x14ac:dyDescent="0.25">
      <c r="A564" s="33" t="s">
        <v>2690</v>
      </c>
      <c r="C564" s="39">
        <v>40847</v>
      </c>
      <c r="D564" s="53" t="s">
        <v>2694</v>
      </c>
      <c r="E564" s="4" t="str">
        <f>VLOOKUP(LEFT(D564,2),Sort!$A$1:$B$58,2,FALSE)</f>
        <v>Singapore</v>
      </c>
      <c r="F564" s="4" t="s">
        <v>1014</v>
      </c>
      <c r="G564" s="18">
        <v>408227848</v>
      </c>
      <c r="H564" s="18">
        <v>416076595.80000001</v>
      </c>
      <c r="I564" s="10">
        <v>0.20055788799999999</v>
      </c>
      <c r="J564" s="10">
        <v>9.2722219999999993</v>
      </c>
      <c r="K564" s="10">
        <v>7.9154159999999996</v>
      </c>
      <c r="L564" s="10">
        <v>3.5392579999999998</v>
      </c>
      <c r="M564" s="10">
        <v>3.5392579999999998</v>
      </c>
      <c r="N564" s="10">
        <v>154.15950000000001</v>
      </c>
      <c r="O564" s="10">
        <v>157.5411</v>
      </c>
      <c r="P564" s="10">
        <v>7.6515199999999997</v>
      </c>
      <c r="Q564" s="10">
        <v>0.70230000000000004</v>
      </c>
      <c r="R564" s="10">
        <v>3.462944711</v>
      </c>
      <c r="S564" s="10">
        <v>8.6860003960000007</v>
      </c>
      <c r="T564" s="10">
        <v>101.04</v>
      </c>
      <c r="U564" s="10">
        <v>102.63</v>
      </c>
      <c r="V564" s="10">
        <v>101.04</v>
      </c>
      <c r="W564" s="10">
        <v>102.63</v>
      </c>
      <c r="X564" s="4" t="s">
        <v>146</v>
      </c>
      <c r="Y564" s="4" t="s">
        <v>2695</v>
      </c>
      <c r="AA564" s="10">
        <f t="shared" si="32"/>
        <v>6.931056717815523E-2</v>
      </c>
      <c r="AB564" s="10">
        <f t="shared" si="33"/>
        <v>2.3967252591280134E-2</v>
      </c>
      <c r="AC564" s="10">
        <f t="shared" si="34"/>
        <v>2.2968224017738548</v>
      </c>
      <c r="AD564" s="10">
        <f t="shared" si="35"/>
        <v>0.28997177859130102</v>
      </c>
    </row>
    <row r="565" spans="1:30" x14ac:dyDescent="0.25">
      <c r="A565" s="33" t="s">
        <v>2693</v>
      </c>
      <c r="C565" s="39">
        <v>40847</v>
      </c>
      <c r="D565" s="53" t="s">
        <v>2697</v>
      </c>
      <c r="E565" s="4" t="str">
        <f>VLOOKUP(LEFT(D565,2),Sort!$A$1:$B$58,2,FALSE)</f>
        <v>Singapore</v>
      </c>
      <c r="F565" s="4" t="s">
        <v>1014</v>
      </c>
      <c r="G565" s="18">
        <v>408227848</v>
      </c>
      <c r="H565" s="18">
        <v>448424684.80000001</v>
      </c>
      <c r="I565" s="10">
        <v>0.21615036400000001</v>
      </c>
      <c r="J565" s="10">
        <v>7.7027780000000003</v>
      </c>
      <c r="K565" s="10">
        <v>6.5401689999999997</v>
      </c>
      <c r="L565" s="10">
        <v>3.3384849999999999</v>
      </c>
      <c r="M565" s="10">
        <v>3.3384849999999999</v>
      </c>
      <c r="N565" s="10">
        <v>163.48310000000001</v>
      </c>
      <c r="O565" s="10">
        <v>168.7132</v>
      </c>
      <c r="P565" s="10">
        <v>6.3762369999999997</v>
      </c>
      <c r="Q565" s="10">
        <v>0.57989999999999997</v>
      </c>
      <c r="R565" s="10">
        <v>1.2753920839999999</v>
      </c>
      <c r="S565" s="10">
        <v>8.1673169689999998</v>
      </c>
      <c r="T565" s="10">
        <v>108.42</v>
      </c>
      <c r="U565" s="10">
        <v>109.85</v>
      </c>
      <c r="V565" s="10">
        <v>108.42</v>
      </c>
      <c r="W565" s="10">
        <v>109.85</v>
      </c>
      <c r="X565" s="4" t="s">
        <v>146</v>
      </c>
      <c r="Y565" s="4" t="s">
        <v>2698</v>
      </c>
      <c r="AA565" s="10">
        <f t="shared" si="32"/>
        <v>6.1720708551937564E-2</v>
      </c>
      <c r="AB565" s="10">
        <f t="shared" si="33"/>
        <v>2.436529555551982E-2</v>
      </c>
      <c r="AC565" s="10">
        <f t="shared" si="34"/>
        <v>2.650933471161244</v>
      </c>
      <c r="AD565" s="10">
        <f t="shared" si="35"/>
        <v>0.3345012066593987</v>
      </c>
    </row>
    <row r="566" spans="1:30" x14ac:dyDescent="0.25">
      <c r="A566" s="33" t="s">
        <v>2696</v>
      </c>
      <c r="C566" s="39">
        <v>40847</v>
      </c>
      <c r="D566" s="53" t="s">
        <v>2700</v>
      </c>
      <c r="E566" s="4" t="str">
        <f>VLOOKUP(LEFT(D566,2),Sort!$A$1:$B$58,2,FALSE)</f>
        <v>Singapore</v>
      </c>
      <c r="F566" s="4" t="s">
        <v>1081</v>
      </c>
      <c r="G566" s="18">
        <v>489873418</v>
      </c>
      <c r="H566" s="18">
        <v>519498513</v>
      </c>
      <c r="I566" s="10">
        <v>0.25040948099999999</v>
      </c>
      <c r="J566" s="10">
        <v>9.8472220000000004</v>
      </c>
      <c r="K566" s="10">
        <v>8.1651469999999993</v>
      </c>
      <c r="L566" s="10">
        <v>3.6399379999999999</v>
      </c>
      <c r="M566" s="10">
        <v>3.6399379999999999</v>
      </c>
      <c r="N566" s="10">
        <v>153.45580000000001</v>
      </c>
      <c r="O566" s="10">
        <v>161.1139</v>
      </c>
      <c r="P566" s="10">
        <v>7.87934</v>
      </c>
      <c r="Q566" s="10">
        <v>0.72419999999999995</v>
      </c>
      <c r="R566" s="10">
        <v>3.5746532100000001</v>
      </c>
      <c r="S566" s="10">
        <v>9.930225278</v>
      </c>
      <c r="T566" s="10">
        <v>105.36</v>
      </c>
      <c r="U566" s="10">
        <v>107.06</v>
      </c>
      <c r="V566" s="10">
        <v>105.36</v>
      </c>
      <c r="W566" s="10">
        <v>107.06</v>
      </c>
      <c r="X566" s="4" t="s">
        <v>146</v>
      </c>
      <c r="Y566" s="4" t="s">
        <v>2701</v>
      </c>
      <c r="AA566" s="10">
        <f t="shared" si="32"/>
        <v>0.86650375533250179</v>
      </c>
      <c r="AB566" s="10">
        <f t="shared" si="33"/>
        <v>3.0775919551858693E-2</v>
      </c>
      <c r="AC566" s="10">
        <f t="shared" si="34"/>
        <v>2.9327670858112653</v>
      </c>
      <c r="AD566" s="10">
        <f t="shared" si="35"/>
        <v>0.3776762400058854</v>
      </c>
    </row>
    <row r="567" spans="1:30" x14ac:dyDescent="0.25">
      <c r="A567" s="33" t="s">
        <v>2699</v>
      </c>
      <c r="C567" s="39">
        <v>40847</v>
      </c>
      <c r="D567" s="53" t="s">
        <v>2703</v>
      </c>
      <c r="E567" s="4" t="str">
        <f>VLOOKUP(LEFT(D567,2),Sort!$A$1:$B$58,2,FALSE)</f>
        <v>Singapore</v>
      </c>
      <c r="F567" s="4" t="s">
        <v>1081</v>
      </c>
      <c r="G567" s="18">
        <v>408227848</v>
      </c>
      <c r="H567" s="18">
        <v>563411129</v>
      </c>
      <c r="I567" s="10">
        <v>0.27157630900000002</v>
      </c>
      <c r="J567" s="10">
        <v>20.077777999999999</v>
      </c>
      <c r="K567" s="10">
        <v>12.122884000000001</v>
      </c>
      <c r="L567" s="10">
        <v>4.271668</v>
      </c>
      <c r="M567" s="10">
        <v>4.271668</v>
      </c>
      <c r="N567" s="10">
        <v>162.57169999999999</v>
      </c>
      <c r="O567" s="10">
        <v>160.2011</v>
      </c>
      <c r="P567" s="10">
        <v>11.378083</v>
      </c>
      <c r="Q567" s="10">
        <v>1.8753</v>
      </c>
      <c r="R567" s="10">
        <v>-5.4506916360000002</v>
      </c>
      <c r="S567" s="10">
        <v>10.393727800000001</v>
      </c>
      <c r="T567" s="10">
        <v>134.9</v>
      </c>
      <c r="U567" s="10">
        <v>141.55000000000001</v>
      </c>
      <c r="V567" s="10">
        <v>134.9</v>
      </c>
      <c r="W567" s="10">
        <v>141.55000000000001</v>
      </c>
      <c r="X567" s="4" t="s">
        <v>146</v>
      </c>
      <c r="Y567" s="4" t="s">
        <v>2704</v>
      </c>
      <c r="AA567" s="10">
        <f t="shared" si="32"/>
        <v>0.35082444309888217</v>
      </c>
      <c r="AB567" s="10">
        <f t="shared" si="33"/>
        <v>3.3402578044921513E-2</v>
      </c>
      <c r="AC567" s="10">
        <f t="shared" si="34"/>
        <v>3.1626502675992181</v>
      </c>
      <c r="AD567" s="10">
        <f t="shared" si="35"/>
        <v>141.55000000000001</v>
      </c>
    </row>
    <row r="568" spans="1:30" x14ac:dyDescent="0.25">
      <c r="A568" s="33" t="s">
        <v>2702</v>
      </c>
      <c r="C568" s="39">
        <v>40847</v>
      </c>
      <c r="D568" s="53" t="s">
        <v>2706</v>
      </c>
      <c r="E568" s="4" t="str">
        <f>VLOOKUP(LEFT(D568,2),Sort!$A$1:$B$58,2,FALSE)</f>
        <v>Singapore</v>
      </c>
      <c r="F568" s="4" t="s">
        <v>1014</v>
      </c>
      <c r="G568" s="18">
        <v>489873418</v>
      </c>
      <c r="H568" s="18">
        <v>527532437</v>
      </c>
      <c r="I568" s="10">
        <v>0.254282006</v>
      </c>
      <c r="J568" s="10">
        <v>3.7749999999999999</v>
      </c>
      <c r="K568" s="10">
        <v>3.2613120000000002</v>
      </c>
      <c r="L568" s="10">
        <v>4.8585529999999997</v>
      </c>
      <c r="M568" s="10">
        <v>4.8585529999999997</v>
      </c>
      <c r="N568" s="10">
        <v>423.32530000000003</v>
      </c>
      <c r="O568" s="10">
        <v>428.19159999999999</v>
      </c>
      <c r="P568" s="10">
        <v>3.247665</v>
      </c>
      <c r="Q568" s="10">
        <v>1.9300000000000001E-2</v>
      </c>
      <c r="R568" s="10">
        <v>12.05289402</v>
      </c>
      <c r="S568" s="10">
        <v>3.5284980959999999</v>
      </c>
      <c r="T568" s="10">
        <v>106</v>
      </c>
      <c r="U568" s="10">
        <v>109</v>
      </c>
      <c r="V568" s="10">
        <v>106</v>
      </c>
      <c r="W568" s="10">
        <v>109</v>
      </c>
      <c r="X568" s="4" t="s">
        <v>146</v>
      </c>
      <c r="Y568" s="4" t="s">
        <v>2707</v>
      </c>
      <c r="AA568" s="10">
        <f t="shared" si="32"/>
        <v>2.3486624270438041E-2</v>
      </c>
      <c r="AB568" s="10">
        <f t="shared" si="33"/>
        <v>3.5572401716317439E-2</v>
      </c>
      <c r="AC568" s="10">
        <f t="shared" si="34"/>
        <v>6.3935943822530383</v>
      </c>
      <c r="AD568" s="10">
        <f t="shared" si="35"/>
        <v>0.39046650274792316</v>
      </c>
    </row>
    <row r="569" spans="1:30" x14ac:dyDescent="0.25">
      <c r="A569" s="33" t="s">
        <v>2705</v>
      </c>
      <c r="C569" s="39">
        <v>40847</v>
      </c>
      <c r="D569" s="53" t="s">
        <v>2709</v>
      </c>
      <c r="E569" s="4" t="str">
        <f>VLOOKUP(LEFT(D569,2),Sort!$A$1:$B$58,2,FALSE)</f>
        <v>Singapore</v>
      </c>
      <c r="F569" s="4" t="s">
        <v>1007</v>
      </c>
      <c r="G569" s="18">
        <v>816455696</v>
      </c>
      <c r="H569" s="18">
        <v>860238132.70000005</v>
      </c>
      <c r="I569" s="10">
        <v>0.41465332300000002</v>
      </c>
      <c r="J569" s="10">
        <v>1.663889</v>
      </c>
      <c r="K569" s="10">
        <v>1.5912139999999999</v>
      </c>
      <c r="L569" s="10">
        <v>1.630198</v>
      </c>
      <c r="M569" s="10">
        <v>1.630198</v>
      </c>
      <c r="N569" s="10">
        <v>143.39510000000001</v>
      </c>
      <c r="O569" s="10">
        <v>143.79409999999999</v>
      </c>
      <c r="P569" s="10">
        <v>1.5878620000000001</v>
      </c>
      <c r="Q569" s="10">
        <v>4.0399999999999998E-2</v>
      </c>
      <c r="R569" s="10">
        <v>0.371524782</v>
      </c>
      <c r="S569" s="10">
        <v>3.3661643450000001</v>
      </c>
      <c r="T569" s="10">
        <v>103.85</v>
      </c>
      <c r="U569" s="10">
        <v>104.69</v>
      </c>
      <c r="V569" s="10">
        <v>103.85</v>
      </c>
      <c r="W569" s="10">
        <v>104.69</v>
      </c>
      <c r="X569" s="4" t="s">
        <v>146</v>
      </c>
      <c r="Y569" s="4" t="s">
        <v>2710</v>
      </c>
      <c r="AA569" s="10">
        <f t="shared" si="32"/>
        <v>8.3419773603268688E-2</v>
      </c>
      <c r="AB569" s="10">
        <f t="shared" si="33"/>
        <v>0.31668791460683543</v>
      </c>
      <c r="AC569" s="10">
        <f t="shared" si="34"/>
        <v>4.3343104136831387</v>
      </c>
      <c r="AD569" s="10">
        <f t="shared" si="35"/>
        <v>0.61155004975442928</v>
      </c>
    </row>
    <row r="570" spans="1:30" x14ac:dyDescent="0.25">
      <c r="A570" s="33" t="s">
        <v>2708</v>
      </c>
      <c r="C570" s="39">
        <v>40847</v>
      </c>
      <c r="D570" s="53" t="s">
        <v>2712</v>
      </c>
      <c r="E570" s="4" t="str">
        <f>VLOOKUP(LEFT(D570,2),Sort!$A$1:$B$58,2,FALSE)</f>
        <v>Singapore</v>
      </c>
      <c r="F570" s="4" t="s">
        <v>1007</v>
      </c>
      <c r="G570" s="18">
        <v>816455696</v>
      </c>
      <c r="H570" s="18">
        <v>874145092</v>
      </c>
      <c r="I570" s="10">
        <v>0.42135677700000002</v>
      </c>
      <c r="J570" s="10">
        <v>7.8333329999999997</v>
      </c>
      <c r="K570" s="10">
        <v>2.6050580000000001</v>
      </c>
      <c r="L570" s="10">
        <v>3.7783419999999999</v>
      </c>
      <c r="M570" s="10">
        <v>3.7783419999999999</v>
      </c>
      <c r="N570" s="10">
        <v>205.0231</v>
      </c>
      <c r="O570" s="10">
        <v>209.57310000000001</v>
      </c>
      <c r="P570" s="10">
        <v>6.4425910000000002</v>
      </c>
      <c r="Q570" s="10">
        <v>0.32319999999999999</v>
      </c>
      <c r="R570" s="10">
        <v>1.380633658</v>
      </c>
      <c r="S570" s="10">
        <v>5.0563926940000004</v>
      </c>
      <c r="T570" s="10">
        <v>106.17</v>
      </c>
      <c r="U570" s="10">
        <v>107.03</v>
      </c>
      <c r="V570" s="10">
        <v>106.17</v>
      </c>
      <c r="W570" s="10">
        <v>107.03</v>
      </c>
      <c r="X570" s="4" t="s">
        <v>146</v>
      </c>
      <c r="Y570" s="4" t="s">
        <v>2713</v>
      </c>
      <c r="AA570" s="10">
        <f t="shared" si="32"/>
        <v>3.1087085203875219E-2</v>
      </c>
      <c r="AB570" s="10">
        <f t="shared" si="33"/>
        <v>5.3754834914118588E-2</v>
      </c>
      <c r="AC570" s="10">
        <f t="shared" si="34"/>
        <v>1.8157149684946556</v>
      </c>
      <c r="AD570" s="10">
        <f t="shared" si="35"/>
        <v>0.63532678437300893</v>
      </c>
    </row>
    <row r="571" spans="1:30" x14ac:dyDescent="0.25">
      <c r="A571" s="33" t="s">
        <v>2711</v>
      </c>
      <c r="C571" s="39">
        <v>40847</v>
      </c>
      <c r="D571" s="53" t="s">
        <v>2715</v>
      </c>
      <c r="E571" s="4" t="str">
        <f>VLOOKUP(LEFT(D571,2),Sort!$A$1:$B$58,2,FALSE)</f>
        <v>Singapore</v>
      </c>
      <c r="F571" s="4" t="s">
        <v>1007</v>
      </c>
      <c r="G571" s="18">
        <v>408227848</v>
      </c>
      <c r="H571" s="18">
        <v>409341493.60000002</v>
      </c>
      <c r="I571" s="10">
        <v>0.19731142300000001</v>
      </c>
      <c r="J571" s="10">
        <v>37.366667</v>
      </c>
      <c r="K571" s="10">
        <v>15.385695999999999</v>
      </c>
      <c r="L571" s="10">
        <v>5.6980779999999998</v>
      </c>
      <c r="M571" s="10">
        <v>5.6980779999999998</v>
      </c>
      <c r="N571" s="10">
        <v>217.38509999999999</v>
      </c>
      <c r="O571" s="10">
        <v>275.62830000000002</v>
      </c>
      <c r="P571" s="10">
        <v>14.223509</v>
      </c>
      <c r="Q571" s="10">
        <v>1.61E-2</v>
      </c>
      <c r="R571" s="10">
        <v>5.1937624570000001</v>
      </c>
      <c r="S571" s="10">
        <v>2.2621395070000001</v>
      </c>
      <c r="T571" s="10">
        <v>99.5</v>
      </c>
      <c r="U571" s="10">
        <v>101.5</v>
      </c>
      <c r="V571" s="10">
        <v>99.5</v>
      </c>
      <c r="W571" s="10">
        <v>101.5</v>
      </c>
      <c r="X571" s="4" t="s">
        <v>146</v>
      </c>
      <c r="Y571" s="4" t="s">
        <v>2716</v>
      </c>
      <c r="AA571" s="10">
        <f t="shared" si="32"/>
        <v>0.3234903952964911</v>
      </c>
      <c r="AB571" s="10">
        <f t="shared" si="33"/>
        <v>3.2372126926720292E-2</v>
      </c>
      <c r="AC571" s="10">
        <f t="shared" si="34"/>
        <v>1.1182481521734262</v>
      </c>
      <c r="AD571" s="10">
        <f t="shared" si="35"/>
        <v>0.28213692461572337</v>
      </c>
    </row>
    <row r="572" spans="1:30" x14ac:dyDescent="0.25">
      <c r="A572" s="33" t="s">
        <v>2714</v>
      </c>
      <c r="C572" s="39">
        <v>40847</v>
      </c>
      <c r="D572" s="53" t="s">
        <v>2718</v>
      </c>
      <c r="E572" s="4" t="str">
        <f>VLOOKUP(LEFT(D572,2),Sort!$A$1:$B$58,2,FALSE)</f>
        <v>El Salvador</v>
      </c>
      <c r="F572" s="4" t="s">
        <v>1037</v>
      </c>
      <c r="G572" s="18">
        <v>300000000</v>
      </c>
      <c r="H572" s="18">
        <v>296175000</v>
      </c>
      <c r="I572" s="10">
        <v>0.142762734</v>
      </c>
      <c r="J572" s="10">
        <v>4.2444439999999997</v>
      </c>
      <c r="K572" s="10">
        <v>3.5876860000000002</v>
      </c>
      <c r="L572" s="10">
        <v>7.1619630000000001</v>
      </c>
      <c r="M572" s="10">
        <v>7.1619630000000001</v>
      </c>
      <c r="N572" s="10">
        <v>639.95849999999996</v>
      </c>
      <c r="O572" s="10">
        <v>645.15110000000004</v>
      </c>
      <c r="P572" s="10">
        <v>3.5634779999999999</v>
      </c>
      <c r="Q572" s="10">
        <v>1.9E-2</v>
      </c>
      <c r="R572" s="10">
        <v>2.5331432000000001E-2</v>
      </c>
      <c r="S572" s="10">
        <v>6.6578827809999996</v>
      </c>
      <c r="T572" s="10">
        <v>97</v>
      </c>
      <c r="U572" s="10">
        <v>98.5</v>
      </c>
      <c r="V572" s="10">
        <v>97</v>
      </c>
      <c r="W572" s="10">
        <v>98.5</v>
      </c>
      <c r="X572" s="4" t="s">
        <v>146</v>
      </c>
      <c r="Y572" s="4" t="s">
        <v>2719</v>
      </c>
      <c r="AA572" s="10">
        <f t="shared" si="32"/>
        <v>1.4505807371018045E-2</v>
      </c>
      <c r="AB572" s="10">
        <f t="shared" si="33"/>
        <v>5.7173540404825189E-2</v>
      </c>
      <c r="AC572" s="10">
        <f t="shared" si="34"/>
        <v>10.377783544179243</v>
      </c>
      <c r="AD572" s="10">
        <f t="shared" si="35"/>
        <v>0.61154996691521279</v>
      </c>
    </row>
    <row r="573" spans="1:30" x14ac:dyDescent="0.25">
      <c r="A573" s="33" t="s">
        <v>2717</v>
      </c>
      <c r="C573" s="39">
        <v>40847</v>
      </c>
      <c r="D573" s="53" t="s">
        <v>2721</v>
      </c>
      <c r="E573" s="4" t="str">
        <f>VLOOKUP(LEFT(D573,2),Sort!$A$1:$B$58,2,FALSE)</f>
        <v>El Salvador</v>
      </c>
      <c r="F573" s="4" t="s">
        <v>1081</v>
      </c>
      <c r="G573" s="18">
        <v>450000000</v>
      </c>
      <c r="H573" s="18">
        <v>472324999.5</v>
      </c>
      <c r="I573" s="10">
        <v>0.22767083099999999</v>
      </c>
      <c r="J573" s="10">
        <v>5.9138890000000002</v>
      </c>
      <c r="K573" s="10">
        <v>4.7278859999999998</v>
      </c>
      <c r="L573" s="10">
        <v>6.7502000000000004</v>
      </c>
      <c r="M573" s="10">
        <v>6.7502000000000004</v>
      </c>
      <c r="N573" s="10">
        <v>549.80600000000004</v>
      </c>
      <c r="O573" s="10">
        <v>558.77970000000005</v>
      </c>
      <c r="P573" s="10">
        <v>4.6571030000000002</v>
      </c>
      <c r="Q573" s="10">
        <v>1.2270000000000001</v>
      </c>
      <c r="R573" s="10">
        <v>9.2333499190000001</v>
      </c>
      <c r="S573" s="10">
        <v>8.3083778420000005</v>
      </c>
      <c r="T573" s="10">
        <v>104.25</v>
      </c>
      <c r="U573" s="10">
        <v>106</v>
      </c>
      <c r="V573" s="10">
        <v>104.25</v>
      </c>
      <c r="W573" s="10">
        <v>106</v>
      </c>
      <c r="X573" s="4" t="s">
        <v>146</v>
      </c>
      <c r="Y573" s="4" t="s">
        <v>2722</v>
      </c>
      <c r="AA573" s="10">
        <f t="shared" si="32"/>
        <v>4.8632874451672123E-2</v>
      </c>
      <c r="AB573" s="10">
        <f t="shared" si="33"/>
        <v>8.5935417148879298E-2</v>
      </c>
      <c r="AC573" s="10">
        <f t="shared" si="34"/>
        <v>7.4703219911981789</v>
      </c>
      <c r="AD573" s="10">
        <f t="shared" si="35"/>
        <v>0.33998120904434026</v>
      </c>
    </row>
    <row r="574" spans="1:30" x14ac:dyDescent="0.25">
      <c r="A574" s="33" t="s">
        <v>2720</v>
      </c>
      <c r="C574" s="39">
        <v>40847</v>
      </c>
      <c r="D574" s="53" t="s">
        <v>2724</v>
      </c>
      <c r="E574" s="4" t="str">
        <f>VLOOKUP(LEFT(D574,2),Sort!$A$1:$B$58,2,FALSE)</f>
        <v>Thailand</v>
      </c>
      <c r="F574" s="4" t="s">
        <v>1007</v>
      </c>
      <c r="G574" s="18">
        <v>400000000</v>
      </c>
      <c r="H574" s="18">
        <v>395221668</v>
      </c>
      <c r="I574" s="10">
        <v>0.19050536300000001</v>
      </c>
      <c r="J574" s="10">
        <v>3.9611109999999998</v>
      </c>
      <c r="K574" s="10">
        <v>3.6989450000000001</v>
      </c>
      <c r="L574" s="10">
        <v>3.2117849999999999</v>
      </c>
      <c r="M574" s="10">
        <v>3.2117849999999999</v>
      </c>
      <c r="N574" s="10">
        <v>253.2141</v>
      </c>
      <c r="O574" s="10">
        <v>256.2595</v>
      </c>
      <c r="P574" s="10">
        <v>3.6813129999999998</v>
      </c>
      <c r="Q574" s="10">
        <v>0.20180000000000001</v>
      </c>
      <c r="R574" s="10">
        <v>0.85730873100000005</v>
      </c>
      <c r="S574" s="10">
        <v>4.8665666119999997</v>
      </c>
      <c r="T574" s="10">
        <v>98.67</v>
      </c>
      <c r="U574" s="10">
        <v>100.14</v>
      </c>
      <c r="V574" s="10">
        <v>98.67</v>
      </c>
      <c r="W574" s="10">
        <v>100.14</v>
      </c>
      <c r="X574" s="4" t="s">
        <v>146</v>
      </c>
      <c r="Y574" s="4" t="s">
        <v>2725</v>
      </c>
      <c r="AA574" s="10">
        <f t="shared" si="32"/>
        <v>1.9957112408008501E-2</v>
      </c>
      <c r="AB574" s="10">
        <f t="shared" si="33"/>
        <v>2.0659507073226537E-2</v>
      </c>
      <c r="AC574" s="10">
        <f t="shared" si="34"/>
        <v>1.0038049524021315</v>
      </c>
      <c r="AD574" s="10">
        <f t="shared" si="35"/>
        <v>0.26875493626238528</v>
      </c>
    </row>
    <row r="575" spans="1:30" x14ac:dyDescent="0.25">
      <c r="A575" s="33" t="s">
        <v>2723</v>
      </c>
      <c r="C575" s="39">
        <v>40847</v>
      </c>
      <c r="D575" s="53" t="s">
        <v>2727</v>
      </c>
      <c r="E575" s="4" t="str">
        <f>VLOOKUP(LEFT(D575,2),Sort!$A$1:$B$58,2,FALSE)</f>
        <v>Thailand</v>
      </c>
      <c r="F575" s="4" t="s">
        <v>1007</v>
      </c>
      <c r="G575" s="18">
        <v>800000000</v>
      </c>
      <c r="H575" s="18">
        <v>773840000</v>
      </c>
      <c r="I575" s="10">
        <v>0.37300756000000002</v>
      </c>
      <c r="J575" s="10">
        <v>8.9611110000000007</v>
      </c>
      <c r="K575" s="10">
        <v>7.3581250000000002</v>
      </c>
      <c r="L575" s="10">
        <v>4.9898049999999996</v>
      </c>
      <c r="M575" s="10">
        <v>4.9898049999999996</v>
      </c>
      <c r="N575" s="10">
        <v>305.04239999999999</v>
      </c>
      <c r="O575" s="10">
        <v>311.315</v>
      </c>
      <c r="P575" s="10">
        <v>7.1311450000000001</v>
      </c>
      <c r="Q575" s="10">
        <v>0.29380000000000001</v>
      </c>
      <c r="R575" s="10">
        <v>2.2312561030000002</v>
      </c>
      <c r="S575" s="10">
        <v>5.5221643760000001</v>
      </c>
      <c r="T575" s="10">
        <v>96.53</v>
      </c>
      <c r="U575" s="10">
        <v>98.64</v>
      </c>
      <c r="V575" s="10">
        <v>96.53</v>
      </c>
      <c r="W575" s="10">
        <v>98.64</v>
      </c>
      <c r="X575" s="4" t="s">
        <v>146</v>
      </c>
      <c r="Y575" s="4" t="s">
        <v>2728</v>
      </c>
      <c r="AA575" s="10">
        <f t="shared" si="32"/>
        <v>0.11983143412418235</v>
      </c>
      <c r="AB575" s="10">
        <f t="shared" si="33"/>
        <v>5.3590995356450538E-2</v>
      </c>
      <c r="AC575" s="10">
        <f t="shared" si="34"/>
        <v>2.3877004114781282</v>
      </c>
      <c r="AD575" s="10">
        <f t="shared" si="35"/>
        <v>1.6001163311362336</v>
      </c>
    </row>
    <row r="576" spans="1:30" x14ac:dyDescent="0.25">
      <c r="A576" s="33" t="s">
        <v>2726</v>
      </c>
      <c r="C576" s="39">
        <v>40847</v>
      </c>
      <c r="D576" s="53" t="s">
        <v>2730</v>
      </c>
      <c r="E576" s="4" t="str">
        <f>VLOOKUP(LEFT(D576,2),Sort!$A$1:$B$58,2,FALSE)</f>
        <v>Thailand</v>
      </c>
      <c r="F576" s="4" t="s">
        <v>1007</v>
      </c>
      <c r="G576" s="18">
        <v>449825000</v>
      </c>
      <c r="H576" s="18">
        <v>522306800.19999999</v>
      </c>
      <c r="I576" s="10">
        <v>0.251763136</v>
      </c>
      <c r="J576" s="10">
        <v>17.366667</v>
      </c>
      <c r="K576" s="10">
        <v>9.5779689999999995</v>
      </c>
      <c r="L576" s="10">
        <v>6.971533</v>
      </c>
      <c r="M576" s="10">
        <v>6.971533</v>
      </c>
      <c r="N576" s="10">
        <v>446.3306</v>
      </c>
      <c r="O576" s="10">
        <v>454.7491</v>
      </c>
      <c r="P576" s="10">
        <v>9.0832300000000004</v>
      </c>
      <c r="Q576" s="10">
        <v>1.4992000000000001</v>
      </c>
      <c r="R576" s="10">
        <v>2.8358029440000001</v>
      </c>
      <c r="S576" s="10">
        <v>1.9092412000000001</v>
      </c>
      <c r="T576" s="10">
        <v>114.91</v>
      </c>
      <c r="U576" s="10">
        <v>120.48</v>
      </c>
      <c r="V576" s="10">
        <v>114.91</v>
      </c>
      <c r="W576" s="10">
        <v>120.48</v>
      </c>
      <c r="X576" s="4" t="s">
        <v>146</v>
      </c>
      <c r="Y576" s="4" t="s">
        <v>2731</v>
      </c>
      <c r="AA576" s="10">
        <f t="shared" si="32"/>
        <v>1.0219302147030946</v>
      </c>
      <c r="AB576" s="10">
        <f t="shared" si="33"/>
        <v>9.814509137953191E-2</v>
      </c>
      <c r="AC576" s="10">
        <f t="shared" si="34"/>
        <v>6.7228790334327257</v>
      </c>
      <c r="AD576" s="10">
        <f t="shared" si="35"/>
        <v>7.3264253095313645</v>
      </c>
    </row>
    <row r="577" spans="1:30" x14ac:dyDescent="0.25">
      <c r="A577" s="33" t="s">
        <v>2729</v>
      </c>
      <c r="C577" s="39">
        <v>40847</v>
      </c>
      <c r="D577" s="53" t="s">
        <v>2733</v>
      </c>
      <c r="E577" s="4" t="str">
        <f>VLOOKUP(LEFT(D577,2),Sort!$A$1:$B$58,2,FALSE)</f>
        <v>Thailand</v>
      </c>
      <c r="F577" s="4" t="s">
        <v>1024</v>
      </c>
      <c r="G577" s="18">
        <v>500000000</v>
      </c>
      <c r="H577" s="18">
        <v>514397335</v>
      </c>
      <c r="I577" s="10">
        <v>0.24795060299999999</v>
      </c>
      <c r="J577" s="10">
        <v>3.713889</v>
      </c>
      <c r="K577" s="10">
        <v>3.3960520000000001</v>
      </c>
      <c r="L577" s="10">
        <v>3.3621460000000001</v>
      </c>
      <c r="M577" s="10">
        <v>3.3621460000000001</v>
      </c>
      <c r="N577" s="10">
        <v>275.46899999999999</v>
      </c>
      <c r="O577" s="10">
        <v>278.93180000000001</v>
      </c>
      <c r="P577" s="10">
        <v>3.3844129999999999</v>
      </c>
      <c r="Q577" s="10">
        <v>0.35270000000000001</v>
      </c>
      <c r="R577" s="10">
        <v>2.3915381729999998</v>
      </c>
      <c r="S577" s="10">
        <v>5.8201193030000002</v>
      </c>
      <c r="T577" s="10">
        <v>101.68</v>
      </c>
      <c r="U577" s="10">
        <v>102.73</v>
      </c>
      <c r="V577" s="10">
        <v>101.68</v>
      </c>
      <c r="W577" s="10">
        <v>102.73</v>
      </c>
      <c r="X577" s="4" t="s">
        <v>146</v>
      </c>
      <c r="Y577" s="4" t="s">
        <v>2734</v>
      </c>
      <c r="AA577" s="10">
        <f t="shared" si="32"/>
        <v>2.3848008860080483E-2</v>
      </c>
      <c r="AB577" s="10">
        <f t="shared" si="33"/>
        <v>2.814803105685566E-2</v>
      </c>
      <c r="AC577" s="10">
        <f t="shared" si="34"/>
        <v>1.4220843340257772</v>
      </c>
      <c r="AD577" s="10">
        <f t="shared" si="35"/>
        <v>0.3588426985613421</v>
      </c>
    </row>
    <row r="578" spans="1:30" x14ac:dyDescent="0.25">
      <c r="A578" s="33" t="s">
        <v>2732</v>
      </c>
      <c r="C578" s="39">
        <v>40847</v>
      </c>
      <c r="D578" s="53" t="s">
        <v>2736</v>
      </c>
      <c r="E578" s="4" t="str">
        <f>VLOOKUP(LEFT(D578,2),Sort!$A$1:$B$58,2,FALSE)</f>
        <v>Thailand</v>
      </c>
      <c r="F578" s="4" t="s">
        <v>1024</v>
      </c>
      <c r="G578" s="18">
        <v>400000000</v>
      </c>
      <c r="H578" s="18">
        <v>431557776</v>
      </c>
      <c r="I578" s="10">
        <v>0.20802014999999999</v>
      </c>
      <c r="J578" s="10">
        <v>2.7444440000000001</v>
      </c>
      <c r="K578" s="10">
        <v>2.5146069999999998</v>
      </c>
      <c r="L578" s="10">
        <v>3.0762130000000001</v>
      </c>
      <c r="M578" s="10">
        <v>3.0762130000000001</v>
      </c>
      <c r="N578" s="10">
        <v>271.60570000000001</v>
      </c>
      <c r="O578" s="10">
        <v>273.80279999999999</v>
      </c>
      <c r="P578" s="10">
        <v>2.512076</v>
      </c>
      <c r="Q578" s="10">
        <v>5.1900000000000002E-2</v>
      </c>
      <c r="R578" s="10">
        <v>0.183135293</v>
      </c>
      <c r="S578" s="10">
        <v>6.3441333960000001</v>
      </c>
      <c r="T578" s="10">
        <v>106.42</v>
      </c>
      <c r="U578" s="10">
        <v>106.98</v>
      </c>
      <c r="V578" s="10">
        <v>106.42</v>
      </c>
      <c r="W578" s="10">
        <v>106.98</v>
      </c>
      <c r="X578" s="4" t="s">
        <v>146</v>
      </c>
      <c r="Y578" s="4" t="s">
        <v>2737</v>
      </c>
      <c r="AA578" s="10">
        <f t="shared" si="32"/>
        <v>1.4814539267796857E-2</v>
      </c>
      <c r="AB578" s="10">
        <f t="shared" si="33"/>
        <v>2.1606682612399616E-2</v>
      </c>
      <c r="AC578" s="10">
        <f t="shared" si="34"/>
        <v>1.1711309116982311</v>
      </c>
      <c r="AD578" s="10">
        <f t="shared" si="35"/>
        <v>0.31350874233787795</v>
      </c>
    </row>
    <row r="579" spans="1:30" x14ac:dyDescent="0.25">
      <c r="A579" s="33" t="s">
        <v>2735</v>
      </c>
      <c r="C579" s="39">
        <v>40847</v>
      </c>
      <c r="D579" s="53" t="s">
        <v>2739</v>
      </c>
      <c r="E579" s="4" t="str">
        <f>VLOOKUP(LEFT(D579,2),Sort!$A$1:$B$58,2,FALSE)</f>
        <v>Thailand</v>
      </c>
      <c r="F579" s="4" t="s">
        <v>1024</v>
      </c>
      <c r="G579" s="18">
        <v>350000000</v>
      </c>
      <c r="H579" s="18">
        <v>342085625</v>
      </c>
      <c r="I579" s="10">
        <v>0.164892645</v>
      </c>
      <c r="J579" s="10">
        <v>23.75</v>
      </c>
      <c r="K579" s="10">
        <v>12.785218</v>
      </c>
      <c r="L579" s="10">
        <v>5.9717159999999998</v>
      </c>
      <c r="M579" s="10">
        <v>5.9717159999999998</v>
      </c>
      <c r="N579" s="10">
        <v>313.92160000000001</v>
      </c>
      <c r="O579" s="10">
        <v>320.39710000000002</v>
      </c>
      <c r="P579" s="10">
        <v>11.928713999999999</v>
      </c>
      <c r="Q579" s="10">
        <v>2.0105</v>
      </c>
      <c r="R579" s="10">
        <v>-3.3168429599999998</v>
      </c>
      <c r="S579" s="10">
        <v>8.6408195550000002</v>
      </c>
      <c r="T579" s="10">
        <v>96.27</v>
      </c>
      <c r="U579" s="10">
        <v>98.77</v>
      </c>
      <c r="V579" s="10">
        <v>96.27</v>
      </c>
      <c r="W579" s="10">
        <v>98.77</v>
      </c>
      <c r="X579" s="4" t="s">
        <v>146</v>
      </c>
      <c r="Y579" s="4" t="s">
        <v>2740</v>
      </c>
      <c r="AA579" s="10">
        <f t="shared" si="32"/>
        <v>0.22464742038307187</v>
      </c>
      <c r="AB579" s="10">
        <f t="shared" si="33"/>
        <v>2.8352479500273611E-2</v>
      </c>
      <c r="AC579" s="10">
        <f t="shared" si="34"/>
        <v>1.0863055894317684</v>
      </c>
      <c r="AD579" s="10">
        <f t="shared" si="35"/>
        <v>0.70828361947594454</v>
      </c>
    </row>
    <row r="580" spans="1:30" x14ac:dyDescent="0.25">
      <c r="A580" s="33" t="s">
        <v>2738</v>
      </c>
      <c r="C580" s="39">
        <v>40847</v>
      </c>
      <c r="D580" s="53" t="s">
        <v>2742</v>
      </c>
      <c r="E580" s="4" t="str">
        <f>VLOOKUP(LEFT(D580,2),Sort!$A$1:$B$58,2,FALSE)</f>
        <v>Thailand</v>
      </c>
      <c r="F580" s="4" t="s">
        <v>1014</v>
      </c>
      <c r="G580" s="18">
        <v>700000000</v>
      </c>
      <c r="H580" s="18">
        <v>734248977</v>
      </c>
      <c r="I580" s="10">
        <v>0.35392383399999999</v>
      </c>
      <c r="J580" s="10">
        <v>9.4222219999999997</v>
      </c>
      <c r="K580" s="10">
        <v>7.4725429999999999</v>
      </c>
      <c r="L580" s="10">
        <v>4.788888</v>
      </c>
      <c r="M580" s="10">
        <v>4.788888</v>
      </c>
      <c r="N580" s="10">
        <v>276.3125</v>
      </c>
      <c r="O580" s="10">
        <v>286.3177</v>
      </c>
      <c r="P580" s="10">
        <v>7.2319950000000004</v>
      </c>
      <c r="Q580" s="10">
        <v>1.0265</v>
      </c>
      <c r="R580" s="10">
        <v>5.2928231950000004</v>
      </c>
      <c r="S580" s="10">
        <v>8.0331700000000001</v>
      </c>
      <c r="T580" s="10">
        <v>104.45</v>
      </c>
      <c r="U580" s="10">
        <v>106.78</v>
      </c>
      <c r="V580" s="10">
        <v>104.45</v>
      </c>
      <c r="W580" s="10">
        <v>106.78</v>
      </c>
      <c r="X580" s="4" t="s">
        <v>146</v>
      </c>
      <c r="Y580" s="4" t="s">
        <v>2743</v>
      </c>
      <c r="AA580" s="10">
        <f t="shared" si="32"/>
        <v>0.11546867803028749</v>
      </c>
      <c r="AB580" s="10">
        <f t="shared" si="33"/>
        <v>4.8801717316052547E-2</v>
      </c>
      <c r="AC580" s="10">
        <f t="shared" si="34"/>
        <v>2.0836278788055784</v>
      </c>
      <c r="AD580" s="10">
        <f t="shared" si="35"/>
        <v>0.53240408933954408</v>
      </c>
    </row>
    <row r="581" spans="1:30" x14ac:dyDescent="0.25">
      <c r="A581" s="33" t="s">
        <v>2741</v>
      </c>
      <c r="C581" s="39">
        <v>40847</v>
      </c>
      <c r="D581" s="53" t="s">
        <v>2745</v>
      </c>
      <c r="E581" s="4" t="str">
        <f>VLOOKUP(LEFT(D581,2),Sort!$A$1:$B$58,2,FALSE)</f>
        <v>Thailand</v>
      </c>
      <c r="F581" s="4" t="s">
        <v>1007</v>
      </c>
      <c r="G581" s="18">
        <v>400000000</v>
      </c>
      <c r="H581" s="18">
        <v>410723332</v>
      </c>
      <c r="I581" s="10">
        <v>0.197977499</v>
      </c>
      <c r="J581" s="10">
        <v>5.0305559999999998</v>
      </c>
      <c r="K581" s="10">
        <v>4.5070839999999999</v>
      </c>
      <c r="L581" s="10">
        <v>3.461001</v>
      </c>
      <c r="M581" s="10">
        <v>3.461001</v>
      </c>
      <c r="N581" s="10">
        <v>246.90020000000001</v>
      </c>
      <c r="O581" s="10">
        <v>249.9915</v>
      </c>
      <c r="P581" s="10">
        <v>4.4585819999999998</v>
      </c>
      <c r="Q581" s="10">
        <v>-0.86809999999999998</v>
      </c>
      <c r="R581" s="10">
        <v>2.3558517399999999</v>
      </c>
      <c r="S581" s="10">
        <v>2.8668490000000002</v>
      </c>
      <c r="T581" s="10">
        <v>100.85</v>
      </c>
      <c r="U581" s="10">
        <v>102.01</v>
      </c>
      <c r="V581" s="10">
        <v>100.85</v>
      </c>
      <c r="W581" s="10">
        <v>102.01</v>
      </c>
      <c r="X581" s="4" t="s">
        <v>146</v>
      </c>
      <c r="Y581" s="4" t="s">
        <v>2746</v>
      </c>
      <c r="AA581" s="10">
        <f t="shared" ref="AA581:AA609" si="36">IF(K581&lt;1.99,($H581/$H$629)*K581,IF(AND(K581&gt;1.99,K581&lt;3.99),($H581/$H$630)*K581,IF(AND(K581&gt;3.99,K581&lt;5.99),($H581/$H$631)*K581,IF(AND(K581&gt;5.99,K581&lt;7.99),($H581/$H$632)*K581,IF(AND(K581&gt;7.99,K581&lt;9.99),($H581/$H$633)*K581,IF(K581&gt;9.99,($H581/$H$634)*K581))))))</f>
        <v>4.0315034629983051E-2</v>
      </c>
      <c r="AB581" s="10">
        <f t="shared" ref="AB581:AB609" si="37">IF(M581&lt;1.99,($H581/$H$613)*M581,IF(AND(M581&gt;1.99,M581&lt;3.99),($H581/$H$614)*M581,IF(AND(M581&gt;3.99,M581&lt;5.99),($H581/$H$615)*M581,IF(AND(M581&gt;5.99,M581&lt;7.99),($H581/$H$616)*M581,IF(AND(M581&gt;7.99,M581&lt;9.99),($H581/$H$617)*M581,IF(M581&gt;9.99,($H581/$H$618)*M581))))))</f>
        <v>2.3135763829758061E-2</v>
      </c>
      <c r="AC581" s="10">
        <f t="shared" ref="AC581:AC609" si="38">IF(O581&lt;199.99,($H581/$H$621)*O581,IF(AND(O581&gt;199.99,O581&lt;399.99),($H581/$H$622)*O581,IF(AND(O581&gt;399.99,O581&lt;599.99),($H581/$H$623)*O581,IF(AND(O581&gt;599.99,O581&lt;799.99),($H581/$H$624)*O581,IF(AND(O581&gt;799.99,O581&lt;999.99),($H581/$H$625)*O581,IF(O581&gt;999.99,($H581/$H$626)*O581))))))</f>
        <v>1.0176612308258608</v>
      </c>
      <c r="AD581" s="10">
        <f t="shared" ref="AD581:AD609" si="39">IF(U581&lt;49.99,($H581/$H$637)*U581,IF(AND(U581&gt;49.99,U581&lt;79.99),($H581/$H$638)*U581,IF(AND(U581&gt;79.99,U581&lt;99.99),($H581/$H$639)*U581,IF(AND(U581&gt;99.99,U581&lt;119.99),($H581/$H$640)*U581,IF(AND(U581&gt;119.99,U581&lt;139.99),($H581/$H$641)*U581,IF(U581&gt;139.99,($H581/$H$642)*U581))))))</f>
        <v>0.2845117703937316</v>
      </c>
    </row>
    <row r="582" spans="1:30" x14ac:dyDescent="0.25">
      <c r="A582" s="33" t="s">
        <v>2744</v>
      </c>
      <c r="C582" s="39">
        <v>40847</v>
      </c>
      <c r="D582" s="53" t="s">
        <v>2748</v>
      </c>
      <c r="E582" s="4" t="str">
        <f>VLOOKUP(LEFT(D582,2),Sort!$A$1:$B$58,2,FALSE)</f>
        <v>Thailand</v>
      </c>
      <c r="F582" s="4" t="s">
        <v>1014</v>
      </c>
      <c r="G582" s="18">
        <v>350000000</v>
      </c>
      <c r="H582" s="18">
        <v>372750000</v>
      </c>
      <c r="I582" s="10">
        <v>0.179673535</v>
      </c>
      <c r="J582" s="10">
        <v>3.6</v>
      </c>
      <c r="K582" s="10">
        <v>3.2322069999999998</v>
      </c>
      <c r="L582" s="10">
        <v>3.5620020000000001</v>
      </c>
      <c r="M582" s="10">
        <v>3.5620020000000001</v>
      </c>
      <c r="N582" s="10">
        <v>298.78019999999998</v>
      </c>
      <c r="O582" s="10">
        <v>302.30739999999997</v>
      </c>
      <c r="P582" s="10">
        <v>3.2210109999999998</v>
      </c>
      <c r="Q582" s="10">
        <v>0.34310000000000002</v>
      </c>
      <c r="R582" s="10">
        <v>-3.1288475000000003E-2</v>
      </c>
      <c r="S582" s="10">
        <v>6.0525254080000002</v>
      </c>
      <c r="T582" s="10">
        <v>104.46</v>
      </c>
      <c r="U582" s="10">
        <v>105.15</v>
      </c>
      <c r="V582" s="10">
        <v>104.46</v>
      </c>
      <c r="W582" s="10">
        <v>105.15</v>
      </c>
      <c r="X582" s="4" t="s">
        <v>146</v>
      </c>
      <c r="Y582" s="4" t="s">
        <v>2749</v>
      </c>
      <c r="AA582" s="10">
        <f t="shared" si="36"/>
        <v>1.6447348759724537E-2</v>
      </c>
      <c r="AB582" s="10">
        <f t="shared" si="37"/>
        <v>2.1609491830156445E-2</v>
      </c>
      <c r="AC582" s="10">
        <f t="shared" si="38"/>
        <v>1.1168505003112488</v>
      </c>
      <c r="AD582" s="10">
        <f t="shared" si="39"/>
        <v>0.26615525484513269</v>
      </c>
    </row>
    <row r="583" spans="1:30" x14ac:dyDescent="0.25">
      <c r="A583" s="33" t="s">
        <v>2747</v>
      </c>
      <c r="C583" s="39">
        <v>40847</v>
      </c>
      <c r="D583" s="53" t="s">
        <v>2751</v>
      </c>
      <c r="E583" s="4" t="str">
        <f>VLOOKUP(LEFT(D583,2),Sort!$A$1:$B$58,2,FALSE)</f>
        <v>Thailand</v>
      </c>
      <c r="F583" s="4" t="s">
        <v>1014</v>
      </c>
      <c r="G583" s="18">
        <v>300000000</v>
      </c>
      <c r="H583" s="18">
        <v>322442499</v>
      </c>
      <c r="I583" s="10">
        <v>0.15542423499999999</v>
      </c>
      <c r="J583" s="10">
        <v>3.641667</v>
      </c>
      <c r="K583" s="10">
        <v>3.2575729999999998</v>
      </c>
      <c r="L583" s="10">
        <v>3.3609239999999998</v>
      </c>
      <c r="M583" s="10">
        <v>3.3609239999999998</v>
      </c>
      <c r="N583" s="10">
        <v>277.45569999999998</v>
      </c>
      <c r="O583" s="10">
        <v>281.2364</v>
      </c>
      <c r="P583" s="10">
        <v>3.246451</v>
      </c>
      <c r="Q583" s="10">
        <v>0.34100000000000003</v>
      </c>
      <c r="R583" s="10">
        <v>-2.0672039E-2</v>
      </c>
      <c r="S583" s="10">
        <v>6.1346972409999996</v>
      </c>
      <c r="T583" s="10">
        <v>105.51</v>
      </c>
      <c r="U583" s="10">
        <v>107.27</v>
      </c>
      <c r="V583" s="10">
        <v>105.51</v>
      </c>
      <c r="W583" s="10">
        <v>107.27</v>
      </c>
      <c r="X583" s="4" t="s">
        <v>146</v>
      </c>
      <c r="Y583" s="4" t="s">
        <v>2752</v>
      </c>
      <c r="AA583" s="10">
        <f t="shared" si="36"/>
        <v>1.4339219672852866E-2</v>
      </c>
      <c r="AB583" s="10">
        <f t="shared" si="37"/>
        <v>1.7637771556238083E-2</v>
      </c>
      <c r="AC583" s="10">
        <f t="shared" si="38"/>
        <v>0.89877797496737388</v>
      </c>
      <c r="AD583" s="10">
        <f t="shared" si="39"/>
        <v>0.2348760177375635</v>
      </c>
    </row>
    <row r="584" spans="1:30" x14ac:dyDescent="0.25">
      <c r="A584" s="33" t="s">
        <v>2750</v>
      </c>
      <c r="C584" s="39">
        <v>40847</v>
      </c>
      <c r="D584" s="53" t="s">
        <v>2754</v>
      </c>
      <c r="E584" s="4" t="str">
        <f>VLOOKUP(LEFT(D584,2),Sort!$A$1:$B$58,2,FALSE)</f>
        <v>Turkey</v>
      </c>
      <c r="F584" s="4" t="s">
        <v>1007</v>
      </c>
      <c r="G584" s="18">
        <v>1000000000</v>
      </c>
      <c r="H584" s="18">
        <v>989378470</v>
      </c>
      <c r="I584" s="10">
        <v>0.47690174899999999</v>
      </c>
      <c r="J584" s="10">
        <v>3.7194440000000002</v>
      </c>
      <c r="K584" s="10">
        <v>3.301599</v>
      </c>
      <c r="L584" s="10">
        <v>5.574497</v>
      </c>
      <c r="M584" s="10">
        <v>5.574497</v>
      </c>
      <c r="N584" s="10">
        <v>496.5419</v>
      </c>
      <c r="O584" s="10">
        <v>500.43770000000001</v>
      </c>
      <c r="P584" s="10">
        <v>3.2903060000000002</v>
      </c>
      <c r="Q584" s="10">
        <v>1.44E-2</v>
      </c>
      <c r="R584" s="10">
        <v>3.0181539439999998</v>
      </c>
      <c r="S584" s="10">
        <v>0.73492860199999999</v>
      </c>
      <c r="T584" s="10">
        <v>97.5</v>
      </c>
      <c r="U584" s="10">
        <v>98.5</v>
      </c>
      <c r="V584" s="10">
        <v>97.5</v>
      </c>
      <c r="W584" s="10">
        <v>98.5</v>
      </c>
      <c r="X584" s="4" t="s">
        <v>146</v>
      </c>
      <c r="Y584" s="4" t="s">
        <v>2755</v>
      </c>
      <c r="AA584" s="10">
        <f t="shared" si="36"/>
        <v>4.459291499464365E-2</v>
      </c>
      <c r="AB584" s="10">
        <f t="shared" si="37"/>
        <v>7.6546478552519712E-2</v>
      </c>
      <c r="AC584" s="10">
        <f t="shared" si="38"/>
        <v>14.014262350758285</v>
      </c>
      <c r="AD584" s="10">
        <f t="shared" si="39"/>
        <v>2.0428948108217231</v>
      </c>
    </row>
    <row r="585" spans="1:30" x14ac:dyDescent="0.25">
      <c r="A585" s="33" t="s">
        <v>2753</v>
      </c>
      <c r="C585" s="39">
        <v>40847</v>
      </c>
      <c r="D585" s="53" t="s">
        <v>2757</v>
      </c>
      <c r="E585" s="4" t="str">
        <f>VLOOKUP(LEFT(D585,2),Sort!$A$1:$B$58,2,FALSE)</f>
        <v>Turkey</v>
      </c>
      <c r="F585" s="4" t="s">
        <v>1007</v>
      </c>
      <c r="G585" s="18">
        <v>500000000</v>
      </c>
      <c r="H585" s="18">
        <v>497375000</v>
      </c>
      <c r="I585" s="10">
        <v>0.23974547099999999</v>
      </c>
      <c r="J585" s="10">
        <v>6.35</v>
      </c>
      <c r="K585" s="10">
        <v>5.1656769999999996</v>
      </c>
      <c r="L585" s="10">
        <v>6.4008580000000004</v>
      </c>
      <c r="M585" s="10">
        <v>6.4008580000000004</v>
      </c>
      <c r="N585" s="10">
        <v>502.0283</v>
      </c>
      <c r="O585" s="10">
        <v>510.00240000000002</v>
      </c>
      <c r="P585" s="10">
        <v>5.0766200000000001</v>
      </c>
      <c r="Q585" s="10">
        <v>1.8200000000000001E-2</v>
      </c>
      <c r="R585" s="10">
        <v>3.1155537760000001</v>
      </c>
      <c r="S585" s="10">
        <v>1.6571739999999999</v>
      </c>
      <c r="T585" s="10">
        <v>98.5</v>
      </c>
      <c r="U585" s="10">
        <v>100.5</v>
      </c>
      <c r="V585" s="10">
        <v>98.5</v>
      </c>
      <c r="W585" s="10">
        <v>100.5</v>
      </c>
      <c r="X585" s="4" t="s">
        <v>146</v>
      </c>
      <c r="Y585" s="4" t="s">
        <v>2758</v>
      </c>
      <c r="AA585" s="10">
        <f t="shared" si="36"/>
        <v>5.5954266839799233E-2</v>
      </c>
      <c r="AB585" s="10">
        <f t="shared" si="37"/>
        <v>8.5809774541930103E-2</v>
      </c>
      <c r="AC585" s="10">
        <f t="shared" si="38"/>
        <v>7.1798263487171639</v>
      </c>
      <c r="AD585" s="10">
        <f t="shared" si="39"/>
        <v>0.3394361789133683</v>
      </c>
    </row>
    <row r="586" spans="1:30" x14ac:dyDescent="0.25">
      <c r="A586" s="33" t="s">
        <v>2756</v>
      </c>
      <c r="C586" s="39">
        <v>40847</v>
      </c>
      <c r="D586" s="53" t="s">
        <v>2760</v>
      </c>
      <c r="E586" s="4" t="str">
        <f>VLOOKUP(LEFT(D586,2),Sort!$A$1:$B$58,2,FALSE)</f>
        <v>Turkey</v>
      </c>
      <c r="F586" s="4" t="s">
        <v>1007</v>
      </c>
      <c r="G586" s="18">
        <v>500000000</v>
      </c>
      <c r="H586" s="18">
        <v>450638890</v>
      </c>
      <c r="I586" s="10">
        <v>0.21721765900000001</v>
      </c>
      <c r="J586" s="10">
        <v>4.5222220000000002</v>
      </c>
      <c r="K586" s="10">
        <v>3.7848549999999999</v>
      </c>
      <c r="L586" s="10">
        <v>8.3336439999999996</v>
      </c>
      <c r="M586" s="10">
        <v>8.3336439999999996</v>
      </c>
      <c r="N586" s="10">
        <v>749.01549999999997</v>
      </c>
      <c r="O586" s="10">
        <v>753.87549999999999</v>
      </c>
      <c r="P586" s="10">
        <v>3.7582460000000002</v>
      </c>
      <c r="Q586" s="10">
        <v>1.7000000000000001E-2</v>
      </c>
      <c r="R586" s="10">
        <v>3.3575441289999999</v>
      </c>
      <c r="S586" s="10">
        <v>-6.1915448529999999</v>
      </c>
      <c r="T586" s="10">
        <v>87.5</v>
      </c>
      <c r="U586" s="10">
        <v>89.5</v>
      </c>
      <c r="V586" s="10">
        <v>87.5</v>
      </c>
      <c r="W586" s="10">
        <v>89.5</v>
      </c>
      <c r="X586" s="4" t="s">
        <v>146</v>
      </c>
      <c r="Y586" s="4" t="s">
        <v>2761</v>
      </c>
      <c r="AA586" s="10">
        <f t="shared" si="36"/>
        <v>2.3283968202673786E-2</v>
      </c>
      <c r="AB586" s="10">
        <f t="shared" si="37"/>
        <v>0.22635239891759568</v>
      </c>
      <c r="AC586" s="10">
        <f t="shared" si="38"/>
        <v>18.45113416972708</v>
      </c>
      <c r="AD586" s="10">
        <f t="shared" si="39"/>
        <v>0.84547159859044207</v>
      </c>
    </row>
    <row r="587" spans="1:30" x14ac:dyDescent="0.25">
      <c r="A587" s="33" t="s">
        <v>2759</v>
      </c>
      <c r="C587" s="39">
        <v>40847</v>
      </c>
      <c r="D587" s="53" t="s">
        <v>2763</v>
      </c>
      <c r="E587" s="4" t="str">
        <f>VLOOKUP(LEFT(D587,2),Sort!$A$1:$B$58,2,FALSE)</f>
        <v>Turkey</v>
      </c>
      <c r="F587" s="4" t="s">
        <v>1007</v>
      </c>
      <c r="G587" s="18">
        <v>500000000</v>
      </c>
      <c r="H587" s="18">
        <v>479878470</v>
      </c>
      <c r="I587" s="10">
        <v>0.231311766</v>
      </c>
      <c r="J587" s="10">
        <v>9.463889</v>
      </c>
      <c r="K587" s="10">
        <v>7.1699289999999998</v>
      </c>
      <c r="L587" s="10">
        <v>6.5725850000000001</v>
      </c>
      <c r="M587" s="10">
        <v>6.5725850000000001</v>
      </c>
      <c r="N587" s="10">
        <v>453.90159999999997</v>
      </c>
      <c r="O587" s="10">
        <v>467.17169999999999</v>
      </c>
      <c r="P587" s="10">
        <v>6.9430870000000002</v>
      </c>
      <c r="Q587" s="10">
        <v>1.8100000000000002E-2</v>
      </c>
      <c r="R587" s="10">
        <v>4.6077838939999998</v>
      </c>
      <c r="S587" s="10">
        <v>0.13275600000000001</v>
      </c>
      <c r="T587" s="10">
        <v>95.75</v>
      </c>
      <c r="U587" s="10">
        <v>97.75</v>
      </c>
      <c r="V587" s="10">
        <v>95.75</v>
      </c>
      <c r="W587" s="10">
        <v>97.75</v>
      </c>
      <c r="X587" s="4" t="s">
        <v>146</v>
      </c>
      <c r="Y587" s="4" t="s">
        <v>2764</v>
      </c>
      <c r="AA587" s="10">
        <f t="shared" si="36"/>
        <v>7.2409998987929006E-2</v>
      </c>
      <c r="AB587" s="10">
        <f t="shared" si="37"/>
        <v>8.5012363965939988E-2</v>
      </c>
      <c r="AC587" s="10">
        <f t="shared" si="38"/>
        <v>6.3454957938308265</v>
      </c>
      <c r="AD587" s="10">
        <f t="shared" si="39"/>
        <v>0.98332108339589297</v>
      </c>
    </row>
    <row r="588" spans="1:30" x14ac:dyDescent="0.25">
      <c r="A588" s="33" t="s">
        <v>2762</v>
      </c>
      <c r="C588" s="39">
        <v>40847</v>
      </c>
      <c r="D588" s="53" t="s">
        <v>2766</v>
      </c>
      <c r="E588" s="4" t="str">
        <f>VLOOKUP(LEFT(D588,2),Sort!$A$1:$B$58,2,FALSE)</f>
        <v>Turkey</v>
      </c>
      <c r="F588" s="4" t="s">
        <v>1007</v>
      </c>
      <c r="G588" s="18">
        <v>300000000</v>
      </c>
      <c r="H588" s="18">
        <v>279300516</v>
      </c>
      <c r="I588" s="10">
        <v>0.13462886900000001</v>
      </c>
      <c r="J588" s="10">
        <v>4.463889</v>
      </c>
      <c r="K588" s="10">
        <v>9.6411999999999998E-2</v>
      </c>
      <c r="L588" s="10">
        <v>5.3878310000000003</v>
      </c>
      <c r="M588" s="10">
        <v>5.3878310000000003</v>
      </c>
      <c r="N588" s="10">
        <v>456.13749999999999</v>
      </c>
      <c r="O588" s="10">
        <v>459.34620000000001</v>
      </c>
      <c r="P588" s="10">
        <v>4.0260319999999998</v>
      </c>
      <c r="Q588" s="10">
        <v>8.3000000000000001E-3</v>
      </c>
      <c r="R588" s="10">
        <v>0.231360537</v>
      </c>
      <c r="S588" s="10">
        <v>-6.5960780000000003</v>
      </c>
      <c r="T588" s="10">
        <v>93</v>
      </c>
      <c r="U588" s="10">
        <v>94</v>
      </c>
      <c r="V588" s="10">
        <v>93</v>
      </c>
      <c r="W588" s="10">
        <v>94</v>
      </c>
      <c r="X588" s="4" t="s">
        <v>146</v>
      </c>
      <c r="Y588" s="4" t="s">
        <v>2767</v>
      </c>
      <c r="AA588" s="10">
        <f t="shared" si="36"/>
        <v>1.6410603620828207E-3</v>
      </c>
      <c r="AB588" s="10">
        <f t="shared" si="37"/>
        <v>2.0885399047210013E-2</v>
      </c>
      <c r="AC588" s="10">
        <f t="shared" si="38"/>
        <v>3.6313627518699922</v>
      </c>
      <c r="AD588" s="10">
        <f t="shared" si="39"/>
        <v>0.55036006216330891</v>
      </c>
    </row>
    <row r="589" spans="1:30" x14ac:dyDescent="0.25">
      <c r="A589" s="33" t="s">
        <v>2765</v>
      </c>
      <c r="C589" s="39">
        <v>40847</v>
      </c>
      <c r="D589" s="53" t="s">
        <v>2769</v>
      </c>
      <c r="E589" s="4" t="str">
        <f>VLOOKUP(LEFT(D589,2),Sort!$A$1:$B$58,2,FALSE)</f>
        <v>Turkey</v>
      </c>
      <c r="F589" s="4" t="s">
        <v>1007</v>
      </c>
      <c r="G589" s="18">
        <v>500000000</v>
      </c>
      <c r="H589" s="18">
        <v>505897915</v>
      </c>
      <c r="I589" s="10">
        <v>0.24385370000000001</v>
      </c>
      <c r="J589" s="10">
        <v>5.2583330000000004</v>
      </c>
      <c r="K589" s="10">
        <v>4.2221299999999999</v>
      </c>
      <c r="L589" s="10">
        <v>7.7694099999999997</v>
      </c>
      <c r="M589" s="10">
        <v>7.7694099999999997</v>
      </c>
      <c r="N589" s="10">
        <v>671.03309999999999</v>
      </c>
      <c r="O589" s="10">
        <v>678.93589999999995</v>
      </c>
      <c r="P589" s="10">
        <v>4.1714390000000003</v>
      </c>
      <c r="Q589" s="10">
        <v>1.9099999999999999E-2</v>
      </c>
      <c r="R589" s="10">
        <v>4.0098524000000003E-2</v>
      </c>
      <c r="S589" s="10">
        <v>2.437465655</v>
      </c>
      <c r="T589" s="10">
        <v>99.5</v>
      </c>
      <c r="U589" s="10">
        <v>100.5</v>
      </c>
      <c r="V589" s="10">
        <v>99.5</v>
      </c>
      <c r="W589" s="10">
        <v>100.5</v>
      </c>
      <c r="X589" s="4" t="s">
        <v>146</v>
      </c>
      <c r="Y589" s="4" t="s">
        <v>2770</v>
      </c>
      <c r="AA589" s="10">
        <f t="shared" si="36"/>
        <v>4.6517514435669163E-2</v>
      </c>
      <c r="AB589" s="10">
        <f t="shared" si="37"/>
        <v>0.10594136049063353</v>
      </c>
      <c r="AC589" s="10">
        <f t="shared" si="38"/>
        <v>18.654621075961778</v>
      </c>
      <c r="AD589" s="10">
        <f t="shared" si="39"/>
        <v>0.34525268698233719</v>
      </c>
    </row>
    <row r="590" spans="1:30" x14ac:dyDescent="0.25">
      <c r="A590" s="33" t="s">
        <v>2768</v>
      </c>
      <c r="C590" s="39">
        <v>40847</v>
      </c>
      <c r="D590" s="53" t="s">
        <v>2772</v>
      </c>
      <c r="E590" s="4" t="str">
        <f>VLOOKUP(LEFT(D590,2),Sort!$A$1:$B$58,2,FALSE)</f>
        <v>Turkey</v>
      </c>
      <c r="F590" s="4" t="s">
        <v>1007</v>
      </c>
      <c r="G590" s="18">
        <v>500000000</v>
      </c>
      <c r="H590" s="18">
        <v>494016665</v>
      </c>
      <c r="I590" s="10">
        <v>0.23812668100000001</v>
      </c>
      <c r="J590" s="10">
        <v>4.2444439999999997</v>
      </c>
      <c r="K590" s="10">
        <v>3.7386219999999999</v>
      </c>
      <c r="L590" s="10">
        <v>5.4987510000000004</v>
      </c>
      <c r="M590" s="10">
        <v>5.4987510000000004</v>
      </c>
      <c r="N590" s="10">
        <v>473.63729999999998</v>
      </c>
      <c r="O590" s="10">
        <v>477.66899999999998</v>
      </c>
      <c r="P590" s="10">
        <v>3.7131449999999999</v>
      </c>
      <c r="Q590" s="10">
        <v>1.43E-2</v>
      </c>
      <c r="R590" s="10">
        <v>1.433849725</v>
      </c>
      <c r="S590" s="10">
        <v>1.9420820000000001</v>
      </c>
      <c r="T590" s="10">
        <v>97.5</v>
      </c>
      <c r="U590" s="10">
        <v>98.5</v>
      </c>
      <c r="V590" s="10">
        <v>97.5</v>
      </c>
      <c r="W590" s="10">
        <v>98.5</v>
      </c>
      <c r="X590" s="4" t="s">
        <v>146</v>
      </c>
      <c r="Y590" s="4" t="s">
        <v>2773</v>
      </c>
      <c r="AA590" s="10">
        <f t="shared" si="36"/>
        <v>2.5213447952579095E-2</v>
      </c>
      <c r="AB590" s="10">
        <f t="shared" si="37"/>
        <v>3.7701855816403361E-2</v>
      </c>
      <c r="AC590" s="10">
        <f t="shared" si="38"/>
        <v>6.6792304075255018</v>
      </c>
      <c r="AD590" s="10">
        <f t="shared" si="39"/>
        <v>1.0200586651010846</v>
      </c>
    </row>
    <row r="591" spans="1:30" x14ac:dyDescent="0.25">
      <c r="A591" s="33" t="s">
        <v>2771</v>
      </c>
      <c r="C591" s="39">
        <v>40847</v>
      </c>
      <c r="D591" s="53" t="s">
        <v>2775</v>
      </c>
      <c r="E591" s="4" t="str">
        <f>VLOOKUP(LEFT(D591,2),Sort!$A$1:$B$58,2,FALSE)</f>
        <v>Turkey</v>
      </c>
      <c r="F591" s="4" t="s">
        <v>1007</v>
      </c>
      <c r="G591" s="18">
        <v>750000000</v>
      </c>
      <c r="H591" s="18">
        <v>718411455</v>
      </c>
      <c r="I591" s="10">
        <v>0.34628980700000001</v>
      </c>
      <c r="J591" s="10">
        <v>3.9444439999999998</v>
      </c>
      <c r="K591" s="10">
        <v>3.5140560000000001</v>
      </c>
      <c r="L591" s="10">
        <v>5.9061969999999997</v>
      </c>
      <c r="M591" s="10">
        <v>5.9061969999999997</v>
      </c>
      <c r="N591" s="10">
        <v>523.14189999999996</v>
      </c>
      <c r="O591" s="10">
        <v>527.23099999999999</v>
      </c>
      <c r="P591" s="10">
        <v>3.4974919999999998</v>
      </c>
      <c r="Q591" s="10">
        <v>1.4999999999999999E-2</v>
      </c>
      <c r="R591" s="10">
        <v>2.0095966729999999</v>
      </c>
      <c r="S591" s="10">
        <v>-2.891803828</v>
      </c>
      <c r="T591" s="10">
        <v>95.5</v>
      </c>
      <c r="U591" s="10">
        <v>97.5</v>
      </c>
      <c r="V591" s="10">
        <v>95.5</v>
      </c>
      <c r="W591" s="10">
        <v>97.5</v>
      </c>
      <c r="X591" s="4" t="s">
        <v>146</v>
      </c>
      <c r="Y591" s="4" t="s">
        <v>2776</v>
      </c>
      <c r="AA591" s="10">
        <f t="shared" si="36"/>
        <v>3.4463629247028262E-2</v>
      </c>
      <c r="AB591" s="10">
        <f t="shared" si="37"/>
        <v>5.888955219623318E-2</v>
      </c>
      <c r="AC591" s="10">
        <f t="shared" si="38"/>
        <v>10.720917521859706</v>
      </c>
      <c r="AD591" s="10">
        <f t="shared" si="39"/>
        <v>1.4683351102130535</v>
      </c>
    </row>
    <row r="592" spans="1:30" x14ac:dyDescent="0.25">
      <c r="A592" s="33" t="s">
        <v>2774</v>
      </c>
      <c r="C592" s="39">
        <v>40847</v>
      </c>
      <c r="D592" s="53" t="s">
        <v>2778</v>
      </c>
      <c r="E592" s="4" t="str">
        <f>VLOOKUP(LEFT(D592,2),Sort!$A$1:$B$58,2,FALSE)</f>
        <v>Taiwan</v>
      </c>
      <c r="F592" s="4" t="s">
        <v>1007</v>
      </c>
      <c r="G592" s="18">
        <v>327380000</v>
      </c>
      <c r="H592" s="18">
        <v>325506659.60000002</v>
      </c>
      <c r="I592" s="10">
        <v>0.156901226</v>
      </c>
      <c r="J592" s="10">
        <v>8.9222219999999997</v>
      </c>
      <c r="K592" s="10">
        <v>3.4030999999999998</v>
      </c>
      <c r="L592" s="10">
        <v>5.0443730000000002</v>
      </c>
      <c r="M592" s="10">
        <v>5.0443730000000002</v>
      </c>
      <c r="N592" s="10">
        <v>311.22770000000003</v>
      </c>
      <c r="O592" s="10">
        <v>318.35719999999998</v>
      </c>
      <c r="P592" s="10">
        <v>6.9767010000000003</v>
      </c>
      <c r="Q592" s="10">
        <v>1.54E-2</v>
      </c>
      <c r="R592" s="10">
        <v>1.4569165230000001</v>
      </c>
      <c r="S592" s="10">
        <v>1.773182649</v>
      </c>
      <c r="T592" s="10">
        <v>99</v>
      </c>
      <c r="U592" s="10">
        <v>101.5</v>
      </c>
      <c r="V592" s="10">
        <v>99</v>
      </c>
      <c r="W592" s="10">
        <v>101.5</v>
      </c>
      <c r="X592" s="4" t="s">
        <v>146</v>
      </c>
      <c r="Y592" s="4" t="s">
        <v>2779</v>
      </c>
      <c r="AA592" s="10">
        <f t="shared" si="36"/>
        <v>1.512215454982219E-2</v>
      </c>
      <c r="AB592" s="10">
        <f t="shared" si="37"/>
        <v>2.2788941077274999E-2</v>
      </c>
      <c r="AC592" s="10">
        <f t="shared" si="38"/>
        <v>1.0270773869099323</v>
      </c>
      <c r="AD592" s="10">
        <f t="shared" si="39"/>
        <v>0.22435411341715281</v>
      </c>
    </row>
    <row r="593" spans="1:30" x14ac:dyDescent="0.25">
      <c r="A593" s="33" t="s">
        <v>2777</v>
      </c>
      <c r="C593" s="39">
        <v>40847</v>
      </c>
      <c r="D593" s="53" t="s">
        <v>2781</v>
      </c>
      <c r="E593" s="4" t="str">
        <f>VLOOKUP(LEFT(D593,2),Sort!$A$1:$B$58,2,FALSE)</f>
        <v>Taiwan</v>
      </c>
      <c r="F593" s="4" t="s">
        <v>1007</v>
      </c>
      <c r="G593" s="18">
        <v>500000000</v>
      </c>
      <c r="H593" s="18">
        <v>470937500</v>
      </c>
      <c r="I593" s="10">
        <v>0.227002026</v>
      </c>
      <c r="J593" s="10">
        <v>37.372222000000001</v>
      </c>
      <c r="K593" s="10">
        <v>15.220824</v>
      </c>
      <c r="L593" s="10">
        <v>5.8563039999999997</v>
      </c>
      <c r="M593" s="10">
        <v>5.8563039999999997</v>
      </c>
      <c r="N593" s="10">
        <v>233.17949999999999</v>
      </c>
      <c r="O593" s="10">
        <v>292.17579999999998</v>
      </c>
      <c r="P593" s="10">
        <v>14.075678</v>
      </c>
      <c r="Q593" s="10">
        <v>0.55049999999999999</v>
      </c>
      <c r="R593" s="10">
        <v>6.7280462190000003</v>
      </c>
      <c r="S593" s="10">
        <v>2.1989872739999998</v>
      </c>
      <c r="T593" s="10">
        <v>93.5</v>
      </c>
      <c r="U593" s="10">
        <v>96.5</v>
      </c>
      <c r="V593" s="10">
        <v>93.5</v>
      </c>
      <c r="W593" s="10">
        <v>96.5</v>
      </c>
      <c r="X593" s="4" t="s">
        <v>146</v>
      </c>
      <c r="Y593" s="4" t="s">
        <v>2782</v>
      </c>
      <c r="AA593" s="10">
        <f t="shared" si="36"/>
        <v>0.36817976128381702</v>
      </c>
      <c r="AB593" s="10">
        <f t="shared" si="37"/>
        <v>3.8277534934676463E-2</v>
      </c>
      <c r="AC593" s="10">
        <f t="shared" si="38"/>
        <v>1.3637542865387409</v>
      </c>
      <c r="AD593" s="10">
        <f t="shared" si="39"/>
        <v>0.95265994768351769</v>
      </c>
    </row>
    <row r="594" spans="1:30" x14ac:dyDescent="0.25">
      <c r="A594" s="33" t="s">
        <v>2780</v>
      </c>
      <c r="C594" s="39">
        <v>40847</v>
      </c>
      <c r="D594" s="53" t="s">
        <v>2784</v>
      </c>
      <c r="E594" s="4" t="str">
        <f>VLOOKUP(LEFT(D594,2),Sort!$A$1:$B$58,2,FALSE)</f>
        <v>Ukraine</v>
      </c>
      <c r="F594" s="4" t="s">
        <v>1037</v>
      </c>
      <c r="G594" s="18">
        <v>500000000</v>
      </c>
      <c r="H594" s="18">
        <v>493159720</v>
      </c>
      <c r="I594" s="10">
        <v>0.23771361499999999</v>
      </c>
      <c r="J594" s="10">
        <v>3.4861110000000002</v>
      </c>
      <c r="K594" s="10">
        <v>2.9093019999999998</v>
      </c>
      <c r="L594" s="10">
        <v>9.6713330000000006</v>
      </c>
      <c r="M594" s="10">
        <v>9.6713330000000006</v>
      </c>
      <c r="N594" s="10">
        <v>913.03890000000001</v>
      </c>
      <c r="O594" s="10">
        <v>918.0172</v>
      </c>
      <c r="P594" s="10">
        <v>2.9012349999999998</v>
      </c>
      <c r="Q594" s="10">
        <v>-1.4721</v>
      </c>
      <c r="R594" s="10">
        <v>14.18358987</v>
      </c>
      <c r="S594" s="10">
        <v>2.6542367379999998</v>
      </c>
      <c r="T594" s="10">
        <v>98.5</v>
      </c>
      <c r="U594" s="10">
        <v>99.5</v>
      </c>
      <c r="V594" s="10">
        <v>98.5</v>
      </c>
      <c r="W594" s="10">
        <v>99.5</v>
      </c>
      <c r="X594" s="4" t="s">
        <v>146</v>
      </c>
      <c r="Y594" s="4" t="s">
        <v>2785</v>
      </c>
      <c r="AA594" s="10">
        <f t="shared" si="36"/>
        <v>1.958643906666175E-2</v>
      </c>
      <c r="AB594" s="10">
        <f t="shared" si="37"/>
        <v>0.28747191582604242</v>
      </c>
      <c r="AC594" s="10">
        <f t="shared" si="38"/>
        <v>41.969849829574549</v>
      </c>
      <c r="AD594" s="10">
        <f t="shared" si="39"/>
        <v>1.0286271840678156</v>
      </c>
    </row>
    <row r="595" spans="1:30" x14ac:dyDescent="0.25">
      <c r="A595" s="33" t="s">
        <v>2783</v>
      </c>
      <c r="C595" s="39">
        <v>40847</v>
      </c>
      <c r="D595" s="53" t="s">
        <v>2787</v>
      </c>
      <c r="E595" s="4" t="str">
        <f>VLOOKUP(LEFT(D595,2),Sort!$A$1:$B$58,2,FALSE)</f>
        <v>Ukraine</v>
      </c>
      <c r="F595" s="4" t="s">
        <v>1214</v>
      </c>
      <c r="G595" s="18">
        <v>500000000</v>
      </c>
      <c r="H595" s="18">
        <v>482843750</v>
      </c>
      <c r="I595" s="10">
        <v>0.23274109500000001</v>
      </c>
      <c r="J595" s="10">
        <v>4.427778</v>
      </c>
      <c r="K595" s="10">
        <v>3.6623790000000001</v>
      </c>
      <c r="L595" s="10">
        <v>8.4227349999999994</v>
      </c>
      <c r="M595" s="10">
        <v>8.4227349999999994</v>
      </c>
      <c r="N595" s="10">
        <v>760.68240000000003</v>
      </c>
      <c r="O595" s="10">
        <v>767.08609999999999</v>
      </c>
      <c r="P595" s="10">
        <v>3.6377329999999999</v>
      </c>
      <c r="Q595" s="10">
        <v>2.2700000000000001E-2</v>
      </c>
      <c r="R595" s="10">
        <v>12.089321849999999</v>
      </c>
      <c r="S595" s="10">
        <v>-0.40561000000000003</v>
      </c>
      <c r="T595" s="10">
        <v>96</v>
      </c>
      <c r="U595" s="10">
        <v>98</v>
      </c>
      <c r="V595" s="10">
        <v>96</v>
      </c>
      <c r="W595" s="10">
        <v>98</v>
      </c>
      <c r="X595" s="4" t="s">
        <v>146</v>
      </c>
      <c r="Y595" s="4" t="s">
        <v>2788</v>
      </c>
      <c r="AA595" s="10">
        <f t="shared" si="36"/>
        <v>2.4140651263840244E-2</v>
      </c>
      <c r="AB595" s="10">
        <f t="shared" si="37"/>
        <v>0.24512140658331147</v>
      </c>
      <c r="AC595" s="10">
        <f t="shared" si="38"/>
        <v>20.116179222881023</v>
      </c>
      <c r="AD595" s="10">
        <f t="shared" si="39"/>
        <v>0.99192767943894777</v>
      </c>
    </row>
    <row r="596" spans="1:30" x14ac:dyDescent="0.25">
      <c r="A596" s="33" t="s">
        <v>2786</v>
      </c>
      <c r="C596" s="39">
        <v>40847</v>
      </c>
      <c r="D596" s="53" t="s">
        <v>2790</v>
      </c>
      <c r="E596" s="4" t="str">
        <f>VLOOKUP(LEFT(D596,2),Sort!$A$1:$B$58,2,FALSE)</f>
        <v>Ukraine</v>
      </c>
      <c r="F596" s="4" t="s">
        <v>1014</v>
      </c>
      <c r="G596" s="18">
        <v>584767000</v>
      </c>
      <c r="H596" s="18">
        <v>556194635.29999995</v>
      </c>
      <c r="I596" s="10">
        <v>0.26809780300000002</v>
      </c>
      <c r="J596" s="10">
        <v>3.4888889999999999</v>
      </c>
      <c r="K596" s="10">
        <v>2.8535089999999999</v>
      </c>
      <c r="L596" s="10">
        <v>11.313427000000001</v>
      </c>
      <c r="M596" s="10">
        <v>11.313427000000001</v>
      </c>
      <c r="N596" s="10">
        <v>1077.1670999999999</v>
      </c>
      <c r="O596" s="10">
        <v>1082.4773</v>
      </c>
      <c r="P596" s="10">
        <v>2.8455900000000001</v>
      </c>
      <c r="Q596" s="10">
        <v>1.0931</v>
      </c>
      <c r="R596" s="10">
        <v>9.2746143510000003</v>
      </c>
      <c r="S596" s="10">
        <v>-1.953901291</v>
      </c>
      <c r="T596" s="10">
        <v>95</v>
      </c>
      <c r="U596" s="10">
        <v>97</v>
      </c>
      <c r="V596" s="10">
        <v>95</v>
      </c>
      <c r="W596" s="10">
        <v>97</v>
      </c>
      <c r="X596" s="4" t="s">
        <v>146</v>
      </c>
      <c r="Y596" s="4" t="s">
        <v>2791</v>
      </c>
      <c r="AA596" s="10">
        <f t="shared" si="36"/>
        <v>2.1666318607103604E-2</v>
      </c>
      <c r="AB596" s="10">
        <f t="shared" si="37"/>
        <v>0.39711541174371606</v>
      </c>
      <c r="AC596" s="10">
        <f t="shared" si="38"/>
        <v>44.610662693393088</v>
      </c>
      <c r="AD596" s="10">
        <f t="shared" si="39"/>
        <v>1.1309563653730572</v>
      </c>
    </row>
    <row r="597" spans="1:30" x14ac:dyDescent="0.25">
      <c r="A597" s="33" t="s">
        <v>2789</v>
      </c>
      <c r="C597" s="39">
        <v>40847</v>
      </c>
      <c r="D597" s="53" t="s">
        <v>2793</v>
      </c>
      <c r="E597" s="4" t="str">
        <f>VLOOKUP(LEFT(D597,2),Sort!$A$1:$B$58,2,FALSE)</f>
        <v>Ukraine</v>
      </c>
      <c r="F597" s="4" t="s">
        <v>1214</v>
      </c>
      <c r="G597" s="18">
        <v>500000000</v>
      </c>
      <c r="H597" s="18">
        <v>528204860</v>
      </c>
      <c r="I597" s="10">
        <v>0.25460612799999999</v>
      </c>
      <c r="J597" s="10">
        <v>3.5472220000000001</v>
      </c>
      <c r="K597" s="10">
        <v>2.8113890000000001</v>
      </c>
      <c r="L597" s="10">
        <v>9.4014710000000008</v>
      </c>
      <c r="M597" s="10">
        <v>9.4014710000000008</v>
      </c>
      <c r="N597" s="10">
        <v>884.26819999999998</v>
      </c>
      <c r="O597" s="10">
        <v>889.7586</v>
      </c>
      <c r="P597" s="10">
        <v>2.8035709999999998</v>
      </c>
      <c r="Q597" s="10">
        <v>2.7E-2</v>
      </c>
      <c r="R597" s="10">
        <v>10.80010047</v>
      </c>
      <c r="S597" s="10">
        <v>2.7076622490000002</v>
      </c>
      <c r="T597" s="10">
        <v>101</v>
      </c>
      <c r="U597" s="10">
        <v>102.5</v>
      </c>
      <c r="V597" s="10">
        <v>101</v>
      </c>
      <c r="W597" s="10">
        <v>102.5</v>
      </c>
      <c r="X597" s="4" t="s">
        <v>146</v>
      </c>
      <c r="Y597" s="4" t="s">
        <v>2794</v>
      </c>
      <c r="AA597" s="10">
        <f t="shared" si="36"/>
        <v>2.0272271644322895E-2</v>
      </c>
      <c r="AB597" s="10">
        <f t="shared" si="37"/>
        <v>0.29930894249441675</v>
      </c>
      <c r="AC597" s="10">
        <f t="shared" si="38"/>
        <v>43.568598199935188</v>
      </c>
      <c r="AD597" s="10">
        <f t="shared" si="39"/>
        <v>0.36764983395846584</v>
      </c>
    </row>
    <row r="598" spans="1:30" x14ac:dyDescent="0.25">
      <c r="A598" s="33" t="s">
        <v>2792</v>
      </c>
      <c r="C598" s="39">
        <v>40847</v>
      </c>
      <c r="D598" s="53" t="s">
        <v>2796</v>
      </c>
      <c r="E598" s="4" t="str">
        <f>VLOOKUP(LEFT(D598,2),Sort!$A$1:$B$58,2,FALSE)</f>
        <v>Ukraine</v>
      </c>
      <c r="F598" s="4" t="s">
        <v>1214</v>
      </c>
      <c r="G598" s="18">
        <v>750000000</v>
      </c>
      <c r="H598" s="18">
        <v>719401042.5</v>
      </c>
      <c r="I598" s="10">
        <v>0.34676680900000001</v>
      </c>
      <c r="J598" s="10">
        <v>6.2805559999999998</v>
      </c>
      <c r="K598" s="10">
        <v>4.6770759999999996</v>
      </c>
      <c r="L598" s="10">
        <v>9.6075330000000001</v>
      </c>
      <c r="M598" s="10">
        <v>9.6075330000000001</v>
      </c>
      <c r="N598" s="10">
        <v>824.74090000000001</v>
      </c>
      <c r="O598" s="10">
        <v>836.76250000000005</v>
      </c>
      <c r="P598" s="10">
        <v>4.5970149999999999</v>
      </c>
      <c r="Q598" s="10">
        <v>-1.0069999999999999</v>
      </c>
      <c r="R598" s="10">
        <v>13.19401892</v>
      </c>
      <c r="S598" s="10">
        <v>0.40096900000000002</v>
      </c>
      <c r="T598" s="10">
        <v>94</v>
      </c>
      <c r="U598" s="10">
        <v>96</v>
      </c>
      <c r="V598" s="10">
        <v>94</v>
      </c>
      <c r="W598" s="10">
        <v>96</v>
      </c>
      <c r="X598" s="4" t="s">
        <v>146</v>
      </c>
      <c r="Y598" s="4" t="s">
        <v>2797</v>
      </c>
      <c r="AA598" s="10">
        <f t="shared" si="36"/>
        <v>7.3276969539152706E-2</v>
      </c>
      <c r="AB598" s="10">
        <f t="shared" si="37"/>
        <v>0.41658577543270103</v>
      </c>
      <c r="AC598" s="10">
        <f t="shared" si="38"/>
        <v>55.804891919409698</v>
      </c>
      <c r="AD598" s="10">
        <f t="shared" si="39"/>
        <v>1.4477368046315009</v>
      </c>
    </row>
    <row r="599" spans="1:30" x14ac:dyDescent="0.25">
      <c r="A599" s="33" t="s">
        <v>2795</v>
      </c>
      <c r="C599" s="39">
        <v>40847</v>
      </c>
      <c r="D599" s="53" t="s">
        <v>2799</v>
      </c>
      <c r="E599" s="4" t="str">
        <f>VLOOKUP(LEFT(D599,2),Sort!$A$1:$B$58,2,FALSE)</f>
        <v>Venezuela</v>
      </c>
      <c r="F599" s="4" t="s">
        <v>1037</v>
      </c>
      <c r="G599" s="18">
        <v>650000000</v>
      </c>
      <c r="H599" s="18">
        <v>380529864</v>
      </c>
      <c r="I599" s="10">
        <v>0.18342359699999999</v>
      </c>
      <c r="J599" s="10">
        <v>6.4361110000000004</v>
      </c>
      <c r="K599" s="10">
        <v>4.2196730000000002</v>
      </c>
      <c r="L599" s="10">
        <v>19.735834000000001</v>
      </c>
      <c r="M599" s="10">
        <v>19.735834000000001</v>
      </c>
      <c r="N599" s="10">
        <v>1832.9899</v>
      </c>
      <c r="O599" s="10">
        <v>1850.6787999999999</v>
      </c>
      <c r="P599" s="10">
        <v>4.150169</v>
      </c>
      <c r="Q599" s="10">
        <v>4.0300000000000002E-2</v>
      </c>
      <c r="R599" s="10">
        <v>6.6511476470000002</v>
      </c>
      <c r="S599" s="10">
        <v>14.842680789999999</v>
      </c>
      <c r="T599" s="10">
        <v>58</v>
      </c>
      <c r="U599" s="10">
        <v>60</v>
      </c>
      <c r="V599" s="10">
        <v>58</v>
      </c>
      <c r="W599" s="10">
        <v>60</v>
      </c>
      <c r="X599" s="4" t="s">
        <v>146</v>
      </c>
      <c r="Y599" s="4" t="s">
        <v>2800</v>
      </c>
      <c r="AA599" s="10">
        <f t="shared" si="36"/>
        <v>3.4969510510230478E-2</v>
      </c>
      <c r="AB599" s="10">
        <f t="shared" si="37"/>
        <v>0.47395815149374942</v>
      </c>
      <c r="AC599" s="10">
        <f t="shared" si="38"/>
        <v>52.181057623251895</v>
      </c>
      <c r="AD599" s="10">
        <f t="shared" si="39"/>
        <v>7.8444574253824921</v>
      </c>
    </row>
    <row r="600" spans="1:30" x14ac:dyDescent="0.25">
      <c r="A600" s="33" t="s">
        <v>2798</v>
      </c>
      <c r="C600" s="39">
        <v>40847</v>
      </c>
      <c r="D600" s="53" t="s">
        <v>2802</v>
      </c>
      <c r="E600" s="4" t="str">
        <f>VLOOKUP(LEFT(D600,2),Sort!$A$1:$B$58,2,FALSE)</f>
        <v>South Africa</v>
      </c>
      <c r="F600" s="4" t="s">
        <v>1007</v>
      </c>
      <c r="G600" s="18">
        <v>300000000</v>
      </c>
      <c r="H600" s="18">
        <v>279900000</v>
      </c>
      <c r="I600" s="10">
        <v>0.13491783299999999</v>
      </c>
      <c r="J600" s="10">
        <v>4.6166669999999996</v>
      </c>
      <c r="K600" s="10">
        <v>3.8469150000000001</v>
      </c>
      <c r="L600" s="10">
        <v>8.1090820000000008</v>
      </c>
      <c r="M600" s="10">
        <v>8.1090820000000008</v>
      </c>
      <c r="N600" s="10">
        <v>723.80150000000003</v>
      </c>
      <c r="O600" s="10">
        <v>729.08479999999997</v>
      </c>
      <c r="P600" s="10">
        <v>3.817218</v>
      </c>
      <c r="Q600" s="10">
        <v>1.7899999999999999E-2</v>
      </c>
      <c r="R600" s="10">
        <v>0.50269106600000002</v>
      </c>
      <c r="S600" s="10">
        <v>-5.4196735949999999</v>
      </c>
      <c r="T600" s="10">
        <v>91</v>
      </c>
      <c r="U600" s="10">
        <v>92</v>
      </c>
      <c r="V600" s="10">
        <v>91</v>
      </c>
      <c r="W600" s="10">
        <v>92</v>
      </c>
      <c r="X600" s="4" t="s">
        <v>146</v>
      </c>
      <c r="Y600" s="4" t="s">
        <v>2803</v>
      </c>
      <c r="AA600" s="10">
        <f t="shared" si="36"/>
        <v>1.4699229540885619E-2</v>
      </c>
      <c r="AB600" s="10">
        <f t="shared" si="37"/>
        <v>0.13680314433383342</v>
      </c>
      <c r="AC600" s="10">
        <f t="shared" si="38"/>
        <v>11.083469014587026</v>
      </c>
      <c r="AD600" s="10">
        <f t="shared" si="39"/>
        <v>0.5398064197722402</v>
      </c>
    </row>
    <row r="601" spans="1:30" x14ac:dyDescent="0.25">
      <c r="A601" s="33" t="s">
        <v>2801</v>
      </c>
      <c r="C601" s="39">
        <v>40847</v>
      </c>
      <c r="D601" s="53" t="s">
        <v>2805</v>
      </c>
      <c r="E601" s="4" t="str">
        <f>VLOOKUP(LEFT(D601,2),Sort!$A$1:$B$58,2,FALSE)</f>
        <v>South Africa</v>
      </c>
      <c r="F601" s="4" t="s">
        <v>1214</v>
      </c>
      <c r="G601" s="18">
        <v>700000000</v>
      </c>
      <c r="H601" s="18">
        <v>693131250</v>
      </c>
      <c r="I601" s="10">
        <v>0.33410420299999999</v>
      </c>
      <c r="J601" s="10">
        <v>8.4499999999999993</v>
      </c>
      <c r="K601" s="10">
        <v>6.8656379999999997</v>
      </c>
      <c r="L601" s="10">
        <v>5.263439</v>
      </c>
      <c r="M601" s="10">
        <v>5.263439</v>
      </c>
      <c r="N601" s="10">
        <v>341.98059999999998</v>
      </c>
      <c r="O601" s="10">
        <v>349.07440000000003</v>
      </c>
      <c r="P601" s="10">
        <v>6.6714830000000003</v>
      </c>
      <c r="Q601" s="10">
        <v>-0.23680000000000001</v>
      </c>
      <c r="R601" s="10">
        <v>2.8078702139999998</v>
      </c>
      <c r="S601" s="10">
        <v>-0.50678814599999999</v>
      </c>
      <c r="T601" s="10">
        <v>98.75</v>
      </c>
      <c r="U601" s="10">
        <v>100.75</v>
      </c>
      <c r="V601" s="10">
        <v>98.75</v>
      </c>
      <c r="W601" s="10">
        <v>100.75</v>
      </c>
      <c r="X601" s="4" t="s">
        <v>146</v>
      </c>
      <c r="Y601" s="4" t="s">
        <v>2806</v>
      </c>
      <c r="AA601" s="10">
        <f t="shared" si="36"/>
        <v>0.10014950366309477</v>
      </c>
      <c r="AB601" s="10">
        <f t="shared" si="37"/>
        <v>5.0633989637890509E-2</v>
      </c>
      <c r="AC601" s="10">
        <f t="shared" si="38"/>
        <v>2.3980713061376853</v>
      </c>
      <c r="AD601" s="10">
        <f t="shared" si="39"/>
        <v>0.47420775320749847</v>
      </c>
    </row>
    <row r="602" spans="1:30" x14ac:dyDescent="0.25">
      <c r="A602" s="33" t="s">
        <v>2804</v>
      </c>
      <c r="C602" s="39">
        <v>40847</v>
      </c>
      <c r="D602" s="53" t="s">
        <v>2808</v>
      </c>
      <c r="E602" s="4" t="str">
        <f>VLOOKUP(LEFT(D602,2),Sort!$A$1:$B$58,2,FALSE)</f>
        <v>South Africa</v>
      </c>
      <c r="F602" s="4" t="s">
        <v>1214</v>
      </c>
      <c r="G602" s="18">
        <v>300000000</v>
      </c>
      <c r="H602" s="18">
        <v>279975000</v>
      </c>
      <c r="I602" s="10">
        <v>0.134953985</v>
      </c>
      <c r="J602" s="10">
        <v>28.45</v>
      </c>
      <c r="K602" s="10">
        <v>12.618947</v>
      </c>
      <c r="L602" s="10">
        <v>6.9033150000000001</v>
      </c>
      <c r="M602" s="10">
        <v>6.9033150000000001</v>
      </c>
      <c r="N602" s="10">
        <v>383.20549999999997</v>
      </c>
      <c r="O602" s="10">
        <v>411.50830000000002</v>
      </c>
      <c r="P602" s="10">
        <v>11.749864000000001</v>
      </c>
      <c r="Q602" s="10">
        <v>1.9400000000000001E-2</v>
      </c>
      <c r="R602" s="10">
        <v>1.0627340919999999</v>
      </c>
      <c r="S602" s="10">
        <v>-2.0344558410000002</v>
      </c>
      <c r="T602" s="10">
        <v>93</v>
      </c>
      <c r="U602" s="10">
        <v>95</v>
      </c>
      <c r="V602" s="10">
        <v>93</v>
      </c>
      <c r="W602" s="10">
        <v>95</v>
      </c>
      <c r="X602" s="4" t="s">
        <v>146</v>
      </c>
      <c r="Y602" s="4" t="s">
        <v>2809</v>
      </c>
      <c r="AA602" s="10">
        <f t="shared" si="36"/>
        <v>0.18146833028383025</v>
      </c>
      <c r="AB602" s="10">
        <f t="shared" si="37"/>
        <v>5.2094462350951713E-2</v>
      </c>
      <c r="AC602" s="10">
        <f t="shared" si="38"/>
        <v>3.2610362093671239</v>
      </c>
      <c r="AD602" s="10">
        <f t="shared" si="39"/>
        <v>0.55755816229766186</v>
      </c>
    </row>
    <row r="603" spans="1:30" x14ac:dyDescent="0.25">
      <c r="A603" s="33" t="s">
        <v>2807</v>
      </c>
      <c r="C603" s="39">
        <v>40847</v>
      </c>
      <c r="D603" s="53" t="s">
        <v>2811</v>
      </c>
      <c r="E603" s="4" t="str">
        <f>VLOOKUP(LEFT(D603,2),Sort!$A$1:$B$58,2,FALSE)</f>
        <v>South Africa</v>
      </c>
      <c r="F603" s="4" t="s">
        <v>1007</v>
      </c>
      <c r="G603" s="18">
        <v>350000000</v>
      </c>
      <c r="H603" s="18">
        <v>362250000</v>
      </c>
      <c r="I603" s="10">
        <v>0.17461230799999999</v>
      </c>
      <c r="J603" s="10">
        <v>4.5999999999999996</v>
      </c>
      <c r="K603" s="10">
        <v>4.1061329999999998</v>
      </c>
      <c r="L603" s="10">
        <v>3.7182930000000001</v>
      </c>
      <c r="M603" s="10">
        <v>3.7182930000000001</v>
      </c>
      <c r="N603" s="10">
        <v>285.20929999999998</v>
      </c>
      <c r="O603" s="10">
        <v>288.76249999999999</v>
      </c>
      <c r="P603" s="10">
        <v>4.073887</v>
      </c>
      <c r="Q603" s="10">
        <v>1.17E-2</v>
      </c>
      <c r="R603" s="10">
        <v>4.1145655149999998</v>
      </c>
      <c r="S603" s="10">
        <v>2.6676082330000002</v>
      </c>
      <c r="T603" s="10">
        <v>101.75</v>
      </c>
      <c r="U603" s="10">
        <v>102.75</v>
      </c>
      <c r="V603" s="10">
        <v>101.75</v>
      </c>
      <c r="W603" s="10">
        <v>102.75</v>
      </c>
      <c r="X603" s="4" t="s">
        <v>146</v>
      </c>
      <c r="Y603" s="4" t="s">
        <v>2812</v>
      </c>
      <c r="AA603" s="10">
        <f t="shared" si="36"/>
        <v>3.2393913400269182E-2</v>
      </c>
      <c r="AB603" s="10">
        <f t="shared" si="37"/>
        <v>2.1922230821549645E-2</v>
      </c>
      <c r="AC603" s="10">
        <f t="shared" si="38"/>
        <v>1.036758966513619</v>
      </c>
      <c r="AD603" s="10">
        <f t="shared" si="39"/>
        <v>0.25275417653362797</v>
      </c>
    </row>
    <row r="604" spans="1:30" x14ac:dyDescent="0.25">
      <c r="A604" s="33" t="s">
        <v>2810</v>
      </c>
      <c r="C604" s="39">
        <v>40847</v>
      </c>
      <c r="D604" s="53" t="s">
        <v>2814</v>
      </c>
      <c r="E604" s="4" t="str">
        <f>VLOOKUP(LEFT(D604,2),Sort!$A$1:$B$58,2,FALSE)</f>
        <v>South Africa</v>
      </c>
      <c r="F604" s="4" t="s">
        <v>1214</v>
      </c>
      <c r="G604" s="18">
        <v>1000000000</v>
      </c>
      <c r="H604" s="18">
        <v>898520830</v>
      </c>
      <c r="I604" s="10">
        <v>0.433106408</v>
      </c>
      <c r="J604" s="10">
        <v>8.927778</v>
      </c>
      <c r="K604" s="10">
        <v>7.1869319999999997</v>
      </c>
      <c r="L604" s="10">
        <v>6.1244649999999998</v>
      </c>
      <c r="M604" s="10">
        <v>6.1244649999999998</v>
      </c>
      <c r="N604" s="10">
        <v>419.13279999999997</v>
      </c>
      <c r="O604" s="10">
        <v>426.25310000000002</v>
      </c>
      <c r="P604" s="10">
        <v>6.9671200000000004</v>
      </c>
      <c r="Q604" s="10">
        <v>-0.53849999999999998</v>
      </c>
      <c r="R604" s="10">
        <v>1.9809671000000001E-2</v>
      </c>
      <c r="S604" s="10">
        <v>-1.9659096760000001</v>
      </c>
      <c r="T604" s="10">
        <v>89.5</v>
      </c>
      <c r="U604" s="10">
        <v>91.5</v>
      </c>
      <c r="V604" s="10">
        <v>89.5</v>
      </c>
      <c r="W604" s="10">
        <v>91.5</v>
      </c>
      <c r="X604" s="4" t="s">
        <v>146</v>
      </c>
      <c r="Y604" s="4" t="s">
        <v>2815</v>
      </c>
      <c r="AA604" s="10">
        <f t="shared" si="36"/>
        <v>0.13590145490999792</v>
      </c>
      <c r="AB604" s="10">
        <f t="shared" si="37"/>
        <v>0.14832382710220998</v>
      </c>
      <c r="AC604" s="10">
        <f t="shared" si="38"/>
        <v>10.840603710939851</v>
      </c>
      <c r="AD604" s="10">
        <f t="shared" si="39"/>
        <v>1.7234415660281224</v>
      </c>
    </row>
    <row r="605" spans="1:30" x14ac:dyDescent="0.25">
      <c r="A605" s="33" t="s">
        <v>2813</v>
      </c>
      <c r="C605" s="39">
        <v>40847</v>
      </c>
      <c r="D605" s="53" t="s">
        <v>2817</v>
      </c>
      <c r="E605" s="4" t="str">
        <f>VLOOKUP(LEFT(D605,2),Sort!$A$1:$B$58,2,FALSE)</f>
        <v>South Africa</v>
      </c>
      <c r="F605" s="4" t="s">
        <v>1081</v>
      </c>
      <c r="G605" s="18">
        <v>700000000</v>
      </c>
      <c r="H605" s="18">
        <v>759026044</v>
      </c>
      <c r="I605" s="10">
        <v>0.36586691399999999</v>
      </c>
      <c r="J605" s="10">
        <v>5.7361110000000002</v>
      </c>
      <c r="K605" s="10">
        <v>4.7978399999999999</v>
      </c>
      <c r="L605" s="10">
        <v>4.8109349999999997</v>
      </c>
      <c r="M605" s="10">
        <v>4.8109349999999997</v>
      </c>
      <c r="N605" s="10">
        <v>361.11500000000001</v>
      </c>
      <c r="O605" s="10">
        <v>367.40699999999998</v>
      </c>
      <c r="P605" s="10">
        <v>4.7311990000000002</v>
      </c>
      <c r="Q605" s="10">
        <v>-0.21379999999999999</v>
      </c>
      <c r="R605" s="10">
        <v>3.5781442939999999</v>
      </c>
      <c r="S605" s="10">
        <v>6.210549554</v>
      </c>
      <c r="T605" s="10">
        <v>106.75</v>
      </c>
      <c r="U605" s="10">
        <v>107.75</v>
      </c>
      <c r="V605" s="10">
        <v>106.75</v>
      </c>
      <c r="W605" s="10">
        <v>107.75</v>
      </c>
      <c r="X605" s="4" t="s">
        <v>146</v>
      </c>
      <c r="Y605" s="4" t="s">
        <v>2818</v>
      </c>
      <c r="AA605" s="10">
        <f t="shared" si="36"/>
        <v>7.9309360696965453E-2</v>
      </c>
      <c r="AB605" s="10">
        <f t="shared" si="37"/>
        <v>5.0680774346171652E-2</v>
      </c>
      <c r="AC605" s="10">
        <f t="shared" si="38"/>
        <v>2.763966131571312</v>
      </c>
      <c r="AD605" s="10">
        <f t="shared" si="39"/>
        <v>0.55536956049428576</v>
      </c>
    </row>
    <row r="606" spans="1:30" x14ac:dyDescent="0.25">
      <c r="A606" s="33" t="s">
        <v>2816</v>
      </c>
      <c r="C606" s="39">
        <v>40847</v>
      </c>
      <c r="D606" s="53" t="s">
        <v>2820</v>
      </c>
      <c r="E606" s="4" t="str">
        <f>VLOOKUP(LEFT(D606,2),Sort!$A$1:$B$58,2,FALSE)</f>
        <v>South Africa</v>
      </c>
      <c r="F606" s="4" t="s">
        <v>1014</v>
      </c>
      <c r="G606" s="18">
        <v>300000000</v>
      </c>
      <c r="H606" s="18">
        <v>328325001</v>
      </c>
      <c r="I606" s="10">
        <v>0.15825972799999999</v>
      </c>
      <c r="J606" s="10">
        <v>2.7444440000000001</v>
      </c>
      <c r="K606" s="10">
        <v>2.2740749999999998</v>
      </c>
      <c r="L606" s="10">
        <v>8.6002790000000005</v>
      </c>
      <c r="M606" s="10">
        <v>8.6002790000000005</v>
      </c>
      <c r="N606" s="10">
        <v>824.01229999999998</v>
      </c>
      <c r="O606" s="10">
        <v>827.20270000000005</v>
      </c>
      <c r="P606" s="10">
        <v>2.2708889999999999</v>
      </c>
      <c r="Q606" s="10">
        <v>1.0697000000000001</v>
      </c>
      <c r="R606" s="10">
        <v>2.2739676260000001</v>
      </c>
      <c r="S606" s="10">
        <v>1.4048370480000001</v>
      </c>
      <c r="T606" s="10">
        <v>106.375</v>
      </c>
      <c r="U606" s="10">
        <v>108.125</v>
      </c>
      <c r="V606" s="10">
        <v>106.375</v>
      </c>
      <c r="W606" s="10">
        <v>108.125</v>
      </c>
      <c r="X606" s="4" t="s">
        <v>146</v>
      </c>
      <c r="Y606" s="4" t="s">
        <v>2821</v>
      </c>
      <c r="AA606" s="10">
        <f t="shared" si="36"/>
        <v>1.0192666653207855E-2</v>
      </c>
      <c r="AB606" s="10">
        <f t="shared" si="37"/>
        <v>0.17019154605913073</v>
      </c>
      <c r="AC606" s="10">
        <f t="shared" si="38"/>
        <v>25.177632911979533</v>
      </c>
      <c r="AD606" s="10">
        <f t="shared" si="39"/>
        <v>0.24106723725106599</v>
      </c>
    </row>
    <row r="607" spans="1:30" x14ac:dyDescent="0.25">
      <c r="A607" s="33" t="s">
        <v>2819</v>
      </c>
      <c r="C607" s="39">
        <v>40847</v>
      </c>
      <c r="D607" s="53" t="s">
        <v>2823</v>
      </c>
      <c r="E607" s="4" t="str">
        <f>VLOOKUP(LEFT(D607,2),Sort!$A$1:$B$58,2,FALSE)</f>
        <v>South Africa</v>
      </c>
      <c r="F607" s="4" t="s">
        <v>1014</v>
      </c>
      <c r="G607" s="18">
        <v>350000000</v>
      </c>
      <c r="H607" s="18">
        <v>308284375</v>
      </c>
      <c r="I607" s="10">
        <v>0.14859971399999999</v>
      </c>
      <c r="J607" s="10">
        <v>9.4499999999999993</v>
      </c>
      <c r="K607" s="10">
        <v>6.8710570000000004</v>
      </c>
      <c r="L607" s="10">
        <v>8.1834100000000003</v>
      </c>
      <c r="M607" s="10">
        <v>8.1834100000000003</v>
      </c>
      <c r="N607" s="10">
        <v>615.24429999999995</v>
      </c>
      <c r="O607" s="10">
        <v>631.04930000000002</v>
      </c>
      <c r="P607" s="10">
        <v>6.6575300000000004</v>
      </c>
      <c r="Q607" s="10">
        <v>-0.4032</v>
      </c>
      <c r="R607" s="10">
        <v>4.0777220229999998</v>
      </c>
      <c r="S607" s="10">
        <v>-9.0777009999999994</v>
      </c>
      <c r="T607" s="10">
        <v>87.75</v>
      </c>
      <c r="U607" s="10">
        <v>89.875</v>
      </c>
      <c r="V607" s="10">
        <v>87.75</v>
      </c>
      <c r="W607" s="10">
        <v>89.875</v>
      </c>
      <c r="X607" s="4" t="s">
        <v>146</v>
      </c>
      <c r="Y607" s="4" t="s">
        <v>2824</v>
      </c>
      <c r="AA607" s="10">
        <f t="shared" si="36"/>
        <v>4.4578708854098377E-2</v>
      </c>
      <c r="AB607" s="10">
        <f t="shared" si="37"/>
        <v>0.15205731342518833</v>
      </c>
      <c r="AC607" s="10">
        <f t="shared" si="38"/>
        <v>10.565974831109381</v>
      </c>
      <c r="AD607" s="10">
        <f t="shared" si="39"/>
        <v>0.58081488307353502</v>
      </c>
    </row>
    <row r="608" spans="1:30" x14ac:dyDescent="0.25">
      <c r="A608" s="33" t="s">
        <v>2822</v>
      </c>
      <c r="C608" s="39">
        <v>40847</v>
      </c>
      <c r="D608" s="53" t="s">
        <v>2826</v>
      </c>
      <c r="E608" s="4" t="str">
        <f>VLOOKUP(LEFT(D608,2),Sort!$A$1:$B$58,2,FALSE)</f>
        <v>South Africa</v>
      </c>
      <c r="F608" s="4" t="s">
        <v>1007</v>
      </c>
      <c r="G608" s="18">
        <v>500000000</v>
      </c>
      <c r="H608" s="18">
        <v>517039930</v>
      </c>
      <c r="I608" s="10">
        <v>0.24922439099999999</v>
      </c>
      <c r="J608" s="10">
        <v>8.0805559999999996</v>
      </c>
      <c r="K608" s="10">
        <v>5.8033710000000003</v>
      </c>
      <c r="L608" s="10">
        <v>7.6192500000000001</v>
      </c>
      <c r="M608" s="10">
        <v>7.6192500000000001</v>
      </c>
      <c r="N608" s="10">
        <v>584.48260000000005</v>
      </c>
      <c r="O608" s="10">
        <v>599.01139999999998</v>
      </c>
      <c r="P608" s="10">
        <v>5.6569229999999999</v>
      </c>
      <c r="Q608" s="10">
        <v>2.18E-2</v>
      </c>
      <c r="R608" s="10">
        <v>-3.154318596</v>
      </c>
      <c r="S608" s="10">
        <v>-0.47246983300000001</v>
      </c>
      <c r="T608" s="10">
        <v>100</v>
      </c>
      <c r="U608" s="10">
        <v>103</v>
      </c>
      <c r="V608" s="10">
        <v>100</v>
      </c>
      <c r="W608" s="10">
        <v>103</v>
      </c>
      <c r="X608" s="4" t="s">
        <v>146</v>
      </c>
      <c r="Y608" s="4" t="s">
        <v>2827</v>
      </c>
      <c r="AA608" s="10">
        <f t="shared" si="36"/>
        <v>6.53471166485243E-2</v>
      </c>
      <c r="AB608" s="10">
        <f t="shared" si="37"/>
        <v>0.10618200553073773</v>
      </c>
      <c r="AC608" s="10">
        <f t="shared" si="38"/>
        <v>8.766312340259848</v>
      </c>
      <c r="AD608" s="10">
        <f t="shared" si="39"/>
        <v>0.36163414129229293</v>
      </c>
    </row>
    <row r="609" spans="1:16384" x14ac:dyDescent="0.25">
      <c r="A609" s="33" t="s">
        <v>2825</v>
      </c>
      <c r="C609" s="39">
        <v>40847</v>
      </c>
      <c r="D609" s="53" t="s">
        <v>1577</v>
      </c>
      <c r="E609" s="4" t="str">
        <f>VLOOKUP(LEFT(D609,2),Sort!$A$1:$B$58,2,FALSE)</f>
        <v>China</v>
      </c>
      <c r="F609" s="4" t="s">
        <v>1014</v>
      </c>
      <c r="G609" s="18">
        <v>0</v>
      </c>
      <c r="H609" s="18">
        <v>0</v>
      </c>
      <c r="I609" s="10">
        <v>0</v>
      </c>
      <c r="J609" s="10">
        <v>1.016667</v>
      </c>
      <c r="K609" s="10">
        <v>0.85470699999999999</v>
      </c>
      <c r="L609" s="10">
        <v>25.985659999999999</v>
      </c>
      <c r="M609" s="10">
        <v>25.985659999999999</v>
      </c>
      <c r="N609" s="10">
        <v>2588.7143000000001</v>
      </c>
      <c r="O609" s="10">
        <v>2588.6518999999998</v>
      </c>
      <c r="P609" s="10">
        <v>0.84159099999999998</v>
      </c>
      <c r="Q609" s="10">
        <v>2.6599999999999999E-2</v>
      </c>
      <c r="R609" s="10">
        <v>6.0989890190000002</v>
      </c>
      <c r="S609" s="10">
        <v>-11.633576570000001</v>
      </c>
      <c r="T609" s="10">
        <v>81</v>
      </c>
      <c r="U609" s="10">
        <v>84.875</v>
      </c>
      <c r="V609" s="10">
        <v>81</v>
      </c>
      <c r="W609" s="10">
        <v>84.875</v>
      </c>
      <c r="X609" s="4" t="s">
        <v>146</v>
      </c>
      <c r="Y609" s="4" t="s">
        <v>1578</v>
      </c>
      <c r="AA609" s="10">
        <f t="shared" si="36"/>
        <v>0</v>
      </c>
      <c r="AB609" s="10">
        <f t="shared" si="37"/>
        <v>0</v>
      </c>
      <c r="AC609" s="10">
        <f t="shared" si="38"/>
        <v>0</v>
      </c>
      <c r="AD609" s="10">
        <f t="shared" si="39"/>
        <v>0</v>
      </c>
    </row>
    <row r="610" spans="1:16384" x14ac:dyDescent="0.25">
      <c r="C610" s="39">
        <v>40847</v>
      </c>
      <c r="D610" s="53" t="s">
        <v>1956</v>
      </c>
      <c r="E610" s="4" t="str">
        <f>VLOOKUP(LEFT(D610,2),Sort!$A$1:$B$58,2,FALSE)</f>
        <v>Korea</v>
      </c>
      <c r="F610" s="68" t="e">
        <v>#N/A</v>
      </c>
      <c r="G610" s="18">
        <v>0</v>
      </c>
      <c r="H610" s="18">
        <v>0</v>
      </c>
      <c r="I610" s="58">
        <v>0</v>
      </c>
      <c r="J610" s="58">
        <v>1.0333330000000001</v>
      </c>
      <c r="K610" s="58">
        <v>1.002529</v>
      </c>
      <c r="L610" s="58">
        <v>1.776745</v>
      </c>
      <c r="M610" s="58">
        <v>1.776745</v>
      </c>
      <c r="N610" s="58">
        <v>167.5712</v>
      </c>
      <c r="O610" s="58">
        <v>167.4871</v>
      </c>
      <c r="P610" s="58">
        <v>0.987537</v>
      </c>
      <c r="Q610" s="58">
        <v>2.3300000000000001E-2</v>
      </c>
      <c r="R610" s="58">
        <v>0.14085015400000001</v>
      </c>
      <c r="S610" s="58">
        <v>2.089924173</v>
      </c>
      <c r="T610" s="58">
        <v>103.01</v>
      </c>
      <c r="U610" s="58">
        <v>103.54</v>
      </c>
      <c r="V610" s="58">
        <v>103.01</v>
      </c>
      <c r="W610" s="58">
        <v>103.54</v>
      </c>
      <c r="X610" s="67" t="s">
        <v>146</v>
      </c>
      <c r="Y610" s="53" t="s">
        <v>1957</v>
      </c>
      <c r="AA610" s="10">
        <f t="shared" ref="AA610" si="40">IF(K610&lt;1.99,($H610/$H$629)*K610,IF(AND(K610&gt;1.99,K610&lt;3.99),($H610/$H$630)*K610,IF(AND(K610&gt;3.99,K610&lt;5.99),($H610/$H$631)*K610,IF(AND(K610&gt;5.99,K610&lt;7.99),($H610/$H$632)*K610,IF(AND(K610&gt;7.99,K610&lt;9.99),($H610/$H$633)*K610,IF(K610&gt;9.99,($H610/$H$634)*K610))))))</f>
        <v>0</v>
      </c>
      <c r="AB610" s="10">
        <f t="shared" ref="AB610" si="41">IF(M610&lt;1.99,($H610/$H$613)*M610,IF(AND(M610&gt;1.99,M610&lt;3.99),($H610/$H$614)*M610,IF(AND(M610&gt;3.99,M610&lt;5.99),($H610/$H$615)*M610,IF(AND(M610&gt;5.99,M610&lt;7.99),($H610/$H$616)*M610,IF(AND(M610&gt;7.99,M610&lt;9.99),($H610/$H$617)*M610,IF(M610&gt;9.99,($H610/$H$618)*M610))))))</f>
        <v>0</v>
      </c>
      <c r="AC610" s="10">
        <f t="shared" ref="AC610" si="42">IF(O610&lt;199.99,($H610/$H$621)*O610,IF(AND(O610&gt;199.99,O610&lt;399.99),($H610/$H$622)*O610,IF(AND(O610&gt;399.99,O610&lt;599.99),($H610/$H$623)*O610,IF(AND(O610&gt;599.99,O610&lt;799.99),($H610/$H$624)*O610,IF(AND(O610&gt;799.99,O610&lt;999.99),($H610/$H$625)*O610,IF(O610&gt;999.99,($H610/$H$626)*O610))))))</f>
        <v>0</v>
      </c>
      <c r="AD610" s="10">
        <f t="shared" ref="AD610" si="43">IF(U610&lt;49.99,($H610/$H$637)*U610,IF(AND(U610&gt;49.99,U610&lt;79.99),($H610/$H$638)*U610,IF(AND(U610&gt;79.99,U610&lt;99.99),($H610/$H$639)*U610,IF(AND(U610&gt;99.99,U610&lt;119.99),($H610/$H$640)*U610,IF(AND(U610&gt;119.99,U610&lt;139.99),($H610/$H$641)*U610,IF(U610&gt;139.99,($H610/$H$642)*U610))))))</f>
        <v>0</v>
      </c>
    </row>
    <row r="611" spans="1:16384" s="53" customFormat="1" x14ac:dyDescent="0.25">
      <c r="C611" s="39"/>
      <c r="H611" s="28">
        <f>SUM(H4:H610)</f>
        <v>207459602036.39005</v>
      </c>
      <c r="I611" s="71">
        <f>SUM(I4:I610)</f>
        <v>99.999999999000053</v>
      </c>
      <c r="J611"/>
      <c r="K611"/>
      <c r="L611"/>
      <c r="M611" s="38"/>
      <c r="N611"/>
      <c r="O611" s="38"/>
      <c r="P611"/>
      <c r="Q611"/>
      <c r="R611"/>
      <c r="S611"/>
      <c r="T611"/>
      <c r="U611" s="38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  <c r="BW611"/>
      <c r="BX611"/>
      <c r="BY611"/>
      <c r="BZ611"/>
      <c r="CA611"/>
      <c r="CB611"/>
      <c r="CC611"/>
      <c r="CD611"/>
      <c r="CE611"/>
      <c r="CF611"/>
      <c r="CG611"/>
      <c r="CH611"/>
      <c r="CI611"/>
      <c r="CJ611"/>
      <c r="CK611"/>
      <c r="CL611"/>
      <c r="CM611"/>
      <c r="CN611"/>
      <c r="CO611"/>
      <c r="CP611"/>
      <c r="CQ611"/>
      <c r="CR611"/>
      <c r="CS611"/>
      <c r="CT611"/>
      <c r="CU611"/>
      <c r="CV611"/>
      <c r="CW611"/>
      <c r="CX611"/>
      <c r="CY611"/>
      <c r="CZ611"/>
      <c r="DA611"/>
      <c r="DB611"/>
      <c r="DC611"/>
      <c r="DD611"/>
      <c r="DE611"/>
      <c r="DF611"/>
      <c r="DG611"/>
      <c r="DH611"/>
      <c r="DI611"/>
      <c r="DJ611"/>
      <c r="DK611"/>
      <c r="DL611"/>
      <c r="DM611"/>
      <c r="DN611"/>
      <c r="DO611"/>
      <c r="DP611"/>
      <c r="DQ611"/>
      <c r="DR611"/>
      <c r="DS611"/>
      <c r="DT611"/>
      <c r="DU611"/>
      <c r="DV611"/>
      <c r="DW611"/>
      <c r="DX611"/>
      <c r="DY611"/>
      <c r="DZ611"/>
      <c r="EA611"/>
      <c r="EB611"/>
      <c r="EC611"/>
      <c r="ED611"/>
      <c r="EE611"/>
      <c r="EF611"/>
      <c r="EG611"/>
      <c r="EH611"/>
      <c r="EI611"/>
      <c r="EJ611"/>
      <c r="EK611"/>
      <c r="EL611"/>
      <c r="EM611"/>
      <c r="EN611"/>
      <c r="EO611"/>
      <c r="EP611"/>
      <c r="EQ611"/>
      <c r="ER611"/>
      <c r="ES611"/>
      <c r="ET611"/>
      <c r="EU611"/>
      <c r="EV611"/>
      <c r="EW611"/>
      <c r="EX611"/>
      <c r="EY611"/>
      <c r="EZ611"/>
      <c r="FA611"/>
      <c r="FB611"/>
      <c r="FC611"/>
      <c r="FD611"/>
      <c r="FE611"/>
      <c r="FF611"/>
      <c r="FG611"/>
      <c r="FH611"/>
      <c r="FI611"/>
      <c r="FJ611"/>
      <c r="FK611"/>
      <c r="FL611"/>
      <c r="FM611"/>
      <c r="FN611"/>
      <c r="FO611"/>
      <c r="FP611"/>
      <c r="FQ611"/>
      <c r="FR611"/>
      <c r="FS611"/>
      <c r="FT611"/>
      <c r="FU611"/>
      <c r="FV611"/>
      <c r="FW611"/>
      <c r="FX611"/>
      <c r="FY611"/>
      <c r="FZ611"/>
      <c r="GA611"/>
      <c r="GB611"/>
      <c r="GC611"/>
      <c r="GD611"/>
      <c r="GE611"/>
      <c r="GF611"/>
      <c r="GG611"/>
      <c r="GH611"/>
      <c r="GI611"/>
      <c r="GJ611"/>
      <c r="GK611"/>
      <c r="GL611"/>
      <c r="GM611"/>
      <c r="GN611"/>
      <c r="GO611"/>
      <c r="GP611"/>
      <c r="GQ611"/>
      <c r="GR611"/>
      <c r="GS611"/>
      <c r="GT611"/>
      <c r="GU611"/>
      <c r="GV611"/>
      <c r="GW611"/>
      <c r="GX611"/>
      <c r="GY611"/>
      <c r="GZ611"/>
      <c r="HA611"/>
      <c r="HB611"/>
      <c r="HC611"/>
      <c r="HD611"/>
      <c r="HE611"/>
      <c r="HF611"/>
      <c r="HG611"/>
      <c r="HH611"/>
      <c r="HI611"/>
      <c r="HJ611"/>
      <c r="HK611"/>
      <c r="HL611"/>
      <c r="HM611"/>
      <c r="HN611"/>
      <c r="HO611"/>
      <c r="HP611"/>
      <c r="HQ611"/>
      <c r="HR611"/>
      <c r="HS611"/>
      <c r="HT611"/>
      <c r="HU611"/>
      <c r="HV611"/>
      <c r="HW611"/>
      <c r="HX611"/>
      <c r="HY611"/>
      <c r="HZ611"/>
      <c r="IA611"/>
      <c r="IB611"/>
      <c r="IC611"/>
      <c r="ID611"/>
      <c r="IE611"/>
      <c r="IF611"/>
      <c r="IG611"/>
      <c r="IH611"/>
      <c r="II611"/>
      <c r="IJ611"/>
      <c r="IK611"/>
      <c r="IL611"/>
      <c r="IM611"/>
      <c r="IN611"/>
      <c r="IO611"/>
      <c r="IP611"/>
      <c r="IQ611"/>
      <c r="IR611"/>
      <c r="IS611"/>
      <c r="IT611"/>
      <c r="IU611"/>
      <c r="IV611"/>
      <c r="IW611"/>
      <c r="IX611"/>
      <c r="IY611"/>
      <c r="IZ611"/>
      <c r="JA611"/>
      <c r="JB611"/>
      <c r="JC611"/>
      <c r="JD611"/>
      <c r="JE611"/>
      <c r="JF611"/>
      <c r="JG611"/>
      <c r="JH611"/>
      <c r="JI611"/>
      <c r="JJ611"/>
      <c r="JK611"/>
      <c r="JL611"/>
      <c r="JM611"/>
      <c r="JN611"/>
      <c r="JO611"/>
      <c r="JP611"/>
      <c r="JQ611"/>
      <c r="JR611"/>
      <c r="JS611"/>
      <c r="JT611"/>
      <c r="JU611"/>
      <c r="JV611"/>
      <c r="JW611"/>
      <c r="JX611"/>
      <c r="JY611"/>
      <c r="JZ611"/>
      <c r="KA611"/>
      <c r="KB611"/>
      <c r="KC611"/>
      <c r="KD611"/>
      <c r="KE611"/>
      <c r="KF611"/>
      <c r="KG611"/>
      <c r="KH611"/>
      <c r="KI611"/>
      <c r="KJ611"/>
      <c r="KK611"/>
      <c r="KL611"/>
      <c r="KM611"/>
      <c r="KN611"/>
      <c r="KO611"/>
      <c r="KP611"/>
      <c r="KQ611"/>
      <c r="KR611"/>
      <c r="KS611"/>
      <c r="KT611"/>
      <c r="KU611"/>
      <c r="KV611"/>
      <c r="KW611"/>
      <c r="KX611"/>
      <c r="KY611"/>
      <c r="KZ611"/>
      <c r="LA611"/>
      <c r="LB611"/>
      <c r="LC611"/>
      <c r="LD611"/>
      <c r="LE611"/>
      <c r="LF611"/>
      <c r="LG611"/>
      <c r="LH611"/>
      <c r="LI611"/>
      <c r="LJ611"/>
      <c r="LK611"/>
      <c r="LL611"/>
      <c r="LM611"/>
      <c r="LN611"/>
      <c r="LO611"/>
      <c r="LP611"/>
      <c r="LQ611"/>
      <c r="LR611"/>
      <c r="LS611"/>
      <c r="LT611"/>
      <c r="LU611"/>
      <c r="LV611"/>
      <c r="LW611"/>
      <c r="LX611"/>
      <c r="LY611"/>
      <c r="LZ611"/>
      <c r="MA611"/>
      <c r="MB611"/>
      <c r="MC611"/>
      <c r="MD611"/>
      <c r="ME611"/>
      <c r="MF611"/>
      <c r="MG611"/>
      <c r="MH611"/>
      <c r="MI611"/>
      <c r="MJ611"/>
      <c r="MK611"/>
      <c r="ML611"/>
      <c r="MM611"/>
      <c r="MN611"/>
      <c r="MO611"/>
      <c r="MP611"/>
      <c r="MQ611"/>
      <c r="MR611"/>
      <c r="MS611"/>
      <c r="MT611"/>
      <c r="MU611"/>
      <c r="MV611"/>
      <c r="MW611"/>
      <c r="MX611"/>
      <c r="MY611"/>
      <c r="MZ611"/>
      <c r="NA611"/>
      <c r="NB611"/>
      <c r="NC611"/>
      <c r="ND611"/>
      <c r="NE611"/>
      <c r="NF611"/>
      <c r="NG611"/>
      <c r="NH611"/>
      <c r="NI611"/>
      <c r="NJ611"/>
      <c r="NK611"/>
      <c r="NL611"/>
      <c r="NM611"/>
      <c r="NN611"/>
      <c r="NO611"/>
      <c r="NP611"/>
      <c r="NQ611"/>
      <c r="NR611"/>
      <c r="NS611"/>
      <c r="NT611"/>
      <c r="NU611"/>
      <c r="NV611"/>
      <c r="NW611"/>
      <c r="NX611"/>
      <c r="NY611"/>
      <c r="NZ611"/>
      <c r="OA611"/>
      <c r="OB611"/>
      <c r="OC611"/>
      <c r="OD611"/>
      <c r="OE611"/>
      <c r="OF611"/>
      <c r="OG611"/>
      <c r="OH611"/>
      <c r="OI611"/>
      <c r="OJ611"/>
      <c r="OK611"/>
      <c r="OL611"/>
      <c r="OM611"/>
      <c r="ON611"/>
      <c r="OO611"/>
      <c r="OP611"/>
      <c r="OQ611"/>
      <c r="OR611"/>
      <c r="OS611"/>
      <c r="OT611"/>
      <c r="OU611"/>
      <c r="OV611"/>
      <c r="OW611"/>
      <c r="OX611"/>
      <c r="OY611"/>
      <c r="OZ611"/>
      <c r="PA611"/>
      <c r="PB611"/>
      <c r="PC611"/>
      <c r="PD611"/>
      <c r="PE611"/>
      <c r="PF611"/>
      <c r="PG611"/>
      <c r="PH611"/>
      <c r="PI611"/>
      <c r="PJ611"/>
      <c r="PK611"/>
      <c r="PL611"/>
      <c r="PM611"/>
      <c r="PN611"/>
      <c r="PO611"/>
      <c r="PP611"/>
      <c r="PQ611"/>
      <c r="PR611"/>
      <c r="PS611"/>
      <c r="PT611"/>
      <c r="PU611"/>
      <c r="PV611"/>
      <c r="PW611"/>
      <c r="PX611"/>
      <c r="PY611"/>
      <c r="PZ611"/>
      <c r="QA611"/>
      <c r="QB611"/>
      <c r="QC611"/>
      <c r="QD611"/>
      <c r="QE611"/>
      <c r="QF611"/>
      <c r="QG611"/>
      <c r="QH611"/>
      <c r="QI611"/>
      <c r="QJ611"/>
      <c r="QK611"/>
      <c r="QL611"/>
      <c r="QM611"/>
      <c r="QN611"/>
      <c r="QO611"/>
      <c r="QP611"/>
      <c r="QQ611"/>
      <c r="QR611"/>
      <c r="QS611"/>
      <c r="QT611"/>
      <c r="QU611"/>
      <c r="QV611"/>
      <c r="QW611"/>
      <c r="QX611"/>
      <c r="QY611"/>
      <c r="QZ611"/>
      <c r="RA611"/>
      <c r="RB611"/>
      <c r="RC611"/>
      <c r="RD611"/>
      <c r="RE611"/>
      <c r="RF611"/>
      <c r="RG611"/>
      <c r="RH611"/>
      <c r="RI611"/>
      <c r="RJ611"/>
      <c r="RK611"/>
      <c r="RL611"/>
      <c r="RM611"/>
      <c r="RN611"/>
      <c r="RO611"/>
      <c r="RP611"/>
      <c r="RQ611"/>
      <c r="RR611"/>
      <c r="RS611"/>
      <c r="RT611"/>
      <c r="RU611"/>
      <c r="RV611"/>
      <c r="RW611"/>
      <c r="RX611"/>
      <c r="RY611"/>
      <c r="RZ611"/>
      <c r="SA611"/>
      <c r="SB611"/>
      <c r="SC611"/>
      <c r="SD611"/>
      <c r="SE611"/>
      <c r="SF611"/>
      <c r="SG611"/>
      <c r="SH611"/>
      <c r="SI611"/>
      <c r="SJ611"/>
      <c r="SK611"/>
      <c r="SL611"/>
      <c r="SM611"/>
      <c r="SN611"/>
      <c r="SO611"/>
      <c r="SP611"/>
      <c r="SQ611"/>
      <c r="SR611"/>
      <c r="SS611"/>
      <c r="ST611"/>
      <c r="SU611"/>
      <c r="SV611"/>
      <c r="SW611"/>
      <c r="SX611"/>
      <c r="SY611"/>
      <c r="SZ611"/>
      <c r="TA611"/>
      <c r="TB611"/>
      <c r="TC611"/>
      <c r="TD611"/>
      <c r="TE611"/>
      <c r="TF611"/>
      <c r="TG611"/>
      <c r="TH611"/>
      <c r="TI611"/>
      <c r="TJ611"/>
      <c r="TK611"/>
      <c r="TL611"/>
      <c r="TM611"/>
      <c r="TN611"/>
      <c r="TO611"/>
      <c r="TP611"/>
      <c r="TQ611"/>
      <c r="TR611"/>
      <c r="TS611"/>
      <c r="TT611"/>
      <c r="TU611"/>
      <c r="TV611"/>
      <c r="TW611"/>
      <c r="TX611"/>
      <c r="TY611"/>
      <c r="TZ611"/>
      <c r="UA611"/>
      <c r="UB611"/>
      <c r="UC611"/>
      <c r="UD611"/>
      <c r="UE611"/>
      <c r="UF611"/>
      <c r="UG611"/>
      <c r="UH611"/>
      <c r="UI611"/>
      <c r="UJ611"/>
      <c r="UK611"/>
      <c r="UL611"/>
      <c r="UM611"/>
      <c r="UN611"/>
      <c r="UO611"/>
      <c r="UP611"/>
      <c r="UQ611"/>
      <c r="UR611"/>
      <c r="US611"/>
      <c r="UT611"/>
      <c r="UU611"/>
      <c r="UV611"/>
      <c r="UW611"/>
      <c r="UX611"/>
      <c r="UY611"/>
      <c r="UZ611"/>
      <c r="VA611"/>
      <c r="VB611"/>
      <c r="VC611"/>
      <c r="VD611"/>
      <c r="VE611"/>
      <c r="VF611"/>
      <c r="VG611"/>
      <c r="VH611"/>
      <c r="VI611"/>
      <c r="VJ611"/>
      <c r="VK611"/>
      <c r="VL611"/>
      <c r="VM611"/>
      <c r="VN611"/>
      <c r="VO611"/>
      <c r="VP611"/>
      <c r="VQ611"/>
      <c r="VR611"/>
      <c r="VS611"/>
      <c r="VT611"/>
      <c r="VU611"/>
      <c r="VV611"/>
      <c r="VW611"/>
      <c r="VX611"/>
      <c r="VY611"/>
      <c r="VZ611"/>
      <c r="WA611"/>
      <c r="WB611"/>
      <c r="WC611"/>
      <c r="WD611"/>
      <c r="WE611"/>
      <c r="WF611"/>
      <c r="WG611"/>
      <c r="WH611"/>
      <c r="WI611"/>
      <c r="WJ611"/>
      <c r="WK611"/>
      <c r="WL611"/>
      <c r="WM611"/>
      <c r="WN611"/>
      <c r="WO611"/>
      <c r="WP611"/>
      <c r="WQ611"/>
      <c r="WR611"/>
      <c r="WS611"/>
      <c r="WT611"/>
      <c r="WU611"/>
      <c r="WV611"/>
      <c r="WW611"/>
      <c r="WX611"/>
      <c r="WY611"/>
      <c r="WZ611"/>
      <c r="XA611"/>
      <c r="XB611"/>
      <c r="XC611"/>
      <c r="XD611"/>
      <c r="XE611"/>
      <c r="XF611"/>
      <c r="XG611"/>
      <c r="XH611"/>
      <c r="XI611"/>
      <c r="XJ611"/>
      <c r="XK611"/>
      <c r="XL611"/>
      <c r="XM611"/>
      <c r="XN611"/>
      <c r="XO611"/>
      <c r="XP611"/>
      <c r="XQ611"/>
      <c r="XR611"/>
      <c r="XS611"/>
      <c r="XT611"/>
      <c r="XU611"/>
      <c r="XV611"/>
      <c r="XW611"/>
      <c r="XX611"/>
      <c r="XY611"/>
      <c r="XZ611"/>
      <c r="YA611"/>
      <c r="YB611"/>
      <c r="YC611"/>
      <c r="YD611"/>
      <c r="YE611"/>
      <c r="YF611"/>
      <c r="YG611"/>
      <c r="YH611"/>
      <c r="YI611"/>
      <c r="YJ611"/>
      <c r="YK611"/>
      <c r="YL611"/>
      <c r="YM611"/>
      <c r="YN611"/>
      <c r="YO611"/>
      <c r="YP611"/>
      <c r="YQ611"/>
      <c r="YR611"/>
      <c r="YS611"/>
      <c r="YT611"/>
      <c r="YU611"/>
      <c r="YV611"/>
      <c r="YW611"/>
      <c r="YX611"/>
      <c r="YY611"/>
      <c r="YZ611"/>
      <c r="ZA611"/>
      <c r="ZB611"/>
      <c r="ZC611"/>
      <c r="ZD611"/>
      <c r="ZE611"/>
      <c r="ZF611"/>
      <c r="ZG611"/>
      <c r="ZH611"/>
      <c r="ZI611"/>
      <c r="ZJ611"/>
      <c r="ZK611"/>
      <c r="ZL611"/>
      <c r="ZM611"/>
      <c r="ZN611"/>
      <c r="ZO611"/>
      <c r="ZP611"/>
      <c r="ZQ611"/>
      <c r="ZR611"/>
      <c r="ZS611"/>
      <c r="ZT611"/>
      <c r="ZU611"/>
      <c r="ZV611"/>
      <c r="ZW611"/>
      <c r="ZX611"/>
      <c r="ZY611"/>
      <c r="ZZ611"/>
      <c r="AAA611"/>
      <c r="AAB611"/>
      <c r="AAC611"/>
      <c r="AAD611"/>
      <c r="AAE611"/>
      <c r="AAF611"/>
      <c r="AAG611"/>
      <c r="AAH611"/>
      <c r="AAI611"/>
      <c r="AAJ611"/>
      <c r="AAK611"/>
      <c r="AAL611"/>
      <c r="AAM611"/>
      <c r="AAN611"/>
      <c r="AAO611"/>
      <c r="AAP611"/>
      <c r="AAQ611"/>
      <c r="AAR611"/>
      <c r="AAS611"/>
      <c r="AAT611"/>
      <c r="AAU611"/>
      <c r="AAV611"/>
      <c r="AAW611"/>
      <c r="AAX611"/>
      <c r="AAY611"/>
      <c r="AAZ611"/>
      <c r="ABA611"/>
      <c r="ABB611"/>
      <c r="ABC611"/>
      <c r="ABD611"/>
      <c r="ABE611"/>
      <c r="ABF611"/>
      <c r="ABG611"/>
      <c r="ABH611"/>
      <c r="ABI611"/>
      <c r="ABJ611"/>
      <c r="ABK611"/>
      <c r="ABL611"/>
      <c r="ABM611"/>
      <c r="ABN611"/>
      <c r="ABO611"/>
      <c r="ABP611"/>
      <c r="ABQ611"/>
      <c r="ABR611"/>
      <c r="ABS611"/>
      <c r="ABT611"/>
      <c r="ABU611"/>
      <c r="ABV611"/>
      <c r="ABW611"/>
      <c r="ABX611"/>
      <c r="ABY611"/>
      <c r="ABZ611"/>
      <c r="ACA611"/>
      <c r="ACB611"/>
      <c r="ACC611"/>
      <c r="ACD611"/>
      <c r="ACE611"/>
      <c r="ACF611"/>
      <c r="ACG611"/>
      <c r="ACH611"/>
      <c r="ACI611"/>
      <c r="ACJ611"/>
      <c r="ACK611"/>
      <c r="ACL611"/>
      <c r="ACM611"/>
      <c r="ACN611"/>
      <c r="ACO611"/>
      <c r="ACP611"/>
      <c r="ACQ611"/>
      <c r="ACR611"/>
      <c r="ACS611"/>
      <c r="ACT611"/>
      <c r="ACU611"/>
      <c r="ACV611"/>
      <c r="ACW611"/>
      <c r="ACX611"/>
      <c r="ACY611"/>
      <c r="ACZ611"/>
      <c r="ADA611"/>
      <c r="ADB611"/>
      <c r="ADC611"/>
      <c r="ADD611"/>
      <c r="ADE611"/>
      <c r="ADF611"/>
      <c r="ADG611"/>
      <c r="ADH611"/>
      <c r="ADI611"/>
      <c r="ADJ611"/>
      <c r="ADK611"/>
      <c r="ADL611"/>
      <c r="ADM611"/>
      <c r="ADN611"/>
      <c r="ADO611"/>
      <c r="ADP611"/>
      <c r="ADQ611"/>
      <c r="ADR611"/>
      <c r="ADS611"/>
      <c r="ADT611"/>
      <c r="ADU611"/>
      <c r="ADV611"/>
      <c r="ADW611"/>
      <c r="ADX611"/>
      <c r="ADY611"/>
      <c r="ADZ611"/>
      <c r="AEA611"/>
      <c r="AEB611"/>
      <c r="AEC611"/>
      <c r="AED611"/>
      <c r="AEE611"/>
      <c r="AEF611"/>
      <c r="AEG611"/>
      <c r="AEH611"/>
      <c r="AEI611"/>
      <c r="AEJ611"/>
      <c r="AEK611"/>
      <c r="AEL611"/>
      <c r="AEM611"/>
      <c r="AEN611"/>
      <c r="AEO611"/>
      <c r="AEP611"/>
      <c r="AEQ611"/>
      <c r="AER611"/>
      <c r="AES611"/>
      <c r="AET611"/>
      <c r="AEU611"/>
      <c r="AEV611"/>
      <c r="AEW611"/>
      <c r="AEX611"/>
      <c r="AEY611"/>
      <c r="AEZ611"/>
      <c r="AFA611"/>
      <c r="AFB611"/>
      <c r="AFC611"/>
      <c r="AFD611"/>
      <c r="AFE611"/>
      <c r="AFF611"/>
      <c r="AFG611"/>
      <c r="AFH611"/>
      <c r="AFI611"/>
      <c r="AFJ611"/>
      <c r="AFK611"/>
      <c r="AFL611"/>
      <c r="AFM611"/>
      <c r="AFN611"/>
      <c r="AFO611"/>
      <c r="AFP611"/>
      <c r="AFQ611"/>
      <c r="AFR611"/>
      <c r="AFS611"/>
      <c r="AFT611"/>
      <c r="AFU611"/>
      <c r="AFV611"/>
      <c r="AFW611"/>
      <c r="AFX611"/>
      <c r="AFY611"/>
      <c r="AFZ611"/>
      <c r="AGA611"/>
      <c r="AGB611"/>
      <c r="AGC611"/>
      <c r="AGD611"/>
      <c r="AGE611"/>
      <c r="AGF611"/>
      <c r="AGG611"/>
      <c r="AGH611"/>
      <c r="AGI611"/>
      <c r="AGJ611"/>
      <c r="AGK611"/>
      <c r="AGL611"/>
      <c r="AGM611"/>
      <c r="AGN611"/>
      <c r="AGO611"/>
      <c r="AGP611"/>
      <c r="AGQ611"/>
      <c r="AGR611"/>
      <c r="AGS611"/>
      <c r="AGT611"/>
      <c r="AGU611"/>
      <c r="AGV611"/>
      <c r="AGW611"/>
      <c r="AGX611"/>
      <c r="AGY611"/>
      <c r="AGZ611"/>
      <c r="AHA611"/>
      <c r="AHB611"/>
      <c r="AHC611"/>
      <c r="AHD611"/>
      <c r="AHE611"/>
      <c r="AHF611"/>
      <c r="AHG611"/>
      <c r="AHH611"/>
      <c r="AHI611"/>
      <c r="AHJ611"/>
      <c r="AHK611"/>
      <c r="AHL611"/>
      <c r="AHM611"/>
      <c r="AHN611"/>
      <c r="AHO611"/>
      <c r="AHP611"/>
      <c r="AHQ611"/>
      <c r="AHR611"/>
      <c r="AHS611"/>
      <c r="AHT611"/>
      <c r="AHU611"/>
      <c r="AHV611"/>
      <c r="AHW611"/>
      <c r="AHX611"/>
      <c r="AHY611"/>
      <c r="AHZ611"/>
      <c r="AIA611"/>
      <c r="AIB611"/>
      <c r="AIC611"/>
      <c r="AID611"/>
      <c r="AIE611"/>
      <c r="AIF611"/>
      <c r="AIG611"/>
      <c r="AIH611"/>
      <c r="AII611"/>
      <c r="AIJ611"/>
      <c r="AIK611"/>
      <c r="AIL611"/>
      <c r="AIM611"/>
      <c r="AIN611"/>
      <c r="AIO611"/>
      <c r="AIP611"/>
      <c r="AIQ611"/>
      <c r="AIR611"/>
      <c r="AIS611"/>
      <c r="AIT611"/>
      <c r="AIU611"/>
      <c r="AIV611"/>
      <c r="AIW611"/>
      <c r="AIX611"/>
      <c r="AIY611"/>
      <c r="AIZ611"/>
      <c r="AJA611"/>
      <c r="AJB611"/>
      <c r="AJC611"/>
      <c r="AJD611"/>
      <c r="AJE611"/>
      <c r="AJF611"/>
      <c r="AJG611"/>
      <c r="AJH611"/>
      <c r="AJI611"/>
      <c r="AJJ611"/>
      <c r="AJK611"/>
      <c r="AJL611"/>
      <c r="AJM611"/>
      <c r="AJN611"/>
      <c r="AJO611"/>
      <c r="AJP611"/>
      <c r="AJQ611"/>
      <c r="AJR611"/>
      <c r="AJS611"/>
      <c r="AJT611"/>
      <c r="AJU611"/>
      <c r="AJV611"/>
      <c r="AJW611"/>
      <c r="AJX611"/>
      <c r="AJY611"/>
      <c r="AJZ611"/>
      <c r="AKA611"/>
      <c r="AKB611"/>
      <c r="AKC611"/>
      <c r="AKD611"/>
      <c r="AKE611"/>
      <c r="AKF611"/>
      <c r="AKG611"/>
      <c r="AKH611"/>
      <c r="AKI611"/>
      <c r="AKJ611"/>
      <c r="AKK611"/>
      <c r="AKL611"/>
      <c r="AKM611"/>
      <c r="AKN611"/>
      <c r="AKO611"/>
      <c r="AKP611"/>
      <c r="AKQ611"/>
      <c r="AKR611"/>
      <c r="AKS611"/>
      <c r="AKT611"/>
      <c r="AKU611"/>
      <c r="AKV611"/>
      <c r="AKW611"/>
      <c r="AKX611"/>
      <c r="AKY611"/>
      <c r="AKZ611"/>
      <c r="ALA611"/>
      <c r="ALB611"/>
      <c r="ALC611"/>
      <c r="ALD611"/>
      <c r="ALE611"/>
      <c r="ALF611"/>
      <c r="ALG611"/>
      <c r="ALH611"/>
      <c r="ALI611"/>
      <c r="ALJ611"/>
      <c r="ALK611"/>
      <c r="ALL611"/>
      <c r="ALM611"/>
      <c r="ALN611"/>
      <c r="ALO611"/>
      <c r="ALP611"/>
      <c r="ALQ611"/>
      <c r="ALR611"/>
      <c r="ALS611"/>
      <c r="ALT611"/>
      <c r="ALU611"/>
      <c r="ALV611"/>
      <c r="ALW611"/>
      <c r="ALX611"/>
      <c r="ALY611"/>
      <c r="ALZ611"/>
      <c r="AMA611"/>
      <c r="AMB611"/>
      <c r="AMC611"/>
      <c r="AMD611"/>
      <c r="AME611"/>
      <c r="AMF611"/>
      <c r="AMG611"/>
      <c r="AMH611"/>
      <c r="AMI611"/>
      <c r="AMJ611"/>
      <c r="AMK611"/>
      <c r="AML611"/>
      <c r="AMM611"/>
      <c r="AMN611"/>
      <c r="AMO611"/>
      <c r="AMP611"/>
      <c r="AMQ611"/>
      <c r="AMR611"/>
      <c r="AMS611"/>
      <c r="AMT611"/>
      <c r="AMU611"/>
      <c r="AMV611"/>
      <c r="AMW611"/>
      <c r="AMX611"/>
      <c r="AMY611"/>
      <c r="AMZ611"/>
      <c r="ANA611"/>
      <c r="ANB611"/>
      <c r="ANC611"/>
      <c r="AND611"/>
      <c r="ANE611"/>
      <c r="ANF611"/>
      <c r="ANG611"/>
      <c r="ANH611"/>
      <c r="ANI611"/>
      <c r="ANJ611"/>
      <c r="ANK611"/>
      <c r="ANL611"/>
      <c r="ANM611"/>
      <c r="ANN611"/>
      <c r="ANO611"/>
      <c r="ANP611"/>
      <c r="ANQ611"/>
      <c r="ANR611"/>
      <c r="ANS611"/>
      <c r="ANT611"/>
      <c r="ANU611"/>
      <c r="ANV611"/>
      <c r="ANW611"/>
      <c r="ANX611"/>
      <c r="ANY611"/>
      <c r="ANZ611"/>
      <c r="AOA611"/>
      <c r="AOB611"/>
      <c r="AOC611"/>
      <c r="AOD611"/>
      <c r="AOE611"/>
      <c r="AOF611"/>
      <c r="AOG611"/>
      <c r="AOH611"/>
      <c r="AOI611"/>
      <c r="AOJ611"/>
      <c r="AOK611"/>
      <c r="AOL611"/>
      <c r="AOM611"/>
      <c r="AON611"/>
      <c r="AOO611"/>
      <c r="AOP611"/>
      <c r="AOQ611"/>
      <c r="AOR611"/>
      <c r="AOS611"/>
      <c r="AOT611"/>
      <c r="AOU611"/>
      <c r="AOV611"/>
      <c r="AOW611"/>
      <c r="AOX611"/>
      <c r="AOY611"/>
      <c r="AOZ611"/>
      <c r="APA611"/>
      <c r="APB611"/>
      <c r="APC611"/>
      <c r="APD611"/>
      <c r="APE611"/>
      <c r="APF611"/>
      <c r="APG611"/>
      <c r="APH611"/>
      <c r="API611"/>
      <c r="APJ611"/>
      <c r="APK611"/>
      <c r="APL611"/>
      <c r="APM611"/>
      <c r="APN611"/>
      <c r="APO611"/>
      <c r="APP611"/>
      <c r="APQ611"/>
      <c r="APR611"/>
      <c r="APS611"/>
      <c r="APT611"/>
      <c r="APU611"/>
      <c r="APV611"/>
      <c r="APW611"/>
      <c r="APX611"/>
      <c r="APY611"/>
      <c r="APZ611"/>
      <c r="AQA611"/>
      <c r="AQB611"/>
      <c r="AQC611"/>
      <c r="AQD611"/>
      <c r="AQE611"/>
      <c r="AQF611"/>
      <c r="AQG611"/>
      <c r="AQH611"/>
      <c r="AQI611"/>
      <c r="AQJ611"/>
      <c r="AQK611"/>
      <c r="AQL611"/>
      <c r="AQM611"/>
      <c r="AQN611"/>
      <c r="AQO611"/>
      <c r="AQP611"/>
      <c r="AQQ611"/>
      <c r="AQR611"/>
      <c r="AQS611"/>
      <c r="AQT611"/>
      <c r="AQU611"/>
      <c r="AQV611"/>
      <c r="AQW611"/>
      <c r="AQX611"/>
      <c r="AQY611"/>
      <c r="AQZ611"/>
      <c r="ARA611"/>
      <c r="ARB611"/>
      <c r="ARC611"/>
      <c r="ARD611"/>
      <c r="ARE611"/>
      <c r="ARF611"/>
      <c r="ARG611"/>
      <c r="ARH611"/>
      <c r="ARI611"/>
      <c r="ARJ611"/>
      <c r="ARK611"/>
      <c r="ARL611"/>
      <c r="ARM611"/>
      <c r="ARN611"/>
      <c r="ARO611"/>
      <c r="ARP611"/>
      <c r="ARQ611"/>
      <c r="ARR611"/>
      <c r="ARS611"/>
      <c r="ART611"/>
      <c r="ARU611"/>
      <c r="ARV611"/>
      <c r="ARW611"/>
      <c r="ARX611"/>
      <c r="ARY611"/>
      <c r="ARZ611"/>
      <c r="ASA611"/>
      <c r="ASB611"/>
      <c r="ASC611"/>
      <c r="ASD611"/>
      <c r="ASE611"/>
      <c r="ASF611"/>
      <c r="ASG611"/>
      <c r="ASH611"/>
      <c r="ASI611"/>
      <c r="ASJ611"/>
      <c r="ASK611"/>
      <c r="ASL611"/>
      <c r="ASM611"/>
      <c r="ASN611"/>
      <c r="ASO611"/>
      <c r="ASP611"/>
      <c r="ASQ611"/>
      <c r="ASR611"/>
      <c r="ASS611"/>
      <c r="AST611"/>
      <c r="ASU611"/>
      <c r="ASV611"/>
      <c r="ASW611"/>
      <c r="ASX611"/>
      <c r="ASY611"/>
      <c r="ASZ611"/>
      <c r="ATA611"/>
      <c r="ATB611"/>
      <c r="ATC611"/>
      <c r="ATD611"/>
      <c r="ATE611"/>
      <c r="ATF611"/>
      <c r="ATG611"/>
      <c r="ATH611"/>
      <c r="ATI611"/>
      <c r="ATJ611"/>
      <c r="ATK611"/>
      <c r="ATL611"/>
      <c r="ATM611"/>
      <c r="ATN611"/>
      <c r="ATO611"/>
      <c r="ATP611"/>
      <c r="ATQ611"/>
      <c r="ATR611"/>
      <c r="ATS611"/>
      <c r="ATT611"/>
      <c r="ATU611"/>
      <c r="ATV611"/>
      <c r="ATW611"/>
      <c r="ATX611"/>
      <c r="ATY611"/>
      <c r="ATZ611"/>
      <c r="AUA611"/>
      <c r="AUB611"/>
      <c r="AUC611"/>
      <c r="AUD611"/>
      <c r="AUE611"/>
      <c r="AUF611"/>
      <c r="AUG611"/>
      <c r="AUH611"/>
      <c r="AUI611"/>
      <c r="AUJ611"/>
      <c r="AUK611"/>
      <c r="AUL611"/>
      <c r="AUM611"/>
      <c r="AUN611"/>
      <c r="AUO611"/>
      <c r="AUP611"/>
      <c r="AUQ611"/>
      <c r="AUR611"/>
      <c r="AUS611"/>
      <c r="AUT611"/>
      <c r="AUU611"/>
      <c r="AUV611"/>
      <c r="AUW611"/>
      <c r="AUX611"/>
      <c r="AUY611"/>
      <c r="AUZ611"/>
      <c r="AVA611"/>
      <c r="AVB611"/>
      <c r="AVC611"/>
      <c r="AVD611"/>
      <c r="AVE611"/>
      <c r="AVF611"/>
      <c r="AVG611"/>
      <c r="AVH611"/>
      <c r="AVI611"/>
      <c r="AVJ611"/>
      <c r="AVK611"/>
      <c r="AVL611"/>
      <c r="AVM611"/>
      <c r="AVN611"/>
      <c r="AVO611"/>
      <c r="AVP611"/>
      <c r="AVQ611"/>
      <c r="AVR611"/>
      <c r="AVS611"/>
      <c r="AVT611"/>
      <c r="AVU611"/>
      <c r="AVV611"/>
      <c r="AVW611"/>
      <c r="AVX611"/>
      <c r="AVY611"/>
      <c r="AVZ611"/>
      <c r="AWA611"/>
      <c r="AWB611"/>
      <c r="AWC611"/>
      <c r="AWD611"/>
      <c r="AWE611"/>
      <c r="AWF611"/>
      <c r="AWG611"/>
      <c r="AWH611"/>
      <c r="AWI611"/>
      <c r="AWJ611"/>
      <c r="AWK611"/>
      <c r="AWL611"/>
      <c r="AWM611"/>
      <c r="AWN611"/>
      <c r="AWO611"/>
      <c r="AWP611"/>
      <c r="AWQ611"/>
      <c r="AWR611"/>
      <c r="AWS611"/>
      <c r="AWT611"/>
      <c r="AWU611"/>
      <c r="AWV611"/>
      <c r="AWW611"/>
      <c r="AWX611"/>
      <c r="AWY611"/>
      <c r="AWZ611"/>
      <c r="AXA611"/>
      <c r="AXB611"/>
      <c r="AXC611"/>
      <c r="AXD611"/>
      <c r="AXE611"/>
      <c r="AXF611"/>
      <c r="AXG611"/>
      <c r="AXH611"/>
      <c r="AXI611"/>
      <c r="AXJ611"/>
      <c r="AXK611"/>
      <c r="AXL611"/>
      <c r="AXM611"/>
      <c r="AXN611"/>
      <c r="AXO611"/>
      <c r="AXP611"/>
      <c r="AXQ611"/>
      <c r="AXR611"/>
      <c r="AXS611"/>
      <c r="AXT611"/>
      <c r="AXU611"/>
      <c r="AXV611"/>
      <c r="AXW611"/>
      <c r="AXX611"/>
      <c r="AXY611"/>
      <c r="AXZ611"/>
      <c r="AYA611"/>
      <c r="AYB611"/>
      <c r="AYC611"/>
      <c r="AYD611"/>
      <c r="AYE611"/>
      <c r="AYF611"/>
      <c r="AYG611"/>
      <c r="AYH611"/>
      <c r="AYI611"/>
      <c r="AYJ611"/>
      <c r="AYK611"/>
      <c r="AYL611"/>
      <c r="AYM611"/>
      <c r="AYN611"/>
      <c r="AYO611"/>
      <c r="AYP611"/>
      <c r="AYQ611"/>
      <c r="AYR611"/>
      <c r="AYS611"/>
      <c r="AYT611"/>
      <c r="AYU611"/>
      <c r="AYV611"/>
      <c r="AYW611"/>
      <c r="AYX611"/>
      <c r="AYY611"/>
      <c r="AYZ611"/>
      <c r="AZA611"/>
      <c r="AZB611"/>
      <c r="AZC611"/>
      <c r="AZD611"/>
      <c r="AZE611"/>
      <c r="AZF611"/>
      <c r="AZG611"/>
      <c r="AZH611"/>
      <c r="AZI611"/>
      <c r="AZJ611"/>
      <c r="AZK611"/>
      <c r="AZL611"/>
      <c r="AZM611"/>
      <c r="AZN611"/>
      <c r="AZO611"/>
      <c r="AZP611"/>
      <c r="AZQ611"/>
      <c r="AZR611"/>
      <c r="AZS611"/>
      <c r="AZT611"/>
      <c r="AZU611"/>
      <c r="AZV611"/>
      <c r="AZW611"/>
      <c r="AZX611"/>
      <c r="AZY611"/>
      <c r="AZZ611"/>
      <c r="BAA611"/>
      <c r="BAB611"/>
      <c r="BAC611"/>
      <c r="BAD611"/>
      <c r="BAE611"/>
      <c r="BAF611"/>
      <c r="BAG611"/>
      <c r="BAH611"/>
      <c r="BAI611"/>
      <c r="BAJ611"/>
      <c r="BAK611"/>
      <c r="BAL611"/>
      <c r="BAM611"/>
      <c r="BAN611"/>
      <c r="BAO611"/>
      <c r="BAP611"/>
      <c r="BAQ611"/>
      <c r="BAR611"/>
      <c r="BAS611"/>
      <c r="BAT611"/>
      <c r="BAU611"/>
      <c r="BAV611"/>
      <c r="BAW611"/>
      <c r="BAX611"/>
      <c r="BAY611"/>
      <c r="BAZ611"/>
      <c r="BBA611"/>
      <c r="BBB611"/>
      <c r="BBC611"/>
      <c r="BBD611"/>
      <c r="BBE611"/>
      <c r="BBF611"/>
      <c r="BBG611"/>
      <c r="BBH611"/>
      <c r="BBI611"/>
      <c r="BBJ611"/>
      <c r="BBK611"/>
      <c r="BBL611"/>
      <c r="BBM611"/>
      <c r="BBN611"/>
      <c r="BBO611"/>
      <c r="BBP611"/>
      <c r="BBQ611"/>
      <c r="BBR611"/>
      <c r="BBS611"/>
      <c r="BBT611"/>
      <c r="BBU611"/>
      <c r="BBV611"/>
      <c r="BBW611"/>
      <c r="BBX611"/>
      <c r="BBY611"/>
      <c r="BBZ611"/>
      <c r="BCA611"/>
      <c r="BCB611"/>
      <c r="BCC611"/>
      <c r="BCD611"/>
      <c r="BCE611"/>
      <c r="BCF611"/>
      <c r="BCG611"/>
      <c r="BCH611"/>
      <c r="BCI611"/>
      <c r="BCJ611"/>
      <c r="BCK611"/>
      <c r="BCL611"/>
      <c r="BCM611"/>
      <c r="BCN611"/>
      <c r="BCO611"/>
      <c r="BCP611"/>
      <c r="BCQ611"/>
      <c r="BCR611"/>
      <c r="BCS611"/>
      <c r="BCT611"/>
      <c r="BCU611"/>
      <c r="BCV611"/>
      <c r="BCW611"/>
      <c r="BCX611"/>
      <c r="BCY611"/>
      <c r="BCZ611"/>
      <c r="BDA611"/>
      <c r="BDB611"/>
      <c r="BDC611"/>
      <c r="BDD611"/>
      <c r="BDE611"/>
      <c r="BDF611"/>
      <c r="BDG611"/>
      <c r="BDH611"/>
      <c r="BDI611"/>
      <c r="BDJ611"/>
      <c r="BDK611"/>
      <c r="BDL611"/>
      <c r="BDM611"/>
      <c r="BDN611"/>
      <c r="BDO611"/>
      <c r="BDP611"/>
      <c r="BDQ611"/>
      <c r="BDR611"/>
      <c r="BDS611"/>
      <c r="BDT611"/>
      <c r="BDU611"/>
      <c r="BDV611"/>
      <c r="BDW611"/>
      <c r="BDX611"/>
      <c r="BDY611"/>
      <c r="BDZ611"/>
      <c r="BEA611"/>
      <c r="BEB611"/>
      <c r="BEC611"/>
      <c r="BED611"/>
      <c r="BEE611"/>
      <c r="BEF611"/>
      <c r="BEG611"/>
      <c r="BEH611"/>
      <c r="BEI611"/>
      <c r="BEJ611"/>
      <c r="BEK611"/>
      <c r="BEL611"/>
      <c r="BEM611"/>
      <c r="BEN611"/>
      <c r="BEO611"/>
      <c r="BEP611"/>
      <c r="BEQ611"/>
      <c r="BER611"/>
      <c r="BES611"/>
      <c r="BET611"/>
      <c r="BEU611"/>
      <c r="BEV611"/>
      <c r="BEW611"/>
      <c r="BEX611"/>
      <c r="BEY611"/>
      <c r="BEZ611"/>
      <c r="BFA611"/>
      <c r="BFB611"/>
      <c r="BFC611"/>
      <c r="BFD611"/>
      <c r="BFE611"/>
      <c r="BFF611"/>
      <c r="BFG611"/>
      <c r="BFH611"/>
      <c r="BFI611"/>
      <c r="BFJ611"/>
      <c r="BFK611"/>
      <c r="BFL611"/>
      <c r="BFM611"/>
      <c r="BFN611"/>
      <c r="BFO611"/>
      <c r="BFP611"/>
      <c r="BFQ611"/>
      <c r="BFR611"/>
      <c r="BFS611"/>
      <c r="BFT611"/>
      <c r="BFU611"/>
      <c r="BFV611"/>
      <c r="BFW611"/>
      <c r="BFX611"/>
      <c r="BFY611"/>
      <c r="BFZ611"/>
      <c r="BGA611"/>
      <c r="BGB611"/>
      <c r="BGC611"/>
      <c r="BGD611"/>
      <c r="BGE611"/>
      <c r="BGF611"/>
      <c r="BGG611"/>
      <c r="BGH611"/>
      <c r="BGI611"/>
      <c r="BGJ611"/>
      <c r="BGK611"/>
      <c r="BGL611"/>
      <c r="BGM611"/>
      <c r="BGN611"/>
      <c r="BGO611"/>
      <c r="BGP611"/>
      <c r="BGQ611"/>
      <c r="BGR611"/>
      <c r="BGS611"/>
      <c r="BGT611"/>
      <c r="BGU611"/>
      <c r="BGV611"/>
      <c r="BGW611"/>
      <c r="BGX611"/>
      <c r="BGY611"/>
      <c r="BGZ611"/>
      <c r="BHA611"/>
      <c r="BHB611"/>
      <c r="BHC611"/>
      <c r="BHD611"/>
      <c r="BHE611"/>
      <c r="BHF611"/>
      <c r="BHG611"/>
      <c r="BHH611"/>
      <c r="BHI611"/>
      <c r="BHJ611"/>
      <c r="BHK611"/>
      <c r="BHL611"/>
      <c r="BHM611"/>
      <c r="BHN611"/>
      <c r="BHO611"/>
      <c r="BHP611"/>
      <c r="BHQ611"/>
      <c r="BHR611"/>
      <c r="BHS611"/>
      <c r="BHT611"/>
      <c r="BHU611"/>
      <c r="BHV611"/>
      <c r="BHW611"/>
      <c r="BHX611"/>
      <c r="BHY611"/>
      <c r="BHZ611"/>
      <c r="BIA611"/>
      <c r="BIB611"/>
      <c r="BIC611"/>
      <c r="BID611"/>
      <c r="BIE611"/>
      <c r="BIF611"/>
      <c r="BIG611"/>
      <c r="BIH611"/>
      <c r="BII611"/>
      <c r="BIJ611"/>
      <c r="BIK611"/>
      <c r="BIL611"/>
      <c r="BIM611"/>
      <c r="BIN611"/>
      <c r="BIO611"/>
      <c r="BIP611"/>
      <c r="BIQ611"/>
      <c r="BIR611"/>
      <c r="BIS611"/>
      <c r="BIT611"/>
      <c r="BIU611"/>
      <c r="BIV611"/>
      <c r="BIW611"/>
      <c r="BIX611"/>
      <c r="BIY611"/>
      <c r="BIZ611"/>
      <c r="BJA611"/>
      <c r="BJB611"/>
      <c r="BJC611"/>
      <c r="BJD611"/>
      <c r="BJE611"/>
      <c r="BJF611"/>
      <c r="BJG611"/>
      <c r="BJH611"/>
      <c r="BJI611"/>
      <c r="BJJ611"/>
      <c r="BJK611"/>
      <c r="BJL611"/>
      <c r="BJM611"/>
      <c r="BJN611"/>
      <c r="BJO611"/>
      <c r="BJP611"/>
      <c r="BJQ611"/>
      <c r="BJR611"/>
      <c r="BJS611"/>
      <c r="BJT611"/>
      <c r="BJU611"/>
      <c r="BJV611"/>
      <c r="BJW611"/>
      <c r="BJX611"/>
      <c r="BJY611"/>
      <c r="BJZ611"/>
      <c r="BKA611"/>
      <c r="BKB611"/>
      <c r="BKC611"/>
      <c r="BKD611"/>
      <c r="BKE611"/>
      <c r="BKF611"/>
      <c r="BKG611"/>
      <c r="BKH611"/>
      <c r="BKI611"/>
      <c r="BKJ611"/>
      <c r="BKK611"/>
      <c r="BKL611"/>
      <c r="BKM611"/>
      <c r="BKN611"/>
      <c r="BKO611"/>
      <c r="BKP611"/>
      <c r="BKQ611"/>
      <c r="BKR611"/>
      <c r="BKS611"/>
      <c r="BKT611"/>
      <c r="BKU611"/>
      <c r="BKV611"/>
      <c r="BKW611"/>
      <c r="BKX611"/>
      <c r="BKY611"/>
      <c r="BKZ611"/>
      <c r="BLA611"/>
      <c r="BLB611"/>
      <c r="BLC611"/>
      <c r="BLD611"/>
      <c r="BLE611"/>
      <c r="BLF611"/>
      <c r="BLG611"/>
      <c r="BLH611"/>
      <c r="BLI611"/>
      <c r="BLJ611"/>
      <c r="BLK611"/>
      <c r="BLL611"/>
      <c r="BLM611"/>
      <c r="BLN611"/>
      <c r="BLO611"/>
      <c r="BLP611"/>
      <c r="BLQ611"/>
      <c r="BLR611"/>
      <c r="BLS611"/>
      <c r="BLT611"/>
      <c r="BLU611"/>
      <c r="BLV611"/>
      <c r="BLW611"/>
      <c r="BLX611"/>
      <c r="BLY611"/>
      <c r="BLZ611"/>
      <c r="BMA611"/>
      <c r="BMB611"/>
      <c r="BMC611"/>
      <c r="BMD611"/>
      <c r="BME611"/>
      <c r="BMF611"/>
      <c r="BMG611"/>
      <c r="BMH611"/>
      <c r="BMI611"/>
      <c r="BMJ611"/>
      <c r="BMK611"/>
      <c r="BML611"/>
      <c r="BMM611"/>
      <c r="BMN611"/>
      <c r="BMO611"/>
      <c r="BMP611"/>
      <c r="BMQ611"/>
      <c r="BMR611"/>
      <c r="BMS611"/>
      <c r="BMT611"/>
      <c r="BMU611"/>
      <c r="BMV611"/>
      <c r="BMW611"/>
      <c r="BMX611"/>
      <c r="BMY611"/>
      <c r="BMZ611"/>
      <c r="BNA611"/>
      <c r="BNB611"/>
      <c r="BNC611"/>
      <c r="BND611"/>
      <c r="BNE611"/>
      <c r="BNF611"/>
      <c r="BNG611"/>
      <c r="BNH611"/>
      <c r="BNI611"/>
      <c r="BNJ611"/>
      <c r="BNK611"/>
      <c r="BNL611"/>
      <c r="BNM611"/>
      <c r="BNN611"/>
      <c r="BNO611"/>
      <c r="BNP611"/>
      <c r="BNQ611"/>
      <c r="BNR611"/>
      <c r="BNS611"/>
      <c r="BNT611"/>
      <c r="BNU611"/>
      <c r="BNV611"/>
      <c r="BNW611"/>
      <c r="BNX611"/>
      <c r="BNY611"/>
      <c r="BNZ611"/>
      <c r="BOA611"/>
      <c r="BOB611"/>
      <c r="BOC611"/>
      <c r="BOD611"/>
      <c r="BOE611"/>
      <c r="BOF611"/>
      <c r="BOG611"/>
      <c r="BOH611"/>
      <c r="BOI611"/>
      <c r="BOJ611"/>
      <c r="BOK611"/>
      <c r="BOL611"/>
      <c r="BOM611"/>
      <c r="BON611"/>
      <c r="BOO611"/>
      <c r="BOP611"/>
      <c r="BOQ611"/>
      <c r="BOR611"/>
      <c r="BOS611"/>
      <c r="BOT611"/>
      <c r="BOU611"/>
      <c r="BOV611"/>
      <c r="BOW611"/>
      <c r="BOX611"/>
      <c r="BOY611"/>
      <c r="BOZ611"/>
      <c r="BPA611"/>
      <c r="BPB611"/>
      <c r="BPC611"/>
      <c r="BPD611"/>
      <c r="BPE611"/>
      <c r="BPF611"/>
      <c r="BPG611"/>
      <c r="BPH611"/>
      <c r="BPI611"/>
      <c r="BPJ611"/>
      <c r="BPK611"/>
      <c r="BPL611"/>
      <c r="BPM611"/>
      <c r="BPN611"/>
      <c r="BPO611"/>
      <c r="BPP611"/>
      <c r="BPQ611"/>
      <c r="BPR611"/>
      <c r="BPS611"/>
      <c r="BPT611"/>
      <c r="BPU611"/>
      <c r="BPV611"/>
      <c r="BPW611"/>
      <c r="BPX611"/>
      <c r="BPY611"/>
      <c r="BPZ611"/>
      <c r="BQA611"/>
      <c r="BQB611"/>
      <c r="BQC611"/>
      <c r="BQD611"/>
      <c r="BQE611"/>
      <c r="BQF611"/>
      <c r="BQG611"/>
      <c r="BQH611"/>
      <c r="BQI611"/>
      <c r="BQJ611"/>
      <c r="BQK611"/>
      <c r="BQL611"/>
      <c r="BQM611"/>
      <c r="BQN611"/>
      <c r="BQO611"/>
      <c r="BQP611"/>
      <c r="BQQ611"/>
      <c r="BQR611"/>
      <c r="BQS611"/>
      <c r="BQT611"/>
      <c r="BQU611"/>
      <c r="BQV611"/>
      <c r="BQW611"/>
      <c r="BQX611"/>
      <c r="BQY611"/>
      <c r="BQZ611"/>
      <c r="BRA611"/>
      <c r="BRB611"/>
      <c r="BRC611"/>
      <c r="BRD611"/>
      <c r="BRE611"/>
      <c r="BRF611"/>
      <c r="BRG611"/>
      <c r="BRH611"/>
      <c r="BRI611"/>
      <c r="BRJ611"/>
      <c r="BRK611"/>
      <c r="BRL611"/>
      <c r="BRM611"/>
      <c r="BRN611"/>
      <c r="BRO611"/>
      <c r="BRP611"/>
      <c r="BRQ611"/>
      <c r="BRR611"/>
      <c r="BRS611"/>
      <c r="BRT611"/>
      <c r="BRU611"/>
      <c r="BRV611"/>
      <c r="BRW611"/>
      <c r="BRX611"/>
      <c r="BRY611"/>
      <c r="BRZ611"/>
      <c r="BSA611"/>
      <c r="BSB611"/>
      <c r="BSC611"/>
      <c r="BSD611"/>
      <c r="BSE611"/>
      <c r="BSF611"/>
      <c r="BSG611"/>
      <c r="BSH611"/>
      <c r="BSI611"/>
      <c r="BSJ611"/>
      <c r="BSK611"/>
      <c r="BSL611"/>
      <c r="BSM611"/>
      <c r="BSN611"/>
      <c r="BSO611"/>
      <c r="BSP611"/>
      <c r="BSQ611"/>
      <c r="BSR611"/>
      <c r="BSS611"/>
      <c r="BST611"/>
      <c r="BSU611"/>
      <c r="BSV611"/>
      <c r="BSW611"/>
      <c r="BSX611"/>
      <c r="BSY611"/>
      <c r="BSZ611"/>
      <c r="BTA611"/>
      <c r="BTB611"/>
      <c r="BTC611"/>
      <c r="BTD611"/>
      <c r="BTE611"/>
      <c r="BTF611"/>
      <c r="BTG611"/>
      <c r="BTH611"/>
      <c r="BTI611"/>
      <c r="BTJ611"/>
      <c r="BTK611"/>
      <c r="BTL611"/>
      <c r="BTM611"/>
      <c r="BTN611"/>
      <c r="BTO611"/>
      <c r="BTP611"/>
      <c r="BTQ611"/>
      <c r="BTR611"/>
      <c r="BTS611"/>
      <c r="BTT611"/>
      <c r="BTU611"/>
      <c r="BTV611"/>
      <c r="BTW611"/>
      <c r="BTX611"/>
      <c r="BTY611"/>
      <c r="BTZ611"/>
      <c r="BUA611"/>
      <c r="BUB611"/>
      <c r="BUC611"/>
      <c r="BUD611"/>
      <c r="BUE611"/>
      <c r="BUF611"/>
      <c r="BUG611"/>
      <c r="BUH611"/>
      <c r="BUI611"/>
      <c r="BUJ611"/>
      <c r="BUK611"/>
      <c r="BUL611"/>
      <c r="BUM611"/>
      <c r="BUN611"/>
      <c r="BUO611"/>
      <c r="BUP611"/>
      <c r="BUQ611"/>
      <c r="BUR611"/>
      <c r="BUS611"/>
      <c r="BUT611"/>
      <c r="BUU611"/>
      <c r="BUV611"/>
      <c r="BUW611"/>
      <c r="BUX611"/>
      <c r="BUY611"/>
      <c r="BUZ611"/>
      <c r="BVA611"/>
      <c r="BVB611"/>
      <c r="BVC611"/>
      <c r="BVD611"/>
      <c r="BVE611"/>
      <c r="BVF611"/>
      <c r="BVG611"/>
      <c r="BVH611"/>
      <c r="BVI611"/>
      <c r="BVJ611"/>
      <c r="BVK611"/>
      <c r="BVL611"/>
      <c r="BVM611"/>
      <c r="BVN611"/>
      <c r="BVO611"/>
      <c r="BVP611"/>
      <c r="BVQ611"/>
      <c r="BVR611"/>
      <c r="BVS611"/>
      <c r="BVT611"/>
      <c r="BVU611"/>
      <c r="BVV611"/>
      <c r="BVW611"/>
      <c r="BVX611"/>
      <c r="BVY611"/>
      <c r="BVZ611"/>
      <c r="BWA611"/>
      <c r="BWB611"/>
      <c r="BWC611"/>
      <c r="BWD611"/>
      <c r="BWE611"/>
      <c r="BWF611"/>
      <c r="BWG611"/>
      <c r="BWH611"/>
      <c r="BWI611"/>
      <c r="BWJ611"/>
      <c r="BWK611"/>
      <c r="BWL611"/>
      <c r="BWM611"/>
      <c r="BWN611"/>
      <c r="BWO611"/>
      <c r="BWP611"/>
      <c r="BWQ611"/>
      <c r="BWR611"/>
      <c r="BWS611"/>
      <c r="BWT611"/>
      <c r="BWU611"/>
      <c r="BWV611"/>
      <c r="BWW611"/>
      <c r="BWX611"/>
      <c r="BWY611"/>
      <c r="BWZ611"/>
      <c r="BXA611"/>
      <c r="BXB611"/>
      <c r="BXC611"/>
      <c r="BXD611"/>
      <c r="BXE611"/>
      <c r="BXF611"/>
      <c r="BXG611"/>
      <c r="BXH611"/>
      <c r="BXI611"/>
      <c r="BXJ611"/>
      <c r="BXK611"/>
      <c r="BXL611"/>
      <c r="BXM611"/>
      <c r="BXN611"/>
      <c r="BXO611"/>
      <c r="BXP611"/>
      <c r="BXQ611"/>
      <c r="BXR611"/>
      <c r="BXS611"/>
      <c r="BXT611"/>
      <c r="BXU611"/>
      <c r="BXV611"/>
      <c r="BXW611"/>
      <c r="BXX611"/>
      <c r="BXY611"/>
      <c r="BXZ611"/>
      <c r="BYA611"/>
      <c r="BYB611"/>
      <c r="BYC611"/>
      <c r="BYD611"/>
      <c r="BYE611"/>
      <c r="BYF611"/>
      <c r="BYG611"/>
      <c r="BYH611"/>
      <c r="BYI611"/>
      <c r="BYJ611"/>
      <c r="BYK611"/>
      <c r="BYL611"/>
      <c r="BYM611"/>
      <c r="BYN611"/>
      <c r="BYO611"/>
      <c r="BYP611"/>
      <c r="BYQ611"/>
      <c r="BYR611"/>
      <c r="BYS611"/>
      <c r="BYT611"/>
      <c r="BYU611"/>
      <c r="BYV611"/>
      <c r="BYW611"/>
      <c r="BYX611"/>
      <c r="BYY611"/>
      <c r="BYZ611"/>
      <c r="BZA611"/>
      <c r="BZB611"/>
      <c r="BZC611"/>
      <c r="BZD611"/>
      <c r="BZE611"/>
      <c r="BZF611"/>
      <c r="BZG611"/>
      <c r="BZH611"/>
      <c r="BZI611"/>
      <c r="BZJ611"/>
      <c r="BZK611"/>
      <c r="BZL611"/>
      <c r="BZM611"/>
      <c r="BZN611"/>
      <c r="BZO611"/>
      <c r="BZP611"/>
      <c r="BZQ611"/>
      <c r="BZR611"/>
      <c r="BZS611"/>
      <c r="BZT611"/>
      <c r="BZU611"/>
      <c r="BZV611"/>
      <c r="BZW611"/>
      <c r="BZX611"/>
      <c r="BZY611"/>
      <c r="BZZ611"/>
      <c r="CAA611"/>
      <c r="CAB611"/>
      <c r="CAC611"/>
      <c r="CAD611"/>
      <c r="CAE611"/>
      <c r="CAF611"/>
      <c r="CAG611"/>
      <c r="CAH611"/>
      <c r="CAI611"/>
      <c r="CAJ611"/>
      <c r="CAK611"/>
      <c r="CAL611"/>
      <c r="CAM611"/>
      <c r="CAN611"/>
      <c r="CAO611"/>
      <c r="CAP611"/>
      <c r="CAQ611"/>
      <c r="CAR611"/>
      <c r="CAS611"/>
      <c r="CAT611"/>
      <c r="CAU611"/>
      <c r="CAV611"/>
      <c r="CAW611"/>
      <c r="CAX611"/>
      <c r="CAY611"/>
      <c r="CAZ611"/>
      <c r="CBA611"/>
      <c r="CBB611"/>
      <c r="CBC611"/>
      <c r="CBD611"/>
      <c r="CBE611"/>
      <c r="CBF611"/>
      <c r="CBG611"/>
      <c r="CBH611"/>
      <c r="CBI611"/>
      <c r="CBJ611"/>
      <c r="CBK611"/>
      <c r="CBL611"/>
      <c r="CBM611"/>
      <c r="CBN611"/>
      <c r="CBO611"/>
      <c r="CBP611"/>
      <c r="CBQ611"/>
      <c r="CBR611"/>
      <c r="CBS611"/>
      <c r="CBT611"/>
      <c r="CBU611"/>
      <c r="CBV611"/>
      <c r="CBW611"/>
      <c r="CBX611"/>
      <c r="CBY611"/>
      <c r="CBZ611"/>
      <c r="CCA611"/>
      <c r="CCB611"/>
      <c r="CCC611"/>
      <c r="CCD611"/>
      <c r="CCE611"/>
      <c r="CCF611"/>
      <c r="CCG611"/>
      <c r="CCH611"/>
      <c r="CCI611"/>
      <c r="CCJ611"/>
      <c r="CCK611"/>
      <c r="CCL611"/>
      <c r="CCM611"/>
      <c r="CCN611"/>
      <c r="CCO611"/>
      <c r="CCP611"/>
      <c r="CCQ611"/>
      <c r="CCR611"/>
      <c r="CCS611"/>
      <c r="CCT611"/>
      <c r="CCU611"/>
      <c r="CCV611"/>
      <c r="CCW611"/>
      <c r="CCX611"/>
      <c r="CCY611"/>
      <c r="CCZ611"/>
      <c r="CDA611"/>
      <c r="CDB611"/>
      <c r="CDC611"/>
      <c r="CDD611"/>
      <c r="CDE611"/>
      <c r="CDF611"/>
      <c r="CDG611"/>
      <c r="CDH611"/>
      <c r="CDI611"/>
      <c r="CDJ611"/>
      <c r="CDK611"/>
      <c r="CDL611"/>
      <c r="CDM611"/>
      <c r="CDN611"/>
      <c r="CDO611"/>
      <c r="CDP611"/>
      <c r="CDQ611"/>
      <c r="CDR611"/>
      <c r="CDS611"/>
      <c r="CDT611"/>
      <c r="CDU611"/>
      <c r="CDV611"/>
      <c r="CDW611"/>
      <c r="CDX611"/>
      <c r="CDY611"/>
      <c r="CDZ611"/>
      <c r="CEA611"/>
      <c r="CEB611"/>
      <c r="CEC611"/>
      <c r="CED611"/>
      <c r="CEE611"/>
      <c r="CEF611"/>
      <c r="CEG611"/>
      <c r="CEH611"/>
      <c r="CEI611"/>
      <c r="CEJ611"/>
      <c r="CEK611"/>
      <c r="CEL611"/>
      <c r="CEM611"/>
      <c r="CEN611"/>
      <c r="CEO611"/>
      <c r="CEP611"/>
      <c r="CEQ611"/>
      <c r="CER611"/>
      <c r="CES611"/>
      <c r="CET611"/>
      <c r="CEU611"/>
      <c r="CEV611"/>
      <c r="CEW611"/>
      <c r="CEX611"/>
      <c r="CEY611"/>
      <c r="CEZ611"/>
      <c r="CFA611"/>
      <c r="CFB611"/>
      <c r="CFC611"/>
      <c r="CFD611"/>
      <c r="CFE611"/>
      <c r="CFF611"/>
      <c r="CFG611"/>
      <c r="CFH611"/>
      <c r="CFI611"/>
      <c r="CFJ611"/>
      <c r="CFK611"/>
      <c r="CFL611"/>
      <c r="CFM611"/>
      <c r="CFN611"/>
      <c r="CFO611"/>
      <c r="CFP611"/>
      <c r="CFQ611"/>
      <c r="CFR611"/>
      <c r="CFS611"/>
      <c r="CFT611"/>
      <c r="CFU611"/>
      <c r="CFV611"/>
      <c r="CFW611"/>
      <c r="CFX611"/>
      <c r="CFY611"/>
      <c r="CFZ611"/>
      <c r="CGA611"/>
      <c r="CGB611"/>
      <c r="CGC611"/>
      <c r="CGD611"/>
      <c r="CGE611"/>
      <c r="CGF611"/>
      <c r="CGG611"/>
      <c r="CGH611"/>
      <c r="CGI611"/>
      <c r="CGJ611"/>
      <c r="CGK611"/>
      <c r="CGL611"/>
      <c r="CGM611"/>
      <c r="CGN611"/>
      <c r="CGO611"/>
      <c r="CGP611"/>
      <c r="CGQ611"/>
      <c r="CGR611"/>
      <c r="CGS611"/>
      <c r="CGT611"/>
      <c r="CGU611"/>
      <c r="CGV611"/>
      <c r="CGW611"/>
      <c r="CGX611"/>
      <c r="CGY611"/>
      <c r="CGZ611"/>
      <c r="CHA611"/>
      <c r="CHB611"/>
      <c r="CHC611"/>
      <c r="CHD611"/>
      <c r="CHE611"/>
      <c r="CHF611"/>
      <c r="CHG611"/>
      <c r="CHH611"/>
      <c r="CHI611"/>
      <c r="CHJ611"/>
      <c r="CHK611"/>
      <c r="CHL611"/>
      <c r="CHM611"/>
      <c r="CHN611"/>
      <c r="CHO611"/>
      <c r="CHP611"/>
      <c r="CHQ611"/>
      <c r="CHR611"/>
      <c r="CHS611"/>
      <c r="CHT611"/>
      <c r="CHU611"/>
      <c r="CHV611"/>
      <c r="CHW611"/>
      <c r="CHX611"/>
      <c r="CHY611"/>
      <c r="CHZ611"/>
      <c r="CIA611"/>
      <c r="CIB611"/>
      <c r="CIC611"/>
      <c r="CID611"/>
      <c r="CIE611"/>
      <c r="CIF611"/>
      <c r="CIG611"/>
      <c r="CIH611"/>
      <c r="CII611"/>
      <c r="CIJ611"/>
      <c r="CIK611"/>
      <c r="CIL611"/>
      <c r="CIM611"/>
      <c r="CIN611"/>
      <c r="CIO611"/>
      <c r="CIP611"/>
      <c r="CIQ611"/>
      <c r="CIR611"/>
      <c r="CIS611"/>
      <c r="CIT611"/>
      <c r="CIU611"/>
      <c r="CIV611"/>
      <c r="CIW611"/>
      <c r="CIX611"/>
      <c r="CIY611"/>
      <c r="CIZ611"/>
      <c r="CJA611"/>
      <c r="CJB611"/>
      <c r="CJC611"/>
      <c r="CJD611"/>
      <c r="CJE611"/>
      <c r="CJF611"/>
      <c r="CJG611"/>
      <c r="CJH611"/>
      <c r="CJI611"/>
      <c r="CJJ611"/>
      <c r="CJK611"/>
      <c r="CJL611"/>
      <c r="CJM611"/>
      <c r="CJN611"/>
      <c r="CJO611"/>
      <c r="CJP611"/>
      <c r="CJQ611"/>
      <c r="CJR611"/>
      <c r="CJS611"/>
      <c r="CJT611"/>
      <c r="CJU611"/>
      <c r="CJV611"/>
      <c r="CJW611"/>
      <c r="CJX611"/>
      <c r="CJY611"/>
      <c r="CJZ611"/>
      <c r="CKA611"/>
      <c r="CKB611"/>
      <c r="CKC611"/>
      <c r="CKD611"/>
      <c r="CKE611"/>
      <c r="CKF611"/>
      <c r="CKG611"/>
      <c r="CKH611"/>
      <c r="CKI611"/>
      <c r="CKJ611"/>
      <c r="CKK611"/>
      <c r="CKL611"/>
      <c r="CKM611"/>
      <c r="CKN611"/>
      <c r="CKO611"/>
      <c r="CKP611"/>
      <c r="CKQ611"/>
      <c r="CKR611"/>
      <c r="CKS611"/>
      <c r="CKT611"/>
      <c r="CKU611"/>
      <c r="CKV611"/>
      <c r="CKW611"/>
      <c r="CKX611"/>
      <c r="CKY611"/>
      <c r="CKZ611"/>
      <c r="CLA611"/>
      <c r="CLB611"/>
      <c r="CLC611"/>
      <c r="CLD611"/>
      <c r="CLE611"/>
      <c r="CLF611"/>
      <c r="CLG611"/>
      <c r="CLH611"/>
      <c r="CLI611"/>
      <c r="CLJ611"/>
      <c r="CLK611"/>
      <c r="CLL611"/>
      <c r="CLM611"/>
      <c r="CLN611"/>
      <c r="CLO611"/>
      <c r="CLP611"/>
      <c r="CLQ611"/>
      <c r="CLR611"/>
      <c r="CLS611"/>
      <c r="CLT611"/>
      <c r="CLU611"/>
      <c r="CLV611"/>
      <c r="CLW611"/>
      <c r="CLX611"/>
      <c r="CLY611"/>
      <c r="CLZ611"/>
      <c r="CMA611"/>
      <c r="CMB611"/>
      <c r="CMC611"/>
      <c r="CMD611"/>
      <c r="CME611"/>
      <c r="CMF611"/>
      <c r="CMG611"/>
      <c r="CMH611"/>
      <c r="CMI611"/>
      <c r="CMJ611"/>
      <c r="CMK611"/>
      <c r="CML611"/>
      <c r="CMM611"/>
      <c r="CMN611"/>
      <c r="CMO611"/>
      <c r="CMP611"/>
      <c r="CMQ611"/>
      <c r="CMR611"/>
      <c r="CMS611"/>
      <c r="CMT611"/>
      <c r="CMU611"/>
      <c r="CMV611"/>
      <c r="CMW611"/>
      <c r="CMX611"/>
      <c r="CMY611"/>
      <c r="CMZ611"/>
      <c r="CNA611"/>
      <c r="CNB611"/>
      <c r="CNC611"/>
      <c r="CND611"/>
      <c r="CNE611"/>
      <c r="CNF611"/>
      <c r="CNG611"/>
      <c r="CNH611"/>
      <c r="CNI611"/>
      <c r="CNJ611"/>
      <c r="CNK611"/>
      <c r="CNL611"/>
      <c r="CNM611"/>
      <c r="CNN611"/>
      <c r="CNO611"/>
      <c r="CNP611"/>
      <c r="CNQ611"/>
      <c r="CNR611"/>
      <c r="CNS611"/>
      <c r="CNT611"/>
      <c r="CNU611"/>
      <c r="CNV611"/>
      <c r="CNW611"/>
      <c r="CNX611"/>
      <c r="CNY611"/>
      <c r="CNZ611"/>
      <c r="COA611"/>
      <c r="COB611"/>
      <c r="COC611"/>
      <c r="COD611"/>
      <c r="COE611"/>
      <c r="COF611"/>
      <c r="COG611"/>
      <c r="COH611"/>
      <c r="COI611"/>
      <c r="COJ611"/>
      <c r="COK611"/>
      <c r="COL611"/>
      <c r="COM611"/>
      <c r="CON611"/>
      <c r="COO611"/>
      <c r="COP611"/>
      <c r="COQ611"/>
      <c r="COR611"/>
      <c r="COS611"/>
      <c r="COT611"/>
      <c r="COU611"/>
      <c r="COV611"/>
      <c r="COW611"/>
      <c r="COX611"/>
      <c r="COY611"/>
      <c r="COZ611"/>
      <c r="CPA611"/>
      <c r="CPB611"/>
      <c r="CPC611"/>
      <c r="CPD611"/>
      <c r="CPE611"/>
      <c r="CPF611"/>
      <c r="CPG611"/>
      <c r="CPH611"/>
      <c r="CPI611"/>
      <c r="CPJ611"/>
      <c r="CPK611"/>
      <c r="CPL611"/>
      <c r="CPM611"/>
      <c r="CPN611"/>
      <c r="CPO611"/>
      <c r="CPP611"/>
      <c r="CPQ611"/>
      <c r="CPR611"/>
      <c r="CPS611"/>
      <c r="CPT611"/>
      <c r="CPU611"/>
      <c r="CPV611"/>
      <c r="CPW611"/>
      <c r="CPX611"/>
      <c r="CPY611"/>
      <c r="CPZ611"/>
      <c r="CQA611"/>
      <c r="CQB611"/>
      <c r="CQC611"/>
      <c r="CQD611"/>
      <c r="CQE611"/>
      <c r="CQF611"/>
      <c r="CQG611"/>
      <c r="CQH611"/>
      <c r="CQI611"/>
      <c r="CQJ611"/>
      <c r="CQK611"/>
      <c r="CQL611"/>
      <c r="CQM611"/>
      <c r="CQN611"/>
      <c r="CQO611"/>
      <c r="CQP611"/>
      <c r="CQQ611"/>
      <c r="CQR611"/>
      <c r="CQS611"/>
      <c r="CQT611"/>
      <c r="CQU611"/>
      <c r="CQV611"/>
      <c r="CQW611"/>
      <c r="CQX611"/>
      <c r="CQY611"/>
      <c r="CQZ611"/>
      <c r="CRA611"/>
      <c r="CRB611"/>
      <c r="CRC611"/>
      <c r="CRD611"/>
      <c r="CRE611"/>
      <c r="CRF611"/>
      <c r="CRG611"/>
      <c r="CRH611"/>
      <c r="CRI611"/>
      <c r="CRJ611"/>
      <c r="CRK611"/>
      <c r="CRL611"/>
      <c r="CRM611"/>
      <c r="CRN611"/>
      <c r="CRO611"/>
      <c r="CRP611"/>
      <c r="CRQ611"/>
      <c r="CRR611"/>
      <c r="CRS611"/>
      <c r="CRT611"/>
      <c r="CRU611"/>
      <c r="CRV611"/>
      <c r="CRW611"/>
      <c r="CRX611"/>
      <c r="CRY611"/>
      <c r="CRZ611"/>
      <c r="CSA611"/>
      <c r="CSB611"/>
      <c r="CSC611"/>
      <c r="CSD611"/>
      <c r="CSE611"/>
      <c r="CSF611"/>
      <c r="CSG611"/>
      <c r="CSH611"/>
      <c r="CSI611"/>
      <c r="CSJ611"/>
      <c r="CSK611"/>
      <c r="CSL611"/>
      <c r="CSM611"/>
      <c r="CSN611"/>
      <c r="CSO611"/>
      <c r="CSP611"/>
      <c r="CSQ611"/>
      <c r="CSR611"/>
      <c r="CSS611"/>
      <c r="CST611"/>
      <c r="CSU611"/>
      <c r="CSV611"/>
      <c r="CSW611"/>
      <c r="CSX611"/>
      <c r="CSY611"/>
      <c r="CSZ611"/>
      <c r="CTA611"/>
      <c r="CTB611"/>
      <c r="CTC611"/>
      <c r="CTD611"/>
      <c r="CTE611"/>
      <c r="CTF611"/>
      <c r="CTG611"/>
      <c r="CTH611"/>
      <c r="CTI611"/>
      <c r="CTJ611"/>
      <c r="CTK611"/>
      <c r="CTL611"/>
      <c r="CTM611"/>
      <c r="CTN611"/>
      <c r="CTO611"/>
      <c r="CTP611"/>
      <c r="CTQ611"/>
      <c r="CTR611"/>
      <c r="CTS611"/>
      <c r="CTT611"/>
      <c r="CTU611"/>
      <c r="CTV611"/>
      <c r="CTW611"/>
      <c r="CTX611"/>
      <c r="CTY611"/>
      <c r="CTZ611"/>
      <c r="CUA611"/>
      <c r="CUB611"/>
      <c r="CUC611"/>
      <c r="CUD611"/>
      <c r="CUE611"/>
      <c r="CUF611"/>
      <c r="CUG611"/>
      <c r="CUH611"/>
      <c r="CUI611"/>
      <c r="CUJ611"/>
      <c r="CUK611"/>
      <c r="CUL611"/>
      <c r="CUM611"/>
      <c r="CUN611"/>
      <c r="CUO611"/>
      <c r="CUP611"/>
      <c r="CUQ611"/>
      <c r="CUR611"/>
      <c r="CUS611"/>
      <c r="CUT611"/>
      <c r="CUU611"/>
      <c r="CUV611"/>
      <c r="CUW611"/>
      <c r="CUX611"/>
      <c r="CUY611"/>
      <c r="CUZ611"/>
      <c r="CVA611"/>
      <c r="CVB611"/>
      <c r="CVC611"/>
      <c r="CVD611"/>
      <c r="CVE611"/>
      <c r="CVF611"/>
      <c r="CVG611"/>
      <c r="CVH611"/>
      <c r="CVI611"/>
      <c r="CVJ611"/>
      <c r="CVK611"/>
      <c r="CVL611"/>
      <c r="CVM611"/>
      <c r="CVN611"/>
      <c r="CVO611"/>
      <c r="CVP611"/>
      <c r="CVQ611"/>
      <c r="CVR611"/>
      <c r="CVS611"/>
      <c r="CVT611"/>
      <c r="CVU611"/>
      <c r="CVV611"/>
      <c r="CVW611"/>
      <c r="CVX611"/>
      <c r="CVY611"/>
      <c r="CVZ611"/>
      <c r="CWA611"/>
      <c r="CWB611"/>
      <c r="CWC611"/>
      <c r="CWD611"/>
      <c r="CWE611"/>
      <c r="CWF611"/>
      <c r="CWG611"/>
      <c r="CWH611"/>
      <c r="CWI611"/>
      <c r="CWJ611"/>
      <c r="CWK611"/>
      <c r="CWL611"/>
      <c r="CWM611"/>
      <c r="CWN611"/>
      <c r="CWO611"/>
      <c r="CWP611"/>
      <c r="CWQ611"/>
      <c r="CWR611"/>
      <c r="CWS611"/>
      <c r="CWT611"/>
      <c r="CWU611"/>
      <c r="CWV611"/>
      <c r="CWW611"/>
      <c r="CWX611"/>
      <c r="CWY611"/>
      <c r="CWZ611"/>
      <c r="CXA611"/>
      <c r="CXB611"/>
      <c r="CXC611"/>
      <c r="CXD611"/>
      <c r="CXE611"/>
      <c r="CXF611"/>
      <c r="CXG611"/>
      <c r="CXH611"/>
      <c r="CXI611"/>
      <c r="CXJ611"/>
      <c r="CXK611"/>
      <c r="CXL611"/>
      <c r="CXM611"/>
      <c r="CXN611"/>
      <c r="CXO611"/>
      <c r="CXP611"/>
      <c r="CXQ611"/>
      <c r="CXR611"/>
      <c r="CXS611"/>
      <c r="CXT611"/>
      <c r="CXU611"/>
      <c r="CXV611"/>
      <c r="CXW611"/>
      <c r="CXX611"/>
      <c r="CXY611"/>
      <c r="CXZ611"/>
      <c r="CYA611"/>
      <c r="CYB611"/>
      <c r="CYC611"/>
      <c r="CYD611"/>
      <c r="CYE611"/>
      <c r="CYF611"/>
      <c r="CYG611"/>
      <c r="CYH611"/>
      <c r="CYI611"/>
      <c r="CYJ611"/>
      <c r="CYK611"/>
      <c r="CYL611"/>
      <c r="CYM611"/>
      <c r="CYN611"/>
      <c r="CYO611"/>
      <c r="CYP611"/>
      <c r="CYQ611"/>
      <c r="CYR611"/>
      <c r="CYS611"/>
      <c r="CYT611"/>
      <c r="CYU611"/>
      <c r="CYV611"/>
      <c r="CYW611"/>
      <c r="CYX611"/>
      <c r="CYY611"/>
      <c r="CYZ611"/>
      <c r="CZA611"/>
      <c r="CZB611"/>
      <c r="CZC611"/>
      <c r="CZD611"/>
      <c r="CZE611"/>
      <c r="CZF611"/>
      <c r="CZG611"/>
      <c r="CZH611"/>
      <c r="CZI611"/>
      <c r="CZJ611"/>
      <c r="CZK611"/>
      <c r="CZL611"/>
      <c r="CZM611"/>
      <c r="CZN611"/>
      <c r="CZO611"/>
      <c r="CZP611"/>
      <c r="CZQ611"/>
      <c r="CZR611"/>
      <c r="CZS611"/>
      <c r="CZT611"/>
      <c r="CZU611"/>
      <c r="CZV611"/>
      <c r="CZW611"/>
      <c r="CZX611"/>
      <c r="CZY611"/>
      <c r="CZZ611"/>
      <c r="DAA611"/>
      <c r="DAB611"/>
      <c r="DAC611"/>
      <c r="DAD611"/>
      <c r="DAE611"/>
      <c r="DAF611"/>
      <c r="DAG611"/>
      <c r="DAH611"/>
      <c r="DAI611"/>
      <c r="DAJ611"/>
      <c r="DAK611"/>
      <c r="DAL611"/>
      <c r="DAM611"/>
      <c r="DAN611"/>
      <c r="DAO611"/>
      <c r="DAP611"/>
      <c r="DAQ611"/>
      <c r="DAR611"/>
      <c r="DAS611"/>
      <c r="DAT611"/>
      <c r="DAU611"/>
      <c r="DAV611"/>
      <c r="DAW611"/>
      <c r="DAX611"/>
      <c r="DAY611"/>
      <c r="DAZ611"/>
      <c r="DBA611"/>
      <c r="DBB611"/>
      <c r="DBC611"/>
      <c r="DBD611"/>
      <c r="DBE611"/>
      <c r="DBF611"/>
      <c r="DBG611"/>
      <c r="DBH611"/>
      <c r="DBI611"/>
      <c r="DBJ611"/>
      <c r="DBK611"/>
      <c r="DBL611"/>
      <c r="DBM611"/>
      <c r="DBN611"/>
      <c r="DBO611"/>
      <c r="DBP611"/>
      <c r="DBQ611"/>
      <c r="DBR611"/>
      <c r="DBS611"/>
      <c r="DBT611"/>
      <c r="DBU611"/>
      <c r="DBV611"/>
      <c r="DBW611"/>
      <c r="DBX611"/>
      <c r="DBY611"/>
      <c r="DBZ611"/>
      <c r="DCA611"/>
      <c r="DCB611"/>
      <c r="DCC611"/>
      <c r="DCD611"/>
      <c r="DCE611"/>
      <c r="DCF611"/>
      <c r="DCG611"/>
      <c r="DCH611"/>
      <c r="DCI611"/>
      <c r="DCJ611"/>
      <c r="DCK611"/>
      <c r="DCL611"/>
      <c r="DCM611"/>
      <c r="DCN611"/>
      <c r="DCO611"/>
      <c r="DCP611"/>
      <c r="DCQ611"/>
      <c r="DCR611"/>
      <c r="DCS611"/>
      <c r="DCT611"/>
      <c r="DCU611"/>
      <c r="DCV611"/>
      <c r="DCW611"/>
      <c r="DCX611"/>
      <c r="DCY611"/>
      <c r="DCZ611"/>
      <c r="DDA611"/>
      <c r="DDB611"/>
      <c r="DDC611"/>
      <c r="DDD611"/>
      <c r="DDE611"/>
      <c r="DDF611"/>
      <c r="DDG611"/>
      <c r="DDH611"/>
      <c r="DDI611"/>
      <c r="DDJ611"/>
      <c r="DDK611"/>
      <c r="DDL611"/>
      <c r="DDM611"/>
      <c r="DDN611"/>
      <c r="DDO611"/>
      <c r="DDP611"/>
      <c r="DDQ611"/>
      <c r="DDR611"/>
      <c r="DDS611"/>
      <c r="DDT611"/>
      <c r="DDU611"/>
      <c r="DDV611"/>
      <c r="DDW611"/>
      <c r="DDX611"/>
      <c r="DDY611"/>
      <c r="DDZ611"/>
      <c r="DEA611"/>
      <c r="DEB611"/>
      <c r="DEC611"/>
      <c r="DED611"/>
      <c r="DEE611"/>
      <c r="DEF611"/>
      <c r="DEG611"/>
      <c r="DEH611"/>
      <c r="DEI611"/>
      <c r="DEJ611"/>
      <c r="DEK611"/>
      <c r="DEL611"/>
      <c r="DEM611"/>
      <c r="DEN611"/>
      <c r="DEO611"/>
      <c r="DEP611"/>
      <c r="DEQ611"/>
      <c r="DER611"/>
      <c r="DES611"/>
      <c r="DET611"/>
      <c r="DEU611"/>
      <c r="DEV611"/>
      <c r="DEW611"/>
      <c r="DEX611"/>
      <c r="DEY611"/>
      <c r="DEZ611"/>
      <c r="DFA611"/>
      <c r="DFB611"/>
      <c r="DFC611"/>
      <c r="DFD611"/>
      <c r="DFE611"/>
      <c r="DFF611"/>
      <c r="DFG611"/>
      <c r="DFH611"/>
      <c r="DFI611"/>
      <c r="DFJ611"/>
      <c r="DFK611"/>
      <c r="DFL611"/>
      <c r="DFM611"/>
      <c r="DFN611"/>
      <c r="DFO611"/>
      <c r="DFP611"/>
      <c r="DFQ611"/>
      <c r="DFR611"/>
      <c r="DFS611"/>
      <c r="DFT611"/>
      <c r="DFU611"/>
      <c r="DFV611"/>
      <c r="DFW611"/>
      <c r="DFX611"/>
      <c r="DFY611"/>
      <c r="DFZ611"/>
      <c r="DGA611"/>
      <c r="DGB611"/>
      <c r="DGC611"/>
      <c r="DGD611"/>
      <c r="DGE611"/>
      <c r="DGF611"/>
      <c r="DGG611"/>
      <c r="DGH611"/>
      <c r="DGI611"/>
      <c r="DGJ611"/>
      <c r="DGK611"/>
      <c r="DGL611"/>
      <c r="DGM611"/>
      <c r="DGN611"/>
      <c r="DGO611"/>
      <c r="DGP611"/>
      <c r="DGQ611"/>
      <c r="DGR611"/>
      <c r="DGS611"/>
      <c r="DGT611"/>
      <c r="DGU611"/>
      <c r="DGV611"/>
      <c r="DGW611"/>
      <c r="DGX611"/>
      <c r="DGY611"/>
      <c r="DGZ611"/>
      <c r="DHA611"/>
      <c r="DHB611"/>
      <c r="DHC611"/>
      <c r="DHD611"/>
      <c r="DHE611"/>
      <c r="DHF611"/>
      <c r="DHG611"/>
      <c r="DHH611"/>
      <c r="DHI611"/>
      <c r="DHJ611"/>
      <c r="DHK611"/>
      <c r="DHL611"/>
      <c r="DHM611"/>
      <c r="DHN611"/>
      <c r="DHO611"/>
      <c r="DHP611"/>
      <c r="DHQ611"/>
      <c r="DHR611"/>
      <c r="DHS611"/>
      <c r="DHT611"/>
      <c r="DHU611"/>
      <c r="DHV611"/>
      <c r="DHW611"/>
      <c r="DHX611"/>
      <c r="DHY611"/>
      <c r="DHZ611"/>
      <c r="DIA611"/>
      <c r="DIB611"/>
      <c r="DIC611"/>
      <c r="DID611"/>
      <c r="DIE611"/>
      <c r="DIF611"/>
      <c r="DIG611"/>
      <c r="DIH611"/>
      <c r="DII611"/>
      <c r="DIJ611"/>
      <c r="DIK611"/>
      <c r="DIL611"/>
      <c r="DIM611"/>
      <c r="DIN611"/>
      <c r="DIO611"/>
      <c r="DIP611"/>
      <c r="DIQ611"/>
      <c r="DIR611"/>
      <c r="DIS611"/>
      <c r="DIT611"/>
      <c r="DIU611"/>
      <c r="DIV611"/>
      <c r="DIW611"/>
      <c r="DIX611"/>
      <c r="DIY611"/>
      <c r="DIZ611"/>
      <c r="DJA611"/>
      <c r="DJB611"/>
      <c r="DJC611"/>
      <c r="DJD611"/>
      <c r="DJE611"/>
      <c r="DJF611"/>
      <c r="DJG611"/>
      <c r="DJH611"/>
      <c r="DJI611"/>
      <c r="DJJ611"/>
      <c r="DJK611"/>
      <c r="DJL611"/>
      <c r="DJM611"/>
      <c r="DJN611"/>
      <c r="DJO611"/>
      <c r="DJP611"/>
      <c r="DJQ611"/>
      <c r="DJR611"/>
      <c r="DJS611"/>
      <c r="DJT611"/>
      <c r="DJU611"/>
      <c r="DJV611"/>
      <c r="DJW611"/>
      <c r="DJX611"/>
      <c r="DJY611"/>
      <c r="DJZ611"/>
      <c r="DKA611"/>
      <c r="DKB611"/>
      <c r="DKC611"/>
      <c r="DKD611"/>
      <c r="DKE611"/>
      <c r="DKF611"/>
      <c r="DKG611"/>
      <c r="DKH611"/>
      <c r="DKI611"/>
      <c r="DKJ611"/>
      <c r="DKK611"/>
      <c r="DKL611"/>
      <c r="DKM611"/>
      <c r="DKN611"/>
      <c r="DKO611"/>
      <c r="DKP611"/>
      <c r="DKQ611"/>
      <c r="DKR611"/>
      <c r="DKS611"/>
      <c r="DKT611"/>
      <c r="DKU611"/>
      <c r="DKV611"/>
      <c r="DKW611"/>
      <c r="DKX611"/>
      <c r="DKY611"/>
      <c r="DKZ611"/>
      <c r="DLA611"/>
      <c r="DLB611"/>
      <c r="DLC611"/>
      <c r="DLD611"/>
      <c r="DLE611"/>
      <c r="DLF611"/>
      <c r="DLG611"/>
      <c r="DLH611"/>
      <c r="DLI611"/>
      <c r="DLJ611"/>
      <c r="DLK611"/>
      <c r="DLL611"/>
      <c r="DLM611"/>
      <c r="DLN611"/>
      <c r="DLO611"/>
      <c r="DLP611"/>
      <c r="DLQ611"/>
      <c r="DLR611"/>
      <c r="DLS611"/>
      <c r="DLT611"/>
      <c r="DLU611"/>
      <c r="DLV611"/>
      <c r="DLW611"/>
      <c r="DLX611"/>
      <c r="DLY611"/>
      <c r="DLZ611"/>
      <c r="DMA611"/>
      <c r="DMB611"/>
      <c r="DMC611"/>
      <c r="DMD611"/>
      <c r="DME611"/>
      <c r="DMF611"/>
      <c r="DMG611"/>
      <c r="DMH611"/>
      <c r="DMI611"/>
      <c r="DMJ611"/>
      <c r="DMK611"/>
      <c r="DML611"/>
      <c r="DMM611"/>
      <c r="DMN611"/>
      <c r="DMO611"/>
      <c r="DMP611"/>
      <c r="DMQ611"/>
      <c r="DMR611"/>
      <c r="DMS611"/>
      <c r="DMT611"/>
      <c r="DMU611"/>
      <c r="DMV611"/>
      <c r="DMW611"/>
      <c r="DMX611"/>
      <c r="DMY611"/>
      <c r="DMZ611"/>
      <c r="DNA611"/>
      <c r="DNB611"/>
      <c r="DNC611"/>
      <c r="DND611"/>
      <c r="DNE611"/>
      <c r="DNF611"/>
      <c r="DNG611"/>
      <c r="DNH611"/>
      <c r="DNI611"/>
      <c r="DNJ611"/>
      <c r="DNK611"/>
      <c r="DNL611"/>
      <c r="DNM611"/>
      <c r="DNN611"/>
      <c r="DNO611"/>
      <c r="DNP611"/>
      <c r="DNQ611"/>
      <c r="DNR611"/>
      <c r="DNS611"/>
      <c r="DNT611"/>
      <c r="DNU611"/>
      <c r="DNV611"/>
      <c r="DNW611"/>
      <c r="DNX611"/>
      <c r="DNY611"/>
      <c r="DNZ611"/>
      <c r="DOA611"/>
      <c r="DOB611"/>
      <c r="DOC611"/>
      <c r="DOD611"/>
      <c r="DOE611"/>
      <c r="DOF611"/>
      <c r="DOG611"/>
      <c r="DOH611"/>
      <c r="DOI611"/>
      <c r="DOJ611"/>
      <c r="DOK611"/>
      <c r="DOL611"/>
      <c r="DOM611"/>
      <c r="DON611"/>
      <c r="DOO611"/>
      <c r="DOP611"/>
      <c r="DOQ611"/>
      <c r="DOR611"/>
      <c r="DOS611"/>
      <c r="DOT611"/>
      <c r="DOU611"/>
      <c r="DOV611"/>
      <c r="DOW611"/>
      <c r="DOX611"/>
      <c r="DOY611"/>
      <c r="DOZ611"/>
      <c r="DPA611"/>
      <c r="DPB611"/>
      <c r="DPC611"/>
      <c r="DPD611"/>
      <c r="DPE611"/>
      <c r="DPF611"/>
      <c r="DPG611"/>
      <c r="DPH611"/>
      <c r="DPI611"/>
      <c r="DPJ611"/>
      <c r="DPK611"/>
      <c r="DPL611"/>
      <c r="DPM611"/>
      <c r="DPN611"/>
      <c r="DPO611"/>
      <c r="DPP611"/>
      <c r="DPQ611"/>
      <c r="DPR611"/>
      <c r="DPS611"/>
      <c r="DPT611"/>
      <c r="DPU611"/>
      <c r="DPV611"/>
      <c r="DPW611"/>
      <c r="DPX611"/>
      <c r="DPY611"/>
      <c r="DPZ611"/>
      <c r="DQA611"/>
      <c r="DQB611"/>
      <c r="DQC611"/>
      <c r="DQD611"/>
      <c r="DQE611"/>
      <c r="DQF611"/>
      <c r="DQG611"/>
      <c r="DQH611"/>
      <c r="DQI611"/>
      <c r="DQJ611"/>
      <c r="DQK611"/>
      <c r="DQL611"/>
      <c r="DQM611"/>
      <c r="DQN611"/>
      <c r="DQO611"/>
      <c r="DQP611"/>
      <c r="DQQ611"/>
      <c r="DQR611"/>
      <c r="DQS611"/>
      <c r="DQT611"/>
      <c r="DQU611"/>
      <c r="DQV611"/>
      <c r="DQW611"/>
      <c r="DQX611"/>
      <c r="DQY611"/>
      <c r="DQZ611"/>
      <c r="DRA611"/>
      <c r="DRB611"/>
      <c r="DRC611"/>
      <c r="DRD611"/>
      <c r="DRE611"/>
      <c r="DRF611"/>
      <c r="DRG611"/>
      <c r="DRH611"/>
      <c r="DRI611"/>
      <c r="DRJ611"/>
      <c r="DRK611"/>
      <c r="DRL611"/>
      <c r="DRM611"/>
      <c r="DRN611"/>
      <c r="DRO611"/>
      <c r="DRP611"/>
      <c r="DRQ611"/>
      <c r="DRR611"/>
      <c r="DRS611"/>
      <c r="DRT611"/>
      <c r="DRU611"/>
      <c r="DRV611"/>
      <c r="DRW611"/>
      <c r="DRX611"/>
      <c r="DRY611"/>
      <c r="DRZ611"/>
      <c r="DSA611"/>
      <c r="DSB611"/>
      <c r="DSC611"/>
      <c r="DSD611"/>
      <c r="DSE611"/>
      <c r="DSF611"/>
      <c r="DSG611"/>
      <c r="DSH611"/>
      <c r="DSI611"/>
      <c r="DSJ611"/>
      <c r="DSK611"/>
      <c r="DSL611"/>
      <c r="DSM611"/>
      <c r="DSN611"/>
      <c r="DSO611"/>
      <c r="DSP611"/>
      <c r="DSQ611"/>
      <c r="DSR611"/>
      <c r="DSS611"/>
      <c r="DST611"/>
      <c r="DSU611"/>
      <c r="DSV611"/>
      <c r="DSW611"/>
      <c r="DSX611"/>
      <c r="DSY611"/>
      <c r="DSZ611"/>
      <c r="DTA611"/>
      <c r="DTB611"/>
      <c r="DTC611"/>
      <c r="DTD611"/>
      <c r="DTE611"/>
      <c r="DTF611"/>
      <c r="DTG611"/>
      <c r="DTH611"/>
      <c r="DTI611"/>
      <c r="DTJ611"/>
      <c r="DTK611"/>
      <c r="DTL611"/>
      <c r="DTM611"/>
      <c r="DTN611"/>
      <c r="DTO611"/>
      <c r="DTP611"/>
      <c r="DTQ611"/>
      <c r="DTR611"/>
      <c r="DTS611"/>
      <c r="DTT611"/>
      <c r="DTU611"/>
      <c r="DTV611"/>
      <c r="DTW611"/>
      <c r="DTX611"/>
      <c r="DTY611"/>
      <c r="DTZ611"/>
      <c r="DUA611"/>
      <c r="DUB611"/>
      <c r="DUC611"/>
      <c r="DUD611"/>
      <c r="DUE611"/>
      <c r="DUF611"/>
      <c r="DUG611"/>
      <c r="DUH611"/>
      <c r="DUI611"/>
      <c r="DUJ611"/>
      <c r="DUK611"/>
      <c r="DUL611"/>
      <c r="DUM611"/>
      <c r="DUN611"/>
      <c r="DUO611"/>
      <c r="DUP611"/>
      <c r="DUQ611"/>
      <c r="DUR611"/>
      <c r="DUS611"/>
      <c r="DUT611"/>
      <c r="DUU611"/>
      <c r="DUV611"/>
      <c r="DUW611"/>
      <c r="DUX611"/>
      <c r="DUY611"/>
      <c r="DUZ611"/>
      <c r="DVA611"/>
      <c r="DVB611"/>
      <c r="DVC611"/>
      <c r="DVD611"/>
      <c r="DVE611"/>
      <c r="DVF611"/>
      <c r="DVG611"/>
      <c r="DVH611"/>
      <c r="DVI611"/>
      <c r="DVJ611"/>
      <c r="DVK611"/>
      <c r="DVL611"/>
      <c r="DVM611"/>
      <c r="DVN611"/>
      <c r="DVO611"/>
      <c r="DVP611"/>
      <c r="DVQ611"/>
      <c r="DVR611"/>
      <c r="DVS611"/>
      <c r="DVT611"/>
      <c r="DVU611"/>
      <c r="DVV611"/>
      <c r="DVW611"/>
      <c r="DVX611"/>
      <c r="DVY611"/>
      <c r="DVZ611"/>
      <c r="DWA611"/>
      <c r="DWB611"/>
      <c r="DWC611"/>
      <c r="DWD611"/>
      <c r="DWE611"/>
      <c r="DWF611"/>
      <c r="DWG611"/>
      <c r="DWH611"/>
      <c r="DWI611"/>
      <c r="DWJ611"/>
      <c r="DWK611"/>
      <c r="DWL611"/>
      <c r="DWM611"/>
      <c r="DWN611"/>
      <c r="DWO611"/>
      <c r="DWP611"/>
      <c r="DWQ611"/>
      <c r="DWR611"/>
      <c r="DWS611"/>
      <c r="DWT611"/>
      <c r="DWU611"/>
      <c r="DWV611"/>
      <c r="DWW611"/>
      <c r="DWX611"/>
      <c r="DWY611"/>
      <c r="DWZ611"/>
      <c r="DXA611"/>
      <c r="DXB611"/>
      <c r="DXC611"/>
      <c r="DXD611"/>
      <c r="DXE611"/>
      <c r="DXF611"/>
      <c r="DXG611"/>
      <c r="DXH611"/>
      <c r="DXI611"/>
      <c r="DXJ611"/>
      <c r="DXK611"/>
      <c r="DXL611"/>
      <c r="DXM611"/>
      <c r="DXN611"/>
      <c r="DXO611"/>
      <c r="DXP611"/>
      <c r="DXQ611"/>
      <c r="DXR611"/>
      <c r="DXS611"/>
      <c r="DXT611"/>
      <c r="DXU611"/>
      <c r="DXV611"/>
      <c r="DXW611"/>
      <c r="DXX611"/>
      <c r="DXY611"/>
      <c r="DXZ611"/>
      <c r="DYA611"/>
      <c r="DYB611"/>
      <c r="DYC611"/>
      <c r="DYD611"/>
      <c r="DYE611"/>
      <c r="DYF611"/>
      <c r="DYG611"/>
      <c r="DYH611"/>
      <c r="DYI611"/>
      <c r="DYJ611"/>
      <c r="DYK611"/>
      <c r="DYL611"/>
      <c r="DYM611"/>
      <c r="DYN611"/>
      <c r="DYO611"/>
      <c r="DYP611"/>
      <c r="DYQ611"/>
      <c r="DYR611"/>
      <c r="DYS611"/>
      <c r="DYT611"/>
      <c r="DYU611"/>
      <c r="DYV611"/>
      <c r="DYW611"/>
      <c r="DYX611"/>
      <c r="DYY611"/>
      <c r="DYZ611"/>
      <c r="DZA611"/>
      <c r="DZB611"/>
      <c r="DZC611"/>
      <c r="DZD611"/>
      <c r="DZE611"/>
      <c r="DZF611"/>
      <c r="DZG611"/>
      <c r="DZH611"/>
      <c r="DZI611"/>
      <c r="DZJ611"/>
      <c r="DZK611"/>
      <c r="DZL611"/>
      <c r="DZM611"/>
      <c r="DZN611"/>
      <c r="DZO611"/>
      <c r="DZP611"/>
      <c r="DZQ611"/>
      <c r="DZR611"/>
      <c r="DZS611"/>
      <c r="DZT611"/>
      <c r="DZU611"/>
      <c r="DZV611"/>
      <c r="DZW611"/>
      <c r="DZX611"/>
      <c r="DZY611"/>
      <c r="DZZ611"/>
      <c r="EAA611"/>
      <c r="EAB611"/>
      <c r="EAC611"/>
      <c r="EAD611"/>
      <c r="EAE611"/>
      <c r="EAF611"/>
      <c r="EAG611"/>
      <c r="EAH611"/>
      <c r="EAI611"/>
      <c r="EAJ611"/>
      <c r="EAK611"/>
      <c r="EAL611"/>
      <c r="EAM611"/>
      <c r="EAN611"/>
      <c r="EAO611"/>
      <c r="EAP611"/>
      <c r="EAQ611"/>
      <c r="EAR611"/>
      <c r="EAS611"/>
      <c r="EAT611"/>
      <c r="EAU611"/>
      <c r="EAV611"/>
      <c r="EAW611"/>
      <c r="EAX611"/>
      <c r="EAY611"/>
      <c r="EAZ611"/>
      <c r="EBA611"/>
      <c r="EBB611"/>
      <c r="EBC611"/>
      <c r="EBD611"/>
      <c r="EBE611"/>
      <c r="EBF611"/>
      <c r="EBG611"/>
      <c r="EBH611"/>
      <c r="EBI611"/>
      <c r="EBJ611"/>
      <c r="EBK611"/>
      <c r="EBL611"/>
      <c r="EBM611"/>
      <c r="EBN611"/>
      <c r="EBO611"/>
      <c r="EBP611"/>
      <c r="EBQ611"/>
      <c r="EBR611"/>
      <c r="EBS611"/>
      <c r="EBT611"/>
      <c r="EBU611"/>
      <c r="EBV611"/>
      <c r="EBW611"/>
      <c r="EBX611"/>
      <c r="EBY611"/>
      <c r="EBZ611"/>
      <c r="ECA611"/>
      <c r="ECB611"/>
      <c r="ECC611"/>
      <c r="ECD611"/>
      <c r="ECE611"/>
      <c r="ECF611"/>
      <c r="ECG611"/>
      <c r="ECH611"/>
      <c r="ECI611"/>
      <c r="ECJ611"/>
      <c r="ECK611"/>
      <c r="ECL611"/>
      <c r="ECM611"/>
      <c r="ECN611"/>
      <c r="ECO611"/>
      <c r="ECP611"/>
      <c r="ECQ611"/>
      <c r="ECR611"/>
      <c r="ECS611"/>
      <c r="ECT611"/>
      <c r="ECU611"/>
      <c r="ECV611"/>
      <c r="ECW611"/>
      <c r="ECX611"/>
      <c r="ECY611"/>
      <c r="ECZ611"/>
      <c r="EDA611"/>
      <c r="EDB611"/>
      <c r="EDC611"/>
      <c r="EDD611"/>
      <c r="EDE611"/>
      <c r="EDF611"/>
      <c r="EDG611"/>
      <c r="EDH611"/>
      <c r="EDI611"/>
      <c r="EDJ611"/>
      <c r="EDK611"/>
      <c r="EDL611"/>
      <c r="EDM611"/>
      <c r="EDN611"/>
      <c r="EDO611"/>
      <c r="EDP611"/>
      <c r="EDQ611"/>
      <c r="EDR611"/>
      <c r="EDS611"/>
      <c r="EDT611"/>
      <c r="EDU611"/>
      <c r="EDV611"/>
      <c r="EDW611"/>
      <c r="EDX611"/>
      <c r="EDY611"/>
      <c r="EDZ611"/>
      <c r="EEA611"/>
      <c r="EEB611"/>
      <c r="EEC611"/>
      <c r="EED611"/>
      <c r="EEE611"/>
      <c r="EEF611"/>
      <c r="EEG611"/>
      <c r="EEH611"/>
      <c r="EEI611"/>
      <c r="EEJ611"/>
      <c r="EEK611"/>
      <c r="EEL611"/>
      <c r="EEM611"/>
      <c r="EEN611"/>
      <c r="EEO611"/>
      <c r="EEP611"/>
      <c r="EEQ611"/>
      <c r="EER611"/>
      <c r="EES611"/>
      <c r="EET611"/>
      <c r="EEU611"/>
      <c r="EEV611"/>
      <c r="EEW611"/>
      <c r="EEX611"/>
      <c r="EEY611"/>
      <c r="EEZ611"/>
      <c r="EFA611"/>
      <c r="EFB611"/>
      <c r="EFC611"/>
      <c r="EFD611"/>
      <c r="EFE611"/>
      <c r="EFF611"/>
      <c r="EFG611"/>
      <c r="EFH611"/>
      <c r="EFI611"/>
      <c r="EFJ611"/>
      <c r="EFK611"/>
      <c r="EFL611"/>
      <c r="EFM611"/>
      <c r="EFN611"/>
      <c r="EFO611"/>
      <c r="EFP611"/>
      <c r="EFQ611"/>
      <c r="EFR611"/>
      <c r="EFS611"/>
      <c r="EFT611"/>
      <c r="EFU611"/>
      <c r="EFV611"/>
      <c r="EFW611"/>
      <c r="EFX611"/>
      <c r="EFY611"/>
      <c r="EFZ611"/>
      <c r="EGA611"/>
      <c r="EGB611"/>
      <c r="EGC611"/>
      <c r="EGD611"/>
      <c r="EGE611"/>
      <c r="EGF611"/>
      <c r="EGG611"/>
      <c r="EGH611"/>
      <c r="EGI611"/>
      <c r="EGJ611"/>
      <c r="EGK611"/>
      <c r="EGL611"/>
      <c r="EGM611"/>
      <c r="EGN611"/>
      <c r="EGO611"/>
      <c r="EGP611"/>
      <c r="EGQ611"/>
      <c r="EGR611"/>
      <c r="EGS611"/>
      <c r="EGT611"/>
      <c r="EGU611"/>
      <c r="EGV611"/>
      <c r="EGW611"/>
      <c r="EGX611"/>
      <c r="EGY611"/>
      <c r="EGZ611"/>
      <c r="EHA611"/>
      <c r="EHB611"/>
      <c r="EHC611"/>
      <c r="EHD611"/>
      <c r="EHE611"/>
      <c r="EHF611"/>
      <c r="EHG611"/>
      <c r="EHH611"/>
      <c r="EHI611"/>
      <c r="EHJ611"/>
      <c r="EHK611"/>
      <c r="EHL611"/>
      <c r="EHM611"/>
      <c r="EHN611"/>
      <c r="EHO611"/>
      <c r="EHP611"/>
      <c r="EHQ611"/>
      <c r="EHR611"/>
      <c r="EHS611"/>
      <c r="EHT611"/>
      <c r="EHU611"/>
      <c r="EHV611"/>
      <c r="EHW611"/>
      <c r="EHX611"/>
      <c r="EHY611"/>
      <c r="EHZ611"/>
      <c r="EIA611"/>
      <c r="EIB611"/>
      <c r="EIC611"/>
      <c r="EID611"/>
      <c r="EIE611"/>
      <c r="EIF611"/>
      <c r="EIG611"/>
      <c r="EIH611"/>
      <c r="EII611"/>
      <c r="EIJ611"/>
      <c r="EIK611"/>
      <c r="EIL611"/>
      <c r="EIM611"/>
      <c r="EIN611"/>
      <c r="EIO611"/>
      <c r="EIP611"/>
      <c r="EIQ611"/>
      <c r="EIR611"/>
      <c r="EIS611"/>
      <c r="EIT611"/>
      <c r="EIU611"/>
      <c r="EIV611"/>
      <c r="EIW611"/>
      <c r="EIX611"/>
      <c r="EIY611"/>
      <c r="EIZ611"/>
      <c r="EJA611"/>
      <c r="EJB611"/>
      <c r="EJC611"/>
      <c r="EJD611"/>
      <c r="EJE611"/>
      <c r="EJF611"/>
      <c r="EJG611"/>
      <c r="EJH611"/>
      <c r="EJI611"/>
      <c r="EJJ611"/>
      <c r="EJK611"/>
      <c r="EJL611"/>
      <c r="EJM611"/>
      <c r="EJN611"/>
      <c r="EJO611"/>
      <c r="EJP611"/>
      <c r="EJQ611"/>
      <c r="EJR611"/>
      <c r="EJS611"/>
      <c r="EJT611"/>
      <c r="EJU611"/>
      <c r="EJV611"/>
      <c r="EJW611"/>
      <c r="EJX611"/>
      <c r="EJY611"/>
      <c r="EJZ611"/>
      <c r="EKA611"/>
      <c r="EKB611"/>
      <c r="EKC611"/>
      <c r="EKD611"/>
      <c r="EKE611"/>
      <c r="EKF611"/>
      <c r="EKG611"/>
      <c r="EKH611"/>
      <c r="EKI611"/>
      <c r="EKJ611"/>
      <c r="EKK611"/>
      <c r="EKL611"/>
      <c r="EKM611"/>
      <c r="EKN611"/>
      <c r="EKO611"/>
      <c r="EKP611"/>
      <c r="EKQ611"/>
      <c r="EKR611"/>
      <c r="EKS611"/>
      <c r="EKT611"/>
      <c r="EKU611"/>
      <c r="EKV611"/>
      <c r="EKW611"/>
      <c r="EKX611"/>
      <c r="EKY611"/>
      <c r="EKZ611"/>
      <c r="ELA611"/>
      <c r="ELB611"/>
      <c r="ELC611"/>
      <c r="ELD611"/>
      <c r="ELE611"/>
      <c r="ELF611"/>
      <c r="ELG611"/>
      <c r="ELH611"/>
      <c r="ELI611"/>
      <c r="ELJ611"/>
      <c r="ELK611"/>
      <c r="ELL611"/>
      <c r="ELM611"/>
      <c r="ELN611"/>
      <c r="ELO611"/>
      <c r="ELP611"/>
      <c r="ELQ611"/>
      <c r="ELR611"/>
      <c r="ELS611"/>
      <c r="ELT611"/>
      <c r="ELU611"/>
      <c r="ELV611"/>
      <c r="ELW611"/>
      <c r="ELX611"/>
      <c r="ELY611"/>
      <c r="ELZ611"/>
      <c r="EMA611"/>
      <c r="EMB611"/>
      <c r="EMC611"/>
      <c r="EMD611"/>
      <c r="EME611"/>
      <c r="EMF611"/>
      <c r="EMG611"/>
      <c r="EMH611"/>
      <c r="EMI611"/>
      <c r="EMJ611"/>
      <c r="EMK611"/>
      <c r="EML611"/>
      <c r="EMM611"/>
      <c r="EMN611"/>
      <c r="EMO611"/>
      <c r="EMP611"/>
      <c r="EMQ611"/>
      <c r="EMR611"/>
      <c r="EMS611"/>
      <c r="EMT611"/>
      <c r="EMU611"/>
      <c r="EMV611"/>
      <c r="EMW611"/>
      <c r="EMX611"/>
      <c r="EMY611"/>
      <c r="EMZ611"/>
      <c r="ENA611"/>
      <c r="ENB611"/>
      <c r="ENC611"/>
      <c r="END611"/>
      <c r="ENE611"/>
      <c r="ENF611"/>
      <c r="ENG611"/>
      <c r="ENH611"/>
      <c r="ENI611"/>
      <c r="ENJ611"/>
      <c r="ENK611"/>
      <c r="ENL611"/>
      <c r="ENM611"/>
      <c r="ENN611"/>
      <c r="ENO611"/>
      <c r="ENP611"/>
      <c r="ENQ611"/>
      <c r="ENR611"/>
      <c r="ENS611"/>
      <c r="ENT611"/>
      <c r="ENU611"/>
      <c r="ENV611"/>
      <c r="ENW611"/>
      <c r="ENX611"/>
      <c r="ENY611"/>
      <c r="ENZ611"/>
      <c r="EOA611"/>
      <c r="EOB611"/>
      <c r="EOC611"/>
      <c r="EOD611"/>
      <c r="EOE611"/>
      <c r="EOF611"/>
      <c r="EOG611"/>
      <c r="EOH611"/>
      <c r="EOI611"/>
      <c r="EOJ611"/>
      <c r="EOK611"/>
      <c r="EOL611"/>
      <c r="EOM611"/>
      <c r="EON611"/>
      <c r="EOO611"/>
      <c r="EOP611"/>
      <c r="EOQ611"/>
      <c r="EOR611"/>
      <c r="EOS611"/>
      <c r="EOT611"/>
      <c r="EOU611"/>
      <c r="EOV611"/>
      <c r="EOW611"/>
      <c r="EOX611"/>
      <c r="EOY611"/>
      <c r="EOZ611"/>
      <c r="EPA611"/>
      <c r="EPB611"/>
      <c r="EPC611"/>
      <c r="EPD611"/>
      <c r="EPE611"/>
      <c r="EPF611"/>
      <c r="EPG611"/>
      <c r="EPH611"/>
      <c r="EPI611"/>
      <c r="EPJ611"/>
      <c r="EPK611"/>
      <c r="EPL611"/>
      <c r="EPM611"/>
      <c r="EPN611"/>
      <c r="EPO611"/>
      <c r="EPP611"/>
      <c r="EPQ611"/>
      <c r="EPR611"/>
      <c r="EPS611"/>
      <c r="EPT611"/>
      <c r="EPU611"/>
      <c r="EPV611"/>
      <c r="EPW611"/>
      <c r="EPX611"/>
      <c r="EPY611"/>
      <c r="EPZ611"/>
      <c r="EQA611"/>
      <c r="EQB611"/>
      <c r="EQC611"/>
      <c r="EQD611"/>
      <c r="EQE611"/>
      <c r="EQF611"/>
      <c r="EQG611"/>
      <c r="EQH611"/>
      <c r="EQI611"/>
      <c r="EQJ611"/>
      <c r="EQK611"/>
      <c r="EQL611"/>
      <c r="EQM611"/>
      <c r="EQN611"/>
      <c r="EQO611"/>
      <c r="EQP611"/>
      <c r="EQQ611"/>
      <c r="EQR611"/>
      <c r="EQS611"/>
      <c r="EQT611"/>
      <c r="EQU611"/>
      <c r="EQV611"/>
      <c r="EQW611"/>
      <c r="EQX611"/>
      <c r="EQY611"/>
      <c r="EQZ611"/>
      <c r="ERA611"/>
      <c r="ERB611"/>
      <c r="ERC611"/>
      <c r="ERD611"/>
      <c r="ERE611"/>
      <c r="ERF611"/>
      <c r="ERG611"/>
      <c r="ERH611"/>
      <c r="ERI611"/>
      <c r="ERJ611"/>
      <c r="ERK611"/>
      <c r="ERL611"/>
      <c r="ERM611"/>
      <c r="ERN611"/>
      <c r="ERO611"/>
      <c r="ERP611"/>
      <c r="ERQ611"/>
      <c r="ERR611"/>
      <c r="ERS611"/>
      <c r="ERT611"/>
      <c r="ERU611"/>
      <c r="ERV611"/>
      <c r="ERW611"/>
      <c r="ERX611"/>
      <c r="ERY611"/>
      <c r="ERZ611"/>
      <c r="ESA611"/>
      <c r="ESB611"/>
      <c r="ESC611"/>
      <c r="ESD611"/>
      <c r="ESE611"/>
      <c r="ESF611"/>
      <c r="ESG611"/>
      <c r="ESH611"/>
      <c r="ESI611"/>
      <c r="ESJ611"/>
      <c r="ESK611"/>
      <c r="ESL611"/>
      <c r="ESM611"/>
      <c r="ESN611"/>
      <c r="ESO611"/>
      <c r="ESP611"/>
      <c r="ESQ611"/>
      <c r="ESR611"/>
      <c r="ESS611"/>
      <c r="EST611"/>
      <c r="ESU611"/>
      <c r="ESV611"/>
      <c r="ESW611"/>
      <c r="ESX611"/>
      <c r="ESY611"/>
      <c r="ESZ611"/>
      <c r="ETA611"/>
      <c r="ETB611"/>
      <c r="ETC611"/>
      <c r="ETD611"/>
      <c r="ETE611"/>
      <c r="ETF611"/>
      <c r="ETG611"/>
      <c r="ETH611"/>
      <c r="ETI611"/>
      <c r="ETJ611"/>
      <c r="ETK611"/>
      <c r="ETL611"/>
      <c r="ETM611"/>
      <c r="ETN611"/>
      <c r="ETO611"/>
      <c r="ETP611"/>
      <c r="ETQ611"/>
      <c r="ETR611"/>
      <c r="ETS611"/>
      <c r="ETT611"/>
      <c r="ETU611"/>
      <c r="ETV611"/>
      <c r="ETW611"/>
      <c r="ETX611"/>
      <c r="ETY611"/>
      <c r="ETZ611"/>
      <c r="EUA611"/>
      <c r="EUB611"/>
      <c r="EUC611"/>
      <c r="EUD611"/>
      <c r="EUE611"/>
      <c r="EUF611"/>
      <c r="EUG611"/>
      <c r="EUH611"/>
      <c r="EUI611"/>
      <c r="EUJ611"/>
      <c r="EUK611"/>
      <c r="EUL611"/>
      <c r="EUM611"/>
      <c r="EUN611"/>
      <c r="EUO611"/>
      <c r="EUP611"/>
      <c r="EUQ611"/>
      <c r="EUR611"/>
      <c r="EUS611"/>
      <c r="EUT611"/>
      <c r="EUU611"/>
      <c r="EUV611"/>
      <c r="EUW611"/>
      <c r="EUX611"/>
      <c r="EUY611"/>
      <c r="EUZ611"/>
      <c r="EVA611"/>
      <c r="EVB611"/>
      <c r="EVC611"/>
      <c r="EVD611"/>
      <c r="EVE611"/>
      <c r="EVF611"/>
      <c r="EVG611"/>
      <c r="EVH611"/>
      <c r="EVI611"/>
      <c r="EVJ611"/>
      <c r="EVK611"/>
      <c r="EVL611"/>
      <c r="EVM611"/>
      <c r="EVN611"/>
      <c r="EVO611"/>
      <c r="EVP611"/>
      <c r="EVQ611"/>
      <c r="EVR611"/>
      <c r="EVS611"/>
      <c r="EVT611"/>
      <c r="EVU611"/>
      <c r="EVV611"/>
      <c r="EVW611"/>
      <c r="EVX611"/>
      <c r="EVY611"/>
      <c r="EVZ611"/>
      <c r="EWA611"/>
      <c r="EWB611"/>
      <c r="EWC611"/>
      <c r="EWD611"/>
      <c r="EWE611"/>
      <c r="EWF611"/>
      <c r="EWG611"/>
      <c r="EWH611"/>
      <c r="EWI611"/>
      <c r="EWJ611"/>
      <c r="EWK611"/>
      <c r="EWL611"/>
      <c r="EWM611"/>
      <c r="EWN611"/>
      <c r="EWO611"/>
      <c r="EWP611"/>
      <c r="EWQ611"/>
      <c r="EWR611"/>
      <c r="EWS611"/>
      <c r="EWT611"/>
      <c r="EWU611"/>
      <c r="EWV611"/>
      <c r="EWW611"/>
      <c r="EWX611"/>
      <c r="EWY611"/>
      <c r="EWZ611"/>
      <c r="EXA611"/>
      <c r="EXB611"/>
      <c r="EXC611"/>
      <c r="EXD611"/>
      <c r="EXE611"/>
      <c r="EXF611"/>
      <c r="EXG611"/>
      <c r="EXH611"/>
      <c r="EXI611"/>
      <c r="EXJ611"/>
      <c r="EXK611"/>
      <c r="EXL611"/>
      <c r="EXM611"/>
      <c r="EXN611"/>
      <c r="EXO611"/>
      <c r="EXP611"/>
      <c r="EXQ611"/>
      <c r="EXR611"/>
      <c r="EXS611"/>
      <c r="EXT611"/>
      <c r="EXU611"/>
      <c r="EXV611"/>
      <c r="EXW611"/>
      <c r="EXX611"/>
      <c r="EXY611"/>
      <c r="EXZ611"/>
      <c r="EYA611"/>
      <c r="EYB611"/>
      <c r="EYC611"/>
      <c r="EYD611"/>
      <c r="EYE611"/>
      <c r="EYF611"/>
      <c r="EYG611"/>
      <c r="EYH611"/>
      <c r="EYI611"/>
      <c r="EYJ611"/>
      <c r="EYK611"/>
      <c r="EYL611"/>
      <c r="EYM611"/>
      <c r="EYN611"/>
      <c r="EYO611"/>
      <c r="EYP611"/>
      <c r="EYQ611"/>
      <c r="EYR611"/>
      <c r="EYS611"/>
      <c r="EYT611"/>
      <c r="EYU611"/>
      <c r="EYV611"/>
      <c r="EYW611"/>
      <c r="EYX611"/>
      <c r="EYY611"/>
      <c r="EYZ611"/>
      <c r="EZA611"/>
      <c r="EZB611"/>
      <c r="EZC611"/>
      <c r="EZD611"/>
      <c r="EZE611"/>
      <c r="EZF611"/>
      <c r="EZG611"/>
      <c r="EZH611"/>
      <c r="EZI611"/>
      <c r="EZJ611"/>
      <c r="EZK611"/>
      <c r="EZL611"/>
      <c r="EZM611"/>
      <c r="EZN611"/>
      <c r="EZO611"/>
      <c r="EZP611"/>
      <c r="EZQ611"/>
      <c r="EZR611"/>
      <c r="EZS611"/>
      <c r="EZT611"/>
      <c r="EZU611"/>
      <c r="EZV611"/>
      <c r="EZW611"/>
      <c r="EZX611"/>
      <c r="EZY611"/>
      <c r="EZZ611"/>
      <c r="FAA611"/>
      <c r="FAB611"/>
      <c r="FAC611"/>
      <c r="FAD611"/>
      <c r="FAE611"/>
      <c r="FAF611"/>
      <c r="FAG611"/>
      <c r="FAH611"/>
      <c r="FAI611"/>
      <c r="FAJ611"/>
      <c r="FAK611"/>
      <c r="FAL611"/>
      <c r="FAM611"/>
      <c r="FAN611"/>
      <c r="FAO611"/>
      <c r="FAP611"/>
      <c r="FAQ611"/>
      <c r="FAR611"/>
      <c r="FAS611"/>
      <c r="FAT611"/>
      <c r="FAU611"/>
      <c r="FAV611"/>
      <c r="FAW611"/>
      <c r="FAX611"/>
      <c r="FAY611"/>
      <c r="FAZ611"/>
      <c r="FBA611"/>
      <c r="FBB611"/>
      <c r="FBC611"/>
      <c r="FBD611"/>
      <c r="FBE611"/>
      <c r="FBF611"/>
      <c r="FBG611"/>
      <c r="FBH611"/>
      <c r="FBI611"/>
      <c r="FBJ611"/>
      <c r="FBK611"/>
      <c r="FBL611"/>
      <c r="FBM611"/>
      <c r="FBN611"/>
      <c r="FBO611"/>
      <c r="FBP611"/>
      <c r="FBQ611"/>
      <c r="FBR611"/>
      <c r="FBS611"/>
      <c r="FBT611"/>
      <c r="FBU611"/>
      <c r="FBV611"/>
      <c r="FBW611"/>
      <c r="FBX611"/>
      <c r="FBY611"/>
      <c r="FBZ611"/>
      <c r="FCA611"/>
      <c r="FCB611"/>
      <c r="FCC611"/>
      <c r="FCD611"/>
      <c r="FCE611"/>
      <c r="FCF611"/>
      <c r="FCG611"/>
      <c r="FCH611"/>
      <c r="FCI611"/>
      <c r="FCJ611"/>
      <c r="FCK611"/>
      <c r="FCL611"/>
      <c r="FCM611"/>
      <c r="FCN611"/>
      <c r="FCO611"/>
      <c r="FCP611"/>
      <c r="FCQ611"/>
      <c r="FCR611"/>
      <c r="FCS611"/>
      <c r="FCT611"/>
      <c r="FCU611"/>
      <c r="FCV611"/>
      <c r="FCW611"/>
      <c r="FCX611"/>
      <c r="FCY611"/>
      <c r="FCZ611"/>
      <c r="FDA611"/>
      <c r="FDB611"/>
      <c r="FDC611"/>
      <c r="FDD611"/>
      <c r="FDE611"/>
      <c r="FDF611"/>
      <c r="FDG611"/>
      <c r="FDH611"/>
      <c r="FDI611"/>
      <c r="FDJ611"/>
      <c r="FDK611"/>
      <c r="FDL611"/>
      <c r="FDM611"/>
      <c r="FDN611"/>
      <c r="FDO611"/>
      <c r="FDP611"/>
      <c r="FDQ611"/>
      <c r="FDR611"/>
      <c r="FDS611"/>
      <c r="FDT611"/>
      <c r="FDU611"/>
      <c r="FDV611"/>
      <c r="FDW611"/>
      <c r="FDX611"/>
      <c r="FDY611"/>
      <c r="FDZ611"/>
      <c r="FEA611"/>
      <c r="FEB611"/>
      <c r="FEC611"/>
      <c r="FED611"/>
      <c r="FEE611"/>
      <c r="FEF611"/>
      <c r="FEG611"/>
      <c r="FEH611"/>
      <c r="FEI611"/>
      <c r="FEJ611"/>
      <c r="FEK611"/>
      <c r="FEL611"/>
      <c r="FEM611"/>
      <c r="FEN611"/>
      <c r="FEO611"/>
      <c r="FEP611"/>
      <c r="FEQ611"/>
      <c r="FER611"/>
      <c r="FES611"/>
      <c r="FET611"/>
      <c r="FEU611"/>
      <c r="FEV611"/>
      <c r="FEW611"/>
      <c r="FEX611"/>
      <c r="FEY611"/>
      <c r="FEZ611"/>
      <c r="FFA611"/>
      <c r="FFB611"/>
      <c r="FFC611"/>
      <c r="FFD611"/>
      <c r="FFE611"/>
      <c r="FFF611"/>
      <c r="FFG611"/>
      <c r="FFH611"/>
      <c r="FFI611"/>
      <c r="FFJ611"/>
      <c r="FFK611"/>
      <c r="FFL611"/>
      <c r="FFM611"/>
      <c r="FFN611"/>
      <c r="FFO611"/>
      <c r="FFP611"/>
      <c r="FFQ611"/>
      <c r="FFR611"/>
      <c r="FFS611"/>
      <c r="FFT611"/>
      <c r="FFU611"/>
      <c r="FFV611"/>
      <c r="FFW611"/>
      <c r="FFX611"/>
      <c r="FFY611"/>
      <c r="FFZ611"/>
      <c r="FGA611"/>
      <c r="FGB611"/>
      <c r="FGC611"/>
      <c r="FGD611"/>
      <c r="FGE611"/>
      <c r="FGF611"/>
      <c r="FGG611"/>
      <c r="FGH611"/>
      <c r="FGI611"/>
      <c r="FGJ611"/>
      <c r="FGK611"/>
      <c r="FGL611"/>
      <c r="FGM611"/>
      <c r="FGN611"/>
      <c r="FGO611"/>
      <c r="FGP611"/>
      <c r="FGQ611"/>
      <c r="FGR611"/>
      <c r="FGS611"/>
      <c r="FGT611"/>
      <c r="FGU611"/>
      <c r="FGV611"/>
      <c r="FGW611"/>
      <c r="FGX611"/>
      <c r="FGY611"/>
      <c r="FGZ611"/>
      <c r="FHA611"/>
      <c r="FHB611"/>
      <c r="FHC611"/>
      <c r="FHD611"/>
      <c r="FHE611"/>
      <c r="FHF611"/>
      <c r="FHG611"/>
      <c r="FHH611"/>
      <c r="FHI611"/>
      <c r="FHJ611"/>
      <c r="FHK611"/>
      <c r="FHL611"/>
      <c r="FHM611"/>
      <c r="FHN611"/>
      <c r="FHO611"/>
      <c r="FHP611"/>
      <c r="FHQ611"/>
      <c r="FHR611"/>
      <c r="FHS611"/>
      <c r="FHT611"/>
      <c r="FHU611"/>
      <c r="FHV611"/>
      <c r="FHW611"/>
      <c r="FHX611"/>
      <c r="FHY611"/>
      <c r="FHZ611"/>
      <c r="FIA611"/>
      <c r="FIB611"/>
      <c r="FIC611"/>
      <c r="FID611"/>
      <c r="FIE611"/>
      <c r="FIF611"/>
      <c r="FIG611"/>
      <c r="FIH611"/>
      <c r="FII611"/>
      <c r="FIJ611"/>
      <c r="FIK611"/>
      <c r="FIL611"/>
      <c r="FIM611"/>
      <c r="FIN611"/>
      <c r="FIO611"/>
      <c r="FIP611"/>
      <c r="FIQ611"/>
      <c r="FIR611"/>
      <c r="FIS611"/>
      <c r="FIT611"/>
      <c r="FIU611"/>
      <c r="FIV611"/>
      <c r="FIW611"/>
      <c r="FIX611"/>
      <c r="FIY611"/>
      <c r="FIZ611"/>
      <c r="FJA611"/>
      <c r="FJB611"/>
      <c r="FJC611"/>
      <c r="FJD611"/>
      <c r="FJE611"/>
      <c r="FJF611"/>
      <c r="FJG611"/>
      <c r="FJH611"/>
      <c r="FJI611"/>
      <c r="FJJ611"/>
      <c r="FJK611"/>
      <c r="FJL611"/>
      <c r="FJM611"/>
      <c r="FJN611"/>
      <c r="FJO611"/>
      <c r="FJP611"/>
      <c r="FJQ611"/>
      <c r="FJR611"/>
      <c r="FJS611"/>
      <c r="FJT611"/>
      <c r="FJU611"/>
      <c r="FJV611"/>
      <c r="FJW611"/>
      <c r="FJX611"/>
      <c r="FJY611"/>
      <c r="FJZ611"/>
      <c r="FKA611"/>
      <c r="FKB611"/>
      <c r="FKC611"/>
      <c r="FKD611"/>
      <c r="FKE611"/>
      <c r="FKF611"/>
      <c r="FKG611"/>
      <c r="FKH611"/>
      <c r="FKI611"/>
      <c r="FKJ611"/>
      <c r="FKK611"/>
      <c r="FKL611"/>
      <c r="FKM611"/>
      <c r="FKN611"/>
      <c r="FKO611"/>
      <c r="FKP611"/>
      <c r="FKQ611"/>
      <c r="FKR611"/>
      <c r="FKS611"/>
      <c r="FKT611"/>
      <c r="FKU611"/>
      <c r="FKV611"/>
      <c r="FKW611"/>
      <c r="FKX611"/>
      <c r="FKY611"/>
      <c r="FKZ611"/>
      <c r="FLA611"/>
      <c r="FLB611"/>
      <c r="FLC611"/>
      <c r="FLD611"/>
      <c r="FLE611"/>
      <c r="FLF611"/>
      <c r="FLG611"/>
      <c r="FLH611"/>
      <c r="FLI611"/>
      <c r="FLJ611"/>
      <c r="FLK611"/>
      <c r="FLL611"/>
      <c r="FLM611"/>
      <c r="FLN611"/>
      <c r="FLO611"/>
      <c r="FLP611"/>
      <c r="FLQ611"/>
      <c r="FLR611"/>
      <c r="FLS611"/>
      <c r="FLT611"/>
      <c r="FLU611"/>
      <c r="FLV611"/>
      <c r="FLW611"/>
      <c r="FLX611"/>
      <c r="FLY611"/>
      <c r="FLZ611"/>
      <c r="FMA611"/>
      <c r="FMB611"/>
      <c r="FMC611"/>
      <c r="FMD611"/>
      <c r="FME611"/>
      <c r="FMF611"/>
      <c r="FMG611"/>
      <c r="FMH611"/>
      <c r="FMI611"/>
      <c r="FMJ611"/>
      <c r="FMK611"/>
      <c r="FML611"/>
      <c r="FMM611"/>
      <c r="FMN611"/>
      <c r="FMO611"/>
      <c r="FMP611"/>
      <c r="FMQ611"/>
      <c r="FMR611"/>
      <c r="FMS611"/>
      <c r="FMT611"/>
      <c r="FMU611"/>
      <c r="FMV611"/>
      <c r="FMW611"/>
      <c r="FMX611"/>
      <c r="FMY611"/>
      <c r="FMZ611"/>
      <c r="FNA611"/>
      <c r="FNB611"/>
      <c r="FNC611"/>
      <c r="FND611"/>
      <c r="FNE611"/>
      <c r="FNF611"/>
      <c r="FNG611"/>
      <c r="FNH611"/>
      <c r="FNI611"/>
      <c r="FNJ611"/>
      <c r="FNK611"/>
      <c r="FNL611"/>
      <c r="FNM611"/>
      <c r="FNN611"/>
      <c r="FNO611"/>
      <c r="FNP611"/>
      <c r="FNQ611"/>
      <c r="FNR611"/>
      <c r="FNS611"/>
      <c r="FNT611"/>
      <c r="FNU611"/>
      <c r="FNV611"/>
      <c r="FNW611"/>
      <c r="FNX611"/>
      <c r="FNY611"/>
      <c r="FNZ611"/>
      <c r="FOA611"/>
      <c r="FOB611"/>
      <c r="FOC611"/>
      <c r="FOD611"/>
      <c r="FOE611"/>
      <c r="FOF611"/>
      <c r="FOG611"/>
      <c r="FOH611"/>
      <c r="FOI611"/>
      <c r="FOJ611"/>
      <c r="FOK611"/>
      <c r="FOL611"/>
      <c r="FOM611"/>
      <c r="FON611"/>
      <c r="FOO611"/>
      <c r="FOP611"/>
      <c r="FOQ611"/>
      <c r="FOR611"/>
      <c r="FOS611"/>
      <c r="FOT611"/>
      <c r="FOU611"/>
      <c r="FOV611"/>
      <c r="FOW611"/>
      <c r="FOX611"/>
      <c r="FOY611"/>
      <c r="FOZ611"/>
      <c r="FPA611"/>
      <c r="FPB611"/>
      <c r="FPC611"/>
      <c r="FPD611"/>
      <c r="FPE611"/>
      <c r="FPF611"/>
      <c r="FPG611"/>
      <c r="FPH611"/>
      <c r="FPI611"/>
      <c r="FPJ611"/>
      <c r="FPK611"/>
      <c r="FPL611"/>
      <c r="FPM611"/>
      <c r="FPN611"/>
      <c r="FPO611"/>
      <c r="FPP611"/>
      <c r="FPQ611"/>
      <c r="FPR611"/>
      <c r="FPS611"/>
      <c r="FPT611"/>
      <c r="FPU611"/>
      <c r="FPV611"/>
      <c r="FPW611"/>
      <c r="FPX611"/>
      <c r="FPY611"/>
      <c r="FPZ611"/>
      <c r="FQA611"/>
      <c r="FQB611"/>
      <c r="FQC611"/>
      <c r="FQD611"/>
      <c r="FQE611"/>
      <c r="FQF611"/>
      <c r="FQG611"/>
      <c r="FQH611"/>
      <c r="FQI611"/>
      <c r="FQJ611"/>
      <c r="FQK611"/>
      <c r="FQL611"/>
      <c r="FQM611"/>
      <c r="FQN611"/>
      <c r="FQO611"/>
      <c r="FQP611"/>
      <c r="FQQ611"/>
      <c r="FQR611"/>
      <c r="FQS611"/>
      <c r="FQT611"/>
      <c r="FQU611"/>
      <c r="FQV611"/>
      <c r="FQW611"/>
      <c r="FQX611"/>
      <c r="FQY611"/>
      <c r="FQZ611"/>
      <c r="FRA611"/>
      <c r="FRB611"/>
      <c r="FRC611"/>
      <c r="FRD611"/>
      <c r="FRE611"/>
      <c r="FRF611"/>
      <c r="FRG611"/>
      <c r="FRH611"/>
      <c r="FRI611"/>
      <c r="FRJ611"/>
      <c r="FRK611"/>
      <c r="FRL611"/>
      <c r="FRM611"/>
      <c r="FRN611"/>
      <c r="FRO611"/>
      <c r="FRP611"/>
      <c r="FRQ611"/>
      <c r="FRR611"/>
      <c r="FRS611"/>
      <c r="FRT611"/>
      <c r="FRU611"/>
      <c r="FRV611"/>
      <c r="FRW611"/>
      <c r="FRX611"/>
      <c r="FRY611"/>
      <c r="FRZ611"/>
      <c r="FSA611"/>
      <c r="FSB611"/>
      <c r="FSC611"/>
      <c r="FSD611"/>
      <c r="FSE611"/>
      <c r="FSF611"/>
      <c r="FSG611"/>
      <c r="FSH611"/>
      <c r="FSI611"/>
      <c r="FSJ611"/>
      <c r="FSK611"/>
      <c r="FSL611"/>
      <c r="FSM611"/>
      <c r="FSN611"/>
      <c r="FSO611"/>
      <c r="FSP611"/>
      <c r="FSQ611"/>
      <c r="FSR611"/>
      <c r="FSS611"/>
      <c r="FST611"/>
      <c r="FSU611"/>
      <c r="FSV611"/>
      <c r="FSW611"/>
      <c r="FSX611"/>
      <c r="FSY611"/>
      <c r="FSZ611"/>
      <c r="FTA611"/>
      <c r="FTB611"/>
      <c r="FTC611"/>
      <c r="FTD611"/>
      <c r="FTE611"/>
      <c r="FTF611"/>
      <c r="FTG611"/>
      <c r="FTH611"/>
      <c r="FTI611"/>
      <c r="FTJ611"/>
      <c r="FTK611"/>
      <c r="FTL611"/>
      <c r="FTM611"/>
      <c r="FTN611"/>
      <c r="FTO611"/>
      <c r="FTP611"/>
      <c r="FTQ611"/>
      <c r="FTR611"/>
      <c r="FTS611"/>
      <c r="FTT611"/>
      <c r="FTU611"/>
      <c r="FTV611"/>
      <c r="FTW611"/>
      <c r="FTX611"/>
      <c r="FTY611"/>
      <c r="FTZ611"/>
      <c r="FUA611"/>
      <c r="FUB611"/>
      <c r="FUC611"/>
      <c r="FUD611"/>
      <c r="FUE611"/>
      <c r="FUF611"/>
      <c r="FUG611"/>
      <c r="FUH611"/>
      <c r="FUI611"/>
      <c r="FUJ611"/>
      <c r="FUK611"/>
      <c r="FUL611"/>
      <c r="FUM611"/>
      <c r="FUN611"/>
      <c r="FUO611"/>
      <c r="FUP611"/>
      <c r="FUQ611"/>
      <c r="FUR611"/>
      <c r="FUS611"/>
      <c r="FUT611"/>
      <c r="FUU611"/>
      <c r="FUV611"/>
      <c r="FUW611"/>
      <c r="FUX611"/>
      <c r="FUY611"/>
      <c r="FUZ611"/>
      <c r="FVA611"/>
      <c r="FVB611"/>
      <c r="FVC611"/>
      <c r="FVD611"/>
      <c r="FVE611"/>
      <c r="FVF611"/>
      <c r="FVG611"/>
      <c r="FVH611"/>
      <c r="FVI611"/>
      <c r="FVJ611"/>
      <c r="FVK611"/>
      <c r="FVL611"/>
      <c r="FVM611"/>
      <c r="FVN611"/>
      <c r="FVO611"/>
      <c r="FVP611"/>
      <c r="FVQ611"/>
      <c r="FVR611"/>
      <c r="FVS611"/>
      <c r="FVT611"/>
      <c r="FVU611"/>
      <c r="FVV611"/>
      <c r="FVW611"/>
      <c r="FVX611"/>
      <c r="FVY611"/>
      <c r="FVZ611"/>
      <c r="FWA611"/>
      <c r="FWB611"/>
      <c r="FWC611"/>
      <c r="FWD611"/>
      <c r="FWE611"/>
      <c r="FWF611"/>
      <c r="FWG611"/>
      <c r="FWH611"/>
      <c r="FWI611"/>
      <c r="FWJ611"/>
      <c r="FWK611"/>
      <c r="FWL611"/>
      <c r="FWM611"/>
      <c r="FWN611"/>
      <c r="FWO611"/>
      <c r="FWP611"/>
      <c r="FWQ611"/>
      <c r="FWR611"/>
      <c r="FWS611"/>
      <c r="FWT611"/>
      <c r="FWU611"/>
      <c r="FWV611"/>
      <c r="FWW611"/>
      <c r="FWX611"/>
      <c r="FWY611"/>
      <c r="FWZ611"/>
      <c r="FXA611"/>
      <c r="FXB611"/>
      <c r="FXC611"/>
      <c r="FXD611"/>
      <c r="FXE611"/>
      <c r="FXF611"/>
      <c r="FXG611"/>
      <c r="FXH611"/>
      <c r="FXI611"/>
      <c r="FXJ611"/>
      <c r="FXK611"/>
      <c r="FXL611"/>
      <c r="FXM611"/>
      <c r="FXN611"/>
      <c r="FXO611"/>
      <c r="FXP611"/>
      <c r="FXQ611"/>
      <c r="FXR611"/>
      <c r="FXS611"/>
      <c r="FXT611"/>
      <c r="FXU611"/>
      <c r="FXV611"/>
      <c r="FXW611"/>
      <c r="FXX611"/>
      <c r="FXY611"/>
      <c r="FXZ611"/>
      <c r="FYA611"/>
      <c r="FYB611"/>
      <c r="FYC611"/>
      <c r="FYD611"/>
      <c r="FYE611"/>
      <c r="FYF611"/>
      <c r="FYG611"/>
      <c r="FYH611"/>
      <c r="FYI611"/>
      <c r="FYJ611"/>
      <c r="FYK611"/>
      <c r="FYL611"/>
      <c r="FYM611"/>
      <c r="FYN611"/>
      <c r="FYO611"/>
      <c r="FYP611"/>
      <c r="FYQ611"/>
      <c r="FYR611"/>
      <c r="FYS611"/>
      <c r="FYT611"/>
      <c r="FYU611"/>
      <c r="FYV611"/>
      <c r="FYW611"/>
      <c r="FYX611"/>
      <c r="FYY611"/>
      <c r="FYZ611"/>
      <c r="FZA611"/>
      <c r="FZB611"/>
      <c r="FZC611"/>
      <c r="FZD611"/>
      <c r="FZE611"/>
      <c r="FZF611"/>
      <c r="FZG611"/>
      <c r="FZH611"/>
      <c r="FZI611"/>
      <c r="FZJ611"/>
      <c r="FZK611"/>
      <c r="FZL611"/>
      <c r="FZM611"/>
      <c r="FZN611"/>
      <c r="FZO611"/>
      <c r="FZP611"/>
      <c r="FZQ611"/>
      <c r="FZR611"/>
      <c r="FZS611"/>
      <c r="FZT611"/>
      <c r="FZU611"/>
      <c r="FZV611"/>
      <c r="FZW611"/>
      <c r="FZX611"/>
      <c r="FZY611"/>
      <c r="FZZ611"/>
      <c r="GAA611"/>
      <c r="GAB611"/>
      <c r="GAC611"/>
      <c r="GAD611"/>
      <c r="GAE611"/>
      <c r="GAF611"/>
      <c r="GAG611"/>
      <c r="GAH611"/>
      <c r="GAI611"/>
      <c r="GAJ611"/>
      <c r="GAK611"/>
      <c r="GAL611"/>
      <c r="GAM611"/>
      <c r="GAN611"/>
      <c r="GAO611"/>
      <c r="GAP611"/>
      <c r="GAQ611"/>
      <c r="GAR611"/>
      <c r="GAS611"/>
      <c r="GAT611"/>
      <c r="GAU611"/>
      <c r="GAV611"/>
      <c r="GAW611"/>
      <c r="GAX611"/>
      <c r="GAY611"/>
      <c r="GAZ611"/>
      <c r="GBA611"/>
      <c r="GBB611"/>
      <c r="GBC611"/>
      <c r="GBD611"/>
      <c r="GBE611"/>
      <c r="GBF611"/>
      <c r="GBG611"/>
      <c r="GBH611"/>
      <c r="GBI611"/>
      <c r="GBJ611"/>
      <c r="GBK611"/>
      <c r="GBL611"/>
      <c r="GBM611"/>
      <c r="GBN611"/>
      <c r="GBO611"/>
      <c r="GBP611"/>
      <c r="GBQ611"/>
      <c r="GBR611"/>
      <c r="GBS611"/>
      <c r="GBT611"/>
      <c r="GBU611"/>
      <c r="GBV611"/>
      <c r="GBW611"/>
      <c r="GBX611"/>
      <c r="GBY611"/>
      <c r="GBZ611"/>
      <c r="GCA611"/>
      <c r="GCB611"/>
      <c r="GCC611"/>
      <c r="GCD611"/>
      <c r="GCE611"/>
      <c r="GCF611"/>
      <c r="GCG611"/>
      <c r="GCH611"/>
      <c r="GCI611"/>
      <c r="GCJ611"/>
      <c r="GCK611"/>
      <c r="GCL611"/>
      <c r="GCM611"/>
      <c r="GCN611"/>
      <c r="GCO611"/>
      <c r="GCP611"/>
      <c r="GCQ611"/>
      <c r="GCR611"/>
      <c r="GCS611"/>
      <c r="GCT611"/>
      <c r="GCU611"/>
      <c r="GCV611"/>
      <c r="GCW611"/>
      <c r="GCX611"/>
      <c r="GCY611"/>
      <c r="GCZ611"/>
      <c r="GDA611"/>
      <c r="GDB611"/>
      <c r="GDC611"/>
      <c r="GDD611"/>
      <c r="GDE611"/>
      <c r="GDF611"/>
      <c r="GDG611"/>
      <c r="GDH611"/>
      <c r="GDI611"/>
      <c r="GDJ611"/>
      <c r="GDK611"/>
      <c r="GDL611"/>
      <c r="GDM611"/>
      <c r="GDN611"/>
      <c r="GDO611"/>
      <c r="GDP611"/>
      <c r="GDQ611"/>
      <c r="GDR611"/>
      <c r="GDS611"/>
      <c r="GDT611"/>
      <c r="GDU611"/>
      <c r="GDV611"/>
      <c r="GDW611"/>
      <c r="GDX611"/>
      <c r="GDY611"/>
      <c r="GDZ611"/>
      <c r="GEA611"/>
      <c r="GEB611"/>
      <c r="GEC611"/>
      <c r="GED611"/>
      <c r="GEE611"/>
      <c r="GEF611"/>
      <c r="GEG611"/>
      <c r="GEH611"/>
      <c r="GEI611"/>
      <c r="GEJ611"/>
      <c r="GEK611"/>
      <c r="GEL611"/>
      <c r="GEM611"/>
      <c r="GEN611"/>
      <c r="GEO611"/>
      <c r="GEP611"/>
      <c r="GEQ611"/>
      <c r="GER611"/>
      <c r="GES611"/>
      <c r="GET611"/>
      <c r="GEU611"/>
      <c r="GEV611"/>
      <c r="GEW611"/>
      <c r="GEX611"/>
      <c r="GEY611"/>
      <c r="GEZ611"/>
      <c r="GFA611"/>
      <c r="GFB611"/>
      <c r="GFC611"/>
      <c r="GFD611"/>
      <c r="GFE611"/>
      <c r="GFF611"/>
      <c r="GFG611"/>
      <c r="GFH611"/>
      <c r="GFI611"/>
      <c r="GFJ611"/>
      <c r="GFK611"/>
      <c r="GFL611"/>
      <c r="GFM611"/>
      <c r="GFN611"/>
      <c r="GFO611"/>
      <c r="GFP611"/>
      <c r="GFQ611"/>
      <c r="GFR611"/>
      <c r="GFS611"/>
      <c r="GFT611"/>
      <c r="GFU611"/>
      <c r="GFV611"/>
      <c r="GFW611"/>
      <c r="GFX611"/>
      <c r="GFY611"/>
      <c r="GFZ611"/>
      <c r="GGA611"/>
      <c r="GGB611"/>
      <c r="GGC611"/>
      <c r="GGD611"/>
      <c r="GGE611"/>
      <c r="GGF611"/>
      <c r="GGG611"/>
      <c r="GGH611"/>
      <c r="GGI611"/>
      <c r="GGJ611"/>
      <c r="GGK611"/>
      <c r="GGL611"/>
      <c r="GGM611"/>
      <c r="GGN611"/>
      <c r="GGO611"/>
      <c r="GGP611"/>
      <c r="GGQ611"/>
      <c r="GGR611"/>
      <c r="GGS611"/>
      <c r="GGT611"/>
      <c r="GGU611"/>
      <c r="GGV611"/>
      <c r="GGW611"/>
      <c r="GGX611"/>
      <c r="GGY611"/>
      <c r="GGZ611"/>
      <c r="GHA611"/>
      <c r="GHB611"/>
      <c r="GHC611"/>
      <c r="GHD611"/>
      <c r="GHE611"/>
      <c r="GHF611"/>
      <c r="GHG611"/>
      <c r="GHH611"/>
      <c r="GHI611"/>
      <c r="GHJ611"/>
      <c r="GHK611"/>
      <c r="GHL611"/>
      <c r="GHM611"/>
      <c r="GHN611"/>
      <c r="GHO611"/>
      <c r="GHP611"/>
      <c r="GHQ611"/>
      <c r="GHR611"/>
      <c r="GHS611"/>
      <c r="GHT611"/>
      <c r="GHU611"/>
      <c r="GHV611"/>
      <c r="GHW611"/>
      <c r="GHX611"/>
      <c r="GHY611"/>
      <c r="GHZ611"/>
      <c r="GIA611"/>
      <c r="GIB611"/>
      <c r="GIC611"/>
      <c r="GID611"/>
      <c r="GIE611"/>
      <c r="GIF611"/>
      <c r="GIG611"/>
      <c r="GIH611"/>
      <c r="GII611"/>
      <c r="GIJ611"/>
      <c r="GIK611"/>
      <c r="GIL611"/>
      <c r="GIM611"/>
      <c r="GIN611"/>
      <c r="GIO611"/>
      <c r="GIP611"/>
      <c r="GIQ611"/>
      <c r="GIR611"/>
      <c r="GIS611"/>
      <c r="GIT611"/>
      <c r="GIU611"/>
      <c r="GIV611"/>
      <c r="GIW611"/>
      <c r="GIX611"/>
      <c r="GIY611"/>
      <c r="GIZ611"/>
      <c r="GJA611"/>
      <c r="GJB611"/>
      <c r="GJC611"/>
      <c r="GJD611"/>
      <c r="GJE611"/>
      <c r="GJF611"/>
      <c r="GJG611"/>
      <c r="GJH611"/>
      <c r="GJI611"/>
      <c r="GJJ611"/>
      <c r="GJK611"/>
      <c r="GJL611"/>
      <c r="GJM611"/>
      <c r="GJN611"/>
      <c r="GJO611"/>
      <c r="GJP611"/>
      <c r="GJQ611"/>
      <c r="GJR611"/>
      <c r="GJS611"/>
      <c r="GJT611"/>
      <c r="GJU611"/>
      <c r="GJV611"/>
      <c r="GJW611"/>
      <c r="GJX611"/>
      <c r="GJY611"/>
      <c r="GJZ611"/>
      <c r="GKA611"/>
      <c r="GKB611"/>
      <c r="GKC611"/>
      <c r="GKD611"/>
      <c r="GKE611"/>
      <c r="GKF611"/>
      <c r="GKG611"/>
      <c r="GKH611"/>
      <c r="GKI611"/>
      <c r="GKJ611"/>
      <c r="GKK611"/>
      <c r="GKL611"/>
      <c r="GKM611"/>
      <c r="GKN611"/>
      <c r="GKO611"/>
      <c r="GKP611"/>
      <c r="GKQ611"/>
      <c r="GKR611"/>
      <c r="GKS611"/>
      <c r="GKT611"/>
      <c r="GKU611"/>
      <c r="GKV611"/>
      <c r="GKW611"/>
      <c r="GKX611"/>
      <c r="GKY611"/>
      <c r="GKZ611"/>
      <c r="GLA611"/>
      <c r="GLB611"/>
      <c r="GLC611"/>
      <c r="GLD611"/>
      <c r="GLE611"/>
      <c r="GLF611"/>
      <c r="GLG611"/>
      <c r="GLH611"/>
      <c r="GLI611"/>
      <c r="GLJ611"/>
      <c r="GLK611"/>
      <c r="GLL611"/>
      <c r="GLM611"/>
      <c r="GLN611"/>
      <c r="GLO611"/>
      <c r="GLP611"/>
      <c r="GLQ611"/>
      <c r="GLR611"/>
      <c r="GLS611"/>
      <c r="GLT611"/>
      <c r="GLU611"/>
      <c r="GLV611"/>
      <c r="GLW611"/>
      <c r="GLX611"/>
      <c r="GLY611"/>
      <c r="GLZ611"/>
      <c r="GMA611"/>
      <c r="GMB611"/>
      <c r="GMC611"/>
      <c r="GMD611"/>
      <c r="GME611"/>
      <c r="GMF611"/>
      <c r="GMG611"/>
      <c r="GMH611"/>
      <c r="GMI611"/>
      <c r="GMJ611"/>
      <c r="GMK611"/>
      <c r="GML611"/>
      <c r="GMM611"/>
      <c r="GMN611"/>
      <c r="GMO611"/>
      <c r="GMP611"/>
      <c r="GMQ611"/>
      <c r="GMR611"/>
      <c r="GMS611"/>
      <c r="GMT611"/>
      <c r="GMU611"/>
      <c r="GMV611"/>
      <c r="GMW611"/>
      <c r="GMX611"/>
      <c r="GMY611"/>
      <c r="GMZ611"/>
      <c r="GNA611"/>
      <c r="GNB611"/>
      <c r="GNC611"/>
      <c r="GND611"/>
      <c r="GNE611"/>
      <c r="GNF611"/>
      <c r="GNG611"/>
      <c r="GNH611"/>
      <c r="GNI611"/>
      <c r="GNJ611"/>
      <c r="GNK611"/>
      <c r="GNL611"/>
      <c r="GNM611"/>
      <c r="GNN611"/>
      <c r="GNO611"/>
      <c r="GNP611"/>
      <c r="GNQ611"/>
      <c r="GNR611"/>
      <c r="GNS611"/>
      <c r="GNT611"/>
      <c r="GNU611"/>
      <c r="GNV611"/>
      <c r="GNW611"/>
      <c r="GNX611"/>
      <c r="GNY611"/>
      <c r="GNZ611"/>
      <c r="GOA611"/>
      <c r="GOB611"/>
      <c r="GOC611"/>
      <c r="GOD611"/>
      <c r="GOE611"/>
      <c r="GOF611"/>
      <c r="GOG611"/>
      <c r="GOH611"/>
      <c r="GOI611"/>
      <c r="GOJ611"/>
      <c r="GOK611"/>
      <c r="GOL611"/>
      <c r="GOM611"/>
      <c r="GON611"/>
      <c r="GOO611"/>
      <c r="GOP611"/>
      <c r="GOQ611"/>
      <c r="GOR611"/>
      <c r="GOS611"/>
      <c r="GOT611"/>
      <c r="GOU611"/>
      <c r="GOV611"/>
      <c r="GOW611"/>
      <c r="GOX611"/>
      <c r="GOY611"/>
      <c r="GOZ611"/>
      <c r="GPA611"/>
      <c r="GPB611"/>
      <c r="GPC611"/>
      <c r="GPD611"/>
      <c r="GPE611"/>
      <c r="GPF611"/>
      <c r="GPG611"/>
      <c r="GPH611"/>
      <c r="GPI611"/>
      <c r="GPJ611"/>
      <c r="GPK611"/>
      <c r="GPL611"/>
      <c r="GPM611"/>
      <c r="GPN611"/>
      <c r="GPO611"/>
      <c r="GPP611"/>
      <c r="GPQ611"/>
      <c r="GPR611"/>
      <c r="GPS611"/>
      <c r="GPT611"/>
      <c r="GPU611"/>
      <c r="GPV611"/>
      <c r="GPW611"/>
      <c r="GPX611"/>
      <c r="GPY611"/>
      <c r="GPZ611"/>
      <c r="GQA611"/>
      <c r="GQB611"/>
      <c r="GQC611"/>
      <c r="GQD611"/>
      <c r="GQE611"/>
      <c r="GQF611"/>
      <c r="GQG611"/>
      <c r="GQH611"/>
      <c r="GQI611"/>
      <c r="GQJ611"/>
      <c r="GQK611"/>
      <c r="GQL611"/>
      <c r="GQM611"/>
      <c r="GQN611"/>
      <c r="GQO611"/>
      <c r="GQP611"/>
      <c r="GQQ611"/>
      <c r="GQR611"/>
      <c r="GQS611"/>
      <c r="GQT611"/>
      <c r="GQU611"/>
      <c r="GQV611"/>
      <c r="GQW611"/>
      <c r="GQX611"/>
      <c r="GQY611"/>
      <c r="GQZ611"/>
      <c r="GRA611"/>
      <c r="GRB611"/>
      <c r="GRC611"/>
      <c r="GRD611"/>
      <c r="GRE611"/>
      <c r="GRF611"/>
      <c r="GRG611"/>
      <c r="GRH611"/>
      <c r="GRI611"/>
      <c r="GRJ611"/>
      <c r="GRK611"/>
      <c r="GRL611"/>
      <c r="GRM611"/>
      <c r="GRN611"/>
      <c r="GRO611"/>
      <c r="GRP611"/>
      <c r="GRQ611"/>
      <c r="GRR611"/>
      <c r="GRS611"/>
      <c r="GRT611"/>
      <c r="GRU611"/>
      <c r="GRV611"/>
      <c r="GRW611"/>
      <c r="GRX611"/>
      <c r="GRY611"/>
      <c r="GRZ611"/>
      <c r="GSA611"/>
      <c r="GSB611"/>
      <c r="GSC611"/>
      <c r="GSD611"/>
      <c r="GSE611"/>
      <c r="GSF611"/>
      <c r="GSG611"/>
      <c r="GSH611"/>
      <c r="GSI611"/>
      <c r="GSJ611"/>
      <c r="GSK611"/>
      <c r="GSL611"/>
      <c r="GSM611"/>
      <c r="GSN611"/>
      <c r="GSO611"/>
      <c r="GSP611"/>
      <c r="GSQ611"/>
      <c r="GSR611"/>
      <c r="GSS611"/>
      <c r="GST611"/>
      <c r="GSU611"/>
      <c r="GSV611"/>
      <c r="GSW611"/>
      <c r="GSX611"/>
      <c r="GSY611"/>
      <c r="GSZ611"/>
      <c r="GTA611"/>
      <c r="GTB611"/>
      <c r="GTC611"/>
      <c r="GTD611"/>
      <c r="GTE611"/>
      <c r="GTF611"/>
      <c r="GTG611"/>
      <c r="GTH611"/>
      <c r="GTI611"/>
      <c r="GTJ611"/>
      <c r="GTK611"/>
      <c r="GTL611"/>
      <c r="GTM611"/>
      <c r="GTN611"/>
      <c r="GTO611"/>
      <c r="GTP611"/>
      <c r="GTQ611"/>
      <c r="GTR611"/>
      <c r="GTS611"/>
      <c r="GTT611"/>
      <c r="GTU611"/>
      <c r="GTV611"/>
      <c r="GTW611"/>
      <c r="GTX611"/>
      <c r="GTY611"/>
      <c r="GTZ611"/>
      <c r="GUA611"/>
      <c r="GUB611"/>
      <c r="GUC611"/>
      <c r="GUD611"/>
      <c r="GUE611"/>
      <c r="GUF611"/>
      <c r="GUG611"/>
      <c r="GUH611"/>
      <c r="GUI611"/>
      <c r="GUJ611"/>
      <c r="GUK611"/>
      <c r="GUL611"/>
      <c r="GUM611"/>
      <c r="GUN611"/>
      <c r="GUO611"/>
      <c r="GUP611"/>
      <c r="GUQ611"/>
      <c r="GUR611"/>
      <c r="GUS611"/>
      <c r="GUT611"/>
      <c r="GUU611"/>
      <c r="GUV611"/>
      <c r="GUW611"/>
      <c r="GUX611"/>
      <c r="GUY611"/>
      <c r="GUZ611"/>
      <c r="GVA611"/>
      <c r="GVB611"/>
      <c r="GVC611"/>
      <c r="GVD611"/>
      <c r="GVE611"/>
      <c r="GVF611"/>
      <c r="GVG611"/>
      <c r="GVH611"/>
      <c r="GVI611"/>
      <c r="GVJ611"/>
      <c r="GVK611"/>
      <c r="GVL611"/>
      <c r="GVM611"/>
      <c r="GVN611"/>
      <c r="GVO611"/>
      <c r="GVP611"/>
      <c r="GVQ611"/>
      <c r="GVR611"/>
      <c r="GVS611"/>
      <c r="GVT611"/>
      <c r="GVU611"/>
      <c r="GVV611"/>
      <c r="GVW611"/>
      <c r="GVX611"/>
      <c r="GVY611"/>
      <c r="GVZ611"/>
      <c r="GWA611"/>
      <c r="GWB611"/>
      <c r="GWC611"/>
      <c r="GWD611"/>
      <c r="GWE611"/>
      <c r="GWF611"/>
      <c r="GWG611"/>
      <c r="GWH611"/>
      <c r="GWI611"/>
      <c r="GWJ611"/>
      <c r="GWK611"/>
      <c r="GWL611"/>
      <c r="GWM611"/>
      <c r="GWN611"/>
      <c r="GWO611"/>
      <c r="GWP611"/>
      <c r="GWQ611"/>
      <c r="GWR611"/>
      <c r="GWS611"/>
      <c r="GWT611"/>
      <c r="GWU611"/>
      <c r="GWV611"/>
      <c r="GWW611"/>
      <c r="GWX611"/>
      <c r="GWY611"/>
      <c r="GWZ611"/>
      <c r="GXA611"/>
      <c r="GXB611"/>
      <c r="GXC611"/>
      <c r="GXD611"/>
      <c r="GXE611"/>
      <c r="GXF611"/>
      <c r="GXG611"/>
      <c r="GXH611"/>
      <c r="GXI611"/>
      <c r="GXJ611"/>
      <c r="GXK611"/>
      <c r="GXL611"/>
      <c r="GXM611"/>
      <c r="GXN611"/>
      <c r="GXO611"/>
      <c r="GXP611"/>
      <c r="GXQ611"/>
      <c r="GXR611"/>
      <c r="GXS611"/>
      <c r="GXT611"/>
      <c r="GXU611"/>
      <c r="GXV611"/>
      <c r="GXW611"/>
      <c r="GXX611"/>
      <c r="GXY611"/>
      <c r="GXZ611"/>
      <c r="GYA611"/>
      <c r="GYB611"/>
      <c r="GYC611"/>
      <c r="GYD611"/>
      <c r="GYE611"/>
      <c r="GYF611"/>
      <c r="GYG611"/>
      <c r="GYH611"/>
      <c r="GYI611"/>
      <c r="GYJ611"/>
      <c r="GYK611"/>
      <c r="GYL611"/>
      <c r="GYM611"/>
      <c r="GYN611"/>
      <c r="GYO611"/>
      <c r="GYP611"/>
      <c r="GYQ611"/>
      <c r="GYR611"/>
      <c r="GYS611"/>
      <c r="GYT611"/>
      <c r="GYU611"/>
      <c r="GYV611"/>
      <c r="GYW611"/>
      <c r="GYX611"/>
      <c r="GYY611"/>
      <c r="GYZ611"/>
      <c r="GZA611"/>
      <c r="GZB611"/>
      <c r="GZC611"/>
      <c r="GZD611"/>
      <c r="GZE611"/>
      <c r="GZF611"/>
      <c r="GZG611"/>
      <c r="GZH611"/>
      <c r="GZI611"/>
      <c r="GZJ611"/>
      <c r="GZK611"/>
      <c r="GZL611"/>
      <c r="GZM611"/>
      <c r="GZN611"/>
      <c r="GZO611"/>
      <c r="GZP611"/>
      <c r="GZQ611"/>
      <c r="GZR611"/>
      <c r="GZS611"/>
      <c r="GZT611"/>
      <c r="GZU611"/>
      <c r="GZV611"/>
      <c r="GZW611"/>
      <c r="GZX611"/>
      <c r="GZY611"/>
      <c r="GZZ611"/>
      <c r="HAA611"/>
      <c r="HAB611"/>
      <c r="HAC611"/>
      <c r="HAD611"/>
      <c r="HAE611"/>
      <c r="HAF611"/>
      <c r="HAG611"/>
      <c r="HAH611"/>
      <c r="HAI611"/>
      <c r="HAJ611"/>
      <c r="HAK611"/>
      <c r="HAL611"/>
      <c r="HAM611"/>
      <c r="HAN611"/>
      <c r="HAO611"/>
      <c r="HAP611"/>
      <c r="HAQ611"/>
      <c r="HAR611"/>
      <c r="HAS611"/>
      <c r="HAT611"/>
      <c r="HAU611"/>
      <c r="HAV611"/>
      <c r="HAW611"/>
      <c r="HAX611"/>
      <c r="HAY611"/>
      <c r="HAZ611"/>
      <c r="HBA611"/>
      <c r="HBB611"/>
      <c r="HBC611"/>
      <c r="HBD611"/>
      <c r="HBE611"/>
      <c r="HBF611"/>
      <c r="HBG611"/>
      <c r="HBH611"/>
      <c r="HBI611"/>
      <c r="HBJ611"/>
      <c r="HBK611"/>
      <c r="HBL611"/>
      <c r="HBM611"/>
      <c r="HBN611"/>
      <c r="HBO611"/>
      <c r="HBP611"/>
      <c r="HBQ611"/>
      <c r="HBR611"/>
      <c r="HBS611"/>
      <c r="HBT611"/>
      <c r="HBU611"/>
      <c r="HBV611"/>
      <c r="HBW611"/>
      <c r="HBX611"/>
      <c r="HBY611"/>
      <c r="HBZ611"/>
      <c r="HCA611"/>
      <c r="HCB611"/>
      <c r="HCC611"/>
      <c r="HCD611"/>
      <c r="HCE611"/>
      <c r="HCF611"/>
      <c r="HCG611"/>
      <c r="HCH611"/>
      <c r="HCI611"/>
      <c r="HCJ611"/>
      <c r="HCK611"/>
      <c r="HCL611"/>
      <c r="HCM611"/>
      <c r="HCN611"/>
      <c r="HCO611"/>
      <c r="HCP611"/>
      <c r="HCQ611"/>
      <c r="HCR611"/>
      <c r="HCS611"/>
      <c r="HCT611"/>
      <c r="HCU611"/>
      <c r="HCV611"/>
      <c r="HCW611"/>
      <c r="HCX611"/>
      <c r="HCY611"/>
      <c r="HCZ611"/>
      <c r="HDA611"/>
      <c r="HDB611"/>
      <c r="HDC611"/>
      <c r="HDD611"/>
      <c r="HDE611"/>
      <c r="HDF611"/>
      <c r="HDG611"/>
      <c r="HDH611"/>
      <c r="HDI611"/>
      <c r="HDJ611"/>
      <c r="HDK611"/>
      <c r="HDL611"/>
      <c r="HDM611"/>
      <c r="HDN611"/>
      <c r="HDO611"/>
      <c r="HDP611"/>
      <c r="HDQ611"/>
      <c r="HDR611"/>
      <c r="HDS611"/>
      <c r="HDT611"/>
      <c r="HDU611"/>
      <c r="HDV611"/>
      <c r="HDW611"/>
      <c r="HDX611"/>
      <c r="HDY611"/>
      <c r="HDZ611"/>
      <c r="HEA611"/>
      <c r="HEB611"/>
      <c r="HEC611"/>
      <c r="HED611"/>
      <c r="HEE611"/>
      <c r="HEF611"/>
      <c r="HEG611"/>
      <c r="HEH611"/>
      <c r="HEI611"/>
      <c r="HEJ611"/>
      <c r="HEK611"/>
      <c r="HEL611"/>
      <c r="HEM611"/>
      <c r="HEN611"/>
      <c r="HEO611"/>
      <c r="HEP611"/>
      <c r="HEQ611"/>
      <c r="HER611"/>
      <c r="HES611"/>
      <c r="HET611"/>
      <c r="HEU611"/>
      <c r="HEV611"/>
      <c r="HEW611"/>
      <c r="HEX611"/>
      <c r="HEY611"/>
      <c r="HEZ611"/>
      <c r="HFA611"/>
      <c r="HFB611"/>
      <c r="HFC611"/>
      <c r="HFD611"/>
      <c r="HFE611"/>
      <c r="HFF611"/>
      <c r="HFG611"/>
      <c r="HFH611"/>
      <c r="HFI611"/>
      <c r="HFJ611"/>
      <c r="HFK611"/>
      <c r="HFL611"/>
      <c r="HFM611"/>
      <c r="HFN611"/>
      <c r="HFO611"/>
      <c r="HFP611"/>
      <c r="HFQ611"/>
      <c r="HFR611"/>
      <c r="HFS611"/>
      <c r="HFT611"/>
      <c r="HFU611"/>
      <c r="HFV611"/>
      <c r="HFW611"/>
      <c r="HFX611"/>
      <c r="HFY611"/>
      <c r="HFZ611"/>
      <c r="HGA611"/>
      <c r="HGB611"/>
      <c r="HGC611"/>
      <c r="HGD611"/>
      <c r="HGE611"/>
      <c r="HGF611"/>
      <c r="HGG611"/>
      <c r="HGH611"/>
      <c r="HGI611"/>
      <c r="HGJ611"/>
      <c r="HGK611"/>
      <c r="HGL611"/>
      <c r="HGM611"/>
      <c r="HGN611"/>
      <c r="HGO611"/>
      <c r="HGP611"/>
      <c r="HGQ611"/>
      <c r="HGR611"/>
      <c r="HGS611"/>
      <c r="HGT611"/>
      <c r="HGU611"/>
      <c r="HGV611"/>
      <c r="HGW611"/>
      <c r="HGX611"/>
      <c r="HGY611"/>
      <c r="HGZ611"/>
      <c r="HHA611"/>
      <c r="HHB611"/>
      <c r="HHC611"/>
      <c r="HHD611"/>
      <c r="HHE611"/>
      <c r="HHF611"/>
      <c r="HHG611"/>
      <c r="HHH611"/>
      <c r="HHI611"/>
      <c r="HHJ611"/>
      <c r="HHK611"/>
      <c r="HHL611"/>
      <c r="HHM611"/>
      <c r="HHN611"/>
      <c r="HHO611"/>
      <c r="HHP611"/>
      <c r="HHQ611"/>
      <c r="HHR611"/>
      <c r="HHS611"/>
      <c r="HHT611"/>
      <c r="HHU611"/>
      <c r="HHV611"/>
      <c r="HHW611"/>
      <c r="HHX611"/>
      <c r="HHY611"/>
      <c r="HHZ611"/>
      <c r="HIA611"/>
      <c r="HIB611"/>
      <c r="HIC611"/>
      <c r="HID611"/>
      <c r="HIE611"/>
      <c r="HIF611"/>
      <c r="HIG611"/>
      <c r="HIH611"/>
      <c r="HII611"/>
      <c r="HIJ611"/>
      <c r="HIK611"/>
      <c r="HIL611"/>
      <c r="HIM611"/>
      <c r="HIN611"/>
      <c r="HIO611"/>
      <c r="HIP611"/>
      <c r="HIQ611"/>
      <c r="HIR611"/>
      <c r="HIS611"/>
      <c r="HIT611"/>
      <c r="HIU611"/>
      <c r="HIV611"/>
      <c r="HIW611"/>
      <c r="HIX611"/>
      <c r="HIY611"/>
      <c r="HIZ611"/>
      <c r="HJA611"/>
      <c r="HJB611"/>
      <c r="HJC611"/>
      <c r="HJD611"/>
      <c r="HJE611"/>
      <c r="HJF611"/>
      <c r="HJG611"/>
      <c r="HJH611"/>
      <c r="HJI611"/>
      <c r="HJJ611"/>
      <c r="HJK611"/>
      <c r="HJL611"/>
      <c r="HJM611"/>
      <c r="HJN611"/>
      <c r="HJO611"/>
      <c r="HJP611"/>
      <c r="HJQ611"/>
      <c r="HJR611"/>
      <c r="HJS611"/>
      <c r="HJT611"/>
      <c r="HJU611"/>
      <c r="HJV611"/>
      <c r="HJW611"/>
      <c r="HJX611"/>
      <c r="HJY611"/>
      <c r="HJZ611"/>
      <c r="HKA611"/>
      <c r="HKB611"/>
      <c r="HKC611"/>
      <c r="HKD611"/>
      <c r="HKE611"/>
      <c r="HKF611"/>
      <c r="HKG611"/>
      <c r="HKH611"/>
      <c r="HKI611"/>
      <c r="HKJ611"/>
      <c r="HKK611"/>
      <c r="HKL611"/>
      <c r="HKM611"/>
      <c r="HKN611"/>
      <c r="HKO611"/>
      <c r="HKP611"/>
      <c r="HKQ611"/>
      <c r="HKR611"/>
      <c r="HKS611"/>
      <c r="HKT611"/>
      <c r="HKU611"/>
      <c r="HKV611"/>
      <c r="HKW611"/>
      <c r="HKX611"/>
      <c r="HKY611"/>
      <c r="HKZ611"/>
      <c r="HLA611"/>
      <c r="HLB611"/>
      <c r="HLC611"/>
      <c r="HLD611"/>
      <c r="HLE611"/>
      <c r="HLF611"/>
      <c r="HLG611"/>
      <c r="HLH611"/>
      <c r="HLI611"/>
      <c r="HLJ611"/>
      <c r="HLK611"/>
      <c r="HLL611"/>
      <c r="HLM611"/>
      <c r="HLN611"/>
      <c r="HLO611"/>
      <c r="HLP611"/>
      <c r="HLQ611"/>
      <c r="HLR611"/>
      <c r="HLS611"/>
      <c r="HLT611"/>
      <c r="HLU611"/>
      <c r="HLV611"/>
      <c r="HLW611"/>
      <c r="HLX611"/>
      <c r="HLY611"/>
      <c r="HLZ611"/>
      <c r="HMA611"/>
      <c r="HMB611"/>
      <c r="HMC611"/>
      <c r="HMD611"/>
      <c r="HME611"/>
      <c r="HMF611"/>
      <c r="HMG611"/>
      <c r="HMH611"/>
      <c r="HMI611"/>
      <c r="HMJ611"/>
      <c r="HMK611"/>
      <c r="HML611"/>
      <c r="HMM611"/>
      <c r="HMN611"/>
      <c r="HMO611"/>
      <c r="HMP611"/>
      <c r="HMQ611"/>
      <c r="HMR611"/>
      <c r="HMS611"/>
      <c r="HMT611"/>
      <c r="HMU611"/>
      <c r="HMV611"/>
      <c r="HMW611"/>
      <c r="HMX611"/>
      <c r="HMY611"/>
      <c r="HMZ611"/>
      <c r="HNA611"/>
      <c r="HNB611"/>
      <c r="HNC611"/>
      <c r="HND611"/>
      <c r="HNE611"/>
      <c r="HNF611"/>
      <c r="HNG611"/>
      <c r="HNH611"/>
      <c r="HNI611"/>
      <c r="HNJ611"/>
      <c r="HNK611"/>
      <c r="HNL611"/>
      <c r="HNM611"/>
      <c r="HNN611"/>
      <c r="HNO611"/>
      <c r="HNP611"/>
      <c r="HNQ611"/>
      <c r="HNR611"/>
      <c r="HNS611"/>
      <c r="HNT611"/>
      <c r="HNU611"/>
      <c r="HNV611"/>
      <c r="HNW611"/>
      <c r="HNX611"/>
      <c r="HNY611"/>
      <c r="HNZ611"/>
      <c r="HOA611"/>
      <c r="HOB611"/>
      <c r="HOC611"/>
      <c r="HOD611"/>
      <c r="HOE611"/>
      <c r="HOF611"/>
      <c r="HOG611"/>
      <c r="HOH611"/>
      <c r="HOI611"/>
      <c r="HOJ611"/>
      <c r="HOK611"/>
      <c r="HOL611"/>
      <c r="HOM611"/>
      <c r="HON611"/>
      <c r="HOO611"/>
      <c r="HOP611"/>
      <c r="HOQ611"/>
      <c r="HOR611"/>
      <c r="HOS611"/>
      <c r="HOT611"/>
      <c r="HOU611"/>
      <c r="HOV611"/>
      <c r="HOW611"/>
      <c r="HOX611"/>
      <c r="HOY611"/>
      <c r="HOZ611"/>
      <c r="HPA611"/>
      <c r="HPB611"/>
      <c r="HPC611"/>
      <c r="HPD611"/>
      <c r="HPE611"/>
      <c r="HPF611"/>
      <c r="HPG611"/>
      <c r="HPH611"/>
      <c r="HPI611"/>
      <c r="HPJ611"/>
      <c r="HPK611"/>
      <c r="HPL611"/>
      <c r="HPM611"/>
      <c r="HPN611"/>
      <c r="HPO611"/>
      <c r="HPP611"/>
      <c r="HPQ611"/>
      <c r="HPR611"/>
      <c r="HPS611"/>
      <c r="HPT611"/>
      <c r="HPU611"/>
      <c r="HPV611"/>
      <c r="HPW611"/>
      <c r="HPX611"/>
      <c r="HPY611"/>
      <c r="HPZ611"/>
      <c r="HQA611"/>
      <c r="HQB611"/>
      <c r="HQC611"/>
      <c r="HQD611"/>
      <c r="HQE611"/>
      <c r="HQF611"/>
      <c r="HQG611"/>
      <c r="HQH611"/>
      <c r="HQI611"/>
      <c r="HQJ611"/>
      <c r="HQK611"/>
      <c r="HQL611"/>
      <c r="HQM611"/>
      <c r="HQN611"/>
      <c r="HQO611"/>
      <c r="HQP611"/>
      <c r="HQQ611"/>
      <c r="HQR611"/>
      <c r="HQS611"/>
      <c r="HQT611"/>
      <c r="HQU611"/>
      <c r="HQV611"/>
      <c r="HQW611"/>
      <c r="HQX611"/>
      <c r="HQY611"/>
      <c r="HQZ611"/>
      <c r="HRA611"/>
      <c r="HRB611"/>
      <c r="HRC611"/>
      <c r="HRD611"/>
      <c r="HRE611"/>
      <c r="HRF611"/>
      <c r="HRG611"/>
      <c r="HRH611"/>
      <c r="HRI611"/>
      <c r="HRJ611"/>
      <c r="HRK611"/>
      <c r="HRL611"/>
      <c r="HRM611"/>
      <c r="HRN611"/>
      <c r="HRO611"/>
      <c r="HRP611"/>
      <c r="HRQ611"/>
      <c r="HRR611"/>
      <c r="HRS611"/>
      <c r="HRT611"/>
      <c r="HRU611"/>
      <c r="HRV611"/>
      <c r="HRW611"/>
      <c r="HRX611"/>
      <c r="HRY611"/>
      <c r="HRZ611"/>
      <c r="HSA611"/>
      <c r="HSB611"/>
      <c r="HSC611"/>
      <c r="HSD611"/>
      <c r="HSE611"/>
      <c r="HSF611"/>
      <c r="HSG611"/>
      <c r="HSH611"/>
      <c r="HSI611"/>
      <c r="HSJ611"/>
      <c r="HSK611"/>
      <c r="HSL611"/>
      <c r="HSM611"/>
      <c r="HSN611"/>
      <c r="HSO611"/>
      <c r="HSP611"/>
      <c r="HSQ611"/>
      <c r="HSR611"/>
      <c r="HSS611"/>
      <c r="HST611"/>
      <c r="HSU611"/>
      <c r="HSV611"/>
      <c r="HSW611"/>
      <c r="HSX611"/>
      <c r="HSY611"/>
      <c r="HSZ611"/>
      <c r="HTA611"/>
      <c r="HTB611"/>
      <c r="HTC611"/>
      <c r="HTD611"/>
      <c r="HTE611"/>
      <c r="HTF611"/>
      <c r="HTG611"/>
      <c r="HTH611"/>
      <c r="HTI611"/>
      <c r="HTJ611"/>
      <c r="HTK611"/>
      <c r="HTL611"/>
      <c r="HTM611"/>
      <c r="HTN611"/>
      <c r="HTO611"/>
      <c r="HTP611"/>
      <c r="HTQ611"/>
      <c r="HTR611"/>
      <c r="HTS611"/>
      <c r="HTT611"/>
      <c r="HTU611"/>
      <c r="HTV611"/>
      <c r="HTW611"/>
      <c r="HTX611"/>
      <c r="HTY611"/>
      <c r="HTZ611"/>
      <c r="HUA611"/>
      <c r="HUB611"/>
      <c r="HUC611"/>
      <c r="HUD611"/>
      <c r="HUE611"/>
      <c r="HUF611"/>
      <c r="HUG611"/>
      <c r="HUH611"/>
      <c r="HUI611"/>
      <c r="HUJ611"/>
      <c r="HUK611"/>
      <c r="HUL611"/>
      <c r="HUM611"/>
      <c r="HUN611"/>
      <c r="HUO611"/>
      <c r="HUP611"/>
      <c r="HUQ611"/>
      <c r="HUR611"/>
      <c r="HUS611"/>
      <c r="HUT611"/>
      <c r="HUU611"/>
      <c r="HUV611"/>
      <c r="HUW611"/>
      <c r="HUX611"/>
      <c r="HUY611"/>
      <c r="HUZ611"/>
      <c r="HVA611"/>
      <c r="HVB611"/>
      <c r="HVC611"/>
      <c r="HVD611"/>
      <c r="HVE611"/>
      <c r="HVF611"/>
      <c r="HVG611"/>
      <c r="HVH611"/>
      <c r="HVI611"/>
      <c r="HVJ611"/>
      <c r="HVK611"/>
      <c r="HVL611"/>
      <c r="HVM611"/>
      <c r="HVN611"/>
      <c r="HVO611"/>
      <c r="HVP611"/>
      <c r="HVQ611"/>
      <c r="HVR611"/>
      <c r="HVS611"/>
      <c r="HVT611"/>
      <c r="HVU611"/>
      <c r="HVV611"/>
      <c r="HVW611"/>
      <c r="HVX611"/>
      <c r="HVY611"/>
      <c r="HVZ611"/>
      <c r="HWA611"/>
      <c r="HWB611"/>
      <c r="HWC611"/>
      <c r="HWD611"/>
      <c r="HWE611"/>
      <c r="HWF611"/>
      <c r="HWG611"/>
      <c r="HWH611"/>
      <c r="HWI611"/>
      <c r="HWJ611"/>
      <c r="HWK611"/>
      <c r="HWL611"/>
      <c r="HWM611"/>
      <c r="HWN611"/>
      <c r="HWO611"/>
      <c r="HWP611"/>
      <c r="HWQ611"/>
      <c r="HWR611"/>
      <c r="HWS611"/>
      <c r="HWT611"/>
      <c r="HWU611"/>
      <c r="HWV611"/>
      <c r="HWW611"/>
      <c r="HWX611"/>
      <c r="HWY611"/>
      <c r="HWZ611"/>
      <c r="HXA611"/>
      <c r="HXB611"/>
      <c r="HXC611"/>
      <c r="HXD611"/>
      <c r="HXE611"/>
      <c r="HXF611"/>
      <c r="HXG611"/>
      <c r="HXH611"/>
      <c r="HXI611"/>
      <c r="HXJ611"/>
      <c r="HXK611"/>
      <c r="HXL611"/>
      <c r="HXM611"/>
      <c r="HXN611"/>
      <c r="HXO611"/>
      <c r="HXP611"/>
      <c r="HXQ611"/>
      <c r="HXR611"/>
      <c r="HXS611"/>
      <c r="HXT611"/>
      <c r="HXU611"/>
      <c r="HXV611"/>
      <c r="HXW611"/>
      <c r="HXX611"/>
      <c r="HXY611"/>
      <c r="HXZ611"/>
      <c r="HYA611"/>
      <c r="HYB611"/>
      <c r="HYC611"/>
      <c r="HYD611"/>
      <c r="HYE611"/>
      <c r="HYF611"/>
      <c r="HYG611"/>
      <c r="HYH611"/>
      <c r="HYI611"/>
      <c r="HYJ611"/>
      <c r="HYK611"/>
      <c r="HYL611"/>
      <c r="HYM611"/>
      <c r="HYN611"/>
      <c r="HYO611"/>
      <c r="HYP611"/>
      <c r="HYQ611"/>
      <c r="HYR611"/>
      <c r="HYS611"/>
      <c r="HYT611"/>
      <c r="HYU611"/>
      <c r="HYV611"/>
      <c r="HYW611"/>
      <c r="HYX611"/>
      <c r="HYY611"/>
      <c r="HYZ611"/>
      <c r="HZA611"/>
      <c r="HZB611"/>
      <c r="HZC611"/>
      <c r="HZD611"/>
      <c r="HZE611"/>
      <c r="HZF611"/>
      <c r="HZG611"/>
      <c r="HZH611"/>
      <c r="HZI611"/>
      <c r="HZJ611"/>
      <c r="HZK611"/>
      <c r="HZL611"/>
      <c r="HZM611"/>
      <c r="HZN611"/>
      <c r="HZO611"/>
      <c r="HZP611"/>
      <c r="HZQ611"/>
      <c r="HZR611"/>
      <c r="HZS611"/>
      <c r="HZT611"/>
      <c r="HZU611"/>
      <c r="HZV611"/>
      <c r="HZW611"/>
      <c r="HZX611"/>
      <c r="HZY611"/>
      <c r="HZZ611"/>
      <c r="IAA611"/>
      <c r="IAB611"/>
      <c r="IAC611"/>
      <c r="IAD611"/>
      <c r="IAE611"/>
      <c r="IAF611"/>
      <c r="IAG611"/>
      <c r="IAH611"/>
      <c r="IAI611"/>
      <c r="IAJ611"/>
      <c r="IAK611"/>
      <c r="IAL611"/>
      <c r="IAM611"/>
      <c r="IAN611"/>
      <c r="IAO611"/>
      <c r="IAP611"/>
      <c r="IAQ611"/>
      <c r="IAR611"/>
      <c r="IAS611"/>
      <c r="IAT611"/>
      <c r="IAU611"/>
      <c r="IAV611"/>
      <c r="IAW611"/>
      <c r="IAX611"/>
      <c r="IAY611"/>
      <c r="IAZ611"/>
      <c r="IBA611"/>
      <c r="IBB611"/>
      <c r="IBC611"/>
      <c r="IBD611"/>
      <c r="IBE611"/>
      <c r="IBF611"/>
      <c r="IBG611"/>
      <c r="IBH611"/>
      <c r="IBI611"/>
      <c r="IBJ611"/>
      <c r="IBK611"/>
      <c r="IBL611"/>
      <c r="IBM611"/>
      <c r="IBN611"/>
      <c r="IBO611"/>
      <c r="IBP611"/>
      <c r="IBQ611"/>
      <c r="IBR611"/>
      <c r="IBS611"/>
      <c r="IBT611"/>
      <c r="IBU611"/>
      <c r="IBV611"/>
      <c r="IBW611"/>
      <c r="IBX611"/>
      <c r="IBY611"/>
      <c r="IBZ611"/>
      <c r="ICA611"/>
      <c r="ICB611"/>
      <c r="ICC611"/>
      <c r="ICD611"/>
      <c r="ICE611"/>
      <c r="ICF611"/>
      <c r="ICG611"/>
      <c r="ICH611"/>
      <c r="ICI611"/>
      <c r="ICJ611"/>
      <c r="ICK611"/>
      <c r="ICL611"/>
      <c r="ICM611"/>
      <c r="ICN611"/>
      <c r="ICO611"/>
      <c r="ICP611"/>
      <c r="ICQ611"/>
      <c r="ICR611"/>
      <c r="ICS611"/>
      <c r="ICT611"/>
      <c r="ICU611"/>
      <c r="ICV611"/>
      <c r="ICW611"/>
      <c r="ICX611"/>
      <c r="ICY611"/>
      <c r="ICZ611"/>
      <c r="IDA611"/>
      <c r="IDB611"/>
      <c r="IDC611"/>
      <c r="IDD611"/>
      <c r="IDE611"/>
      <c r="IDF611"/>
      <c r="IDG611"/>
      <c r="IDH611"/>
      <c r="IDI611"/>
      <c r="IDJ611"/>
      <c r="IDK611"/>
      <c r="IDL611"/>
      <c r="IDM611"/>
      <c r="IDN611"/>
      <c r="IDO611"/>
      <c r="IDP611"/>
      <c r="IDQ611"/>
      <c r="IDR611"/>
      <c r="IDS611"/>
      <c r="IDT611"/>
      <c r="IDU611"/>
      <c r="IDV611"/>
      <c r="IDW611"/>
      <c r="IDX611"/>
      <c r="IDY611"/>
      <c r="IDZ611"/>
      <c r="IEA611"/>
      <c r="IEB611"/>
      <c r="IEC611"/>
      <c r="IED611"/>
      <c r="IEE611"/>
      <c r="IEF611"/>
      <c r="IEG611"/>
      <c r="IEH611"/>
      <c r="IEI611"/>
      <c r="IEJ611"/>
      <c r="IEK611"/>
      <c r="IEL611"/>
      <c r="IEM611"/>
      <c r="IEN611"/>
      <c r="IEO611"/>
      <c r="IEP611"/>
      <c r="IEQ611"/>
      <c r="IER611"/>
      <c r="IES611"/>
      <c r="IET611"/>
      <c r="IEU611"/>
      <c r="IEV611"/>
      <c r="IEW611"/>
      <c r="IEX611"/>
      <c r="IEY611"/>
      <c r="IEZ611"/>
      <c r="IFA611"/>
      <c r="IFB611"/>
      <c r="IFC611"/>
      <c r="IFD611"/>
      <c r="IFE611"/>
      <c r="IFF611"/>
      <c r="IFG611"/>
      <c r="IFH611"/>
      <c r="IFI611"/>
      <c r="IFJ611"/>
      <c r="IFK611"/>
      <c r="IFL611"/>
      <c r="IFM611"/>
      <c r="IFN611"/>
      <c r="IFO611"/>
      <c r="IFP611"/>
      <c r="IFQ611"/>
      <c r="IFR611"/>
      <c r="IFS611"/>
      <c r="IFT611"/>
      <c r="IFU611"/>
      <c r="IFV611"/>
      <c r="IFW611"/>
      <c r="IFX611"/>
      <c r="IFY611"/>
      <c r="IFZ611"/>
      <c r="IGA611"/>
      <c r="IGB611"/>
      <c r="IGC611"/>
      <c r="IGD611"/>
      <c r="IGE611"/>
      <c r="IGF611"/>
      <c r="IGG611"/>
      <c r="IGH611"/>
      <c r="IGI611"/>
      <c r="IGJ611"/>
      <c r="IGK611"/>
      <c r="IGL611"/>
      <c r="IGM611"/>
      <c r="IGN611"/>
      <c r="IGO611"/>
      <c r="IGP611"/>
      <c r="IGQ611"/>
      <c r="IGR611"/>
      <c r="IGS611"/>
      <c r="IGT611"/>
      <c r="IGU611"/>
      <c r="IGV611"/>
      <c r="IGW611"/>
      <c r="IGX611"/>
      <c r="IGY611"/>
      <c r="IGZ611"/>
      <c r="IHA611"/>
      <c r="IHB611"/>
      <c r="IHC611"/>
      <c r="IHD611"/>
      <c r="IHE611"/>
      <c r="IHF611"/>
      <c r="IHG611"/>
      <c r="IHH611"/>
      <c r="IHI611"/>
      <c r="IHJ611"/>
      <c r="IHK611"/>
      <c r="IHL611"/>
      <c r="IHM611"/>
      <c r="IHN611"/>
      <c r="IHO611"/>
      <c r="IHP611"/>
      <c r="IHQ611"/>
      <c r="IHR611"/>
      <c r="IHS611"/>
      <c r="IHT611"/>
      <c r="IHU611"/>
      <c r="IHV611"/>
      <c r="IHW611"/>
      <c r="IHX611"/>
      <c r="IHY611"/>
      <c r="IHZ611"/>
      <c r="IIA611"/>
      <c r="IIB611"/>
      <c r="IIC611"/>
      <c r="IID611"/>
      <c r="IIE611"/>
      <c r="IIF611"/>
      <c r="IIG611"/>
      <c r="IIH611"/>
      <c r="III611"/>
      <c r="IIJ611"/>
      <c r="IIK611"/>
      <c r="IIL611"/>
      <c r="IIM611"/>
      <c r="IIN611"/>
      <c r="IIO611"/>
      <c r="IIP611"/>
      <c r="IIQ611"/>
      <c r="IIR611"/>
      <c r="IIS611"/>
      <c r="IIT611"/>
      <c r="IIU611"/>
      <c r="IIV611"/>
      <c r="IIW611"/>
      <c r="IIX611"/>
      <c r="IIY611"/>
      <c r="IIZ611"/>
      <c r="IJA611"/>
      <c r="IJB611"/>
      <c r="IJC611"/>
      <c r="IJD611"/>
      <c r="IJE611"/>
      <c r="IJF611"/>
      <c r="IJG611"/>
      <c r="IJH611"/>
      <c r="IJI611"/>
      <c r="IJJ611"/>
      <c r="IJK611"/>
      <c r="IJL611"/>
      <c r="IJM611"/>
      <c r="IJN611"/>
      <c r="IJO611"/>
      <c r="IJP611"/>
      <c r="IJQ611"/>
      <c r="IJR611"/>
      <c r="IJS611"/>
      <c r="IJT611"/>
      <c r="IJU611"/>
      <c r="IJV611"/>
      <c r="IJW611"/>
      <c r="IJX611"/>
      <c r="IJY611"/>
      <c r="IJZ611"/>
      <c r="IKA611"/>
      <c r="IKB611"/>
      <c r="IKC611"/>
      <c r="IKD611"/>
      <c r="IKE611"/>
      <c r="IKF611"/>
      <c r="IKG611"/>
      <c r="IKH611"/>
      <c r="IKI611"/>
      <c r="IKJ611"/>
      <c r="IKK611"/>
      <c r="IKL611"/>
      <c r="IKM611"/>
      <c r="IKN611"/>
      <c r="IKO611"/>
      <c r="IKP611"/>
      <c r="IKQ611"/>
      <c r="IKR611"/>
      <c r="IKS611"/>
      <c r="IKT611"/>
      <c r="IKU611"/>
      <c r="IKV611"/>
      <c r="IKW611"/>
      <c r="IKX611"/>
      <c r="IKY611"/>
      <c r="IKZ611"/>
      <c r="ILA611"/>
      <c r="ILB611"/>
      <c r="ILC611"/>
      <c r="ILD611"/>
      <c r="ILE611"/>
      <c r="ILF611"/>
      <c r="ILG611"/>
      <c r="ILH611"/>
      <c r="ILI611"/>
      <c r="ILJ611"/>
      <c r="ILK611"/>
      <c r="ILL611"/>
      <c r="ILM611"/>
      <c r="ILN611"/>
      <c r="ILO611"/>
      <c r="ILP611"/>
      <c r="ILQ611"/>
      <c r="ILR611"/>
      <c r="ILS611"/>
      <c r="ILT611"/>
      <c r="ILU611"/>
      <c r="ILV611"/>
      <c r="ILW611"/>
      <c r="ILX611"/>
      <c r="ILY611"/>
      <c r="ILZ611"/>
      <c r="IMA611"/>
      <c r="IMB611"/>
      <c r="IMC611"/>
      <c r="IMD611"/>
      <c r="IME611"/>
      <c r="IMF611"/>
      <c r="IMG611"/>
      <c r="IMH611"/>
      <c r="IMI611"/>
      <c r="IMJ611"/>
      <c r="IMK611"/>
      <c r="IML611"/>
      <c r="IMM611"/>
      <c r="IMN611"/>
      <c r="IMO611"/>
      <c r="IMP611"/>
      <c r="IMQ611"/>
      <c r="IMR611"/>
      <c r="IMS611"/>
      <c r="IMT611"/>
      <c r="IMU611"/>
      <c r="IMV611"/>
      <c r="IMW611"/>
      <c r="IMX611"/>
      <c r="IMY611"/>
      <c r="IMZ611"/>
      <c r="INA611"/>
      <c r="INB611"/>
      <c r="INC611"/>
      <c r="IND611"/>
      <c r="INE611"/>
      <c r="INF611"/>
      <c r="ING611"/>
      <c r="INH611"/>
      <c r="INI611"/>
      <c r="INJ611"/>
      <c r="INK611"/>
      <c r="INL611"/>
      <c r="INM611"/>
      <c r="INN611"/>
      <c r="INO611"/>
      <c r="INP611"/>
      <c r="INQ611"/>
      <c r="INR611"/>
      <c r="INS611"/>
      <c r="INT611"/>
      <c r="INU611"/>
      <c r="INV611"/>
      <c r="INW611"/>
      <c r="INX611"/>
      <c r="INY611"/>
      <c r="INZ611"/>
      <c r="IOA611"/>
      <c r="IOB611"/>
      <c r="IOC611"/>
      <c r="IOD611"/>
      <c r="IOE611"/>
      <c r="IOF611"/>
      <c r="IOG611"/>
      <c r="IOH611"/>
      <c r="IOI611"/>
      <c r="IOJ611"/>
      <c r="IOK611"/>
      <c r="IOL611"/>
      <c r="IOM611"/>
      <c r="ION611"/>
      <c r="IOO611"/>
      <c r="IOP611"/>
      <c r="IOQ611"/>
      <c r="IOR611"/>
      <c r="IOS611"/>
      <c r="IOT611"/>
      <c r="IOU611"/>
      <c r="IOV611"/>
      <c r="IOW611"/>
      <c r="IOX611"/>
      <c r="IOY611"/>
      <c r="IOZ611"/>
      <c r="IPA611"/>
      <c r="IPB611"/>
      <c r="IPC611"/>
      <c r="IPD611"/>
      <c r="IPE611"/>
      <c r="IPF611"/>
      <c r="IPG611"/>
      <c r="IPH611"/>
      <c r="IPI611"/>
      <c r="IPJ611"/>
      <c r="IPK611"/>
      <c r="IPL611"/>
      <c r="IPM611"/>
      <c r="IPN611"/>
      <c r="IPO611"/>
      <c r="IPP611"/>
      <c r="IPQ611"/>
      <c r="IPR611"/>
      <c r="IPS611"/>
      <c r="IPT611"/>
      <c r="IPU611"/>
      <c r="IPV611"/>
      <c r="IPW611"/>
      <c r="IPX611"/>
      <c r="IPY611"/>
      <c r="IPZ611"/>
      <c r="IQA611"/>
      <c r="IQB611"/>
      <c r="IQC611"/>
      <c r="IQD611"/>
      <c r="IQE611"/>
      <c r="IQF611"/>
      <c r="IQG611"/>
      <c r="IQH611"/>
      <c r="IQI611"/>
      <c r="IQJ611"/>
      <c r="IQK611"/>
      <c r="IQL611"/>
      <c r="IQM611"/>
      <c r="IQN611"/>
      <c r="IQO611"/>
      <c r="IQP611"/>
      <c r="IQQ611"/>
      <c r="IQR611"/>
      <c r="IQS611"/>
      <c r="IQT611"/>
      <c r="IQU611"/>
      <c r="IQV611"/>
      <c r="IQW611"/>
      <c r="IQX611"/>
      <c r="IQY611"/>
      <c r="IQZ611"/>
      <c r="IRA611"/>
      <c r="IRB611"/>
      <c r="IRC611"/>
      <c r="IRD611"/>
      <c r="IRE611"/>
      <c r="IRF611"/>
      <c r="IRG611"/>
      <c r="IRH611"/>
      <c r="IRI611"/>
      <c r="IRJ611"/>
      <c r="IRK611"/>
      <c r="IRL611"/>
      <c r="IRM611"/>
      <c r="IRN611"/>
      <c r="IRO611"/>
      <c r="IRP611"/>
      <c r="IRQ611"/>
      <c r="IRR611"/>
      <c r="IRS611"/>
      <c r="IRT611"/>
      <c r="IRU611"/>
      <c r="IRV611"/>
      <c r="IRW611"/>
      <c r="IRX611"/>
      <c r="IRY611"/>
      <c r="IRZ611"/>
      <c r="ISA611"/>
      <c r="ISB611"/>
      <c r="ISC611"/>
      <c r="ISD611"/>
      <c r="ISE611"/>
      <c r="ISF611"/>
      <c r="ISG611"/>
      <c r="ISH611"/>
      <c r="ISI611"/>
      <c r="ISJ611"/>
      <c r="ISK611"/>
      <c r="ISL611"/>
      <c r="ISM611"/>
      <c r="ISN611"/>
      <c r="ISO611"/>
      <c r="ISP611"/>
      <c r="ISQ611"/>
      <c r="ISR611"/>
      <c r="ISS611"/>
      <c r="IST611"/>
      <c r="ISU611"/>
      <c r="ISV611"/>
      <c r="ISW611"/>
      <c r="ISX611"/>
      <c r="ISY611"/>
      <c r="ISZ611"/>
      <c r="ITA611"/>
      <c r="ITB611"/>
      <c r="ITC611"/>
      <c r="ITD611"/>
      <c r="ITE611"/>
      <c r="ITF611"/>
      <c r="ITG611"/>
      <c r="ITH611"/>
      <c r="ITI611"/>
      <c r="ITJ611"/>
      <c r="ITK611"/>
      <c r="ITL611"/>
      <c r="ITM611"/>
      <c r="ITN611"/>
      <c r="ITO611"/>
      <c r="ITP611"/>
      <c r="ITQ611"/>
      <c r="ITR611"/>
      <c r="ITS611"/>
      <c r="ITT611"/>
      <c r="ITU611"/>
      <c r="ITV611"/>
      <c r="ITW611"/>
      <c r="ITX611"/>
      <c r="ITY611"/>
      <c r="ITZ611"/>
      <c r="IUA611"/>
      <c r="IUB611"/>
      <c r="IUC611"/>
      <c r="IUD611"/>
      <c r="IUE611"/>
      <c r="IUF611"/>
      <c r="IUG611"/>
      <c r="IUH611"/>
      <c r="IUI611"/>
      <c r="IUJ611"/>
      <c r="IUK611"/>
      <c r="IUL611"/>
      <c r="IUM611"/>
      <c r="IUN611"/>
      <c r="IUO611"/>
      <c r="IUP611"/>
      <c r="IUQ611"/>
      <c r="IUR611"/>
      <c r="IUS611"/>
      <c r="IUT611"/>
      <c r="IUU611"/>
      <c r="IUV611"/>
      <c r="IUW611"/>
      <c r="IUX611"/>
      <c r="IUY611"/>
      <c r="IUZ611"/>
      <c r="IVA611"/>
      <c r="IVB611"/>
      <c r="IVC611"/>
      <c r="IVD611"/>
      <c r="IVE611"/>
      <c r="IVF611"/>
      <c r="IVG611"/>
      <c r="IVH611"/>
      <c r="IVI611"/>
      <c r="IVJ611"/>
      <c r="IVK611"/>
      <c r="IVL611"/>
      <c r="IVM611"/>
      <c r="IVN611"/>
      <c r="IVO611"/>
      <c r="IVP611"/>
      <c r="IVQ611"/>
      <c r="IVR611"/>
      <c r="IVS611"/>
      <c r="IVT611"/>
      <c r="IVU611"/>
      <c r="IVV611"/>
      <c r="IVW611"/>
      <c r="IVX611"/>
      <c r="IVY611"/>
      <c r="IVZ611"/>
      <c r="IWA611"/>
      <c r="IWB611"/>
      <c r="IWC611"/>
      <c r="IWD611"/>
      <c r="IWE611"/>
      <c r="IWF611"/>
      <c r="IWG611"/>
      <c r="IWH611"/>
      <c r="IWI611"/>
      <c r="IWJ611"/>
      <c r="IWK611"/>
      <c r="IWL611"/>
      <c r="IWM611"/>
      <c r="IWN611"/>
      <c r="IWO611"/>
      <c r="IWP611"/>
      <c r="IWQ611"/>
      <c r="IWR611"/>
      <c r="IWS611"/>
      <c r="IWT611"/>
      <c r="IWU611"/>
      <c r="IWV611"/>
      <c r="IWW611"/>
      <c r="IWX611"/>
      <c r="IWY611"/>
      <c r="IWZ611"/>
      <c r="IXA611"/>
      <c r="IXB611"/>
      <c r="IXC611"/>
      <c r="IXD611"/>
      <c r="IXE611"/>
      <c r="IXF611"/>
      <c r="IXG611"/>
      <c r="IXH611"/>
      <c r="IXI611"/>
      <c r="IXJ611"/>
      <c r="IXK611"/>
      <c r="IXL611"/>
      <c r="IXM611"/>
      <c r="IXN611"/>
      <c r="IXO611"/>
      <c r="IXP611"/>
      <c r="IXQ611"/>
      <c r="IXR611"/>
      <c r="IXS611"/>
      <c r="IXT611"/>
      <c r="IXU611"/>
      <c r="IXV611"/>
      <c r="IXW611"/>
      <c r="IXX611"/>
      <c r="IXY611"/>
      <c r="IXZ611"/>
      <c r="IYA611"/>
      <c r="IYB611"/>
      <c r="IYC611"/>
      <c r="IYD611"/>
      <c r="IYE611"/>
      <c r="IYF611"/>
      <c r="IYG611"/>
      <c r="IYH611"/>
      <c r="IYI611"/>
      <c r="IYJ611"/>
      <c r="IYK611"/>
      <c r="IYL611"/>
      <c r="IYM611"/>
      <c r="IYN611"/>
      <c r="IYO611"/>
      <c r="IYP611"/>
      <c r="IYQ611"/>
      <c r="IYR611"/>
      <c r="IYS611"/>
      <c r="IYT611"/>
      <c r="IYU611"/>
      <c r="IYV611"/>
      <c r="IYW611"/>
      <c r="IYX611"/>
      <c r="IYY611"/>
      <c r="IYZ611"/>
      <c r="IZA611"/>
      <c r="IZB611"/>
      <c r="IZC611"/>
      <c r="IZD611"/>
      <c r="IZE611"/>
      <c r="IZF611"/>
      <c r="IZG611"/>
      <c r="IZH611"/>
      <c r="IZI611"/>
      <c r="IZJ611"/>
      <c r="IZK611"/>
      <c r="IZL611"/>
      <c r="IZM611"/>
      <c r="IZN611"/>
      <c r="IZO611"/>
      <c r="IZP611"/>
      <c r="IZQ611"/>
      <c r="IZR611"/>
      <c r="IZS611"/>
      <c r="IZT611"/>
      <c r="IZU611"/>
      <c r="IZV611"/>
      <c r="IZW611"/>
      <c r="IZX611"/>
      <c r="IZY611"/>
      <c r="IZZ611"/>
      <c r="JAA611"/>
      <c r="JAB611"/>
      <c r="JAC611"/>
      <c r="JAD611"/>
      <c r="JAE611"/>
      <c r="JAF611"/>
      <c r="JAG611"/>
      <c r="JAH611"/>
      <c r="JAI611"/>
      <c r="JAJ611"/>
      <c r="JAK611"/>
      <c r="JAL611"/>
      <c r="JAM611"/>
      <c r="JAN611"/>
      <c r="JAO611"/>
      <c r="JAP611"/>
      <c r="JAQ611"/>
      <c r="JAR611"/>
      <c r="JAS611"/>
      <c r="JAT611"/>
      <c r="JAU611"/>
      <c r="JAV611"/>
      <c r="JAW611"/>
      <c r="JAX611"/>
      <c r="JAY611"/>
      <c r="JAZ611"/>
      <c r="JBA611"/>
      <c r="JBB611"/>
      <c r="JBC611"/>
      <c r="JBD611"/>
      <c r="JBE611"/>
      <c r="JBF611"/>
      <c r="JBG611"/>
      <c r="JBH611"/>
      <c r="JBI611"/>
      <c r="JBJ611"/>
      <c r="JBK611"/>
      <c r="JBL611"/>
      <c r="JBM611"/>
      <c r="JBN611"/>
      <c r="JBO611"/>
      <c r="JBP611"/>
      <c r="JBQ611"/>
      <c r="JBR611"/>
      <c r="JBS611"/>
      <c r="JBT611"/>
      <c r="JBU611"/>
      <c r="JBV611"/>
      <c r="JBW611"/>
      <c r="JBX611"/>
      <c r="JBY611"/>
      <c r="JBZ611"/>
      <c r="JCA611"/>
      <c r="JCB611"/>
      <c r="JCC611"/>
      <c r="JCD611"/>
      <c r="JCE611"/>
      <c r="JCF611"/>
      <c r="JCG611"/>
      <c r="JCH611"/>
      <c r="JCI611"/>
      <c r="JCJ611"/>
      <c r="JCK611"/>
      <c r="JCL611"/>
      <c r="JCM611"/>
      <c r="JCN611"/>
      <c r="JCO611"/>
      <c r="JCP611"/>
      <c r="JCQ611"/>
      <c r="JCR611"/>
      <c r="JCS611"/>
      <c r="JCT611"/>
      <c r="JCU611"/>
      <c r="JCV611"/>
      <c r="JCW611"/>
      <c r="JCX611"/>
      <c r="JCY611"/>
      <c r="JCZ611"/>
      <c r="JDA611"/>
      <c r="JDB611"/>
      <c r="JDC611"/>
      <c r="JDD611"/>
      <c r="JDE611"/>
      <c r="JDF611"/>
      <c r="JDG611"/>
      <c r="JDH611"/>
      <c r="JDI611"/>
      <c r="JDJ611"/>
      <c r="JDK611"/>
      <c r="JDL611"/>
      <c r="JDM611"/>
      <c r="JDN611"/>
      <c r="JDO611"/>
      <c r="JDP611"/>
      <c r="JDQ611"/>
      <c r="JDR611"/>
      <c r="JDS611"/>
      <c r="JDT611"/>
      <c r="JDU611"/>
      <c r="JDV611"/>
      <c r="JDW611"/>
      <c r="JDX611"/>
      <c r="JDY611"/>
      <c r="JDZ611"/>
      <c r="JEA611"/>
      <c r="JEB611"/>
      <c r="JEC611"/>
      <c r="JED611"/>
      <c r="JEE611"/>
      <c r="JEF611"/>
      <c r="JEG611"/>
      <c r="JEH611"/>
      <c r="JEI611"/>
      <c r="JEJ611"/>
      <c r="JEK611"/>
      <c r="JEL611"/>
      <c r="JEM611"/>
      <c r="JEN611"/>
      <c r="JEO611"/>
      <c r="JEP611"/>
      <c r="JEQ611"/>
      <c r="JER611"/>
      <c r="JES611"/>
      <c r="JET611"/>
      <c r="JEU611"/>
      <c r="JEV611"/>
      <c r="JEW611"/>
      <c r="JEX611"/>
      <c r="JEY611"/>
      <c r="JEZ611"/>
      <c r="JFA611"/>
      <c r="JFB611"/>
      <c r="JFC611"/>
      <c r="JFD611"/>
      <c r="JFE611"/>
      <c r="JFF611"/>
      <c r="JFG611"/>
      <c r="JFH611"/>
      <c r="JFI611"/>
      <c r="JFJ611"/>
      <c r="JFK611"/>
      <c r="JFL611"/>
      <c r="JFM611"/>
      <c r="JFN611"/>
      <c r="JFO611"/>
      <c r="JFP611"/>
      <c r="JFQ611"/>
      <c r="JFR611"/>
      <c r="JFS611"/>
      <c r="JFT611"/>
      <c r="JFU611"/>
      <c r="JFV611"/>
      <c r="JFW611"/>
      <c r="JFX611"/>
      <c r="JFY611"/>
      <c r="JFZ611"/>
      <c r="JGA611"/>
      <c r="JGB611"/>
      <c r="JGC611"/>
      <c r="JGD611"/>
      <c r="JGE611"/>
      <c r="JGF611"/>
      <c r="JGG611"/>
      <c r="JGH611"/>
      <c r="JGI611"/>
      <c r="JGJ611"/>
      <c r="JGK611"/>
      <c r="JGL611"/>
      <c r="JGM611"/>
      <c r="JGN611"/>
      <c r="JGO611"/>
      <c r="JGP611"/>
      <c r="JGQ611"/>
      <c r="JGR611"/>
      <c r="JGS611"/>
      <c r="JGT611"/>
      <c r="JGU611"/>
      <c r="JGV611"/>
      <c r="JGW611"/>
      <c r="JGX611"/>
      <c r="JGY611"/>
      <c r="JGZ611"/>
      <c r="JHA611"/>
      <c r="JHB611"/>
      <c r="JHC611"/>
      <c r="JHD611"/>
      <c r="JHE611"/>
      <c r="JHF611"/>
      <c r="JHG611"/>
      <c r="JHH611"/>
      <c r="JHI611"/>
      <c r="JHJ611"/>
      <c r="JHK611"/>
      <c r="JHL611"/>
      <c r="JHM611"/>
      <c r="JHN611"/>
      <c r="JHO611"/>
      <c r="JHP611"/>
      <c r="JHQ611"/>
      <c r="JHR611"/>
      <c r="JHS611"/>
      <c r="JHT611"/>
      <c r="JHU611"/>
      <c r="JHV611"/>
      <c r="JHW611"/>
      <c r="JHX611"/>
      <c r="JHY611"/>
      <c r="JHZ611"/>
      <c r="JIA611"/>
      <c r="JIB611"/>
      <c r="JIC611"/>
      <c r="JID611"/>
      <c r="JIE611"/>
      <c r="JIF611"/>
      <c r="JIG611"/>
      <c r="JIH611"/>
      <c r="JII611"/>
      <c r="JIJ611"/>
      <c r="JIK611"/>
      <c r="JIL611"/>
      <c r="JIM611"/>
      <c r="JIN611"/>
      <c r="JIO611"/>
      <c r="JIP611"/>
      <c r="JIQ611"/>
      <c r="JIR611"/>
      <c r="JIS611"/>
      <c r="JIT611"/>
      <c r="JIU611"/>
      <c r="JIV611"/>
      <c r="JIW611"/>
      <c r="JIX611"/>
      <c r="JIY611"/>
      <c r="JIZ611"/>
      <c r="JJA611"/>
      <c r="JJB611"/>
      <c r="JJC611"/>
      <c r="JJD611"/>
      <c r="JJE611"/>
      <c r="JJF611"/>
      <c r="JJG611"/>
      <c r="JJH611"/>
      <c r="JJI611"/>
      <c r="JJJ611"/>
      <c r="JJK611"/>
      <c r="JJL611"/>
      <c r="JJM611"/>
      <c r="JJN611"/>
      <c r="JJO611"/>
      <c r="JJP611"/>
      <c r="JJQ611"/>
      <c r="JJR611"/>
      <c r="JJS611"/>
      <c r="JJT611"/>
      <c r="JJU611"/>
      <c r="JJV611"/>
      <c r="JJW611"/>
      <c r="JJX611"/>
      <c r="JJY611"/>
      <c r="JJZ611"/>
      <c r="JKA611"/>
      <c r="JKB611"/>
      <c r="JKC611"/>
      <c r="JKD611"/>
      <c r="JKE611"/>
      <c r="JKF611"/>
      <c r="JKG611"/>
      <c r="JKH611"/>
      <c r="JKI611"/>
      <c r="JKJ611"/>
      <c r="JKK611"/>
      <c r="JKL611"/>
      <c r="JKM611"/>
      <c r="JKN611"/>
      <c r="JKO611"/>
      <c r="JKP611"/>
      <c r="JKQ611"/>
      <c r="JKR611"/>
      <c r="JKS611"/>
      <c r="JKT611"/>
      <c r="JKU611"/>
      <c r="JKV611"/>
      <c r="JKW611"/>
      <c r="JKX611"/>
      <c r="JKY611"/>
      <c r="JKZ611"/>
      <c r="JLA611"/>
      <c r="JLB611"/>
      <c r="JLC611"/>
      <c r="JLD611"/>
      <c r="JLE611"/>
      <c r="JLF611"/>
      <c r="JLG611"/>
      <c r="JLH611"/>
      <c r="JLI611"/>
      <c r="JLJ611"/>
      <c r="JLK611"/>
      <c r="JLL611"/>
      <c r="JLM611"/>
      <c r="JLN611"/>
      <c r="JLO611"/>
      <c r="JLP611"/>
      <c r="JLQ611"/>
      <c r="JLR611"/>
      <c r="JLS611"/>
      <c r="JLT611"/>
      <c r="JLU611"/>
      <c r="JLV611"/>
      <c r="JLW611"/>
      <c r="JLX611"/>
      <c r="JLY611"/>
      <c r="JLZ611"/>
      <c r="JMA611"/>
      <c r="JMB611"/>
      <c r="JMC611"/>
      <c r="JMD611"/>
      <c r="JME611"/>
      <c r="JMF611"/>
      <c r="JMG611"/>
      <c r="JMH611"/>
      <c r="JMI611"/>
      <c r="JMJ611"/>
      <c r="JMK611"/>
      <c r="JML611"/>
      <c r="JMM611"/>
      <c r="JMN611"/>
      <c r="JMO611"/>
      <c r="JMP611"/>
      <c r="JMQ611"/>
      <c r="JMR611"/>
      <c r="JMS611"/>
      <c r="JMT611"/>
      <c r="JMU611"/>
      <c r="JMV611"/>
      <c r="JMW611"/>
      <c r="JMX611"/>
      <c r="JMY611"/>
      <c r="JMZ611"/>
      <c r="JNA611"/>
      <c r="JNB611"/>
      <c r="JNC611"/>
      <c r="JND611"/>
      <c r="JNE611"/>
      <c r="JNF611"/>
      <c r="JNG611"/>
      <c r="JNH611"/>
      <c r="JNI611"/>
      <c r="JNJ611"/>
      <c r="JNK611"/>
      <c r="JNL611"/>
      <c r="JNM611"/>
      <c r="JNN611"/>
      <c r="JNO611"/>
      <c r="JNP611"/>
      <c r="JNQ611"/>
      <c r="JNR611"/>
      <c r="JNS611"/>
      <c r="JNT611"/>
      <c r="JNU611"/>
      <c r="JNV611"/>
      <c r="JNW611"/>
      <c r="JNX611"/>
      <c r="JNY611"/>
      <c r="JNZ611"/>
      <c r="JOA611"/>
      <c r="JOB611"/>
      <c r="JOC611"/>
      <c r="JOD611"/>
      <c r="JOE611"/>
      <c r="JOF611"/>
      <c r="JOG611"/>
      <c r="JOH611"/>
      <c r="JOI611"/>
      <c r="JOJ611"/>
      <c r="JOK611"/>
      <c r="JOL611"/>
      <c r="JOM611"/>
      <c r="JON611"/>
      <c r="JOO611"/>
      <c r="JOP611"/>
      <c r="JOQ611"/>
      <c r="JOR611"/>
      <c r="JOS611"/>
      <c r="JOT611"/>
      <c r="JOU611"/>
      <c r="JOV611"/>
      <c r="JOW611"/>
      <c r="JOX611"/>
      <c r="JOY611"/>
      <c r="JOZ611"/>
      <c r="JPA611"/>
      <c r="JPB611"/>
      <c r="JPC611"/>
      <c r="JPD611"/>
      <c r="JPE611"/>
      <c r="JPF611"/>
      <c r="JPG611"/>
      <c r="JPH611"/>
      <c r="JPI611"/>
      <c r="JPJ611"/>
      <c r="JPK611"/>
      <c r="JPL611"/>
      <c r="JPM611"/>
      <c r="JPN611"/>
      <c r="JPO611"/>
      <c r="JPP611"/>
      <c r="JPQ611"/>
      <c r="JPR611"/>
      <c r="JPS611"/>
      <c r="JPT611"/>
      <c r="JPU611"/>
      <c r="JPV611"/>
      <c r="JPW611"/>
      <c r="JPX611"/>
      <c r="JPY611"/>
      <c r="JPZ611"/>
      <c r="JQA611"/>
      <c r="JQB611"/>
      <c r="JQC611"/>
      <c r="JQD611"/>
      <c r="JQE611"/>
      <c r="JQF611"/>
      <c r="JQG611"/>
      <c r="JQH611"/>
      <c r="JQI611"/>
      <c r="JQJ611"/>
      <c r="JQK611"/>
      <c r="JQL611"/>
      <c r="JQM611"/>
      <c r="JQN611"/>
      <c r="JQO611"/>
      <c r="JQP611"/>
      <c r="JQQ611"/>
      <c r="JQR611"/>
      <c r="JQS611"/>
      <c r="JQT611"/>
      <c r="JQU611"/>
      <c r="JQV611"/>
      <c r="JQW611"/>
      <c r="JQX611"/>
      <c r="JQY611"/>
      <c r="JQZ611"/>
      <c r="JRA611"/>
      <c r="JRB611"/>
      <c r="JRC611"/>
      <c r="JRD611"/>
      <c r="JRE611"/>
      <c r="JRF611"/>
      <c r="JRG611"/>
      <c r="JRH611"/>
      <c r="JRI611"/>
      <c r="JRJ611"/>
      <c r="JRK611"/>
      <c r="JRL611"/>
      <c r="JRM611"/>
      <c r="JRN611"/>
      <c r="JRO611"/>
      <c r="JRP611"/>
      <c r="JRQ611"/>
      <c r="JRR611"/>
      <c r="JRS611"/>
      <c r="JRT611"/>
      <c r="JRU611"/>
      <c r="JRV611"/>
      <c r="JRW611"/>
      <c r="JRX611"/>
      <c r="JRY611"/>
      <c r="JRZ611"/>
      <c r="JSA611"/>
      <c r="JSB611"/>
      <c r="JSC611"/>
      <c r="JSD611"/>
      <c r="JSE611"/>
      <c r="JSF611"/>
      <c r="JSG611"/>
      <c r="JSH611"/>
      <c r="JSI611"/>
      <c r="JSJ611"/>
      <c r="JSK611"/>
      <c r="JSL611"/>
      <c r="JSM611"/>
      <c r="JSN611"/>
      <c r="JSO611"/>
      <c r="JSP611"/>
      <c r="JSQ611"/>
      <c r="JSR611"/>
      <c r="JSS611"/>
      <c r="JST611"/>
      <c r="JSU611"/>
      <c r="JSV611"/>
      <c r="JSW611"/>
      <c r="JSX611"/>
      <c r="JSY611"/>
      <c r="JSZ611"/>
      <c r="JTA611"/>
      <c r="JTB611"/>
      <c r="JTC611"/>
      <c r="JTD611"/>
      <c r="JTE611"/>
      <c r="JTF611"/>
      <c r="JTG611"/>
      <c r="JTH611"/>
      <c r="JTI611"/>
      <c r="JTJ611"/>
      <c r="JTK611"/>
      <c r="JTL611"/>
      <c r="JTM611"/>
      <c r="JTN611"/>
      <c r="JTO611"/>
      <c r="JTP611"/>
      <c r="JTQ611"/>
      <c r="JTR611"/>
      <c r="JTS611"/>
      <c r="JTT611"/>
      <c r="JTU611"/>
      <c r="JTV611"/>
      <c r="JTW611"/>
      <c r="JTX611"/>
      <c r="JTY611"/>
      <c r="JTZ611"/>
      <c r="JUA611"/>
      <c r="JUB611"/>
      <c r="JUC611"/>
      <c r="JUD611"/>
      <c r="JUE611"/>
      <c r="JUF611"/>
      <c r="JUG611"/>
      <c r="JUH611"/>
      <c r="JUI611"/>
      <c r="JUJ611"/>
      <c r="JUK611"/>
      <c r="JUL611"/>
      <c r="JUM611"/>
      <c r="JUN611"/>
      <c r="JUO611"/>
      <c r="JUP611"/>
      <c r="JUQ611"/>
      <c r="JUR611"/>
      <c r="JUS611"/>
      <c r="JUT611"/>
      <c r="JUU611"/>
      <c r="JUV611"/>
      <c r="JUW611"/>
      <c r="JUX611"/>
      <c r="JUY611"/>
      <c r="JUZ611"/>
      <c r="JVA611"/>
      <c r="JVB611"/>
      <c r="JVC611"/>
      <c r="JVD611"/>
      <c r="JVE611"/>
      <c r="JVF611"/>
      <c r="JVG611"/>
      <c r="JVH611"/>
      <c r="JVI611"/>
      <c r="JVJ611"/>
      <c r="JVK611"/>
      <c r="JVL611"/>
      <c r="JVM611"/>
      <c r="JVN611"/>
      <c r="JVO611"/>
      <c r="JVP611"/>
      <c r="JVQ611"/>
      <c r="JVR611"/>
      <c r="JVS611"/>
      <c r="JVT611"/>
      <c r="JVU611"/>
      <c r="JVV611"/>
      <c r="JVW611"/>
      <c r="JVX611"/>
      <c r="JVY611"/>
      <c r="JVZ611"/>
      <c r="JWA611"/>
      <c r="JWB611"/>
      <c r="JWC611"/>
      <c r="JWD611"/>
      <c r="JWE611"/>
      <c r="JWF611"/>
      <c r="JWG611"/>
      <c r="JWH611"/>
      <c r="JWI611"/>
      <c r="JWJ611"/>
      <c r="JWK611"/>
      <c r="JWL611"/>
      <c r="JWM611"/>
      <c r="JWN611"/>
      <c r="JWO611"/>
      <c r="JWP611"/>
      <c r="JWQ611"/>
      <c r="JWR611"/>
      <c r="JWS611"/>
      <c r="JWT611"/>
      <c r="JWU611"/>
      <c r="JWV611"/>
      <c r="JWW611"/>
      <c r="JWX611"/>
      <c r="JWY611"/>
      <c r="JWZ611"/>
      <c r="JXA611"/>
      <c r="JXB611"/>
      <c r="JXC611"/>
      <c r="JXD611"/>
      <c r="JXE611"/>
      <c r="JXF611"/>
      <c r="JXG611"/>
      <c r="JXH611"/>
      <c r="JXI611"/>
      <c r="JXJ611"/>
      <c r="JXK611"/>
      <c r="JXL611"/>
      <c r="JXM611"/>
      <c r="JXN611"/>
      <c r="JXO611"/>
      <c r="JXP611"/>
      <c r="JXQ611"/>
      <c r="JXR611"/>
      <c r="JXS611"/>
      <c r="JXT611"/>
      <c r="JXU611"/>
      <c r="JXV611"/>
      <c r="JXW611"/>
      <c r="JXX611"/>
      <c r="JXY611"/>
      <c r="JXZ611"/>
      <c r="JYA611"/>
      <c r="JYB611"/>
      <c r="JYC611"/>
      <c r="JYD611"/>
      <c r="JYE611"/>
      <c r="JYF611"/>
      <c r="JYG611"/>
      <c r="JYH611"/>
      <c r="JYI611"/>
      <c r="JYJ611"/>
      <c r="JYK611"/>
      <c r="JYL611"/>
      <c r="JYM611"/>
      <c r="JYN611"/>
      <c r="JYO611"/>
      <c r="JYP611"/>
      <c r="JYQ611"/>
      <c r="JYR611"/>
      <c r="JYS611"/>
      <c r="JYT611"/>
      <c r="JYU611"/>
      <c r="JYV611"/>
      <c r="JYW611"/>
      <c r="JYX611"/>
      <c r="JYY611"/>
      <c r="JYZ611"/>
      <c r="JZA611"/>
      <c r="JZB611"/>
      <c r="JZC611"/>
      <c r="JZD611"/>
      <c r="JZE611"/>
      <c r="JZF611"/>
      <c r="JZG611"/>
      <c r="JZH611"/>
      <c r="JZI611"/>
      <c r="JZJ611"/>
      <c r="JZK611"/>
      <c r="JZL611"/>
      <c r="JZM611"/>
      <c r="JZN611"/>
      <c r="JZO611"/>
      <c r="JZP611"/>
      <c r="JZQ611"/>
      <c r="JZR611"/>
      <c r="JZS611"/>
      <c r="JZT611"/>
      <c r="JZU611"/>
      <c r="JZV611"/>
      <c r="JZW611"/>
      <c r="JZX611"/>
      <c r="JZY611"/>
      <c r="JZZ611"/>
      <c r="KAA611"/>
      <c r="KAB611"/>
      <c r="KAC611"/>
      <c r="KAD611"/>
      <c r="KAE611"/>
      <c r="KAF611"/>
      <c r="KAG611"/>
      <c r="KAH611"/>
      <c r="KAI611"/>
      <c r="KAJ611"/>
      <c r="KAK611"/>
      <c r="KAL611"/>
      <c r="KAM611"/>
      <c r="KAN611"/>
      <c r="KAO611"/>
      <c r="KAP611"/>
      <c r="KAQ611"/>
      <c r="KAR611"/>
      <c r="KAS611"/>
      <c r="KAT611"/>
      <c r="KAU611"/>
      <c r="KAV611"/>
      <c r="KAW611"/>
      <c r="KAX611"/>
      <c r="KAY611"/>
      <c r="KAZ611"/>
      <c r="KBA611"/>
      <c r="KBB611"/>
      <c r="KBC611"/>
      <c r="KBD611"/>
      <c r="KBE611"/>
      <c r="KBF611"/>
      <c r="KBG611"/>
      <c r="KBH611"/>
      <c r="KBI611"/>
      <c r="KBJ611"/>
      <c r="KBK611"/>
      <c r="KBL611"/>
      <c r="KBM611"/>
      <c r="KBN611"/>
      <c r="KBO611"/>
      <c r="KBP611"/>
      <c r="KBQ611"/>
      <c r="KBR611"/>
      <c r="KBS611"/>
      <c r="KBT611"/>
      <c r="KBU611"/>
      <c r="KBV611"/>
      <c r="KBW611"/>
      <c r="KBX611"/>
      <c r="KBY611"/>
      <c r="KBZ611"/>
      <c r="KCA611"/>
      <c r="KCB611"/>
      <c r="KCC611"/>
      <c r="KCD611"/>
      <c r="KCE611"/>
      <c r="KCF611"/>
      <c r="KCG611"/>
      <c r="KCH611"/>
      <c r="KCI611"/>
      <c r="KCJ611"/>
      <c r="KCK611"/>
      <c r="KCL611"/>
      <c r="KCM611"/>
      <c r="KCN611"/>
      <c r="KCO611"/>
      <c r="KCP611"/>
      <c r="KCQ611"/>
      <c r="KCR611"/>
      <c r="KCS611"/>
      <c r="KCT611"/>
      <c r="KCU611"/>
      <c r="KCV611"/>
      <c r="KCW611"/>
      <c r="KCX611"/>
      <c r="KCY611"/>
      <c r="KCZ611"/>
      <c r="KDA611"/>
      <c r="KDB611"/>
      <c r="KDC611"/>
      <c r="KDD611"/>
      <c r="KDE611"/>
      <c r="KDF611"/>
      <c r="KDG611"/>
      <c r="KDH611"/>
      <c r="KDI611"/>
      <c r="KDJ611"/>
      <c r="KDK611"/>
      <c r="KDL611"/>
      <c r="KDM611"/>
      <c r="KDN611"/>
      <c r="KDO611"/>
      <c r="KDP611"/>
      <c r="KDQ611"/>
      <c r="KDR611"/>
      <c r="KDS611"/>
      <c r="KDT611"/>
      <c r="KDU611"/>
      <c r="KDV611"/>
      <c r="KDW611"/>
      <c r="KDX611"/>
      <c r="KDY611"/>
      <c r="KDZ611"/>
      <c r="KEA611"/>
      <c r="KEB611"/>
      <c r="KEC611"/>
      <c r="KED611"/>
      <c r="KEE611"/>
      <c r="KEF611"/>
      <c r="KEG611"/>
      <c r="KEH611"/>
      <c r="KEI611"/>
      <c r="KEJ611"/>
      <c r="KEK611"/>
      <c r="KEL611"/>
      <c r="KEM611"/>
      <c r="KEN611"/>
      <c r="KEO611"/>
      <c r="KEP611"/>
      <c r="KEQ611"/>
      <c r="KER611"/>
      <c r="KES611"/>
      <c r="KET611"/>
      <c r="KEU611"/>
      <c r="KEV611"/>
      <c r="KEW611"/>
      <c r="KEX611"/>
      <c r="KEY611"/>
      <c r="KEZ611"/>
      <c r="KFA611"/>
      <c r="KFB611"/>
      <c r="KFC611"/>
      <c r="KFD611"/>
      <c r="KFE611"/>
      <c r="KFF611"/>
      <c r="KFG611"/>
      <c r="KFH611"/>
      <c r="KFI611"/>
      <c r="KFJ611"/>
      <c r="KFK611"/>
      <c r="KFL611"/>
      <c r="KFM611"/>
      <c r="KFN611"/>
      <c r="KFO611"/>
      <c r="KFP611"/>
      <c r="KFQ611"/>
      <c r="KFR611"/>
      <c r="KFS611"/>
      <c r="KFT611"/>
      <c r="KFU611"/>
      <c r="KFV611"/>
      <c r="KFW611"/>
      <c r="KFX611"/>
      <c r="KFY611"/>
      <c r="KFZ611"/>
      <c r="KGA611"/>
      <c r="KGB611"/>
      <c r="KGC611"/>
      <c r="KGD611"/>
      <c r="KGE611"/>
      <c r="KGF611"/>
      <c r="KGG611"/>
      <c r="KGH611"/>
      <c r="KGI611"/>
      <c r="KGJ611"/>
      <c r="KGK611"/>
      <c r="KGL611"/>
      <c r="KGM611"/>
      <c r="KGN611"/>
      <c r="KGO611"/>
      <c r="KGP611"/>
      <c r="KGQ611"/>
      <c r="KGR611"/>
      <c r="KGS611"/>
      <c r="KGT611"/>
      <c r="KGU611"/>
      <c r="KGV611"/>
      <c r="KGW611"/>
      <c r="KGX611"/>
      <c r="KGY611"/>
      <c r="KGZ611"/>
      <c r="KHA611"/>
      <c r="KHB611"/>
      <c r="KHC611"/>
      <c r="KHD611"/>
      <c r="KHE611"/>
      <c r="KHF611"/>
      <c r="KHG611"/>
      <c r="KHH611"/>
      <c r="KHI611"/>
      <c r="KHJ611"/>
      <c r="KHK611"/>
      <c r="KHL611"/>
      <c r="KHM611"/>
      <c r="KHN611"/>
      <c r="KHO611"/>
      <c r="KHP611"/>
      <c r="KHQ611"/>
      <c r="KHR611"/>
      <c r="KHS611"/>
      <c r="KHT611"/>
      <c r="KHU611"/>
      <c r="KHV611"/>
      <c r="KHW611"/>
      <c r="KHX611"/>
      <c r="KHY611"/>
      <c r="KHZ611"/>
      <c r="KIA611"/>
      <c r="KIB611"/>
      <c r="KIC611"/>
      <c r="KID611"/>
      <c r="KIE611"/>
      <c r="KIF611"/>
      <c r="KIG611"/>
      <c r="KIH611"/>
      <c r="KII611"/>
      <c r="KIJ611"/>
      <c r="KIK611"/>
      <c r="KIL611"/>
      <c r="KIM611"/>
      <c r="KIN611"/>
      <c r="KIO611"/>
      <c r="KIP611"/>
      <c r="KIQ611"/>
      <c r="KIR611"/>
      <c r="KIS611"/>
      <c r="KIT611"/>
      <c r="KIU611"/>
      <c r="KIV611"/>
      <c r="KIW611"/>
      <c r="KIX611"/>
      <c r="KIY611"/>
      <c r="KIZ611"/>
      <c r="KJA611"/>
      <c r="KJB611"/>
      <c r="KJC611"/>
      <c r="KJD611"/>
      <c r="KJE611"/>
      <c r="KJF611"/>
      <c r="KJG611"/>
      <c r="KJH611"/>
      <c r="KJI611"/>
      <c r="KJJ611"/>
      <c r="KJK611"/>
      <c r="KJL611"/>
      <c r="KJM611"/>
      <c r="KJN611"/>
      <c r="KJO611"/>
      <c r="KJP611"/>
      <c r="KJQ611"/>
      <c r="KJR611"/>
      <c r="KJS611"/>
      <c r="KJT611"/>
      <c r="KJU611"/>
      <c r="KJV611"/>
      <c r="KJW611"/>
      <c r="KJX611"/>
      <c r="KJY611"/>
      <c r="KJZ611"/>
      <c r="KKA611"/>
      <c r="KKB611"/>
      <c r="KKC611"/>
      <c r="KKD611"/>
      <c r="KKE611"/>
      <c r="KKF611"/>
      <c r="KKG611"/>
      <c r="KKH611"/>
      <c r="KKI611"/>
      <c r="KKJ611"/>
      <c r="KKK611"/>
      <c r="KKL611"/>
      <c r="KKM611"/>
      <c r="KKN611"/>
      <c r="KKO611"/>
      <c r="KKP611"/>
      <c r="KKQ611"/>
      <c r="KKR611"/>
      <c r="KKS611"/>
      <c r="KKT611"/>
      <c r="KKU611"/>
      <c r="KKV611"/>
      <c r="KKW611"/>
      <c r="KKX611"/>
      <c r="KKY611"/>
      <c r="KKZ611"/>
      <c r="KLA611"/>
      <c r="KLB611"/>
      <c r="KLC611"/>
      <c r="KLD611"/>
      <c r="KLE611"/>
      <c r="KLF611"/>
      <c r="KLG611"/>
      <c r="KLH611"/>
      <c r="KLI611"/>
      <c r="KLJ611"/>
      <c r="KLK611"/>
      <c r="KLL611"/>
      <c r="KLM611"/>
      <c r="KLN611"/>
      <c r="KLO611"/>
      <c r="KLP611"/>
      <c r="KLQ611"/>
      <c r="KLR611"/>
      <c r="KLS611"/>
      <c r="KLT611"/>
      <c r="KLU611"/>
      <c r="KLV611"/>
      <c r="KLW611"/>
      <c r="KLX611"/>
      <c r="KLY611"/>
      <c r="KLZ611"/>
      <c r="KMA611"/>
      <c r="KMB611"/>
      <c r="KMC611"/>
      <c r="KMD611"/>
      <c r="KME611"/>
      <c r="KMF611"/>
      <c r="KMG611"/>
      <c r="KMH611"/>
      <c r="KMI611"/>
      <c r="KMJ611"/>
      <c r="KMK611"/>
      <c r="KML611"/>
      <c r="KMM611"/>
      <c r="KMN611"/>
      <c r="KMO611"/>
      <c r="KMP611"/>
      <c r="KMQ611"/>
      <c r="KMR611"/>
      <c r="KMS611"/>
      <c r="KMT611"/>
      <c r="KMU611"/>
      <c r="KMV611"/>
      <c r="KMW611"/>
      <c r="KMX611"/>
      <c r="KMY611"/>
      <c r="KMZ611"/>
      <c r="KNA611"/>
      <c r="KNB611"/>
      <c r="KNC611"/>
      <c r="KND611"/>
      <c r="KNE611"/>
      <c r="KNF611"/>
      <c r="KNG611"/>
      <c r="KNH611"/>
      <c r="KNI611"/>
      <c r="KNJ611"/>
      <c r="KNK611"/>
      <c r="KNL611"/>
      <c r="KNM611"/>
      <c r="KNN611"/>
      <c r="KNO611"/>
      <c r="KNP611"/>
      <c r="KNQ611"/>
      <c r="KNR611"/>
      <c r="KNS611"/>
      <c r="KNT611"/>
      <c r="KNU611"/>
      <c r="KNV611"/>
      <c r="KNW611"/>
      <c r="KNX611"/>
      <c r="KNY611"/>
      <c r="KNZ611"/>
      <c r="KOA611"/>
      <c r="KOB611"/>
      <c r="KOC611"/>
      <c r="KOD611"/>
      <c r="KOE611"/>
      <c r="KOF611"/>
      <c r="KOG611"/>
      <c r="KOH611"/>
      <c r="KOI611"/>
      <c r="KOJ611"/>
      <c r="KOK611"/>
      <c r="KOL611"/>
      <c r="KOM611"/>
      <c r="KON611"/>
      <c r="KOO611"/>
      <c r="KOP611"/>
      <c r="KOQ611"/>
      <c r="KOR611"/>
      <c r="KOS611"/>
      <c r="KOT611"/>
      <c r="KOU611"/>
      <c r="KOV611"/>
      <c r="KOW611"/>
      <c r="KOX611"/>
      <c r="KOY611"/>
      <c r="KOZ611"/>
      <c r="KPA611"/>
      <c r="KPB611"/>
      <c r="KPC611"/>
      <c r="KPD611"/>
      <c r="KPE611"/>
      <c r="KPF611"/>
      <c r="KPG611"/>
      <c r="KPH611"/>
      <c r="KPI611"/>
      <c r="KPJ611"/>
      <c r="KPK611"/>
      <c r="KPL611"/>
      <c r="KPM611"/>
      <c r="KPN611"/>
      <c r="KPO611"/>
      <c r="KPP611"/>
      <c r="KPQ611"/>
      <c r="KPR611"/>
      <c r="KPS611"/>
      <c r="KPT611"/>
      <c r="KPU611"/>
      <c r="KPV611"/>
      <c r="KPW611"/>
      <c r="KPX611"/>
      <c r="KPY611"/>
      <c r="KPZ611"/>
      <c r="KQA611"/>
      <c r="KQB611"/>
      <c r="KQC611"/>
      <c r="KQD611"/>
      <c r="KQE611"/>
      <c r="KQF611"/>
      <c r="KQG611"/>
      <c r="KQH611"/>
      <c r="KQI611"/>
      <c r="KQJ611"/>
      <c r="KQK611"/>
      <c r="KQL611"/>
      <c r="KQM611"/>
      <c r="KQN611"/>
      <c r="KQO611"/>
      <c r="KQP611"/>
      <c r="KQQ611"/>
      <c r="KQR611"/>
      <c r="KQS611"/>
      <c r="KQT611"/>
      <c r="KQU611"/>
      <c r="KQV611"/>
      <c r="KQW611"/>
      <c r="KQX611"/>
      <c r="KQY611"/>
      <c r="KQZ611"/>
      <c r="KRA611"/>
      <c r="KRB611"/>
      <c r="KRC611"/>
      <c r="KRD611"/>
      <c r="KRE611"/>
      <c r="KRF611"/>
      <c r="KRG611"/>
      <c r="KRH611"/>
      <c r="KRI611"/>
      <c r="KRJ611"/>
      <c r="KRK611"/>
      <c r="KRL611"/>
      <c r="KRM611"/>
      <c r="KRN611"/>
      <c r="KRO611"/>
      <c r="KRP611"/>
      <c r="KRQ611"/>
      <c r="KRR611"/>
      <c r="KRS611"/>
      <c r="KRT611"/>
      <c r="KRU611"/>
      <c r="KRV611"/>
      <c r="KRW611"/>
      <c r="KRX611"/>
      <c r="KRY611"/>
      <c r="KRZ611"/>
      <c r="KSA611"/>
      <c r="KSB611"/>
      <c r="KSC611"/>
      <c r="KSD611"/>
      <c r="KSE611"/>
      <c r="KSF611"/>
      <c r="KSG611"/>
      <c r="KSH611"/>
      <c r="KSI611"/>
      <c r="KSJ611"/>
      <c r="KSK611"/>
      <c r="KSL611"/>
      <c r="KSM611"/>
      <c r="KSN611"/>
      <c r="KSO611"/>
      <c r="KSP611"/>
      <c r="KSQ611"/>
      <c r="KSR611"/>
      <c r="KSS611"/>
      <c r="KST611"/>
      <c r="KSU611"/>
      <c r="KSV611"/>
      <c r="KSW611"/>
      <c r="KSX611"/>
      <c r="KSY611"/>
      <c r="KSZ611"/>
      <c r="KTA611"/>
      <c r="KTB611"/>
      <c r="KTC611"/>
      <c r="KTD611"/>
      <c r="KTE611"/>
      <c r="KTF611"/>
      <c r="KTG611"/>
      <c r="KTH611"/>
      <c r="KTI611"/>
      <c r="KTJ611"/>
      <c r="KTK611"/>
      <c r="KTL611"/>
      <c r="KTM611"/>
      <c r="KTN611"/>
      <c r="KTO611"/>
      <c r="KTP611"/>
      <c r="KTQ611"/>
      <c r="KTR611"/>
      <c r="KTS611"/>
      <c r="KTT611"/>
      <c r="KTU611"/>
      <c r="KTV611"/>
      <c r="KTW611"/>
      <c r="KTX611"/>
      <c r="KTY611"/>
      <c r="KTZ611"/>
      <c r="KUA611"/>
      <c r="KUB611"/>
      <c r="KUC611"/>
      <c r="KUD611"/>
      <c r="KUE611"/>
      <c r="KUF611"/>
      <c r="KUG611"/>
      <c r="KUH611"/>
      <c r="KUI611"/>
      <c r="KUJ611"/>
      <c r="KUK611"/>
      <c r="KUL611"/>
      <c r="KUM611"/>
      <c r="KUN611"/>
      <c r="KUO611"/>
      <c r="KUP611"/>
      <c r="KUQ611"/>
      <c r="KUR611"/>
      <c r="KUS611"/>
      <c r="KUT611"/>
      <c r="KUU611"/>
      <c r="KUV611"/>
      <c r="KUW611"/>
      <c r="KUX611"/>
      <c r="KUY611"/>
      <c r="KUZ611"/>
      <c r="KVA611"/>
      <c r="KVB611"/>
      <c r="KVC611"/>
      <c r="KVD611"/>
      <c r="KVE611"/>
      <c r="KVF611"/>
      <c r="KVG611"/>
      <c r="KVH611"/>
      <c r="KVI611"/>
      <c r="KVJ611"/>
      <c r="KVK611"/>
      <c r="KVL611"/>
      <c r="KVM611"/>
      <c r="KVN611"/>
      <c r="KVO611"/>
      <c r="KVP611"/>
      <c r="KVQ611"/>
      <c r="KVR611"/>
      <c r="KVS611"/>
      <c r="KVT611"/>
      <c r="KVU611"/>
      <c r="KVV611"/>
      <c r="KVW611"/>
      <c r="KVX611"/>
      <c r="KVY611"/>
      <c r="KVZ611"/>
      <c r="KWA611"/>
      <c r="KWB611"/>
      <c r="KWC611"/>
      <c r="KWD611"/>
      <c r="KWE611"/>
      <c r="KWF611"/>
      <c r="KWG611"/>
      <c r="KWH611"/>
      <c r="KWI611"/>
      <c r="KWJ611"/>
      <c r="KWK611"/>
      <c r="KWL611"/>
      <c r="KWM611"/>
      <c r="KWN611"/>
      <c r="KWO611"/>
      <c r="KWP611"/>
      <c r="KWQ611"/>
      <c r="KWR611"/>
      <c r="KWS611"/>
      <c r="KWT611"/>
      <c r="KWU611"/>
      <c r="KWV611"/>
      <c r="KWW611"/>
      <c r="KWX611"/>
      <c r="KWY611"/>
      <c r="KWZ611"/>
      <c r="KXA611"/>
      <c r="KXB611"/>
      <c r="KXC611"/>
      <c r="KXD611"/>
      <c r="KXE611"/>
      <c r="KXF611"/>
      <c r="KXG611"/>
      <c r="KXH611"/>
      <c r="KXI611"/>
      <c r="KXJ611"/>
      <c r="KXK611"/>
      <c r="KXL611"/>
      <c r="KXM611"/>
      <c r="KXN611"/>
      <c r="KXO611"/>
      <c r="KXP611"/>
      <c r="KXQ611"/>
      <c r="KXR611"/>
      <c r="KXS611"/>
      <c r="KXT611"/>
      <c r="KXU611"/>
      <c r="KXV611"/>
      <c r="KXW611"/>
      <c r="KXX611"/>
      <c r="KXY611"/>
      <c r="KXZ611"/>
      <c r="KYA611"/>
      <c r="KYB611"/>
      <c r="KYC611"/>
      <c r="KYD611"/>
      <c r="KYE611"/>
      <c r="KYF611"/>
      <c r="KYG611"/>
      <c r="KYH611"/>
      <c r="KYI611"/>
      <c r="KYJ611"/>
      <c r="KYK611"/>
      <c r="KYL611"/>
      <c r="KYM611"/>
      <c r="KYN611"/>
      <c r="KYO611"/>
      <c r="KYP611"/>
      <c r="KYQ611"/>
      <c r="KYR611"/>
      <c r="KYS611"/>
      <c r="KYT611"/>
      <c r="KYU611"/>
      <c r="KYV611"/>
      <c r="KYW611"/>
      <c r="KYX611"/>
      <c r="KYY611"/>
      <c r="KYZ611"/>
      <c r="KZA611"/>
      <c r="KZB611"/>
      <c r="KZC611"/>
      <c r="KZD611"/>
      <c r="KZE611"/>
      <c r="KZF611"/>
      <c r="KZG611"/>
      <c r="KZH611"/>
      <c r="KZI611"/>
      <c r="KZJ611"/>
      <c r="KZK611"/>
      <c r="KZL611"/>
      <c r="KZM611"/>
      <c r="KZN611"/>
      <c r="KZO611"/>
      <c r="KZP611"/>
      <c r="KZQ611"/>
      <c r="KZR611"/>
      <c r="KZS611"/>
      <c r="KZT611"/>
      <c r="KZU611"/>
      <c r="KZV611"/>
      <c r="KZW611"/>
      <c r="KZX611"/>
      <c r="KZY611"/>
      <c r="KZZ611"/>
      <c r="LAA611"/>
      <c r="LAB611"/>
      <c r="LAC611"/>
      <c r="LAD611"/>
      <c r="LAE611"/>
      <c r="LAF611"/>
      <c r="LAG611"/>
      <c r="LAH611"/>
      <c r="LAI611"/>
      <c r="LAJ611"/>
      <c r="LAK611"/>
      <c r="LAL611"/>
      <c r="LAM611"/>
      <c r="LAN611"/>
      <c r="LAO611"/>
      <c r="LAP611"/>
      <c r="LAQ611"/>
      <c r="LAR611"/>
      <c r="LAS611"/>
      <c r="LAT611"/>
      <c r="LAU611"/>
      <c r="LAV611"/>
      <c r="LAW611"/>
      <c r="LAX611"/>
      <c r="LAY611"/>
      <c r="LAZ611"/>
      <c r="LBA611"/>
      <c r="LBB611"/>
      <c r="LBC611"/>
      <c r="LBD611"/>
      <c r="LBE611"/>
      <c r="LBF611"/>
      <c r="LBG611"/>
      <c r="LBH611"/>
      <c r="LBI611"/>
      <c r="LBJ611"/>
      <c r="LBK611"/>
      <c r="LBL611"/>
      <c r="LBM611"/>
      <c r="LBN611"/>
      <c r="LBO611"/>
      <c r="LBP611"/>
      <c r="LBQ611"/>
      <c r="LBR611"/>
      <c r="LBS611"/>
      <c r="LBT611"/>
      <c r="LBU611"/>
      <c r="LBV611"/>
      <c r="LBW611"/>
      <c r="LBX611"/>
      <c r="LBY611"/>
      <c r="LBZ611"/>
      <c r="LCA611"/>
      <c r="LCB611"/>
      <c r="LCC611"/>
      <c r="LCD611"/>
      <c r="LCE611"/>
      <c r="LCF611"/>
      <c r="LCG611"/>
      <c r="LCH611"/>
      <c r="LCI611"/>
      <c r="LCJ611"/>
      <c r="LCK611"/>
      <c r="LCL611"/>
      <c r="LCM611"/>
      <c r="LCN611"/>
      <c r="LCO611"/>
      <c r="LCP611"/>
      <c r="LCQ611"/>
      <c r="LCR611"/>
      <c r="LCS611"/>
      <c r="LCT611"/>
      <c r="LCU611"/>
      <c r="LCV611"/>
      <c r="LCW611"/>
      <c r="LCX611"/>
      <c r="LCY611"/>
      <c r="LCZ611"/>
      <c r="LDA611"/>
      <c r="LDB611"/>
      <c r="LDC611"/>
      <c r="LDD611"/>
      <c r="LDE611"/>
      <c r="LDF611"/>
      <c r="LDG611"/>
      <c r="LDH611"/>
      <c r="LDI611"/>
      <c r="LDJ611"/>
      <c r="LDK611"/>
      <c r="LDL611"/>
      <c r="LDM611"/>
      <c r="LDN611"/>
      <c r="LDO611"/>
      <c r="LDP611"/>
      <c r="LDQ611"/>
      <c r="LDR611"/>
      <c r="LDS611"/>
      <c r="LDT611"/>
      <c r="LDU611"/>
      <c r="LDV611"/>
      <c r="LDW611"/>
      <c r="LDX611"/>
      <c r="LDY611"/>
      <c r="LDZ611"/>
      <c r="LEA611"/>
      <c r="LEB611"/>
      <c r="LEC611"/>
      <c r="LED611"/>
      <c r="LEE611"/>
      <c r="LEF611"/>
      <c r="LEG611"/>
      <c r="LEH611"/>
      <c r="LEI611"/>
      <c r="LEJ611"/>
      <c r="LEK611"/>
      <c r="LEL611"/>
      <c r="LEM611"/>
      <c r="LEN611"/>
      <c r="LEO611"/>
      <c r="LEP611"/>
      <c r="LEQ611"/>
      <c r="LER611"/>
      <c r="LES611"/>
      <c r="LET611"/>
      <c r="LEU611"/>
      <c r="LEV611"/>
      <c r="LEW611"/>
      <c r="LEX611"/>
      <c r="LEY611"/>
      <c r="LEZ611"/>
      <c r="LFA611"/>
      <c r="LFB611"/>
      <c r="LFC611"/>
      <c r="LFD611"/>
      <c r="LFE611"/>
      <c r="LFF611"/>
      <c r="LFG611"/>
      <c r="LFH611"/>
      <c r="LFI611"/>
      <c r="LFJ611"/>
      <c r="LFK611"/>
      <c r="LFL611"/>
      <c r="LFM611"/>
      <c r="LFN611"/>
      <c r="LFO611"/>
      <c r="LFP611"/>
      <c r="LFQ611"/>
      <c r="LFR611"/>
      <c r="LFS611"/>
      <c r="LFT611"/>
      <c r="LFU611"/>
      <c r="LFV611"/>
      <c r="LFW611"/>
      <c r="LFX611"/>
      <c r="LFY611"/>
      <c r="LFZ611"/>
      <c r="LGA611"/>
      <c r="LGB611"/>
      <c r="LGC611"/>
      <c r="LGD611"/>
      <c r="LGE611"/>
      <c r="LGF611"/>
      <c r="LGG611"/>
      <c r="LGH611"/>
      <c r="LGI611"/>
      <c r="LGJ611"/>
      <c r="LGK611"/>
      <c r="LGL611"/>
      <c r="LGM611"/>
      <c r="LGN611"/>
      <c r="LGO611"/>
      <c r="LGP611"/>
      <c r="LGQ611"/>
      <c r="LGR611"/>
      <c r="LGS611"/>
      <c r="LGT611"/>
      <c r="LGU611"/>
      <c r="LGV611"/>
      <c r="LGW611"/>
      <c r="LGX611"/>
      <c r="LGY611"/>
      <c r="LGZ611"/>
      <c r="LHA611"/>
      <c r="LHB611"/>
      <c r="LHC611"/>
      <c r="LHD611"/>
      <c r="LHE611"/>
      <c r="LHF611"/>
      <c r="LHG611"/>
      <c r="LHH611"/>
      <c r="LHI611"/>
      <c r="LHJ611"/>
      <c r="LHK611"/>
      <c r="LHL611"/>
      <c r="LHM611"/>
      <c r="LHN611"/>
      <c r="LHO611"/>
      <c r="LHP611"/>
      <c r="LHQ611"/>
      <c r="LHR611"/>
      <c r="LHS611"/>
      <c r="LHT611"/>
      <c r="LHU611"/>
      <c r="LHV611"/>
      <c r="LHW611"/>
      <c r="LHX611"/>
      <c r="LHY611"/>
      <c r="LHZ611"/>
      <c r="LIA611"/>
      <c r="LIB611"/>
      <c r="LIC611"/>
      <c r="LID611"/>
      <c r="LIE611"/>
      <c r="LIF611"/>
      <c r="LIG611"/>
      <c r="LIH611"/>
      <c r="LII611"/>
      <c r="LIJ611"/>
      <c r="LIK611"/>
      <c r="LIL611"/>
      <c r="LIM611"/>
      <c r="LIN611"/>
      <c r="LIO611"/>
      <c r="LIP611"/>
      <c r="LIQ611"/>
      <c r="LIR611"/>
      <c r="LIS611"/>
      <c r="LIT611"/>
      <c r="LIU611"/>
      <c r="LIV611"/>
      <c r="LIW611"/>
      <c r="LIX611"/>
      <c r="LIY611"/>
      <c r="LIZ611"/>
      <c r="LJA611"/>
      <c r="LJB611"/>
      <c r="LJC611"/>
      <c r="LJD611"/>
      <c r="LJE611"/>
      <c r="LJF611"/>
      <c r="LJG611"/>
      <c r="LJH611"/>
      <c r="LJI611"/>
      <c r="LJJ611"/>
      <c r="LJK611"/>
      <c r="LJL611"/>
      <c r="LJM611"/>
      <c r="LJN611"/>
      <c r="LJO611"/>
      <c r="LJP611"/>
      <c r="LJQ611"/>
      <c r="LJR611"/>
      <c r="LJS611"/>
      <c r="LJT611"/>
      <c r="LJU611"/>
      <c r="LJV611"/>
      <c r="LJW611"/>
      <c r="LJX611"/>
      <c r="LJY611"/>
      <c r="LJZ611"/>
      <c r="LKA611"/>
      <c r="LKB611"/>
      <c r="LKC611"/>
      <c r="LKD611"/>
      <c r="LKE611"/>
      <c r="LKF611"/>
      <c r="LKG611"/>
      <c r="LKH611"/>
      <c r="LKI611"/>
      <c r="LKJ611"/>
      <c r="LKK611"/>
      <c r="LKL611"/>
      <c r="LKM611"/>
      <c r="LKN611"/>
      <c r="LKO611"/>
      <c r="LKP611"/>
      <c r="LKQ611"/>
      <c r="LKR611"/>
      <c r="LKS611"/>
      <c r="LKT611"/>
      <c r="LKU611"/>
      <c r="LKV611"/>
      <c r="LKW611"/>
      <c r="LKX611"/>
      <c r="LKY611"/>
      <c r="LKZ611"/>
      <c r="LLA611"/>
      <c r="LLB611"/>
      <c r="LLC611"/>
      <c r="LLD611"/>
      <c r="LLE611"/>
      <c r="LLF611"/>
      <c r="LLG611"/>
      <c r="LLH611"/>
      <c r="LLI611"/>
      <c r="LLJ611"/>
      <c r="LLK611"/>
      <c r="LLL611"/>
      <c r="LLM611"/>
      <c r="LLN611"/>
      <c r="LLO611"/>
      <c r="LLP611"/>
      <c r="LLQ611"/>
      <c r="LLR611"/>
      <c r="LLS611"/>
      <c r="LLT611"/>
      <c r="LLU611"/>
      <c r="LLV611"/>
      <c r="LLW611"/>
      <c r="LLX611"/>
      <c r="LLY611"/>
      <c r="LLZ611"/>
      <c r="LMA611"/>
      <c r="LMB611"/>
      <c r="LMC611"/>
      <c r="LMD611"/>
      <c r="LME611"/>
      <c r="LMF611"/>
      <c r="LMG611"/>
      <c r="LMH611"/>
      <c r="LMI611"/>
      <c r="LMJ611"/>
      <c r="LMK611"/>
      <c r="LML611"/>
      <c r="LMM611"/>
      <c r="LMN611"/>
      <c r="LMO611"/>
      <c r="LMP611"/>
      <c r="LMQ611"/>
      <c r="LMR611"/>
      <c r="LMS611"/>
      <c r="LMT611"/>
      <c r="LMU611"/>
      <c r="LMV611"/>
      <c r="LMW611"/>
      <c r="LMX611"/>
      <c r="LMY611"/>
      <c r="LMZ611"/>
      <c r="LNA611"/>
      <c r="LNB611"/>
      <c r="LNC611"/>
      <c r="LND611"/>
      <c r="LNE611"/>
      <c r="LNF611"/>
      <c r="LNG611"/>
      <c r="LNH611"/>
      <c r="LNI611"/>
      <c r="LNJ611"/>
      <c r="LNK611"/>
      <c r="LNL611"/>
      <c r="LNM611"/>
      <c r="LNN611"/>
      <c r="LNO611"/>
      <c r="LNP611"/>
      <c r="LNQ611"/>
      <c r="LNR611"/>
      <c r="LNS611"/>
      <c r="LNT611"/>
      <c r="LNU611"/>
      <c r="LNV611"/>
      <c r="LNW611"/>
      <c r="LNX611"/>
      <c r="LNY611"/>
      <c r="LNZ611"/>
      <c r="LOA611"/>
      <c r="LOB611"/>
      <c r="LOC611"/>
      <c r="LOD611"/>
      <c r="LOE611"/>
      <c r="LOF611"/>
      <c r="LOG611"/>
      <c r="LOH611"/>
      <c r="LOI611"/>
      <c r="LOJ611"/>
      <c r="LOK611"/>
      <c r="LOL611"/>
      <c r="LOM611"/>
      <c r="LON611"/>
      <c r="LOO611"/>
      <c r="LOP611"/>
      <c r="LOQ611"/>
      <c r="LOR611"/>
      <c r="LOS611"/>
      <c r="LOT611"/>
      <c r="LOU611"/>
      <c r="LOV611"/>
      <c r="LOW611"/>
      <c r="LOX611"/>
      <c r="LOY611"/>
      <c r="LOZ611"/>
      <c r="LPA611"/>
      <c r="LPB611"/>
      <c r="LPC611"/>
      <c r="LPD611"/>
      <c r="LPE611"/>
      <c r="LPF611"/>
      <c r="LPG611"/>
      <c r="LPH611"/>
      <c r="LPI611"/>
      <c r="LPJ611"/>
      <c r="LPK611"/>
      <c r="LPL611"/>
      <c r="LPM611"/>
      <c r="LPN611"/>
      <c r="LPO611"/>
      <c r="LPP611"/>
      <c r="LPQ611"/>
      <c r="LPR611"/>
      <c r="LPS611"/>
      <c r="LPT611"/>
      <c r="LPU611"/>
      <c r="LPV611"/>
      <c r="LPW611"/>
      <c r="LPX611"/>
      <c r="LPY611"/>
      <c r="LPZ611"/>
      <c r="LQA611"/>
      <c r="LQB611"/>
      <c r="LQC611"/>
      <c r="LQD611"/>
      <c r="LQE611"/>
      <c r="LQF611"/>
      <c r="LQG611"/>
      <c r="LQH611"/>
      <c r="LQI611"/>
      <c r="LQJ611"/>
      <c r="LQK611"/>
      <c r="LQL611"/>
      <c r="LQM611"/>
      <c r="LQN611"/>
      <c r="LQO611"/>
      <c r="LQP611"/>
      <c r="LQQ611"/>
      <c r="LQR611"/>
      <c r="LQS611"/>
      <c r="LQT611"/>
      <c r="LQU611"/>
      <c r="LQV611"/>
      <c r="LQW611"/>
      <c r="LQX611"/>
      <c r="LQY611"/>
      <c r="LQZ611"/>
      <c r="LRA611"/>
      <c r="LRB611"/>
      <c r="LRC611"/>
      <c r="LRD611"/>
      <c r="LRE611"/>
      <c r="LRF611"/>
      <c r="LRG611"/>
      <c r="LRH611"/>
      <c r="LRI611"/>
      <c r="LRJ611"/>
      <c r="LRK611"/>
      <c r="LRL611"/>
      <c r="LRM611"/>
      <c r="LRN611"/>
      <c r="LRO611"/>
      <c r="LRP611"/>
      <c r="LRQ611"/>
      <c r="LRR611"/>
      <c r="LRS611"/>
      <c r="LRT611"/>
      <c r="LRU611"/>
      <c r="LRV611"/>
      <c r="LRW611"/>
      <c r="LRX611"/>
      <c r="LRY611"/>
      <c r="LRZ611"/>
      <c r="LSA611"/>
      <c r="LSB611"/>
      <c r="LSC611"/>
      <c r="LSD611"/>
      <c r="LSE611"/>
      <c r="LSF611"/>
      <c r="LSG611"/>
      <c r="LSH611"/>
      <c r="LSI611"/>
      <c r="LSJ611"/>
      <c r="LSK611"/>
      <c r="LSL611"/>
      <c r="LSM611"/>
      <c r="LSN611"/>
      <c r="LSO611"/>
      <c r="LSP611"/>
      <c r="LSQ611"/>
      <c r="LSR611"/>
      <c r="LSS611"/>
      <c r="LST611"/>
      <c r="LSU611"/>
      <c r="LSV611"/>
      <c r="LSW611"/>
      <c r="LSX611"/>
      <c r="LSY611"/>
      <c r="LSZ611"/>
      <c r="LTA611"/>
      <c r="LTB611"/>
      <c r="LTC611"/>
      <c r="LTD611"/>
      <c r="LTE611"/>
      <c r="LTF611"/>
      <c r="LTG611"/>
      <c r="LTH611"/>
      <c r="LTI611"/>
      <c r="LTJ611"/>
      <c r="LTK611"/>
      <c r="LTL611"/>
      <c r="LTM611"/>
      <c r="LTN611"/>
      <c r="LTO611"/>
      <c r="LTP611"/>
      <c r="LTQ611"/>
      <c r="LTR611"/>
      <c r="LTS611"/>
      <c r="LTT611"/>
      <c r="LTU611"/>
      <c r="LTV611"/>
      <c r="LTW611"/>
      <c r="LTX611"/>
      <c r="LTY611"/>
      <c r="LTZ611"/>
      <c r="LUA611"/>
      <c r="LUB611"/>
      <c r="LUC611"/>
      <c r="LUD611"/>
      <c r="LUE611"/>
      <c r="LUF611"/>
      <c r="LUG611"/>
      <c r="LUH611"/>
      <c r="LUI611"/>
      <c r="LUJ611"/>
      <c r="LUK611"/>
      <c r="LUL611"/>
      <c r="LUM611"/>
      <c r="LUN611"/>
      <c r="LUO611"/>
      <c r="LUP611"/>
      <c r="LUQ611"/>
      <c r="LUR611"/>
      <c r="LUS611"/>
      <c r="LUT611"/>
      <c r="LUU611"/>
      <c r="LUV611"/>
      <c r="LUW611"/>
      <c r="LUX611"/>
      <c r="LUY611"/>
      <c r="LUZ611"/>
      <c r="LVA611"/>
      <c r="LVB611"/>
      <c r="LVC611"/>
      <c r="LVD611"/>
      <c r="LVE611"/>
      <c r="LVF611"/>
      <c r="LVG611"/>
      <c r="LVH611"/>
      <c r="LVI611"/>
      <c r="LVJ611"/>
      <c r="LVK611"/>
      <c r="LVL611"/>
      <c r="LVM611"/>
      <c r="LVN611"/>
      <c r="LVO611"/>
      <c r="LVP611"/>
      <c r="LVQ611"/>
      <c r="LVR611"/>
      <c r="LVS611"/>
      <c r="LVT611"/>
      <c r="LVU611"/>
      <c r="LVV611"/>
      <c r="LVW611"/>
      <c r="LVX611"/>
      <c r="LVY611"/>
      <c r="LVZ611"/>
      <c r="LWA611"/>
      <c r="LWB611"/>
      <c r="LWC611"/>
      <c r="LWD611"/>
      <c r="LWE611"/>
      <c r="LWF611"/>
      <c r="LWG611"/>
      <c r="LWH611"/>
      <c r="LWI611"/>
      <c r="LWJ611"/>
      <c r="LWK611"/>
      <c r="LWL611"/>
      <c r="LWM611"/>
      <c r="LWN611"/>
      <c r="LWO611"/>
      <c r="LWP611"/>
      <c r="LWQ611"/>
      <c r="LWR611"/>
      <c r="LWS611"/>
      <c r="LWT611"/>
      <c r="LWU611"/>
      <c r="LWV611"/>
      <c r="LWW611"/>
      <c r="LWX611"/>
      <c r="LWY611"/>
      <c r="LWZ611"/>
      <c r="LXA611"/>
      <c r="LXB611"/>
      <c r="LXC611"/>
      <c r="LXD611"/>
      <c r="LXE611"/>
      <c r="LXF611"/>
      <c r="LXG611"/>
      <c r="LXH611"/>
      <c r="LXI611"/>
      <c r="LXJ611"/>
      <c r="LXK611"/>
      <c r="LXL611"/>
      <c r="LXM611"/>
      <c r="LXN611"/>
      <c r="LXO611"/>
      <c r="LXP611"/>
      <c r="LXQ611"/>
      <c r="LXR611"/>
      <c r="LXS611"/>
      <c r="LXT611"/>
      <c r="LXU611"/>
      <c r="LXV611"/>
      <c r="LXW611"/>
      <c r="LXX611"/>
      <c r="LXY611"/>
      <c r="LXZ611"/>
      <c r="LYA611"/>
      <c r="LYB611"/>
      <c r="LYC611"/>
      <c r="LYD611"/>
      <c r="LYE611"/>
      <c r="LYF611"/>
      <c r="LYG611"/>
      <c r="LYH611"/>
      <c r="LYI611"/>
      <c r="LYJ611"/>
      <c r="LYK611"/>
      <c r="LYL611"/>
      <c r="LYM611"/>
      <c r="LYN611"/>
      <c r="LYO611"/>
      <c r="LYP611"/>
      <c r="LYQ611"/>
      <c r="LYR611"/>
      <c r="LYS611"/>
      <c r="LYT611"/>
      <c r="LYU611"/>
      <c r="LYV611"/>
      <c r="LYW611"/>
      <c r="LYX611"/>
      <c r="LYY611"/>
      <c r="LYZ611"/>
      <c r="LZA611"/>
      <c r="LZB611"/>
      <c r="LZC611"/>
      <c r="LZD611"/>
      <c r="LZE611"/>
      <c r="LZF611"/>
      <c r="LZG611"/>
      <c r="LZH611"/>
      <c r="LZI611"/>
      <c r="LZJ611"/>
      <c r="LZK611"/>
      <c r="LZL611"/>
      <c r="LZM611"/>
      <c r="LZN611"/>
      <c r="LZO611"/>
      <c r="LZP611"/>
      <c r="LZQ611"/>
      <c r="LZR611"/>
      <c r="LZS611"/>
      <c r="LZT611"/>
      <c r="LZU611"/>
      <c r="LZV611"/>
      <c r="LZW611"/>
      <c r="LZX611"/>
      <c r="LZY611"/>
      <c r="LZZ611"/>
      <c r="MAA611"/>
      <c r="MAB611"/>
      <c r="MAC611"/>
      <c r="MAD611"/>
      <c r="MAE611"/>
      <c r="MAF611"/>
      <c r="MAG611"/>
      <c r="MAH611"/>
      <c r="MAI611"/>
      <c r="MAJ611"/>
      <c r="MAK611"/>
      <c r="MAL611"/>
      <c r="MAM611"/>
      <c r="MAN611"/>
      <c r="MAO611"/>
      <c r="MAP611"/>
      <c r="MAQ611"/>
      <c r="MAR611"/>
      <c r="MAS611"/>
      <c r="MAT611"/>
      <c r="MAU611"/>
      <c r="MAV611"/>
      <c r="MAW611"/>
      <c r="MAX611"/>
      <c r="MAY611"/>
      <c r="MAZ611"/>
      <c r="MBA611"/>
      <c r="MBB611"/>
      <c r="MBC611"/>
      <c r="MBD611"/>
      <c r="MBE611"/>
      <c r="MBF611"/>
      <c r="MBG611"/>
      <c r="MBH611"/>
      <c r="MBI611"/>
      <c r="MBJ611"/>
      <c r="MBK611"/>
      <c r="MBL611"/>
      <c r="MBM611"/>
      <c r="MBN611"/>
      <c r="MBO611"/>
      <c r="MBP611"/>
      <c r="MBQ611"/>
      <c r="MBR611"/>
      <c r="MBS611"/>
      <c r="MBT611"/>
      <c r="MBU611"/>
      <c r="MBV611"/>
      <c r="MBW611"/>
      <c r="MBX611"/>
      <c r="MBY611"/>
      <c r="MBZ611"/>
      <c r="MCA611"/>
      <c r="MCB611"/>
      <c r="MCC611"/>
      <c r="MCD611"/>
      <c r="MCE611"/>
      <c r="MCF611"/>
      <c r="MCG611"/>
      <c r="MCH611"/>
      <c r="MCI611"/>
      <c r="MCJ611"/>
      <c r="MCK611"/>
      <c r="MCL611"/>
      <c r="MCM611"/>
      <c r="MCN611"/>
      <c r="MCO611"/>
      <c r="MCP611"/>
      <c r="MCQ611"/>
      <c r="MCR611"/>
      <c r="MCS611"/>
      <c r="MCT611"/>
      <c r="MCU611"/>
      <c r="MCV611"/>
      <c r="MCW611"/>
      <c r="MCX611"/>
      <c r="MCY611"/>
      <c r="MCZ611"/>
      <c r="MDA611"/>
      <c r="MDB611"/>
      <c r="MDC611"/>
      <c r="MDD611"/>
      <c r="MDE611"/>
      <c r="MDF611"/>
      <c r="MDG611"/>
      <c r="MDH611"/>
      <c r="MDI611"/>
      <c r="MDJ611"/>
      <c r="MDK611"/>
      <c r="MDL611"/>
      <c r="MDM611"/>
      <c r="MDN611"/>
      <c r="MDO611"/>
      <c r="MDP611"/>
      <c r="MDQ611"/>
      <c r="MDR611"/>
      <c r="MDS611"/>
      <c r="MDT611"/>
      <c r="MDU611"/>
      <c r="MDV611"/>
      <c r="MDW611"/>
      <c r="MDX611"/>
      <c r="MDY611"/>
      <c r="MDZ611"/>
      <c r="MEA611"/>
      <c r="MEB611"/>
      <c r="MEC611"/>
      <c r="MED611"/>
      <c r="MEE611"/>
      <c r="MEF611"/>
      <c r="MEG611"/>
      <c r="MEH611"/>
      <c r="MEI611"/>
      <c r="MEJ611"/>
      <c r="MEK611"/>
      <c r="MEL611"/>
      <c r="MEM611"/>
      <c r="MEN611"/>
      <c r="MEO611"/>
      <c r="MEP611"/>
      <c r="MEQ611"/>
      <c r="MER611"/>
      <c r="MES611"/>
      <c r="MET611"/>
      <c r="MEU611"/>
      <c r="MEV611"/>
      <c r="MEW611"/>
      <c r="MEX611"/>
      <c r="MEY611"/>
      <c r="MEZ611"/>
      <c r="MFA611"/>
      <c r="MFB611"/>
      <c r="MFC611"/>
      <c r="MFD611"/>
      <c r="MFE611"/>
      <c r="MFF611"/>
      <c r="MFG611"/>
      <c r="MFH611"/>
      <c r="MFI611"/>
      <c r="MFJ611"/>
      <c r="MFK611"/>
      <c r="MFL611"/>
      <c r="MFM611"/>
      <c r="MFN611"/>
      <c r="MFO611"/>
      <c r="MFP611"/>
      <c r="MFQ611"/>
      <c r="MFR611"/>
      <c r="MFS611"/>
      <c r="MFT611"/>
      <c r="MFU611"/>
      <c r="MFV611"/>
      <c r="MFW611"/>
      <c r="MFX611"/>
      <c r="MFY611"/>
      <c r="MFZ611"/>
      <c r="MGA611"/>
      <c r="MGB611"/>
      <c r="MGC611"/>
      <c r="MGD611"/>
      <c r="MGE611"/>
      <c r="MGF611"/>
      <c r="MGG611"/>
      <c r="MGH611"/>
      <c r="MGI611"/>
      <c r="MGJ611"/>
      <c r="MGK611"/>
      <c r="MGL611"/>
      <c r="MGM611"/>
      <c r="MGN611"/>
      <c r="MGO611"/>
      <c r="MGP611"/>
      <c r="MGQ611"/>
      <c r="MGR611"/>
      <c r="MGS611"/>
      <c r="MGT611"/>
      <c r="MGU611"/>
      <c r="MGV611"/>
      <c r="MGW611"/>
      <c r="MGX611"/>
      <c r="MGY611"/>
      <c r="MGZ611"/>
      <c r="MHA611"/>
      <c r="MHB611"/>
      <c r="MHC611"/>
      <c r="MHD611"/>
      <c r="MHE611"/>
      <c r="MHF611"/>
      <c r="MHG611"/>
      <c r="MHH611"/>
      <c r="MHI611"/>
      <c r="MHJ611"/>
      <c r="MHK611"/>
      <c r="MHL611"/>
      <c r="MHM611"/>
      <c r="MHN611"/>
      <c r="MHO611"/>
      <c r="MHP611"/>
      <c r="MHQ611"/>
      <c r="MHR611"/>
      <c r="MHS611"/>
      <c r="MHT611"/>
      <c r="MHU611"/>
      <c r="MHV611"/>
      <c r="MHW611"/>
      <c r="MHX611"/>
      <c r="MHY611"/>
      <c r="MHZ611"/>
      <c r="MIA611"/>
      <c r="MIB611"/>
      <c r="MIC611"/>
      <c r="MID611"/>
      <c r="MIE611"/>
      <c r="MIF611"/>
      <c r="MIG611"/>
      <c r="MIH611"/>
      <c r="MII611"/>
      <c r="MIJ611"/>
      <c r="MIK611"/>
      <c r="MIL611"/>
      <c r="MIM611"/>
      <c r="MIN611"/>
      <c r="MIO611"/>
      <c r="MIP611"/>
      <c r="MIQ611"/>
      <c r="MIR611"/>
      <c r="MIS611"/>
      <c r="MIT611"/>
      <c r="MIU611"/>
      <c r="MIV611"/>
      <c r="MIW611"/>
      <c r="MIX611"/>
      <c r="MIY611"/>
      <c r="MIZ611"/>
      <c r="MJA611"/>
      <c r="MJB611"/>
      <c r="MJC611"/>
      <c r="MJD611"/>
      <c r="MJE611"/>
      <c r="MJF611"/>
      <c r="MJG611"/>
      <c r="MJH611"/>
      <c r="MJI611"/>
      <c r="MJJ611"/>
      <c r="MJK611"/>
      <c r="MJL611"/>
      <c r="MJM611"/>
      <c r="MJN611"/>
      <c r="MJO611"/>
      <c r="MJP611"/>
      <c r="MJQ611"/>
      <c r="MJR611"/>
      <c r="MJS611"/>
      <c r="MJT611"/>
      <c r="MJU611"/>
      <c r="MJV611"/>
      <c r="MJW611"/>
      <c r="MJX611"/>
      <c r="MJY611"/>
      <c r="MJZ611"/>
      <c r="MKA611"/>
      <c r="MKB611"/>
      <c r="MKC611"/>
      <c r="MKD611"/>
      <c r="MKE611"/>
      <c r="MKF611"/>
      <c r="MKG611"/>
      <c r="MKH611"/>
      <c r="MKI611"/>
      <c r="MKJ611"/>
      <c r="MKK611"/>
      <c r="MKL611"/>
      <c r="MKM611"/>
      <c r="MKN611"/>
      <c r="MKO611"/>
      <c r="MKP611"/>
      <c r="MKQ611"/>
      <c r="MKR611"/>
      <c r="MKS611"/>
      <c r="MKT611"/>
      <c r="MKU611"/>
      <c r="MKV611"/>
      <c r="MKW611"/>
      <c r="MKX611"/>
      <c r="MKY611"/>
      <c r="MKZ611"/>
      <c r="MLA611"/>
      <c r="MLB611"/>
      <c r="MLC611"/>
      <c r="MLD611"/>
      <c r="MLE611"/>
      <c r="MLF611"/>
      <c r="MLG611"/>
      <c r="MLH611"/>
      <c r="MLI611"/>
      <c r="MLJ611"/>
      <c r="MLK611"/>
      <c r="MLL611"/>
      <c r="MLM611"/>
      <c r="MLN611"/>
      <c r="MLO611"/>
      <c r="MLP611"/>
      <c r="MLQ611"/>
      <c r="MLR611"/>
      <c r="MLS611"/>
      <c r="MLT611"/>
      <c r="MLU611"/>
      <c r="MLV611"/>
      <c r="MLW611"/>
      <c r="MLX611"/>
      <c r="MLY611"/>
      <c r="MLZ611"/>
      <c r="MMA611"/>
      <c r="MMB611"/>
      <c r="MMC611"/>
      <c r="MMD611"/>
      <c r="MME611"/>
      <c r="MMF611"/>
      <c r="MMG611"/>
      <c r="MMH611"/>
      <c r="MMI611"/>
      <c r="MMJ611"/>
      <c r="MMK611"/>
      <c r="MML611"/>
      <c r="MMM611"/>
      <c r="MMN611"/>
      <c r="MMO611"/>
      <c r="MMP611"/>
      <c r="MMQ611"/>
      <c r="MMR611"/>
      <c r="MMS611"/>
      <c r="MMT611"/>
      <c r="MMU611"/>
      <c r="MMV611"/>
      <c r="MMW611"/>
      <c r="MMX611"/>
      <c r="MMY611"/>
      <c r="MMZ611"/>
      <c r="MNA611"/>
      <c r="MNB611"/>
      <c r="MNC611"/>
      <c r="MND611"/>
      <c r="MNE611"/>
      <c r="MNF611"/>
      <c r="MNG611"/>
      <c r="MNH611"/>
      <c r="MNI611"/>
      <c r="MNJ611"/>
      <c r="MNK611"/>
      <c r="MNL611"/>
      <c r="MNM611"/>
      <c r="MNN611"/>
      <c r="MNO611"/>
      <c r="MNP611"/>
      <c r="MNQ611"/>
      <c r="MNR611"/>
      <c r="MNS611"/>
      <c r="MNT611"/>
      <c r="MNU611"/>
      <c r="MNV611"/>
      <c r="MNW611"/>
      <c r="MNX611"/>
      <c r="MNY611"/>
      <c r="MNZ611"/>
      <c r="MOA611"/>
      <c r="MOB611"/>
      <c r="MOC611"/>
      <c r="MOD611"/>
      <c r="MOE611"/>
      <c r="MOF611"/>
      <c r="MOG611"/>
      <c r="MOH611"/>
      <c r="MOI611"/>
      <c r="MOJ611"/>
      <c r="MOK611"/>
      <c r="MOL611"/>
      <c r="MOM611"/>
      <c r="MON611"/>
      <c r="MOO611"/>
      <c r="MOP611"/>
      <c r="MOQ611"/>
      <c r="MOR611"/>
      <c r="MOS611"/>
      <c r="MOT611"/>
      <c r="MOU611"/>
      <c r="MOV611"/>
      <c r="MOW611"/>
      <c r="MOX611"/>
      <c r="MOY611"/>
      <c r="MOZ611"/>
      <c r="MPA611"/>
      <c r="MPB611"/>
      <c r="MPC611"/>
      <c r="MPD611"/>
      <c r="MPE611"/>
      <c r="MPF611"/>
      <c r="MPG611"/>
      <c r="MPH611"/>
      <c r="MPI611"/>
      <c r="MPJ611"/>
      <c r="MPK611"/>
      <c r="MPL611"/>
      <c r="MPM611"/>
      <c r="MPN611"/>
      <c r="MPO611"/>
      <c r="MPP611"/>
      <c r="MPQ611"/>
      <c r="MPR611"/>
      <c r="MPS611"/>
      <c r="MPT611"/>
      <c r="MPU611"/>
      <c r="MPV611"/>
      <c r="MPW611"/>
      <c r="MPX611"/>
      <c r="MPY611"/>
      <c r="MPZ611"/>
      <c r="MQA611"/>
      <c r="MQB611"/>
      <c r="MQC611"/>
      <c r="MQD611"/>
      <c r="MQE611"/>
      <c r="MQF611"/>
      <c r="MQG611"/>
      <c r="MQH611"/>
      <c r="MQI611"/>
      <c r="MQJ611"/>
      <c r="MQK611"/>
      <c r="MQL611"/>
      <c r="MQM611"/>
      <c r="MQN611"/>
      <c r="MQO611"/>
      <c r="MQP611"/>
      <c r="MQQ611"/>
      <c r="MQR611"/>
      <c r="MQS611"/>
      <c r="MQT611"/>
      <c r="MQU611"/>
      <c r="MQV611"/>
      <c r="MQW611"/>
      <c r="MQX611"/>
      <c r="MQY611"/>
      <c r="MQZ611"/>
      <c r="MRA611"/>
      <c r="MRB611"/>
      <c r="MRC611"/>
      <c r="MRD611"/>
      <c r="MRE611"/>
      <c r="MRF611"/>
      <c r="MRG611"/>
      <c r="MRH611"/>
      <c r="MRI611"/>
      <c r="MRJ611"/>
      <c r="MRK611"/>
      <c r="MRL611"/>
      <c r="MRM611"/>
      <c r="MRN611"/>
      <c r="MRO611"/>
      <c r="MRP611"/>
      <c r="MRQ611"/>
      <c r="MRR611"/>
      <c r="MRS611"/>
      <c r="MRT611"/>
      <c r="MRU611"/>
      <c r="MRV611"/>
      <c r="MRW611"/>
      <c r="MRX611"/>
      <c r="MRY611"/>
      <c r="MRZ611"/>
      <c r="MSA611"/>
      <c r="MSB611"/>
      <c r="MSC611"/>
      <c r="MSD611"/>
      <c r="MSE611"/>
      <c r="MSF611"/>
      <c r="MSG611"/>
      <c r="MSH611"/>
      <c r="MSI611"/>
      <c r="MSJ611"/>
      <c r="MSK611"/>
      <c r="MSL611"/>
      <c r="MSM611"/>
      <c r="MSN611"/>
      <c r="MSO611"/>
      <c r="MSP611"/>
      <c r="MSQ611"/>
      <c r="MSR611"/>
      <c r="MSS611"/>
      <c r="MST611"/>
      <c r="MSU611"/>
      <c r="MSV611"/>
      <c r="MSW611"/>
      <c r="MSX611"/>
      <c r="MSY611"/>
      <c r="MSZ611"/>
      <c r="MTA611"/>
      <c r="MTB611"/>
      <c r="MTC611"/>
      <c r="MTD611"/>
      <c r="MTE611"/>
      <c r="MTF611"/>
      <c r="MTG611"/>
      <c r="MTH611"/>
      <c r="MTI611"/>
      <c r="MTJ611"/>
      <c r="MTK611"/>
      <c r="MTL611"/>
      <c r="MTM611"/>
      <c r="MTN611"/>
      <c r="MTO611"/>
      <c r="MTP611"/>
      <c r="MTQ611"/>
      <c r="MTR611"/>
      <c r="MTS611"/>
      <c r="MTT611"/>
      <c r="MTU611"/>
      <c r="MTV611"/>
      <c r="MTW611"/>
      <c r="MTX611"/>
      <c r="MTY611"/>
      <c r="MTZ611"/>
      <c r="MUA611"/>
      <c r="MUB611"/>
      <c r="MUC611"/>
      <c r="MUD611"/>
      <c r="MUE611"/>
      <c r="MUF611"/>
      <c r="MUG611"/>
      <c r="MUH611"/>
      <c r="MUI611"/>
      <c r="MUJ611"/>
      <c r="MUK611"/>
      <c r="MUL611"/>
      <c r="MUM611"/>
      <c r="MUN611"/>
      <c r="MUO611"/>
      <c r="MUP611"/>
      <c r="MUQ611"/>
      <c r="MUR611"/>
      <c r="MUS611"/>
      <c r="MUT611"/>
      <c r="MUU611"/>
      <c r="MUV611"/>
      <c r="MUW611"/>
      <c r="MUX611"/>
      <c r="MUY611"/>
      <c r="MUZ611"/>
      <c r="MVA611"/>
      <c r="MVB611"/>
      <c r="MVC611"/>
      <c r="MVD611"/>
      <c r="MVE611"/>
      <c r="MVF611"/>
      <c r="MVG611"/>
      <c r="MVH611"/>
      <c r="MVI611"/>
      <c r="MVJ611"/>
      <c r="MVK611"/>
      <c r="MVL611"/>
      <c r="MVM611"/>
      <c r="MVN611"/>
      <c r="MVO611"/>
      <c r="MVP611"/>
      <c r="MVQ611"/>
      <c r="MVR611"/>
      <c r="MVS611"/>
      <c r="MVT611"/>
      <c r="MVU611"/>
      <c r="MVV611"/>
      <c r="MVW611"/>
      <c r="MVX611"/>
      <c r="MVY611"/>
      <c r="MVZ611"/>
      <c r="MWA611"/>
      <c r="MWB611"/>
      <c r="MWC611"/>
      <c r="MWD611"/>
      <c r="MWE611"/>
      <c r="MWF611"/>
      <c r="MWG611"/>
      <c r="MWH611"/>
      <c r="MWI611"/>
      <c r="MWJ611"/>
      <c r="MWK611"/>
      <c r="MWL611"/>
      <c r="MWM611"/>
      <c r="MWN611"/>
      <c r="MWO611"/>
      <c r="MWP611"/>
      <c r="MWQ611"/>
      <c r="MWR611"/>
      <c r="MWS611"/>
      <c r="MWT611"/>
      <c r="MWU611"/>
      <c r="MWV611"/>
      <c r="MWW611"/>
      <c r="MWX611"/>
      <c r="MWY611"/>
      <c r="MWZ611"/>
      <c r="MXA611"/>
      <c r="MXB611"/>
      <c r="MXC611"/>
      <c r="MXD611"/>
      <c r="MXE611"/>
      <c r="MXF611"/>
      <c r="MXG611"/>
      <c r="MXH611"/>
      <c r="MXI611"/>
      <c r="MXJ611"/>
      <c r="MXK611"/>
      <c r="MXL611"/>
      <c r="MXM611"/>
      <c r="MXN611"/>
      <c r="MXO611"/>
      <c r="MXP611"/>
      <c r="MXQ611"/>
      <c r="MXR611"/>
      <c r="MXS611"/>
      <c r="MXT611"/>
      <c r="MXU611"/>
      <c r="MXV611"/>
      <c r="MXW611"/>
      <c r="MXX611"/>
      <c r="MXY611"/>
      <c r="MXZ611"/>
      <c r="MYA611"/>
      <c r="MYB611"/>
      <c r="MYC611"/>
      <c r="MYD611"/>
      <c r="MYE611"/>
      <c r="MYF611"/>
      <c r="MYG611"/>
      <c r="MYH611"/>
      <c r="MYI611"/>
      <c r="MYJ611"/>
      <c r="MYK611"/>
      <c r="MYL611"/>
      <c r="MYM611"/>
      <c r="MYN611"/>
      <c r="MYO611"/>
      <c r="MYP611"/>
      <c r="MYQ611"/>
      <c r="MYR611"/>
      <c r="MYS611"/>
      <c r="MYT611"/>
      <c r="MYU611"/>
      <c r="MYV611"/>
      <c r="MYW611"/>
      <c r="MYX611"/>
      <c r="MYY611"/>
      <c r="MYZ611"/>
      <c r="MZA611"/>
      <c r="MZB611"/>
      <c r="MZC611"/>
      <c r="MZD611"/>
      <c r="MZE611"/>
      <c r="MZF611"/>
      <c r="MZG611"/>
      <c r="MZH611"/>
      <c r="MZI611"/>
      <c r="MZJ611"/>
      <c r="MZK611"/>
      <c r="MZL611"/>
      <c r="MZM611"/>
      <c r="MZN611"/>
      <c r="MZO611"/>
      <c r="MZP611"/>
      <c r="MZQ611"/>
      <c r="MZR611"/>
      <c r="MZS611"/>
      <c r="MZT611"/>
      <c r="MZU611"/>
      <c r="MZV611"/>
      <c r="MZW611"/>
      <c r="MZX611"/>
      <c r="MZY611"/>
      <c r="MZZ611"/>
      <c r="NAA611"/>
      <c r="NAB611"/>
      <c r="NAC611"/>
      <c r="NAD611"/>
      <c r="NAE611"/>
      <c r="NAF611"/>
      <c r="NAG611"/>
      <c r="NAH611"/>
      <c r="NAI611"/>
      <c r="NAJ611"/>
      <c r="NAK611"/>
      <c r="NAL611"/>
      <c r="NAM611"/>
      <c r="NAN611"/>
      <c r="NAO611"/>
      <c r="NAP611"/>
      <c r="NAQ611"/>
      <c r="NAR611"/>
      <c r="NAS611"/>
      <c r="NAT611"/>
      <c r="NAU611"/>
      <c r="NAV611"/>
      <c r="NAW611"/>
      <c r="NAX611"/>
      <c r="NAY611"/>
      <c r="NAZ611"/>
      <c r="NBA611"/>
      <c r="NBB611"/>
      <c r="NBC611"/>
      <c r="NBD611"/>
      <c r="NBE611"/>
      <c r="NBF611"/>
      <c r="NBG611"/>
      <c r="NBH611"/>
      <c r="NBI611"/>
      <c r="NBJ611"/>
      <c r="NBK611"/>
      <c r="NBL611"/>
      <c r="NBM611"/>
      <c r="NBN611"/>
      <c r="NBO611"/>
      <c r="NBP611"/>
      <c r="NBQ611"/>
      <c r="NBR611"/>
      <c r="NBS611"/>
      <c r="NBT611"/>
      <c r="NBU611"/>
      <c r="NBV611"/>
      <c r="NBW611"/>
      <c r="NBX611"/>
      <c r="NBY611"/>
      <c r="NBZ611"/>
      <c r="NCA611"/>
      <c r="NCB611"/>
      <c r="NCC611"/>
      <c r="NCD611"/>
      <c r="NCE611"/>
      <c r="NCF611"/>
      <c r="NCG611"/>
      <c r="NCH611"/>
      <c r="NCI611"/>
      <c r="NCJ611"/>
      <c r="NCK611"/>
      <c r="NCL611"/>
      <c r="NCM611"/>
      <c r="NCN611"/>
      <c r="NCO611"/>
      <c r="NCP611"/>
      <c r="NCQ611"/>
      <c r="NCR611"/>
      <c r="NCS611"/>
      <c r="NCT611"/>
      <c r="NCU611"/>
      <c r="NCV611"/>
      <c r="NCW611"/>
      <c r="NCX611"/>
      <c r="NCY611"/>
      <c r="NCZ611"/>
      <c r="NDA611"/>
      <c r="NDB611"/>
      <c r="NDC611"/>
      <c r="NDD611"/>
      <c r="NDE611"/>
      <c r="NDF611"/>
      <c r="NDG611"/>
      <c r="NDH611"/>
      <c r="NDI611"/>
      <c r="NDJ611"/>
      <c r="NDK611"/>
      <c r="NDL611"/>
      <c r="NDM611"/>
      <c r="NDN611"/>
      <c r="NDO611"/>
      <c r="NDP611"/>
      <c r="NDQ611"/>
      <c r="NDR611"/>
      <c r="NDS611"/>
      <c r="NDT611"/>
      <c r="NDU611"/>
      <c r="NDV611"/>
      <c r="NDW611"/>
      <c r="NDX611"/>
      <c r="NDY611"/>
      <c r="NDZ611"/>
      <c r="NEA611"/>
      <c r="NEB611"/>
      <c r="NEC611"/>
      <c r="NED611"/>
      <c r="NEE611"/>
      <c r="NEF611"/>
      <c r="NEG611"/>
      <c r="NEH611"/>
      <c r="NEI611"/>
      <c r="NEJ611"/>
      <c r="NEK611"/>
      <c r="NEL611"/>
      <c r="NEM611"/>
      <c r="NEN611"/>
      <c r="NEO611"/>
      <c r="NEP611"/>
      <c r="NEQ611"/>
      <c r="NER611"/>
      <c r="NES611"/>
      <c r="NET611"/>
      <c r="NEU611"/>
      <c r="NEV611"/>
      <c r="NEW611"/>
      <c r="NEX611"/>
      <c r="NEY611"/>
      <c r="NEZ611"/>
      <c r="NFA611"/>
      <c r="NFB611"/>
      <c r="NFC611"/>
      <c r="NFD611"/>
      <c r="NFE611"/>
      <c r="NFF611"/>
      <c r="NFG611"/>
      <c r="NFH611"/>
      <c r="NFI611"/>
      <c r="NFJ611"/>
      <c r="NFK611"/>
      <c r="NFL611"/>
      <c r="NFM611"/>
      <c r="NFN611"/>
      <c r="NFO611"/>
      <c r="NFP611"/>
      <c r="NFQ611"/>
      <c r="NFR611"/>
      <c r="NFS611"/>
      <c r="NFT611"/>
      <c r="NFU611"/>
      <c r="NFV611"/>
      <c r="NFW611"/>
      <c r="NFX611"/>
      <c r="NFY611"/>
      <c r="NFZ611"/>
      <c r="NGA611"/>
      <c r="NGB611"/>
      <c r="NGC611"/>
      <c r="NGD611"/>
      <c r="NGE611"/>
      <c r="NGF611"/>
      <c r="NGG611"/>
      <c r="NGH611"/>
      <c r="NGI611"/>
      <c r="NGJ611"/>
      <c r="NGK611"/>
      <c r="NGL611"/>
      <c r="NGM611"/>
      <c r="NGN611"/>
      <c r="NGO611"/>
      <c r="NGP611"/>
      <c r="NGQ611"/>
      <c r="NGR611"/>
      <c r="NGS611"/>
      <c r="NGT611"/>
      <c r="NGU611"/>
      <c r="NGV611"/>
      <c r="NGW611"/>
      <c r="NGX611"/>
      <c r="NGY611"/>
      <c r="NGZ611"/>
      <c r="NHA611"/>
      <c r="NHB611"/>
      <c r="NHC611"/>
      <c r="NHD611"/>
      <c r="NHE611"/>
      <c r="NHF611"/>
      <c r="NHG611"/>
      <c r="NHH611"/>
      <c r="NHI611"/>
      <c r="NHJ611"/>
      <c r="NHK611"/>
      <c r="NHL611"/>
      <c r="NHM611"/>
      <c r="NHN611"/>
      <c r="NHO611"/>
      <c r="NHP611"/>
      <c r="NHQ611"/>
      <c r="NHR611"/>
      <c r="NHS611"/>
      <c r="NHT611"/>
      <c r="NHU611"/>
      <c r="NHV611"/>
      <c r="NHW611"/>
      <c r="NHX611"/>
      <c r="NHY611"/>
      <c r="NHZ611"/>
      <c r="NIA611"/>
      <c r="NIB611"/>
      <c r="NIC611"/>
      <c r="NID611"/>
      <c r="NIE611"/>
      <c r="NIF611"/>
      <c r="NIG611"/>
      <c r="NIH611"/>
      <c r="NII611"/>
      <c r="NIJ611"/>
      <c r="NIK611"/>
      <c r="NIL611"/>
      <c r="NIM611"/>
      <c r="NIN611"/>
      <c r="NIO611"/>
      <c r="NIP611"/>
      <c r="NIQ611"/>
      <c r="NIR611"/>
      <c r="NIS611"/>
      <c r="NIT611"/>
      <c r="NIU611"/>
      <c r="NIV611"/>
      <c r="NIW611"/>
      <c r="NIX611"/>
      <c r="NIY611"/>
      <c r="NIZ611"/>
      <c r="NJA611"/>
      <c r="NJB611"/>
      <c r="NJC611"/>
      <c r="NJD611"/>
      <c r="NJE611"/>
      <c r="NJF611"/>
      <c r="NJG611"/>
      <c r="NJH611"/>
      <c r="NJI611"/>
      <c r="NJJ611"/>
      <c r="NJK611"/>
      <c r="NJL611"/>
      <c r="NJM611"/>
      <c r="NJN611"/>
      <c r="NJO611"/>
      <c r="NJP611"/>
      <c r="NJQ611"/>
      <c r="NJR611"/>
      <c r="NJS611"/>
      <c r="NJT611"/>
      <c r="NJU611"/>
      <c r="NJV611"/>
      <c r="NJW611"/>
      <c r="NJX611"/>
      <c r="NJY611"/>
      <c r="NJZ611"/>
      <c r="NKA611"/>
      <c r="NKB611"/>
      <c r="NKC611"/>
      <c r="NKD611"/>
      <c r="NKE611"/>
      <c r="NKF611"/>
      <c r="NKG611"/>
      <c r="NKH611"/>
      <c r="NKI611"/>
      <c r="NKJ611"/>
      <c r="NKK611"/>
      <c r="NKL611"/>
      <c r="NKM611"/>
      <c r="NKN611"/>
      <c r="NKO611"/>
      <c r="NKP611"/>
      <c r="NKQ611"/>
      <c r="NKR611"/>
      <c r="NKS611"/>
      <c r="NKT611"/>
      <c r="NKU611"/>
      <c r="NKV611"/>
      <c r="NKW611"/>
      <c r="NKX611"/>
      <c r="NKY611"/>
      <c r="NKZ611"/>
      <c r="NLA611"/>
      <c r="NLB611"/>
      <c r="NLC611"/>
      <c r="NLD611"/>
      <c r="NLE611"/>
      <c r="NLF611"/>
      <c r="NLG611"/>
      <c r="NLH611"/>
      <c r="NLI611"/>
      <c r="NLJ611"/>
      <c r="NLK611"/>
      <c r="NLL611"/>
      <c r="NLM611"/>
      <c r="NLN611"/>
      <c r="NLO611"/>
      <c r="NLP611"/>
      <c r="NLQ611"/>
      <c r="NLR611"/>
      <c r="NLS611"/>
      <c r="NLT611"/>
      <c r="NLU611"/>
      <c r="NLV611"/>
      <c r="NLW611"/>
      <c r="NLX611"/>
      <c r="NLY611"/>
      <c r="NLZ611"/>
      <c r="NMA611"/>
      <c r="NMB611"/>
      <c r="NMC611"/>
      <c r="NMD611"/>
      <c r="NME611"/>
      <c r="NMF611"/>
      <c r="NMG611"/>
      <c r="NMH611"/>
      <c r="NMI611"/>
      <c r="NMJ611"/>
      <c r="NMK611"/>
      <c r="NML611"/>
      <c r="NMM611"/>
      <c r="NMN611"/>
      <c r="NMO611"/>
      <c r="NMP611"/>
      <c r="NMQ611"/>
      <c r="NMR611"/>
      <c r="NMS611"/>
      <c r="NMT611"/>
      <c r="NMU611"/>
      <c r="NMV611"/>
      <c r="NMW611"/>
      <c r="NMX611"/>
      <c r="NMY611"/>
      <c r="NMZ611"/>
      <c r="NNA611"/>
      <c r="NNB611"/>
      <c r="NNC611"/>
      <c r="NND611"/>
      <c r="NNE611"/>
      <c r="NNF611"/>
      <c r="NNG611"/>
      <c r="NNH611"/>
      <c r="NNI611"/>
      <c r="NNJ611"/>
      <c r="NNK611"/>
      <c r="NNL611"/>
      <c r="NNM611"/>
      <c r="NNN611"/>
      <c r="NNO611"/>
      <c r="NNP611"/>
      <c r="NNQ611"/>
      <c r="NNR611"/>
      <c r="NNS611"/>
      <c r="NNT611"/>
      <c r="NNU611"/>
      <c r="NNV611"/>
      <c r="NNW611"/>
      <c r="NNX611"/>
      <c r="NNY611"/>
      <c r="NNZ611"/>
      <c r="NOA611"/>
      <c r="NOB611"/>
      <c r="NOC611"/>
      <c r="NOD611"/>
      <c r="NOE611"/>
      <c r="NOF611"/>
      <c r="NOG611"/>
      <c r="NOH611"/>
      <c r="NOI611"/>
      <c r="NOJ611"/>
      <c r="NOK611"/>
      <c r="NOL611"/>
      <c r="NOM611"/>
      <c r="NON611"/>
      <c r="NOO611"/>
      <c r="NOP611"/>
      <c r="NOQ611"/>
      <c r="NOR611"/>
      <c r="NOS611"/>
      <c r="NOT611"/>
      <c r="NOU611"/>
      <c r="NOV611"/>
      <c r="NOW611"/>
      <c r="NOX611"/>
      <c r="NOY611"/>
      <c r="NOZ611"/>
      <c r="NPA611"/>
      <c r="NPB611"/>
      <c r="NPC611"/>
      <c r="NPD611"/>
      <c r="NPE611"/>
      <c r="NPF611"/>
      <c r="NPG611"/>
      <c r="NPH611"/>
      <c r="NPI611"/>
      <c r="NPJ611"/>
      <c r="NPK611"/>
      <c r="NPL611"/>
      <c r="NPM611"/>
      <c r="NPN611"/>
      <c r="NPO611"/>
      <c r="NPP611"/>
      <c r="NPQ611"/>
      <c r="NPR611"/>
      <c r="NPS611"/>
      <c r="NPT611"/>
      <c r="NPU611"/>
      <c r="NPV611"/>
      <c r="NPW611"/>
      <c r="NPX611"/>
      <c r="NPY611"/>
      <c r="NPZ611"/>
      <c r="NQA611"/>
      <c r="NQB611"/>
      <c r="NQC611"/>
      <c r="NQD611"/>
      <c r="NQE611"/>
      <c r="NQF611"/>
      <c r="NQG611"/>
      <c r="NQH611"/>
      <c r="NQI611"/>
      <c r="NQJ611"/>
      <c r="NQK611"/>
      <c r="NQL611"/>
      <c r="NQM611"/>
      <c r="NQN611"/>
      <c r="NQO611"/>
      <c r="NQP611"/>
      <c r="NQQ611"/>
      <c r="NQR611"/>
      <c r="NQS611"/>
      <c r="NQT611"/>
      <c r="NQU611"/>
      <c r="NQV611"/>
      <c r="NQW611"/>
      <c r="NQX611"/>
      <c r="NQY611"/>
      <c r="NQZ611"/>
      <c r="NRA611"/>
      <c r="NRB611"/>
      <c r="NRC611"/>
      <c r="NRD611"/>
      <c r="NRE611"/>
      <c r="NRF611"/>
      <c r="NRG611"/>
      <c r="NRH611"/>
      <c r="NRI611"/>
      <c r="NRJ611"/>
      <c r="NRK611"/>
      <c r="NRL611"/>
      <c r="NRM611"/>
      <c r="NRN611"/>
      <c r="NRO611"/>
      <c r="NRP611"/>
      <c r="NRQ611"/>
      <c r="NRR611"/>
      <c r="NRS611"/>
      <c r="NRT611"/>
      <c r="NRU611"/>
      <c r="NRV611"/>
      <c r="NRW611"/>
      <c r="NRX611"/>
      <c r="NRY611"/>
      <c r="NRZ611"/>
      <c r="NSA611"/>
      <c r="NSB611"/>
      <c r="NSC611"/>
      <c r="NSD611"/>
      <c r="NSE611"/>
      <c r="NSF611"/>
      <c r="NSG611"/>
      <c r="NSH611"/>
      <c r="NSI611"/>
      <c r="NSJ611"/>
      <c r="NSK611"/>
      <c r="NSL611"/>
      <c r="NSM611"/>
      <c r="NSN611"/>
      <c r="NSO611"/>
      <c r="NSP611"/>
      <c r="NSQ611"/>
      <c r="NSR611"/>
      <c r="NSS611"/>
      <c r="NST611"/>
      <c r="NSU611"/>
      <c r="NSV611"/>
      <c r="NSW611"/>
      <c r="NSX611"/>
      <c r="NSY611"/>
      <c r="NSZ611"/>
      <c r="NTA611"/>
      <c r="NTB611"/>
      <c r="NTC611"/>
      <c r="NTD611"/>
      <c r="NTE611"/>
      <c r="NTF611"/>
      <c r="NTG611"/>
      <c r="NTH611"/>
      <c r="NTI611"/>
      <c r="NTJ611"/>
      <c r="NTK611"/>
      <c r="NTL611"/>
      <c r="NTM611"/>
      <c r="NTN611"/>
      <c r="NTO611"/>
      <c r="NTP611"/>
      <c r="NTQ611"/>
      <c r="NTR611"/>
      <c r="NTS611"/>
      <c r="NTT611"/>
      <c r="NTU611"/>
      <c r="NTV611"/>
      <c r="NTW611"/>
      <c r="NTX611"/>
      <c r="NTY611"/>
      <c r="NTZ611"/>
      <c r="NUA611"/>
      <c r="NUB611"/>
      <c r="NUC611"/>
      <c r="NUD611"/>
      <c r="NUE611"/>
      <c r="NUF611"/>
      <c r="NUG611"/>
      <c r="NUH611"/>
      <c r="NUI611"/>
      <c r="NUJ611"/>
      <c r="NUK611"/>
      <c r="NUL611"/>
      <c r="NUM611"/>
      <c r="NUN611"/>
      <c r="NUO611"/>
      <c r="NUP611"/>
      <c r="NUQ611"/>
      <c r="NUR611"/>
      <c r="NUS611"/>
      <c r="NUT611"/>
      <c r="NUU611"/>
      <c r="NUV611"/>
      <c r="NUW611"/>
      <c r="NUX611"/>
      <c r="NUY611"/>
      <c r="NUZ611"/>
      <c r="NVA611"/>
      <c r="NVB611"/>
      <c r="NVC611"/>
      <c r="NVD611"/>
      <c r="NVE611"/>
      <c r="NVF611"/>
      <c r="NVG611"/>
      <c r="NVH611"/>
      <c r="NVI611"/>
      <c r="NVJ611"/>
      <c r="NVK611"/>
      <c r="NVL611"/>
      <c r="NVM611"/>
      <c r="NVN611"/>
      <c r="NVO611"/>
      <c r="NVP611"/>
      <c r="NVQ611"/>
      <c r="NVR611"/>
      <c r="NVS611"/>
      <c r="NVT611"/>
      <c r="NVU611"/>
      <c r="NVV611"/>
      <c r="NVW611"/>
      <c r="NVX611"/>
      <c r="NVY611"/>
      <c r="NVZ611"/>
      <c r="NWA611"/>
      <c r="NWB611"/>
      <c r="NWC611"/>
      <c r="NWD611"/>
      <c r="NWE611"/>
      <c r="NWF611"/>
      <c r="NWG611"/>
      <c r="NWH611"/>
      <c r="NWI611"/>
      <c r="NWJ611"/>
      <c r="NWK611"/>
      <c r="NWL611"/>
      <c r="NWM611"/>
      <c r="NWN611"/>
      <c r="NWO611"/>
      <c r="NWP611"/>
      <c r="NWQ611"/>
      <c r="NWR611"/>
      <c r="NWS611"/>
      <c r="NWT611"/>
      <c r="NWU611"/>
      <c r="NWV611"/>
      <c r="NWW611"/>
      <c r="NWX611"/>
      <c r="NWY611"/>
      <c r="NWZ611"/>
      <c r="NXA611"/>
      <c r="NXB611"/>
      <c r="NXC611"/>
      <c r="NXD611"/>
      <c r="NXE611"/>
      <c r="NXF611"/>
      <c r="NXG611"/>
      <c r="NXH611"/>
      <c r="NXI611"/>
      <c r="NXJ611"/>
      <c r="NXK611"/>
      <c r="NXL611"/>
      <c r="NXM611"/>
      <c r="NXN611"/>
      <c r="NXO611"/>
      <c r="NXP611"/>
      <c r="NXQ611"/>
      <c r="NXR611"/>
      <c r="NXS611"/>
      <c r="NXT611"/>
      <c r="NXU611"/>
      <c r="NXV611"/>
      <c r="NXW611"/>
      <c r="NXX611"/>
      <c r="NXY611"/>
      <c r="NXZ611"/>
      <c r="NYA611"/>
      <c r="NYB611"/>
      <c r="NYC611"/>
      <c r="NYD611"/>
      <c r="NYE611"/>
      <c r="NYF611"/>
      <c r="NYG611"/>
      <c r="NYH611"/>
      <c r="NYI611"/>
      <c r="NYJ611"/>
      <c r="NYK611"/>
      <c r="NYL611"/>
      <c r="NYM611"/>
      <c r="NYN611"/>
      <c r="NYO611"/>
      <c r="NYP611"/>
      <c r="NYQ611"/>
      <c r="NYR611"/>
      <c r="NYS611"/>
      <c r="NYT611"/>
      <c r="NYU611"/>
      <c r="NYV611"/>
      <c r="NYW611"/>
      <c r="NYX611"/>
      <c r="NYY611"/>
      <c r="NYZ611"/>
      <c r="NZA611"/>
      <c r="NZB611"/>
      <c r="NZC611"/>
      <c r="NZD611"/>
      <c r="NZE611"/>
      <c r="NZF611"/>
      <c r="NZG611"/>
      <c r="NZH611"/>
      <c r="NZI611"/>
      <c r="NZJ611"/>
      <c r="NZK611"/>
      <c r="NZL611"/>
      <c r="NZM611"/>
      <c r="NZN611"/>
      <c r="NZO611"/>
      <c r="NZP611"/>
      <c r="NZQ611"/>
      <c r="NZR611"/>
      <c r="NZS611"/>
      <c r="NZT611"/>
      <c r="NZU611"/>
      <c r="NZV611"/>
      <c r="NZW611"/>
      <c r="NZX611"/>
      <c r="NZY611"/>
      <c r="NZZ611"/>
      <c r="OAA611"/>
      <c r="OAB611"/>
      <c r="OAC611"/>
      <c r="OAD611"/>
      <c r="OAE611"/>
      <c r="OAF611"/>
      <c r="OAG611"/>
      <c r="OAH611"/>
      <c r="OAI611"/>
      <c r="OAJ611"/>
      <c r="OAK611"/>
      <c r="OAL611"/>
      <c r="OAM611"/>
      <c r="OAN611"/>
      <c r="OAO611"/>
      <c r="OAP611"/>
      <c r="OAQ611"/>
      <c r="OAR611"/>
      <c r="OAS611"/>
      <c r="OAT611"/>
      <c r="OAU611"/>
      <c r="OAV611"/>
      <c r="OAW611"/>
      <c r="OAX611"/>
      <c r="OAY611"/>
      <c r="OAZ611"/>
      <c r="OBA611"/>
      <c r="OBB611"/>
      <c r="OBC611"/>
      <c r="OBD611"/>
      <c r="OBE611"/>
      <c r="OBF611"/>
      <c r="OBG611"/>
      <c r="OBH611"/>
      <c r="OBI611"/>
      <c r="OBJ611"/>
      <c r="OBK611"/>
      <c r="OBL611"/>
      <c r="OBM611"/>
      <c r="OBN611"/>
      <c r="OBO611"/>
      <c r="OBP611"/>
      <c r="OBQ611"/>
      <c r="OBR611"/>
      <c r="OBS611"/>
      <c r="OBT611"/>
      <c r="OBU611"/>
      <c r="OBV611"/>
      <c r="OBW611"/>
      <c r="OBX611"/>
      <c r="OBY611"/>
      <c r="OBZ611"/>
      <c r="OCA611"/>
      <c r="OCB611"/>
      <c r="OCC611"/>
      <c r="OCD611"/>
      <c r="OCE611"/>
      <c r="OCF611"/>
      <c r="OCG611"/>
      <c r="OCH611"/>
      <c r="OCI611"/>
      <c r="OCJ611"/>
      <c r="OCK611"/>
      <c r="OCL611"/>
      <c r="OCM611"/>
      <c r="OCN611"/>
      <c r="OCO611"/>
      <c r="OCP611"/>
      <c r="OCQ611"/>
      <c r="OCR611"/>
      <c r="OCS611"/>
      <c r="OCT611"/>
      <c r="OCU611"/>
      <c r="OCV611"/>
      <c r="OCW611"/>
      <c r="OCX611"/>
      <c r="OCY611"/>
      <c r="OCZ611"/>
      <c r="ODA611"/>
      <c r="ODB611"/>
      <c r="ODC611"/>
      <c r="ODD611"/>
      <c r="ODE611"/>
      <c r="ODF611"/>
      <c r="ODG611"/>
      <c r="ODH611"/>
      <c r="ODI611"/>
      <c r="ODJ611"/>
      <c r="ODK611"/>
      <c r="ODL611"/>
      <c r="ODM611"/>
      <c r="ODN611"/>
      <c r="ODO611"/>
      <c r="ODP611"/>
      <c r="ODQ611"/>
      <c r="ODR611"/>
      <c r="ODS611"/>
      <c r="ODT611"/>
      <c r="ODU611"/>
      <c r="ODV611"/>
      <c r="ODW611"/>
      <c r="ODX611"/>
      <c r="ODY611"/>
      <c r="ODZ611"/>
      <c r="OEA611"/>
      <c r="OEB611"/>
      <c r="OEC611"/>
      <c r="OED611"/>
      <c r="OEE611"/>
      <c r="OEF611"/>
      <c r="OEG611"/>
      <c r="OEH611"/>
      <c r="OEI611"/>
      <c r="OEJ611"/>
      <c r="OEK611"/>
      <c r="OEL611"/>
      <c r="OEM611"/>
      <c r="OEN611"/>
      <c r="OEO611"/>
      <c r="OEP611"/>
      <c r="OEQ611"/>
      <c r="OER611"/>
      <c r="OES611"/>
      <c r="OET611"/>
      <c r="OEU611"/>
      <c r="OEV611"/>
      <c r="OEW611"/>
      <c r="OEX611"/>
      <c r="OEY611"/>
      <c r="OEZ611"/>
      <c r="OFA611"/>
      <c r="OFB611"/>
      <c r="OFC611"/>
      <c r="OFD611"/>
      <c r="OFE611"/>
      <c r="OFF611"/>
      <c r="OFG611"/>
      <c r="OFH611"/>
      <c r="OFI611"/>
      <c r="OFJ611"/>
      <c r="OFK611"/>
      <c r="OFL611"/>
      <c r="OFM611"/>
      <c r="OFN611"/>
      <c r="OFO611"/>
      <c r="OFP611"/>
      <c r="OFQ611"/>
      <c r="OFR611"/>
      <c r="OFS611"/>
      <c r="OFT611"/>
      <c r="OFU611"/>
      <c r="OFV611"/>
      <c r="OFW611"/>
      <c r="OFX611"/>
      <c r="OFY611"/>
      <c r="OFZ611"/>
      <c r="OGA611"/>
      <c r="OGB611"/>
      <c r="OGC611"/>
      <c r="OGD611"/>
      <c r="OGE611"/>
      <c r="OGF611"/>
      <c r="OGG611"/>
      <c r="OGH611"/>
      <c r="OGI611"/>
      <c r="OGJ611"/>
      <c r="OGK611"/>
      <c r="OGL611"/>
      <c r="OGM611"/>
      <c r="OGN611"/>
      <c r="OGO611"/>
      <c r="OGP611"/>
      <c r="OGQ611"/>
      <c r="OGR611"/>
      <c r="OGS611"/>
      <c r="OGT611"/>
      <c r="OGU611"/>
      <c r="OGV611"/>
      <c r="OGW611"/>
      <c r="OGX611"/>
      <c r="OGY611"/>
      <c r="OGZ611"/>
      <c r="OHA611"/>
      <c r="OHB611"/>
      <c r="OHC611"/>
      <c r="OHD611"/>
      <c r="OHE611"/>
      <c r="OHF611"/>
      <c r="OHG611"/>
      <c r="OHH611"/>
      <c r="OHI611"/>
      <c r="OHJ611"/>
      <c r="OHK611"/>
      <c r="OHL611"/>
      <c r="OHM611"/>
      <c r="OHN611"/>
      <c r="OHO611"/>
      <c r="OHP611"/>
      <c r="OHQ611"/>
      <c r="OHR611"/>
      <c r="OHS611"/>
      <c r="OHT611"/>
      <c r="OHU611"/>
      <c r="OHV611"/>
      <c r="OHW611"/>
      <c r="OHX611"/>
      <c r="OHY611"/>
      <c r="OHZ611"/>
      <c r="OIA611"/>
      <c r="OIB611"/>
      <c r="OIC611"/>
      <c r="OID611"/>
      <c r="OIE611"/>
      <c r="OIF611"/>
      <c r="OIG611"/>
      <c r="OIH611"/>
      <c r="OII611"/>
      <c r="OIJ611"/>
      <c r="OIK611"/>
      <c r="OIL611"/>
      <c r="OIM611"/>
      <c r="OIN611"/>
      <c r="OIO611"/>
      <c r="OIP611"/>
      <c r="OIQ611"/>
      <c r="OIR611"/>
      <c r="OIS611"/>
      <c r="OIT611"/>
      <c r="OIU611"/>
      <c r="OIV611"/>
      <c r="OIW611"/>
      <c r="OIX611"/>
      <c r="OIY611"/>
      <c r="OIZ611"/>
      <c r="OJA611"/>
      <c r="OJB611"/>
      <c r="OJC611"/>
      <c r="OJD611"/>
      <c r="OJE611"/>
      <c r="OJF611"/>
      <c r="OJG611"/>
      <c r="OJH611"/>
      <c r="OJI611"/>
      <c r="OJJ611"/>
      <c r="OJK611"/>
      <c r="OJL611"/>
      <c r="OJM611"/>
      <c r="OJN611"/>
      <c r="OJO611"/>
      <c r="OJP611"/>
      <c r="OJQ611"/>
      <c r="OJR611"/>
      <c r="OJS611"/>
      <c r="OJT611"/>
      <c r="OJU611"/>
      <c r="OJV611"/>
      <c r="OJW611"/>
      <c r="OJX611"/>
      <c r="OJY611"/>
      <c r="OJZ611"/>
      <c r="OKA611"/>
      <c r="OKB611"/>
      <c r="OKC611"/>
      <c r="OKD611"/>
      <c r="OKE611"/>
      <c r="OKF611"/>
      <c r="OKG611"/>
      <c r="OKH611"/>
      <c r="OKI611"/>
      <c r="OKJ611"/>
      <c r="OKK611"/>
      <c r="OKL611"/>
      <c r="OKM611"/>
      <c r="OKN611"/>
      <c r="OKO611"/>
      <c r="OKP611"/>
      <c r="OKQ611"/>
      <c r="OKR611"/>
      <c r="OKS611"/>
      <c r="OKT611"/>
      <c r="OKU611"/>
      <c r="OKV611"/>
      <c r="OKW611"/>
      <c r="OKX611"/>
      <c r="OKY611"/>
      <c r="OKZ611"/>
      <c r="OLA611"/>
      <c r="OLB611"/>
      <c r="OLC611"/>
      <c r="OLD611"/>
      <c r="OLE611"/>
      <c r="OLF611"/>
      <c r="OLG611"/>
      <c r="OLH611"/>
      <c r="OLI611"/>
      <c r="OLJ611"/>
      <c r="OLK611"/>
      <c r="OLL611"/>
      <c r="OLM611"/>
      <c r="OLN611"/>
      <c r="OLO611"/>
      <c r="OLP611"/>
      <c r="OLQ611"/>
      <c r="OLR611"/>
      <c r="OLS611"/>
      <c r="OLT611"/>
      <c r="OLU611"/>
      <c r="OLV611"/>
      <c r="OLW611"/>
      <c r="OLX611"/>
      <c r="OLY611"/>
      <c r="OLZ611"/>
      <c r="OMA611"/>
      <c r="OMB611"/>
      <c r="OMC611"/>
      <c r="OMD611"/>
      <c r="OME611"/>
      <c r="OMF611"/>
      <c r="OMG611"/>
      <c r="OMH611"/>
      <c r="OMI611"/>
      <c r="OMJ611"/>
      <c r="OMK611"/>
      <c r="OML611"/>
      <c r="OMM611"/>
      <c r="OMN611"/>
      <c r="OMO611"/>
      <c r="OMP611"/>
      <c r="OMQ611"/>
      <c r="OMR611"/>
      <c r="OMS611"/>
      <c r="OMT611"/>
      <c r="OMU611"/>
      <c r="OMV611"/>
      <c r="OMW611"/>
      <c r="OMX611"/>
      <c r="OMY611"/>
      <c r="OMZ611"/>
      <c r="ONA611"/>
      <c r="ONB611"/>
      <c r="ONC611"/>
      <c r="OND611"/>
      <c r="ONE611"/>
      <c r="ONF611"/>
      <c r="ONG611"/>
      <c r="ONH611"/>
      <c r="ONI611"/>
      <c r="ONJ611"/>
      <c r="ONK611"/>
      <c r="ONL611"/>
      <c r="ONM611"/>
      <c r="ONN611"/>
      <c r="ONO611"/>
      <c r="ONP611"/>
      <c r="ONQ611"/>
      <c r="ONR611"/>
      <c r="ONS611"/>
      <c r="ONT611"/>
      <c r="ONU611"/>
      <c r="ONV611"/>
      <c r="ONW611"/>
      <c r="ONX611"/>
      <c r="ONY611"/>
      <c r="ONZ611"/>
      <c r="OOA611"/>
      <c r="OOB611"/>
      <c r="OOC611"/>
      <c r="OOD611"/>
      <c r="OOE611"/>
      <c r="OOF611"/>
      <c r="OOG611"/>
      <c r="OOH611"/>
      <c r="OOI611"/>
      <c r="OOJ611"/>
      <c r="OOK611"/>
      <c r="OOL611"/>
      <c r="OOM611"/>
      <c r="OON611"/>
      <c r="OOO611"/>
      <c r="OOP611"/>
      <c r="OOQ611"/>
      <c r="OOR611"/>
      <c r="OOS611"/>
      <c r="OOT611"/>
      <c r="OOU611"/>
      <c r="OOV611"/>
      <c r="OOW611"/>
      <c r="OOX611"/>
      <c r="OOY611"/>
      <c r="OOZ611"/>
      <c r="OPA611"/>
      <c r="OPB611"/>
      <c r="OPC611"/>
      <c r="OPD611"/>
      <c r="OPE611"/>
      <c r="OPF611"/>
      <c r="OPG611"/>
      <c r="OPH611"/>
      <c r="OPI611"/>
      <c r="OPJ611"/>
      <c r="OPK611"/>
      <c r="OPL611"/>
      <c r="OPM611"/>
      <c r="OPN611"/>
      <c r="OPO611"/>
      <c r="OPP611"/>
      <c r="OPQ611"/>
      <c r="OPR611"/>
      <c r="OPS611"/>
      <c r="OPT611"/>
      <c r="OPU611"/>
      <c r="OPV611"/>
      <c r="OPW611"/>
      <c r="OPX611"/>
      <c r="OPY611"/>
      <c r="OPZ611"/>
      <c r="OQA611"/>
      <c r="OQB611"/>
      <c r="OQC611"/>
      <c r="OQD611"/>
      <c r="OQE611"/>
      <c r="OQF611"/>
      <c r="OQG611"/>
      <c r="OQH611"/>
      <c r="OQI611"/>
      <c r="OQJ611"/>
      <c r="OQK611"/>
      <c r="OQL611"/>
      <c r="OQM611"/>
      <c r="OQN611"/>
      <c r="OQO611"/>
      <c r="OQP611"/>
      <c r="OQQ611"/>
      <c r="OQR611"/>
      <c r="OQS611"/>
      <c r="OQT611"/>
      <c r="OQU611"/>
      <c r="OQV611"/>
      <c r="OQW611"/>
      <c r="OQX611"/>
      <c r="OQY611"/>
      <c r="OQZ611"/>
      <c r="ORA611"/>
      <c r="ORB611"/>
      <c r="ORC611"/>
      <c r="ORD611"/>
      <c r="ORE611"/>
      <c r="ORF611"/>
      <c r="ORG611"/>
      <c r="ORH611"/>
      <c r="ORI611"/>
      <c r="ORJ611"/>
      <c r="ORK611"/>
      <c r="ORL611"/>
      <c r="ORM611"/>
      <c r="ORN611"/>
      <c r="ORO611"/>
      <c r="ORP611"/>
      <c r="ORQ611"/>
      <c r="ORR611"/>
      <c r="ORS611"/>
      <c r="ORT611"/>
      <c r="ORU611"/>
      <c r="ORV611"/>
      <c r="ORW611"/>
      <c r="ORX611"/>
      <c r="ORY611"/>
      <c r="ORZ611"/>
      <c r="OSA611"/>
      <c r="OSB611"/>
      <c r="OSC611"/>
      <c r="OSD611"/>
      <c r="OSE611"/>
      <c r="OSF611"/>
      <c r="OSG611"/>
      <c r="OSH611"/>
      <c r="OSI611"/>
      <c r="OSJ611"/>
      <c r="OSK611"/>
      <c r="OSL611"/>
      <c r="OSM611"/>
      <c r="OSN611"/>
      <c r="OSO611"/>
      <c r="OSP611"/>
      <c r="OSQ611"/>
      <c r="OSR611"/>
      <c r="OSS611"/>
      <c r="OST611"/>
      <c r="OSU611"/>
      <c r="OSV611"/>
      <c r="OSW611"/>
      <c r="OSX611"/>
      <c r="OSY611"/>
      <c r="OSZ611"/>
      <c r="OTA611"/>
      <c r="OTB611"/>
      <c r="OTC611"/>
      <c r="OTD611"/>
      <c r="OTE611"/>
      <c r="OTF611"/>
      <c r="OTG611"/>
      <c r="OTH611"/>
      <c r="OTI611"/>
      <c r="OTJ611"/>
      <c r="OTK611"/>
      <c r="OTL611"/>
      <c r="OTM611"/>
      <c r="OTN611"/>
      <c r="OTO611"/>
      <c r="OTP611"/>
      <c r="OTQ611"/>
      <c r="OTR611"/>
      <c r="OTS611"/>
      <c r="OTT611"/>
      <c r="OTU611"/>
      <c r="OTV611"/>
      <c r="OTW611"/>
      <c r="OTX611"/>
      <c r="OTY611"/>
      <c r="OTZ611"/>
      <c r="OUA611"/>
      <c r="OUB611"/>
      <c r="OUC611"/>
      <c r="OUD611"/>
      <c r="OUE611"/>
      <c r="OUF611"/>
      <c r="OUG611"/>
      <c r="OUH611"/>
      <c r="OUI611"/>
      <c r="OUJ611"/>
      <c r="OUK611"/>
      <c r="OUL611"/>
      <c r="OUM611"/>
      <c r="OUN611"/>
      <c r="OUO611"/>
      <c r="OUP611"/>
      <c r="OUQ611"/>
      <c r="OUR611"/>
      <c r="OUS611"/>
      <c r="OUT611"/>
      <c r="OUU611"/>
      <c r="OUV611"/>
      <c r="OUW611"/>
      <c r="OUX611"/>
      <c r="OUY611"/>
      <c r="OUZ611"/>
      <c r="OVA611"/>
      <c r="OVB611"/>
      <c r="OVC611"/>
      <c r="OVD611"/>
      <c r="OVE611"/>
      <c r="OVF611"/>
      <c r="OVG611"/>
      <c r="OVH611"/>
      <c r="OVI611"/>
      <c r="OVJ611"/>
      <c r="OVK611"/>
      <c r="OVL611"/>
      <c r="OVM611"/>
      <c r="OVN611"/>
      <c r="OVO611"/>
      <c r="OVP611"/>
      <c r="OVQ611"/>
      <c r="OVR611"/>
      <c r="OVS611"/>
      <c r="OVT611"/>
      <c r="OVU611"/>
      <c r="OVV611"/>
      <c r="OVW611"/>
      <c r="OVX611"/>
      <c r="OVY611"/>
      <c r="OVZ611"/>
      <c r="OWA611"/>
      <c r="OWB611"/>
      <c r="OWC611"/>
      <c r="OWD611"/>
      <c r="OWE611"/>
      <c r="OWF611"/>
      <c r="OWG611"/>
      <c r="OWH611"/>
      <c r="OWI611"/>
      <c r="OWJ611"/>
      <c r="OWK611"/>
      <c r="OWL611"/>
      <c r="OWM611"/>
      <c r="OWN611"/>
      <c r="OWO611"/>
      <c r="OWP611"/>
      <c r="OWQ611"/>
      <c r="OWR611"/>
      <c r="OWS611"/>
      <c r="OWT611"/>
      <c r="OWU611"/>
      <c r="OWV611"/>
      <c r="OWW611"/>
      <c r="OWX611"/>
      <c r="OWY611"/>
      <c r="OWZ611"/>
      <c r="OXA611"/>
      <c r="OXB611"/>
      <c r="OXC611"/>
      <c r="OXD611"/>
      <c r="OXE611"/>
      <c r="OXF611"/>
      <c r="OXG611"/>
      <c r="OXH611"/>
      <c r="OXI611"/>
      <c r="OXJ611"/>
      <c r="OXK611"/>
      <c r="OXL611"/>
      <c r="OXM611"/>
      <c r="OXN611"/>
      <c r="OXO611"/>
      <c r="OXP611"/>
      <c r="OXQ611"/>
      <c r="OXR611"/>
      <c r="OXS611"/>
      <c r="OXT611"/>
      <c r="OXU611"/>
      <c r="OXV611"/>
      <c r="OXW611"/>
      <c r="OXX611"/>
      <c r="OXY611"/>
      <c r="OXZ611"/>
      <c r="OYA611"/>
      <c r="OYB611"/>
      <c r="OYC611"/>
      <c r="OYD611"/>
      <c r="OYE611"/>
      <c r="OYF611"/>
      <c r="OYG611"/>
      <c r="OYH611"/>
      <c r="OYI611"/>
      <c r="OYJ611"/>
      <c r="OYK611"/>
      <c r="OYL611"/>
      <c r="OYM611"/>
      <c r="OYN611"/>
      <c r="OYO611"/>
      <c r="OYP611"/>
      <c r="OYQ611"/>
      <c r="OYR611"/>
      <c r="OYS611"/>
      <c r="OYT611"/>
      <c r="OYU611"/>
      <c r="OYV611"/>
      <c r="OYW611"/>
      <c r="OYX611"/>
      <c r="OYY611"/>
      <c r="OYZ611"/>
      <c r="OZA611"/>
      <c r="OZB611"/>
      <c r="OZC611"/>
      <c r="OZD611"/>
      <c r="OZE611"/>
      <c r="OZF611"/>
      <c r="OZG611"/>
      <c r="OZH611"/>
      <c r="OZI611"/>
      <c r="OZJ611"/>
      <c r="OZK611"/>
      <c r="OZL611"/>
      <c r="OZM611"/>
      <c r="OZN611"/>
      <c r="OZO611"/>
      <c r="OZP611"/>
      <c r="OZQ611"/>
      <c r="OZR611"/>
      <c r="OZS611"/>
      <c r="OZT611"/>
      <c r="OZU611"/>
      <c r="OZV611"/>
      <c r="OZW611"/>
      <c r="OZX611"/>
      <c r="OZY611"/>
      <c r="OZZ611"/>
      <c r="PAA611"/>
      <c r="PAB611"/>
      <c r="PAC611"/>
      <c r="PAD611"/>
      <c r="PAE611"/>
      <c r="PAF611"/>
      <c r="PAG611"/>
      <c r="PAH611"/>
      <c r="PAI611"/>
      <c r="PAJ611"/>
      <c r="PAK611"/>
      <c r="PAL611"/>
      <c r="PAM611"/>
      <c r="PAN611"/>
      <c r="PAO611"/>
      <c r="PAP611"/>
      <c r="PAQ611"/>
      <c r="PAR611"/>
      <c r="PAS611"/>
      <c r="PAT611"/>
      <c r="PAU611"/>
      <c r="PAV611"/>
      <c r="PAW611"/>
      <c r="PAX611"/>
      <c r="PAY611"/>
      <c r="PAZ611"/>
      <c r="PBA611"/>
      <c r="PBB611"/>
      <c r="PBC611"/>
      <c r="PBD611"/>
      <c r="PBE611"/>
      <c r="PBF611"/>
      <c r="PBG611"/>
      <c r="PBH611"/>
      <c r="PBI611"/>
      <c r="PBJ611"/>
      <c r="PBK611"/>
      <c r="PBL611"/>
      <c r="PBM611"/>
      <c r="PBN611"/>
      <c r="PBO611"/>
      <c r="PBP611"/>
      <c r="PBQ611"/>
      <c r="PBR611"/>
      <c r="PBS611"/>
      <c r="PBT611"/>
      <c r="PBU611"/>
      <c r="PBV611"/>
      <c r="PBW611"/>
      <c r="PBX611"/>
      <c r="PBY611"/>
      <c r="PBZ611"/>
      <c r="PCA611"/>
      <c r="PCB611"/>
      <c r="PCC611"/>
      <c r="PCD611"/>
      <c r="PCE611"/>
      <c r="PCF611"/>
      <c r="PCG611"/>
      <c r="PCH611"/>
      <c r="PCI611"/>
      <c r="PCJ611"/>
      <c r="PCK611"/>
      <c r="PCL611"/>
      <c r="PCM611"/>
      <c r="PCN611"/>
      <c r="PCO611"/>
      <c r="PCP611"/>
      <c r="PCQ611"/>
      <c r="PCR611"/>
      <c r="PCS611"/>
      <c r="PCT611"/>
      <c r="PCU611"/>
      <c r="PCV611"/>
      <c r="PCW611"/>
      <c r="PCX611"/>
      <c r="PCY611"/>
      <c r="PCZ611"/>
      <c r="PDA611"/>
      <c r="PDB611"/>
      <c r="PDC611"/>
      <c r="PDD611"/>
      <c r="PDE611"/>
      <c r="PDF611"/>
      <c r="PDG611"/>
      <c r="PDH611"/>
      <c r="PDI611"/>
      <c r="PDJ611"/>
      <c r="PDK611"/>
      <c r="PDL611"/>
      <c r="PDM611"/>
      <c r="PDN611"/>
      <c r="PDO611"/>
      <c r="PDP611"/>
      <c r="PDQ611"/>
      <c r="PDR611"/>
      <c r="PDS611"/>
      <c r="PDT611"/>
      <c r="PDU611"/>
      <c r="PDV611"/>
      <c r="PDW611"/>
      <c r="PDX611"/>
      <c r="PDY611"/>
      <c r="PDZ611"/>
      <c r="PEA611"/>
      <c r="PEB611"/>
      <c r="PEC611"/>
      <c r="PED611"/>
      <c r="PEE611"/>
      <c r="PEF611"/>
      <c r="PEG611"/>
      <c r="PEH611"/>
      <c r="PEI611"/>
      <c r="PEJ611"/>
      <c r="PEK611"/>
      <c r="PEL611"/>
      <c r="PEM611"/>
      <c r="PEN611"/>
      <c r="PEO611"/>
      <c r="PEP611"/>
      <c r="PEQ611"/>
      <c r="PER611"/>
      <c r="PES611"/>
      <c r="PET611"/>
      <c r="PEU611"/>
      <c r="PEV611"/>
      <c r="PEW611"/>
      <c r="PEX611"/>
      <c r="PEY611"/>
      <c r="PEZ611"/>
      <c r="PFA611"/>
      <c r="PFB611"/>
      <c r="PFC611"/>
      <c r="PFD611"/>
      <c r="PFE611"/>
      <c r="PFF611"/>
      <c r="PFG611"/>
      <c r="PFH611"/>
      <c r="PFI611"/>
      <c r="PFJ611"/>
      <c r="PFK611"/>
      <c r="PFL611"/>
      <c r="PFM611"/>
      <c r="PFN611"/>
      <c r="PFO611"/>
      <c r="PFP611"/>
      <c r="PFQ611"/>
      <c r="PFR611"/>
      <c r="PFS611"/>
      <c r="PFT611"/>
      <c r="PFU611"/>
      <c r="PFV611"/>
      <c r="PFW611"/>
      <c r="PFX611"/>
      <c r="PFY611"/>
      <c r="PFZ611"/>
      <c r="PGA611"/>
      <c r="PGB611"/>
      <c r="PGC611"/>
      <c r="PGD611"/>
      <c r="PGE611"/>
      <c r="PGF611"/>
      <c r="PGG611"/>
      <c r="PGH611"/>
      <c r="PGI611"/>
      <c r="PGJ611"/>
      <c r="PGK611"/>
      <c r="PGL611"/>
      <c r="PGM611"/>
      <c r="PGN611"/>
      <c r="PGO611"/>
      <c r="PGP611"/>
      <c r="PGQ611"/>
      <c r="PGR611"/>
      <c r="PGS611"/>
      <c r="PGT611"/>
      <c r="PGU611"/>
      <c r="PGV611"/>
      <c r="PGW611"/>
      <c r="PGX611"/>
      <c r="PGY611"/>
      <c r="PGZ611"/>
      <c r="PHA611"/>
      <c r="PHB611"/>
      <c r="PHC611"/>
      <c r="PHD611"/>
      <c r="PHE611"/>
      <c r="PHF611"/>
      <c r="PHG611"/>
      <c r="PHH611"/>
      <c r="PHI611"/>
      <c r="PHJ611"/>
      <c r="PHK611"/>
      <c r="PHL611"/>
      <c r="PHM611"/>
      <c r="PHN611"/>
      <c r="PHO611"/>
      <c r="PHP611"/>
      <c r="PHQ611"/>
      <c r="PHR611"/>
      <c r="PHS611"/>
      <c r="PHT611"/>
      <c r="PHU611"/>
      <c r="PHV611"/>
      <c r="PHW611"/>
      <c r="PHX611"/>
      <c r="PHY611"/>
      <c r="PHZ611"/>
      <c r="PIA611"/>
      <c r="PIB611"/>
      <c r="PIC611"/>
      <c r="PID611"/>
      <c r="PIE611"/>
      <c r="PIF611"/>
      <c r="PIG611"/>
      <c r="PIH611"/>
      <c r="PII611"/>
      <c r="PIJ611"/>
      <c r="PIK611"/>
      <c r="PIL611"/>
      <c r="PIM611"/>
      <c r="PIN611"/>
      <c r="PIO611"/>
      <c r="PIP611"/>
      <c r="PIQ611"/>
      <c r="PIR611"/>
      <c r="PIS611"/>
      <c r="PIT611"/>
      <c r="PIU611"/>
      <c r="PIV611"/>
      <c r="PIW611"/>
      <c r="PIX611"/>
      <c r="PIY611"/>
      <c r="PIZ611"/>
      <c r="PJA611"/>
      <c r="PJB611"/>
      <c r="PJC611"/>
      <c r="PJD611"/>
      <c r="PJE611"/>
      <c r="PJF611"/>
      <c r="PJG611"/>
      <c r="PJH611"/>
      <c r="PJI611"/>
      <c r="PJJ611"/>
      <c r="PJK611"/>
      <c r="PJL611"/>
      <c r="PJM611"/>
      <c r="PJN611"/>
      <c r="PJO611"/>
      <c r="PJP611"/>
      <c r="PJQ611"/>
      <c r="PJR611"/>
      <c r="PJS611"/>
      <c r="PJT611"/>
      <c r="PJU611"/>
      <c r="PJV611"/>
      <c r="PJW611"/>
      <c r="PJX611"/>
      <c r="PJY611"/>
      <c r="PJZ611"/>
      <c r="PKA611"/>
      <c r="PKB611"/>
      <c r="PKC611"/>
      <c r="PKD611"/>
      <c r="PKE611"/>
      <c r="PKF611"/>
      <c r="PKG611"/>
      <c r="PKH611"/>
      <c r="PKI611"/>
      <c r="PKJ611"/>
      <c r="PKK611"/>
      <c r="PKL611"/>
      <c r="PKM611"/>
      <c r="PKN611"/>
      <c r="PKO611"/>
      <c r="PKP611"/>
      <c r="PKQ611"/>
      <c r="PKR611"/>
      <c r="PKS611"/>
      <c r="PKT611"/>
      <c r="PKU611"/>
      <c r="PKV611"/>
      <c r="PKW611"/>
      <c r="PKX611"/>
      <c r="PKY611"/>
      <c r="PKZ611"/>
      <c r="PLA611"/>
      <c r="PLB611"/>
      <c r="PLC611"/>
      <c r="PLD611"/>
      <c r="PLE611"/>
      <c r="PLF611"/>
      <c r="PLG611"/>
      <c r="PLH611"/>
      <c r="PLI611"/>
      <c r="PLJ611"/>
      <c r="PLK611"/>
      <c r="PLL611"/>
      <c r="PLM611"/>
      <c r="PLN611"/>
      <c r="PLO611"/>
      <c r="PLP611"/>
      <c r="PLQ611"/>
      <c r="PLR611"/>
      <c r="PLS611"/>
      <c r="PLT611"/>
      <c r="PLU611"/>
      <c r="PLV611"/>
      <c r="PLW611"/>
      <c r="PLX611"/>
      <c r="PLY611"/>
      <c r="PLZ611"/>
      <c r="PMA611"/>
      <c r="PMB611"/>
      <c r="PMC611"/>
      <c r="PMD611"/>
      <c r="PME611"/>
      <c r="PMF611"/>
      <c r="PMG611"/>
      <c r="PMH611"/>
      <c r="PMI611"/>
      <c r="PMJ611"/>
      <c r="PMK611"/>
      <c r="PML611"/>
      <c r="PMM611"/>
      <c r="PMN611"/>
      <c r="PMO611"/>
      <c r="PMP611"/>
      <c r="PMQ611"/>
      <c r="PMR611"/>
      <c r="PMS611"/>
      <c r="PMT611"/>
      <c r="PMU611"/>
      <c r="PMV611"/>
      <c r="PMW611"/>
      <c r="PMX611"/>
      <c r="PMY611"/>
      <c r="PMZ611"/>
      <c r="PNA611"/>
      <c r="PNB611"/>
      <c r="PNC611"/>
      <c r="PND611"/>
      <c r="PNE611"/>
      <c r="PNF611"/>
      <c r="PNG611"/>
      <c r="PNH611"/>
      <c r="PNI611"/>
      <c r="PNJ611"/>
      <c r="PNK611"/>
      <c r="PNL611"/>
      <c r="PNM611"/>
      <c r="PNN611"/>
      <c r="PNO611"/>
      <c r="PNP611"/>
      <c r="PNQ611"/>
      <c r="PNR611"/>
      <c r="PNS611"/>
      <c r="PNT611"/>
      <c r="PNU611"/>
      <c r="PNV611"/>
      <c r="PNW611"/>
      <c r="PNX611"/>
      <c r="PNY611"/>
      <c r="PNZ611"/>
      <c r="POA611"/>
      <c r="POB611"/>
      <c r="POC611"/>
      <c r="POD611"/>
      <c r="POE611"/>
      <c r="POF611"/>
      <c r="POG611"/>
      <c r="POH611"/>
      <c r="POI611"/>
      <c r="POJ611"/>
      <c r="POK611"/>
      <c r="POL611"/>
      <c r="POM611"/>
      <c r="PON611"/>
      <c r="POO611"/>
      <c r="POP611"/>
      <c r="POQ611"/>
      <c r="POR611"/>
      <c r="POS611"/>
      <c r="POT611"/>
      <c r="POU611"/>
      <c r="POV611"/>
      <c r="POW611"/>
      <c r="POX611"/>
      <c r="POY611"/>
      <c r="POZ611"/>
      <c r="PPA611"/>
      <c r="PPB611"/>
      <c r="PPC611"/>
      <c r="PPD611"/>
      <c r="PPE611"/>
      <c r="PPF611"/>
      <c r="PPG611"/>
      <c r="PPH611"/>
      <c r="PPI611"/>
      <c r="PPJ611"/>
      <c r="PPK611"/>
      <c r="PPL611"/>
      <c r="PPM611"/>
      <c r="PPN611"/>
      <c r="PPO611"/>
      <c r="PPP611"/>
      <c r="PPQ611"/>
      <c r="PPR611"/>
      <c r="PPS611"/>
      <c r="PPT611"/>
      <c r="PPU611"/>
      <c r="PPV611"/>
      <c r="PPW611"/>
      <c r="PPX611"/>
      <c r="PPY611"/>
      <c r="PPZ611"/>
      <c r="PQA611"/>
      <c r="PQB611"/>
      <c r="PQC611"/>
      <c r="PQD611"/>
      <c r="PQE611"/>
      <c r="PQF611"/>
      <c r="PQG611"/>
      <c r="PQH611"/>
      <c r="PQI611"/>
      <c r="PQJ611"/>
      <c r="PQK611"/>
      <c r="PQL611"/>
      <c r="PQM611"/>
      <c r="PQN611"/>
      <c r="PQO611"/>
      <c r="PQP611"/>
      <c r="PQQ611"/>
      <c r="PQR611"/>
      <c r="PQS611"/>
      <c r="PQT611"/>
      <c r="PQU611"/>
      <c r="PQV611"/>
      <c r="PQW611"/>
      <c r="PQX611"/>
      <c r="PQY611"/>
      <c r="PQZ611"/>
      <c r="PRA611"/>
      <c r="PRB611"/>
      <c r="PRC611"/>
      <c r="PRD611"/>
      <c r="PRE611"/>
      <c r="PRF611"/>
      <c r="PRG611"/>
      <c r="PRH611"/>
      <c r="PRI611"/>
      <c r="PRJ611"/>
      <c r="PRK611"/>
      <c r="PRL611"/>
      <c r="PRM611"/>
      <c r="PRN611"/>
      <c r="PRO611"/>
      <c r="PRP611"/>
      <c r="PRQ611"/>
      <c r="PRR611"/>
      <c r="PRS611"/>
      <c r="PRT611"/>
      <c r="PRU611"/>
      <c r="PRV611"/>
      <c r="PRW611"/>
      <c r="PRX611"/>
      <c r="PRY611"/>
      <c r="PRZ611"/>
      <c r="PSA611"/>
      <c r="PSB611"/>
      <c r="PSC611"/>
      <c r="PSD611"/>
      <c r="PSE611"/>
      <c r="PSF611"/>
      <c r="PSG611"/>
      <c r="PSH611"/>
      <c r="PSI611"/>
      <c r="PSJ611"/>
      <c r="PSK611"/>
      <c r="PSL611"/>
      <c r="PSM611"/>
      <c r="PSN611"/>
      <c r="PSO611"/>
      <c r="PSP611"/>
      <c r="PSQ611"/>
      <c r="PSR611"/>
      <c r="PSS611"/>
      <c r="PST611"/>
      <c r="PSU611"/>
      <c r="PSV611"/>
      <c r="PSW611"/>
      <c r="PSX611"/>
      <c r="PSY611"/>
      <c r="PSZ611"/>
      <c r="PTA611"/>
      <c r="PTB611"/>
      <c r="PTC611"/>
      <c r="PTD611"/>
      <c r="PTE611"/>
      <c r="PTF611"/>
      <c r="PTG611"/>
      <c r="PTH611"/>
      <c r="PTI611"/>
      <c r="PTJ611"/>
      <c r="PTK611"/>
      <c r="PTL611"/>
      <c r="PTM611"/>
      <c r="PTN611"/>
      <c r="PTO611"/>
      <c r="PTP611"/>
      <c r="PTQ611"/>
      <c r="PTR611"/>
      <c r="PTS611"/>
      <c r="PTT611"/>
      <c r="PTU611"/>
      <c r="PTV611"/>
      <c r="PTW611"/>
      <c r="PTX611"/>
      <c r="PTY611"/>
      <c r="PTZ611"/>
      <c r="PUA611"/>
      <c r="PUB611"/>
      <c r="PUC611"/>
      <c r="PUD611"/>
      <c r="PUE611"/>
      <c r="PUF611"/>
      <c r="PUG611"/>
      <c r="PUH611"/>
      <c r="PUI611"/>
      <c r="PUJ611"/>
      <c r="PUK611"/>
      <c r="PUL611"/>
      <c r="PUM611"/>
      <c r="PUN611"/>
      <c r="PUO611"/>
      <c r="PUP611"/>
      <c r="PUQ611"/>
      <c r="PUR611"/>
      <c r="PUS611"/>
      <c r="PUT611"/>
      <c r="PUU611"/>
      <c r="PUV611"/>
      <c r="PUW611"/>
      <c r="PUX611"/>
      <c r="PUY611"/>
      <c r="PUZ611"/>
      <c r="PVA611"/>
      <c r="PVB611"/>
      <c r="PVC611"/>
      <c r="PVD611"/>
      <c r="PVE611"/>
      <c r="PVF611"/>
      <c r="PVG611"/>
      <c r="PVH611"/>
      <c r="PVI611"/>
      <c r="PVJ611"/>
      <c r="PVK611"/>
      <c r="PVL611"/>
      <c r="PVM611"/>
      <c r="PVN611"/>
      <c r="PVO611"/>
      <c r="PVP611"/>
      <c r="PVQ611"/>
      <c r="PVR611"/>
      <c r="PVS611"/>
      <c r="PVT611"/>
      <c r="PVU611"/>
      <c r="PVV611"/>
      <c r="PVW611"/>
      <c r="PVX611"/>
      <c r="PVY611"/>
      <c r="PVZ611"/>
      <c r="PWA611"/>
      <c r="PWB611"/>
      <c r="PWC611"/>
      <c r="PWD611"/>
      <c r="PWE611"/>
      <c r="PWF611"/>
      <c r="PWG611"/>
      <c r="PWH611"/>
      <c r="PWI611"/>
      <c r="PWJ611"/>
      <c r="PWK611"/>
      <c r="PWL611"/>
      <c r="PWM611"/>
      <c r="PWN611"/>
      <c r="PWO611"/>
      <c r="PWP611"/>
      <c r="PWQ611"/>
      <c r="PWR611"/>
      <c r="PWS611"/>
      <c r="PWT611"/>
      <c r="PWU611"/>
      <c r="PWV611"/>
      <c r="PWW611"/>
      <c r="PWX611"/>
      <c r="PWY611"/>
      <c r="PWZ611"/>
      <c r="PXA611"/>
      <c r="PXB611"/>
      <c r="PXC611"/>
      <c r="PXD611"/>
      <c r="PXE611"/>
      <c r="PXF611"/>
      <c r="PXG611"/>
      <c r="PXH611"/>
      <c r="PXI611"/>
      <c r="PXJ611"/>
      <c r="PXK611"/>
      <c r="PXL611"/>
      <c r="PXM611"/>
      <c r="PXN611"/>
      <c r="PXO611"/>
      <c r="PXP611"/>
      <c r="PXQ611"/>
      <c r="PXR611"/>
      <c r="PXS611"/>
      <c r="PXT611"/>
      <c r="PXU611"/>
      <c r="PXV611"/>
      <c r="PXW611"/>
      <c r="PXX611"/>
      <c r="PXY611"/>
      <c r="PXZ611"/>
      <c r="PYA611"/>
      <c r="PYB611"/>
      <c r="PYC611"/>
      <c r="PYD611"/>
      <c r="PYE611"/>
      <c r="PYF611"/>
      <c r="PYG611"/>
      <c r="PYH611"/>
      <c r="PYI611"/>
      <c r="PYJ611"/>
      <c r="PYK611"/>
      <c r="PYL611"/>
      <c r="PYM611"/>
      <c r="PYN611"/>
      <c r="PYO611"/>
      <c r="PYP611"/>
      <c r="PYQ611"/>
      <c r="PYR611"/>
      <c r="PYS611"/>
      <c r="PYT611"/>
      <c r="PYU611"/>
      <c r="PYV611"/>
      <c r="PYW611"/>
      <c r="PYX611"/>
      <c r="PYY611"/>
      <c r="PYZ611"/>
      <c r="PZA611"/>
      <c r="PZB611"/>
      <c r="PZC611"/>
      <c r="PZD611"/>
      <c r="PZE611"/>
      <c r="PZF611"/>
      <c r="PZG611"/>
      <c r="PZH611"/>
      <c r="PZI611"/>
      <c r="PZJ611"/>
      <c r="PZK611"/>
      <c r="PZL611"/>
      <c r="PZM611"/>
      <c r="PZN611"/>
      <c r="PZO611"/>
      <c r="PZP611"/>
      <c r="PZQ611"/>
      <c r="PZR611"/>
      <c r="PZS611"/>
      <c r="PZT611"/>
      <c r="PZU611"/>
      <c r="PZV611"/>
      <c r="PZW611"/>
      <c r="PZX611"/>
      <c r="PZY611"/>
      <c r="PZZ611"/>
      <c r="QAA611"/>
      <c r="QAB611"/>
      <c r="QAC611"/>
      <c r="QAD611"/>
      <c r="QAE611"/>
      <c r="QAF611"/>
      <c r="QAG611"/>
      <c r="QAH611"/>
      <c r="QAI611"/>
      <c r="QAJ611"/>
      <c r="QAK611"/>
      <c r="QAL611"/>
      <c r="QAM611"/>
      <c r="QAN611"/>
      <c r="QAO611"/>
      <c r="QAP611"/>
      <c r="QAQ611"/>
      <c r="QAR611"/>
      <c r="QAS611"/>
      <c r="QAT611"/>
      <c r="QAU611"/>
      <c r="QAV611"/>
      <c r="QAW611"/>
      <c r="QAX611"/>
      <c r="QAY611"/>
      <c r="QAZ611"/>
      <c r="QBA611"/>
      <c r="QBB611"/>
      <c r="QBC611"/>
      <c r="QBD611"/>
      <c r="QBE611"/>
      <c r="QBF611"/>
      <c r="QBG611"/>
      <c r="QBH611"/>
      <c r="QBI611"/>
      <c r="QBJ611"/>
      <c r="QBK611"/>
      <c r="QBL611"/>
      <c r="QBM611"/>
      <c r="QBN611"/>
      <c r="QBO611"/>
      <c r="QBP611"/>
      <c r="QBQ611"/>
      <c r="QBR611"/>
      <c r="QBS611"/>
      <c r="QBT611"/>
      <c r="QBU611"/>
      <c r="QBV611"/>
      <c r="QBW611"/>
      <c r="QBX611"/>
      <c r="QBY611"/>
      <c r="QBZ611"/>
      <c r="QCA611"/>
      <c r="QCB611"/>
      <c r="QCC611"/>
      <c r="QCD611"/>
      <c r="QCE611"/>
      <c r="QCF611"/>
      <c r="QCG611"/>
      <c r="QCH611"/>
      <c r="QCI611"/>
      <c r="QCJ611"/>
      <c r="QCK611"/>
      <c r="QCL611"/>
      <c r="QCM611"/>
      <c r="QCN611"/>
      <c r="QCO611"/>
      <c r="QCP611"/>
      <c r="QCQ611"/>
      <c r="QCR611"/>
      <c r="QCS611"/>
      <c r="QCT611"/>
      <c r="QCU611"/>
      <c r="QCV611"/>
      <c r="QCW611"/>
      <c r="QCX611"/>
      <c r="QCY611"/>
      <c r="QCZ611"/>
      <c r="QDA611"/>
      <c r="QDB611"/>
      <c r="QDC611"/>
      <c r="QDD611"/>
      <c r="QDE611"/>
      <c r="QDF611"/>
      <c r="QDG611"/>
      <c r="QDH611"/>
      <c r="QDI611"/>
      <c r="QDJ611"/>
      <c r="QDK611"/>
      <c r="QDL611"/>
      <c r="QDM611"/>
      <c r="QDN611"/>
      <c r="QDO611"/>
      <c r="QDP611"/>
      <c r="QDQ611"/>
      <c r="QDR611"/>
      <c r="QDS611"/>
      <c r="QDT611"/>
      <c r="QDU611"/>
      <c r="QDV611"/>
      <c r="QDW611"/>
      <c r="QDX611"/>
      <c r="QDY611"/>
      <c r="QDZ611"/>
      <c r="QEA611"/>
      <c r="QEB611"/>
      <c r="QEC611"/>
      <c r="QED611"/>
      <c r="QEE611"/>
      <c r="QEF611"/>
      <c r="QEG611"/>
      <c r="QEH611"/>
      <c r="QEI611"/>
      <c r="QEJ611"/>
      <c r="QEK611"/>
      <c r="QEL611"/>
      <c r="QEM611"/>
      <c r="QEN611"/>
      <c r="QEO611"/>
      <c r="QEP611"/>
      <c r="QEQ611"/>
      <c r="QER611"/>
      <c r="QES611"/>
      <c r="QET611"/>
      <c r="QEU611"/>
      <c r="QEV611"/>
      <c r="QEW611"/>
      <c r="QEX611"/>
      <c r="QEY611"/>
      <c r="QEZ611"/>
      <c r="QFA611"/>
      <c r="QFB611"/>
      <c r="QFC611"/>
      <c r="QFD611"/>
      <c r="QFE611"/>
      <c r="QFF611"/>
      <c r="QFG611"/>
      <c r="QFH611"/>
      <c r="QFI611"/>
      <c r="QFJ611"/>
      <c r="QFK611"/>
      <c r="QFL611"/>
      <c r="QFM611"/>
      <c r="QFN611"/>
      <c r="QFO611"/>
      <c r="QFP611"/>
      <c r="QFQ611"/>
      <c r="QFR611"/>
      <c r="QFS611"/>
      <c r="QFT611"/>
      <c r="QFU611"/>
      <c r="QFV611"/>
      <c r="QFW611"/>
      <c r="QFX611"/>
      <c r="QFY611"/>
      <c r="QFZ611"/>
      <c r="QGA611"/>
      <c r="QGB611"/>
      <c r="QGC611"/>
      <c r="QGD611"/>
      <c r="QGE611"/>
      <c r="QGF611"/>
      <c r="QGG611"/>
      <c r="QGH611"/>
      <c r="QGI611"/>
      <c r="QGJ611"/>
      <c r="QGK611"/>
      <c r="QGL611"/>
      <c r="QGM611"/>
      <c r="QGN611"/>
      <c r="QGO611"/>
      <c r="QGP611"/>
      <c r="QGQ611"/>
      <c r="QGR611"/>
      <c r="QGS611"/>
      <c r="QGT611"/>
      <c r="QGU611"/>
      <c r="QGV611"/>
      <c r="QGW611"/>
      <c r="QGX611"/>
      <c r="QGY611"/>
      <c r="QGZ611"/>
      <c r="QHA611"/>
      <c r="QHB611"/>
      <c r="QHC611"/>
      <c r="QHD611"/>
      <c r="QHE611"/>
      <c r="QHF611"/>
      <c r="QHG611"/>
      <c r="QHH611"/>
      <c r="QHI611"/>
      <c r="QHJ611"/>
      <c r="QHK611"/>
      <c r="QHL611"/>
      <c r="QHM611"/>
      <c r="QHN611"/>
      <c r="QHO611"/>
      <c r="QHP611"/>
      <c r="QHQ611"/>
      <c r="QHR611"/>
      <c r="QHS611"/>
      <c r="QHT611"/>
      <c r="QHU611"/>
      <c r="QHV611"/>
      <c r="QHW611"/>
      <c r="QHX611"/>
      <c r="QHY611"/>
      <c r="QHZ611"/>
      <c r="QIA611"/>
      <c r="QIB611"/>
      <c r="QIC611"/>
      <c r="QID611"/>
      <c r="QIE611"/>
      <c r="QIF611"/>
      <c r="QIG611"/>
      <c r="QIH611"/>
      <c r="QII611"/>
      <c r="QIJ611"/>
      <c r="QIK611"/>
      <c r="QIL611"/>
      <c r="QIM611"/>
      <c r="QIN611"/>
      <c r="QIO611"/>
      <c r="QIP611"/>
      <c r="QIQ611"/>
      <c r="QIR611"/>
      <c r="QIS611"/>
      <c r="QIT611"/>
      <c r="QIU611"/>
      <c r="QIV611"/>
      <c r="QIW611"/>
      <c r="QIX611"/>
      <c r="QIY611"/>
      <c r="QIZ611"/>
      <c r="QJA611"/>
      <c r="QJB611"/>
      <c r="QJC611"/>
      <c r="QJD611"/>
      <c r="QJE611"/>
      <c r="QJF611"/>
      <c r="QJG611"/>
      <c r="QJH611"/>
      <c r="QJI611"/>
      <c r="QJJ611"/>
      <c r="QJK611"/>
      <c r="QJL611"/>
      <c r="QJM611"/>
      <c r="QJN611"/>
      <c r="QJO611"/>
      <c r="QJP611"/>
      <c r="QJQ611"/>
      <c r="QJR611"/>
      <c r="QJS611"/>
      <c r="QJT611"/>
      <c r="QJU611"/>
      <c r="QJV611"/>
      <c r="QJW611"/>
      <c r="QJX611"/>
      <c r="QJY611"/>
      <c r="QJZ611"/>
      <c r="QKA611"/>
      <c r="QKB611"/>
      <c r="QKC611"/>
      <c r="QKD611"/>
      <c r="QKE611"/>
      <c r="QKF611"/>
      <c r="QKG611"/>
      <c r="QKH611"/>
      <c r="QKI611"/>
      <c r="QKJ611"/>
      <c r="QKK611"/>
      <c r="QKL611"/>
      <c r="QKM611"/>
      <c r="QKN611"/>
      <c r="QKO611"/>
      <c r="QKP611"/>
      <c r="QKQ611"/>
      <c r="QKR611"/>
      <c r="QKS611"/>
      <c r="QKT611"/>
      <c r="QKU611"/>
      <c r="QKV611"/>
      <c r="QKW611"/>
      <c r="QKX611"/>
      <c r="QKY611"/>
      <c r="QKZ611"/>
      <c r="QLA611"/>
      <c r="QLB611"/>
      <c r="QLC611"/>
      <c r="QLD611"/>
      <c r="QLE611"/>
      <c r="QLF611"/>
      <c r="QLG611"/>
      <c r="QLH611"/>
      <c r="QLI611"/>
      <c r="QLJ611"/>
      <c r="QLK611"/>
      <c r="QLL611"/>
      <c r="QLM611"/>
      <c r="QLN611"/>
      <c r="QLO611"/>
      <c r="QLP611"/>
      <c r="QLQ611"/>
      <c r="QLR611"/>
      <c r="QLS611"/>
      <c r="QLT611"/>
      <c r="QLU611"/>
      <c r="QLV611"/>
      <c r="QLW611"/>
      <c r="QLX611"/>
      <c r="QLY611"/>
      <c r="QLZ611"/>
      <c r="QMA611"/>
      <c r="QMB611"/>
      <c r="QMC611"/>
      <c r="QMD611"/>
      <c r="QME611"/>
      <c r="QMF611"/>
      <c r="QMG611"/>
      <c r="QMH611"/>
      <c r="QMI611"/>
      <c r="QMJ611"/>
      <c r="QMK611"/>
      <c r="QML611"/>
      <c r="QMM611"/>
      <c r="QMN611"/>
      <c r="QMO611"/>
      <c r="QMP611"/>
      <c r="QMQ611"/>
      <c r="QMR611"/>
      <c r="QMS611"/>
      <c r="QMT611"/>
      <c r="QMU611"/>
      <c r="QMV611"/>
      <c r="QMW611"/>
      <c r="QMX611"/>
      <c r="QMY611"/>
      <c r="QMZ611"/>
      <c r="QNA611"/>
      <c r="QNB611"/>
      <c r="QNC611"/>
      <c r="QND611"/>
      <c r="QNE611"/>
      <c r="QNF611"/>
      <c r="QNG611"/>
      <c r="QNH611"/>
      <c r="QNI611"/>
      <c r="QNJ611"/>
      <c r="QNK611"/>
      <c r="QNL611"/>
      <c r="QNM611"/>
      <c r="QNN611"/>
      <c r="QNO611"/>
      <c r="QNP611"/>
      <c r="QNQ611"/>
      <c r="QNR611"/>
      <c r="QNS611"/>
      <c r="QNT611"/>
      <c r="QNU611"/>
      <c r="QNV611"/>
      <c r="QNW611"/>
      <c r="QNX611"/>
      <c r="QNY611"/>
      <c r="QNZ611"/>
      <c r="QOA611"/>
      <c r="QOB611"/>
      <c r="QOC611"/>
      <c r="QOD611"/>
      <c r="QOE611"/>
      <c r="QOF611"/>
      <c r="QOG611"/>
      <c r="QOH611"/>
      <c r="QOI611"/>
      <c r="QOJ611"/>
      <c r="QOK611"/>
      <c r="QOL611"/>
      <c r="QOM611"/>
      <c r="QON611"/>
      <c r="QOO611"/>
      <c r="QOP611"/>
      <c r="QOQ611"/>
      <c r="QOR611"/>
      <c r="QOS611"/>
      <c r="QOT611"/>
      <c r="QOU611"/>
      <c r="QOV611"/>
      <c r="QOW611"/>
      <c r="QOX611"/>
      <c r="QOY611"/>
      <c r="QOZ611"/>
      <c r="QPA611"/>
      <c r="QPB611"/>
      <c r="QPC611"/>
      <c r="QPD611"/>
      <c r="QPE611"/>
      <c r="QPF611"/>
      <c r="QPG611"/>
      <c r="QPH611"/>
      <c r="QPI611"/>
      <c r="QPJ611"/>
      <c r="QPK611"/>
      <c r="QPL611"/>
      <c r="QPM611"/>
      <c r="QPN611"/>
      <c r="QPO611"/>
      <c r="QPP611"/>
      <c r="QPQ611"/>
      <c r="QPR611"/>
      <c r="QPS611"/>
      <c r="QPT611"/>
      <c r="QPU611"/>
      <c r="QPV611"/>
      <c r="QPW611"/>
      <c r="QPX611"/>
      <c r="QPY611"/>
      <c r="QPZ611"/>
      <c r="QQA611"/>
      <c r="QQB611"/>
      <c r="QQC611"/>
      <c r="QQD611"/>
      <c r="QQE611"/>
      <c r="QQF611"/>
      <c r="QQG611"/>
      <c r="QQH611"/>
      <c r="QQI611"/>
      <c r="QQJ611"/>
      <c r="QQK611"/>
      <c r="QQL611"/>
      <c r="QQM611"/>
      <c r="QQN611"/>
      <c r="QQO611"/>
      <c r="QQP611"/>
      <c r="QQQ611"/>
      <c r="QQR611"/>
      <c r="QQS611"/>
      <c r="QQT611"/>
      <c r="QQU611"/>
      <c r="QQV611"/>
      <c r="QQW611"/>
      <c r="QQX611"/>
      <c r="QQY611"/>
      <c r="QQZ611"/>
      <c r="QRA611"/>
      <c r="QRB611"/>
      <c r="QRC611"/>
      <c r="QRD611"/>
      <c r="QRE611"/>
      <c r="QRF611"/>
      <c r="QRG611"/>
      <c r="QRH611"/>
      <c r="QRI611"/>
      <c r="QRJ611"/>
      <c r="QRK611"/>
      <c r="QRL611"/>
      <c r="QRM611"/>
      <c r="QRN611"/>
      <c r="QRO611"/>
      <c r="QRP611"/>
      <c r="QRQ611"/>
      <c r="QRR611"/>
      <c r="QRS611"/>
      <c r="QRT611"/>
      <c r="QRU611"/>
      <c r="QRV611"/>
      <c r="QRW611"/>
      <c r="QRX611"/>
      <c r="QRY611"/>
      <c r="QRZ611"/>
      <c r="QSA611"/>
      <c r="QSB611"/>
      <c r="QSC611"/>
      <c r="QSD611"/>
      <c r="QSE611"/>
      <c r="QSF611"/>
      <c r="QSG611"/>
      <c r="QSH611"/>
      <c r="QSI611"/>
      <c r="QSJ611"/>
      <c r="QSK611"/>
      <c r="QSL611"/>
      <c r="QSM611"/>
      <c r="QSN611"/>
      <c r="QSO611"/>
      <c r="QSP611"/>
      <c r="QSQ611"/>
      <c r="QSR611"/>
      <c r="QSS611"/>
      <c r="QST611"/>
      <c r="QSU611"/>
      <c r="QSV611"/>
      <c r="QSW611"/>
      <c r="QSX611"/>
      <c r="QSY611"/>
      <c r="QSZ611"/>
      <c r="QTA611"/>
      <c r="QTB611"/>
      <c r="QTC611"/>
      <c r="QTD611"/>
      <c r="QTE611"/>
      <c r="QTF611"/>
      <c r="QTG611"/>
      <c r="QTH611"/>
      <c r="QTI611"/>
      <c r="QTJ611"/>
      <c r="QTK611"/>
      <c r="QTL611"/>
      <c r="QTM611"/>
      <c r="QTN611"/>
      <c r="QTO611"/>
      <c r="QTP611"/>
      <c r="QTQ611"/>
      <c r="QTR611"/>
      <c r="QTS611"/>
      <c r="QTT611"/>
      <c r="QTU611"/>
      <c r="QTV611"/>
      <c r="QTW611"/>
      <c r="QTX611"/>
      <c r="QTY611"/>
      <c r="QTZ611"/>
      <c r="QUA611"/>
      <c r="QUB611"/>
      <c r="QUC611"/>
      <c r="QUD611"/>
      <c r="QUE611"/>
      <c r="QUF611"/>
      <c r="QUG611"/>
      <c r="QUH611"/>
      <c r="QUI611"/>
      <c r="QUJ611"/>
      <c r="QUK611"/>
      <c r="QUL611"/>
      <c r="QUM611"/>
      <c r="QUN611"/>
      <c r="QUO611"/>
      <c r="QUP611"/>
      <c r="QUQ611"/>
      <c r="QUR611"/>
      <c r="QUS611"/>
      <c r="QUT611"/>
      <c r="QUU611"/>
      <c r="QUV611"/>
      <c r="QUW611"/>
      <c r="QUX611"/>
      <c r="QUY611"/>
      <c r="QUZ611"/>
      <c r="QVA611"/>
      <c r="QVB611"/>
      <c r="QVC611"/>
      <c r="QVD611"/>
      <c r="QVE611"/>
      <c r="QVF611"/>
      <c r="QVG611"/>
      <c r="QVH611"/>
      <c r="QVI611"/>
      <c r="QVJ611"/>
      <c r="QVK611"/>
      <c r="QVL611"/>
      <c r="QVM611"/>
      <c r="QVN611"/>
      <c r="QVO611"/>
      <c r="QVP611"/>
      <c r="QVQ611"/>
      <c r="QVR611"/>
      <c r="QVS611"/>
      <c r="QVT611"/>
      <c r="QVU611"/>
      <c r="QVV611"/>
      <c r="QVW611"/>
      <c r="QVX611"/>
      <c r="QVY611"/>
      <c r="QVZ611"/>
      <c r="QWA611"/>
      <c r="QWB611"/>
      <c r="QWC611"/>
      <c r="QWD611"/>
      <c r="QWE611"/>
      <c r="QWF611"/>
      <c r="QWG611"/>
      <c r="QWH611"/>
      <c r="QWI611"/>
      <c r="QWJ611"/>
      <c r="QWK611"/>
      <c r="QWL611"/>
      <c r="QWM611"/>
      <c r="QWN611"/>
      <c r="QWO611"/>
      <c r="QWP611"/>
      <c r="QWQ611"/>
      <c r="QWR611"/>
      <c r="QWS611"/>
      <c r="QWT611"/>
      <c r="QWU611"/>
      <c r="QWV611"/>
      <c r="QWW611"/>
      <c r="QWX611"/>
      <c r="QWY611"/>
      <c r="QWZ611"/>
      <c r="QXA611"/>
      <c r="QXB611"/>
      <c r="QXC611"/>
      <c r="QXD611"/>
      <c r="QXE611"/>
      <c r="QXF611"/>
      <c r="QXG611"/>
      <c r="QXH611"/>
      <c r="QXI611"/>
      <c r="QXJ611"/>
      <c r="QXK611"/>
      <c r="QXL611"/>
      <c r="QXM611"/>
      <c r="QXN611"/>
      <c r="QXO611"/>
      <c r="QXP611"/>
      <c r="QXQ611"/>
      <c r="QXR611"/>
      <c r="QXS611"/>
      <c r="QXT611"/>
      <c r="QXU611"/>
      <c r="QXV611"/>
      <c r="QXW611"/>
      <c r="QXX611"/>
      <c r="QXY611"/>
      <c r="QXZ611"/>
      <c r="QYA611"/>
      <c r="QYB611"/>
      <c r="QYC611"/>
      <c r="QYD611"/>
      <c r="QYE611"/>
      <c r="QYF611"/>
      <c r="QYG611"/>
      <c r="QYH611"/>
      <c r="QYI611"/>
      <c r="QYJ611"/>
      <c r="QYK611"/>
      <c r="QYL611"/>
      <c r="QYM611"/>
      <c r="QYN611"/>
      <c r="QYO611"/>
      <c r="QYP611"/>
      <c r="QYQ611"/>
      <c r="QYR611"/>
      <c r="QYS611"/>
      <c r="QYT611"/>
      <c r="QYU611"/>
      <c r="QYV611"/>
      <c r="QYW611"/>
      <c r="QYX611"/>
      <c r="QYY611"/>
      <c r="QYZ611"/>
      <c r="QZA611"/>
      <c r="QZB611"/>
      <c r="QZC611"/>
      <c r="QZD611"/>
      <c r="QZE611"/>
      <c r="QZF611"/>
      <c r="QZG611"/>
      <c r="QZH611"/>
      <c r="QZI611"/>
      <c r="QZJ611"/>
      <c r="QZK611"/>
      <c r="QZL611"/>
      <c r="QZM611"/>
      <c r="QZN611"/>
      <c r="QZO611"/>
      <c r="QZP611"/>
      <c r="QZQ611"/>
      <c r="QZR611"/>
      <c r="QZS611"/>
      <c r="QZT611"/>
      <c r="QZU611"/>
      <c r="QZV611"/>
      <c r="QZW611"/>
      <c r="QZX611"/>
      <c r="QZY611"/>
      <c r="QZZ611"/>
      <c r="RAA611"/>
      <c r="RAB611"/>
      <c r="RAC611"/>
      <c r="RAD611"/>
      <c r="RAE611"/>
      <c r="RAF611"/>
      <c r="RAG611"/>
      <c r="RAH611"/>
      <c r="RAI611"/>
      <c r="RAJ611"/>
      <c r="RAK611"/>
      <c r="RAL611"/>
      <c r="RAM611"/>
      <c r="RAN611"/>
      <c r="RAO611"/>
      <c r="RAP611"/>
      <c r="RAQ611"/>
      <c r="RAR611"/>
      <c r="RAS611"/>
      <c r="RAT611"/>
      <c r="RAU611"/>
      <c r="RAV611"/>
      <c r="RAW611"/>
      <c r="RAX611"/>
      <c r="RAY611"/>
      <c r="RAZ611"/>
      <c r="RBA611"/>
      <c r="RBB611"/>
      <c r="RBC611"/>
      <c r="RBD611"/>
      <c r="RBE611"/>
      <c r="RBF611"/>
      <c r="RBG611"/>
      <c r="RBH611"/>
      <c r="RBI611"/>
      <c r="RBJ611"/>
      <c r="RBK611"/>
      <c r="RBL611"/>
      <c r="RBM611"/>
      <c r="RBN611"/>
      <c r="RBO611"/>
      <c r="RBP611"/>
      <c r="RBQ611"/>
      <c r="RBR611"/>
      <c r="RBS611"/>
      <c r="RBT611"/>
      <c r="RBU611"/>
      <c r="RBV611"/>
      <c r="RBW611"/>
      <c r="RBX611"/>
      <c r="RBY611"/>
      <c r="RBZ611"/>
      <c r="RCA611"/>
      <c r="RCB611"/>
      <c r="RCC611"/>
      <c r="RCD611"/>
      <c r="RCE611"/>
      <c r="RCF611"/>
      <c r="RCG611"/>
      <c r="RCH611"/>
      <c r="RCI611"/>
      <c r="RCJ611"/>
      <c r="RCK611"/>
      <c r="RCL611"/>
      <c r="RCM611"/>
      <c r="RCN611"/>
      <c r="RCO611"/>
      <c r="RCP611"/>
      <c r="RCQ611"/>
      <c r="RCR611"/>
      <c r="RCS611"/>
      <c r="RCT611"/>
      <c r="RCU611"/>
      <c r="RCV611"/>
      <c r="RCW611"/>
      <c r="RCX611"/>
      <c r="RCY611"/>
      <c r="RCZ611"/>
      <c r="RDA611"/>
      <c r="RDB611"/>
      <c r="RDC611"/>
      <c r="RDD611"/>
      <c r="RDE611"/>
      <c r="RDF611"/>
      <c r="RDG611"/>
      <c r="RDH611"/>
      <c r="RDI611"/>
      <c r="RDJ611"/>
      <c r="RDK611"/>
      <c r="RDL611"/>
      <c r="RDM611"/>
      <c r="RDN611"/>
      <c r="RDO611"/>
      <c r="RDP611"/>
      <c r="RDQ611"/>
      <c r="RDR611"/>
      <c r="RDS611"/>
      <c r="RDT611"/>
      <c r="RDU611"/>
      <c r="RDV611"/>
      <c r="RDW611"/>
      <c r="RDX611"/>
      <c r="RDY611"/>
      <c r="RDZ611"/>
      <c r="REA611"/>
      <c r="REB611"/>
      <c r="REC611"/>
      <c r="RED611"/>
      <c r="REE611"/>
      <c r="REF611"/>
      <c r="REG611"/>
      <c r="REH611"/>
      <c r="REI611"/>
      <c r="REJ611"/>
      <c r="REK611"/>
      <c r="REL611"/>
      <c r="REM611"/>
      <c r="REN611"/>
      <c r="REO611"/>
      <c r="REP611"/>
      <c r="REQ611"/>
      <c r="RER611"/>
      <c r="RES611"/>
      <c r="RET611"/>
      <c r="REU611"/>
      <c r="REV611"/>
      <c r="REW611"/>
      <c r="REX611"/>
      <c r="REY611"/>
      <c r="REZ611"/>
      <c r="RFA611"/>
      <c r="RFB611"/>
      <c r="RFC611"/>
      <c r="RFD611"/>
      <c r="RFE611"/>
      <c r="RFF611"/>
      <c r="RFG611"/>
      <c r="RFH611"/>
      <c r="RFI611"/>
      <c r="RFJ611"/>
      <c r="RFK611"/>
      <c r="RFL611"/>
      <c r="RFM611"/>
      <c r="RFN611"/>
      <c r="RFO611"/>
      <c r="RFP611"/>
      <c r="RFQ611"/>
      <c r="RFR611"/>
      <c r="RFS611"/>
      <c r="RFT611"/>
      <c r="RFU611"/>
      <c r="RFV611"/>
      <c r="RFW611"/>
      <c r="RFX611"/>
      <c r="RFY611"/>
      <c r="RFZ611"/>
      <c r="RGA611"/>
      <c r="RGB611"/>
      <c r="RGC611"/>
      <c r="RGD611"/>
      <c r="RGE611"/>
      <c r="RGF611"/>
      <c r="RGG611"/>
      <c r="RGH611"/>
      <c r="RGI611"/>
      <c r="RGJ611"/>
      <c r="RGK611"/>
      <c r="RGL611"/>
      <c r="RGM611"/>
      <c r="RGN611"/>
      <c r="RGO611"/>
      <c r="RGP611"/>
      <c r="RGQ611"/>
      <c r="RGR611"/>
      <c r="RGS611"/>
      <c r="RGT611"/>
      <c r="RGU611"/>
      <c r="RGV611"/>
      <c r="RGW611"/>
      <c r="RGX611"/>
      <c r="RGY611"/>
      <c r="RGZ611"/>
      <c r="RHA611"/>
      <c r="RHB611"/>
      <c r="RHC611"/>
      <c r="RHD611"/>
      <c r="RHE611"/>
      <c r="RHF611"/>
      <c r="RHG611"/>
      <c r="RHH611"/>
      <c r="RHI611"/>
      <c r="RHJ611"/>
      <c r="RHK611"/>
      <c r="RHL611"/>
      <c r="RHM611"/>
      <c r="RHN611"/>
      <c r="RHO611"/>
      <c r="RHP611"/>
      <c r="RHQ611"/>
      <c r="RHR611"/>
      <c r="RHS611"/>
      <c r="RHT611"/>
      <c r="RHU611"/>
      <c r="RHV611"/>
      <c r="RHW611"/>
      <c r="RHX611"/>
      <c r="RHY611"/>
      <c r="RHZ611"/>
      <c r="RIA611"/>
      <c r="RIB611"/>
      <c r="RIC611"/>
      <c r="RID611"/>
      <c r="RIE611"/>
      <c r="RIF611"/>
      <c r="RIG611"/>
      <c r="RIH611"/>
      <c r="RII611"/>
      <c r="RIJ611"/>
      <c r="RIK611"/>
      <c r="RIL611"/>
      <c r="RIM611"/>
      <c r="RIN611"/>
      <c r="RIO611"/>
      <c r="RIP611"/>
      <c r="RIQ611"/>
      <c r="RIR611"/>
      <c r="RIS611"/>
      <c r="RIT611"/>
      <c r="RIU611"/>
      <c r="RIV611"/>
      <c r="RIW611"/>
      <c r="RIX611"/>
      <c r="RIY611"/>
      <c r="RIZ611"/>
      <c r="RJA611"/>
      <c r="RJB611"/>
      <c r="RJC611"/>
      <c r="RJD611"/>
      <c r="RJE611"/>
      <c r="RJF611"/>
      <c r="RJG611"/>
      <c r="RJH611"/>
      <c r="RJI611"/>
      <c r="RJJ611"/>
      <c r="RJK611"/>
      <c r="RJL611"/>
      <c r="RJM611"/>
      <c r="RJN611"/>
      <c r="RJO611"/>
      <c r="RJP611"/>
      <c r="RJQ611"/>
      <c r="RJR611"/>
      <c r="RJS611"/>
      <c r="RJT611"/>
      <c r="RJU611"/>
      <c r="RJV611"/>
      <c r="RJW611"/>
      <c r="RJX611"/>
      <c r="RJY611"/>
      <c r="RJZ611"/>
      <c r="RKA611"/>
      <c r="RKB611"/>
      <c r="RKC611"/>
      <c r="RKD611"/>
      <c r="RKE611"/>
      <c r="RKF611"/>
      <c r="RKG611"/>
      <c r="RKH611"/>
      <c r="RKI611"/>
      <c r="RKJ611"/>
      <c r="RKK611"/>
      <c r="RKL611"/>
      <c r="RKM611"/>
      <c r="RKN611"/>
      <c r="RKO611"/>
      <c r="RKP611"/>
      <c r="RKQ611"/>
      <c r="RKR611"/>
      <c r="RKS611"/>
      <c r="RKT611"/>
      <c r="RKU611"/>
      <c r="RKV611"/>
      <c r="RKW611"/>
      <c r="RKX611"/>
      <c r="RKY611"/>
      <c r="RKZ611"/>
      <c r="RLA611"/>
      <c r="RLB611"/>
      <c r="RLC611"/>
      <c r="RLD611"/>
      <c r="RLE611"/>
      <c r="RLF611"/>
      <c r="RLG611"/>
      <c r="RLH611"/>
      <c r="RLI611"/>
      <c r="RLJ611"/>
      <c r="RLK611"/>
      <c r="RLL611"/>
      <c r="RLM611"/>
      <c r="RLN611"/>
      <c r="RLO611"/>
      <c r="RLP611"/>
      <c r="RLQ611"/>
      <c r="RLR611"/>
      <c r="RLS611"/>
      <c r="RLT611"/>
      <c r="RLU611"/>
      <c r="RLV611"/>
      <c r="RLW611"/>
      <c r="RLX611"/>
      <c r="RLY611"/>
      <c r="RLZ611"/>
      <c r="RMA611"/>
      <c r="RMB611"/>
      <c r="RMC611"/>
      <c r="RMD611"/>
      <c r="RME611"/>
      <c r="RMF611"/>
      <c r="RMG611"/>
      <c r="RMH611"/>
      <c r="RMI611"/>
      <c r="RMJ611"/>
      <c r="RMK611"/>
      <c r="RML611"/>
      <c r="RMM611"/>
      <c r="RMN611"/>
      <c r="RMO611"/>
      <c r="RMP611"/>
      <c r="RMQ611"/>
      <c r="RMR611"/>
      <c r="RMS611"/>
      <c r="RMT611"/>
      <c r="RMU611"/>
      <c r="RMV611"/>
      <c r="RMW611"/>
      <c r="RMX611"/>
      <c r="RMY611"/>
      <c r="RMZ611"/>
      <c r="RNA611"/>
      <c r="RNB611"/>
      <c r="RNC611"/>
      <c r="RND611"/>
      <c r="RNE611"/>
      <c r="RNF611"/>
      <c r="RNG611"/>
      <c r="RNH611"/>
      <c r="RNI611"/>
      <c r="RNJ611"/>
      <c r="RNK611"/>
      <c r="RNL611"/>
      <c r="RNM611"/>
      <c r="RNN611"/>
      <c r="RNO611"/>
      <c r="RNP611"/>
      <c r="RNQ611"/>
      <c r="RNR611"/>
      <c r="RNS611"/>
      <c r="RNT611"/>
      <c r="RNU611"/>
      <c r="RNV611"/>
      <c r="RNW611"/>
      <c r="RNX611"/>
      <c r="RNY611"/>
      <c r="RNZ611"/>
      <c r="ROA611"/>
      <c r="ROB611"/>
      <c r="ROC611"/>
      <c r="ROD611"/>
      <c r="ROE611"/>
      <c r="ROF611"/>
      <c r="ROG611"/>
      <c r="ROH611"/>
      <c r="ROI611"/>
      <c r="ROJ611"/>
      <c r="ROK611"/>
      <c r="ROL611"/>
      <c r="ROM611"/>
      <c r="RON611"/>
      <c r="ROO611"/>
      <c r="ROP611"/>
      <c r="ROQ611"/>
      <c r="ROR611"/>
      <c r="ROS611"/>
      <c r="ROT611"/>
      <c r="ROU611"/>
      <c r="ROV611"/>
      <c r="ROW611"/>
      <c r="ROX611"/>
      <c r="ROY611"/>
      <c r="ROZ611"/>
      <c r="RPA611"/>
      <c r="RPB611"/>
      <c r="RPC611"/>
      <c r="RPD611"/>
      <c r="RPE611"/>
      <c r="RPF611"/>
      <c r="RPG611"/>
      <c r="RPH611"/>
      <c r="RPI611"/>
      <c r="RPJ611"/>
      <c r="RPK611"/>
      <c r="RPL611"/>
      <c r="RPM611"/>
      <c r="RPN611"/>
      <c r="RPO611"/>
      <c r="RPP611"/>
      <c r="RPQ611"/>
      <c r="RPR611"/>
      <c r="RPS611"/>
      <c r="RPT611"/>
      <c r="RPU611"/>
      <c r="RPV611"/>
      <c r="RPW611"/>
      <c r="RPX611"/>
      <c r="RPY611"/>
      <c r="RPZ611"/>
      <c r="RQA611"/>
      <c r="RQB611"/>
      <c r="RQC611"/>
      <c r="RQD611"/>
      <c r="RQE611"/>
      <c r="RQF611"/>
      <c r="RQG611"/>
      <c r="RQH611"/>
      <c r="RQI611"/>
      <c r="RQJ611"/>
      <c r="RQK611"/>
      <c r="RQL611"/>
      <c r="RQM611"/>
      <c r="RQN611"/>
      <c r="RQO611"/>
      <c r="RQP611"/>
      <c r="RQQ611"/>
      <c r="RQR611"/>
      <c r="RQS611"/>
      <c r="RQT611"/>
      <c r="RQU611"/>
      <c r="RQV611"/>
      <c r="RQW611"/>
      <c r="RQX611"/>
      <c r="RQY611"/>
      <c r="RQZ611"/>
      <c r="RRA611"/>
      <c r="RRB611"/>
      <c r="RRC611"/>
      <c r="RRD611"/>
      <c r="RRE611"/>
      <c r="RRF611"/>
      <c r="RRG611"/>
      <c r="RRH611"/>
      <c r="RRI611"/>
      <c r="RRJ611"/>
      <c r="RRK611"/>
      <c r="RRL611"/>
      <c r="RRM611"/>
      <c r="RRN611"/>
      <c r="RRO611"/>
      <c r="RRP611"/>
      <c r="RRQ611"/>
      <c r="RRR611"/>
      <c r="RRS611"/>
      <c r="RRT611"/>
      <c r="RRU611"/>
      <c r="RRV611"/>
      <c r="RRW611"/>
      <c r="RRX611"/>
      <c r="RRY611"/>
      <c r="RRZ611"/>
      <c r="RSA611"/>
      <c r="RSB611"/>
      <c r="RSC611"/>
      <c r="RSD611"/>
      <c r="RSE611"/>
      <c r="RSF611"/>
      <c r="RSG611"/>
      <c r="RSH611"/>
      <c r="RSI611"/>
      <c r="RSJ611"/>
      <c r="RSK611"/>
      <c r="RSL611"/>
      <c r="RSM611"/>
      <c r="RSN611"/>
      <c r="RSO611"/>
      <c r="RSP611"/>
      <c r="RSQ611"/>
      <c r="RSR611"/>
      <c r="RSS611"/>
      <c r="RST611"/>
      <c r="RSU611"/>
      <c r="RSV611"/>
      <c r="RSW611"/>
      <c r="RSX611"/>
      <c r="RSY611"/>
      <c r="RSZ611"/>
      <c r="RTA611"/>
      <c r="RTB611"/>
      <c r="RTC611"/>
      <c r="RTD611"/>
      <c r="RTE611"/>
      <c r="RTF611"/>
      <c r="RTG611"/>
      <c r="RTH611"/>
      <c r="RTI611"/>
      <c r="RTJ611"/>
      <c r="RTK611"/>
      <c r="RTL611"/>
      <c r="RTM611"/>
      <c r="RTN611"/>
      <c r="RTO611"/>
      <c r="RTP611"/>
      <c r="RTQ611"/>
      <c r="RTR611"/>
      <c r="RTS611"/>
      <c r="RTT611"/>
      <c r="RTU611"/>
      <c r="RTV611"/>
      <c r="RTW611"/>
      <c r="RTX611"/>
      <c r="RTY611"/>
      <c r="RTZ611"/>
      <c r="RUA611"/>
      <c r="RUB611"/>
      <c r="RUC611"/>
      <c r="RUD611"/>
      <c r="RUE611"/>
      <c r="RUF611"/>
      <c r="RUG611"/>
      <c r="RUH611"/>
      <c r="RUI611"/>
      <c r="RUJ611"/>
      <c r="RUK611"/>
      <c r="RUL611"/>
      <c r="RUM611"/>
      <c r="RUN611"/>
      <c r="RUO611"/>
      <c r="RUP611"/>
      <c r="RUQ611"/>
      <c r="RUR611"/>
      <c r="RUS611"/>
      <c r="RUT611"/>
      <c r="RUU611"/>
      <c r="RUV611"/>
      <c r="RUW611"/>
      <c r="RUX611"/>
      <c r="RUY611"/>
      <c r="RUZ611"/>
      <c r="RVA611"/>
      <c r="RVB611"/>
      <c r="RVC611"/>
      <c r="RVD611"/>
      <c r="RVE611"/>
      <c r="RVF611"/>
      <c r="RVG611"/>
      <c r="RVH611"/>
      <c r="RVI611"/>
      <c r="RVJ611"/>
      <c r="RVK611"/>
      <c r="RVL611"/>
      <c r="RVM611"/>
      <c r="RVN611"/>
      <c r="RVO611"/>
      <c r="RVP611"/>
      <c r="RVQ611"/>
      <c r="RVR611"/>
      <c r="RVS611"/>
      <c r="RVT611"/>
      <c r="RVU611"/>
      <c r="RVV611"/>
      <c r="RVW611"/>
      <c r="RVX611"/>
      <c r="RVY611"/>
      <c r="RVZ611"/>
      <c r="RWA611"/>
      <c r="RWB611"/>
      <c r="RWC611"/>
      <c r="RWD611"/>
      <c r="RWE611"/>
      <c r="RWF611"/>
      <c r="RWG611"/>
      <c r="RWH611"/>
      <c r="RWI611"/>
      <c r="RWJ611"/>
      <c r="RWK611"/>
      <c r="RWL611"/>
      <c r="RWM611"/>
      <c r="RWN611"/>
      <c r="RWO611"/>
      <c r="RWP611"/>
      <c r="RWQ611"/>
      <c r="RWR611"/>
      <c r="RWS611"/>
      <c r="RWT611"/>
      <c r="RWU611"/>
      <c r="RWV611"/>
      <c r="RWW611"/>
      <c r="RWX611"/>
      <c r="RWY611"/>
      <c r="RWZ611"/>
      <c r="RXA611"/>
      <c r="RXB611"/>
      <c r="RXC611"/>
      <c r="RXD611"/>
      <c r="RXE611"/>
      <c r="RXF611"/>
      <c r="RXG611"/>
      <c r="RXH611"/>
      <c r="RXI611"/>
      <c r="RXJ611"/>
      <c r="RXK611"/>
      <c r="RXL611"/>
      <c r="RXM611"/>
      <c r="RXN611"/>
      <c r="RXO611"/>
      <c r="RXP611"/>
      <c r="RXQ611"/>
      <c r="RXR611"/>
      <c r="RXS611"/>
      <c r="RXT611"/>
      <c r="RXU611"/>
      <c r="RXV611"/>
      <c r="RXW611"/>
      <c r="RXX611"/>
      <c r="RXY611"/>
      <c r="RXZ611"/>
      <c r="RYA611"/>
      <c r="RYB611"/>
      <c r="RYC611"/>
      <c r="RYD611"/>
      <c r="RYE611"/>
      <c r="RYF611"/>
      <c r="RYG611"/>
      <c r="RYH611"/>
      <c r="RYI611"/>
      <c r="RYJ611"/>
      <c r="RYK611"/>
      <c r="RYL611"/>
      <c r="RYM611"/>
      <c r="RYN611"/>
      <c r="RYO611"/>
      <c r="RYP611"/>
      <c r="RYQ611"/>
      <c r="RYR611"/>
      <c r="RYS611"/>
      <c r="RYT611"/>
      <c r="RYU611"/>
      <c r="RYV611"/>
      <c r="RYW611"/>
      <c r="RYX611"/>
      <c r="RYY611"/>
      <c r="RYZ611"/>
      <c r="RZA611"/>
      <c r="RZB611"/>
      <c r="RZC611"/>
      <c r="RZD611"/>
      <c r="RZE611"/>
      <c r="RZF611"/>
      <c r="RZG611"/>
      <c r="RZH611"/>
      <c r="RZI611"/>
      <c r="RZJ611"/>
      <c r="RZK611"/>
      <c r="RZL611"/>
      <c r="RZM611"/>
      <c r="RZN611"/>
      <c r="RZO611"/>
      <c r="RZP611"/>
      <c r="RZQ611"/>
      <c r="RZR611"/>
      <c r="RZS611"/>
      <c r="RZT611"/>
      <c r="RZU611"/>
      <c r="RZV611"/>
      <c r="RZW611"/>
      <c r="RZX611"/>
      <c r="RZY611"/>
      <c r="RZZ611"/>
      <c r="SAA611"/>
      <c r="SAB611"/>
      <c r="SAC611"/>
      <c r="SAD611"/>
      <c r="SAE611"/>
      <c r="SAF611"/>
      <c r="SAG611"/>
      <c r="SAH611"/>
      <c r="SAI611"/>
      <c r="SAJ611"/>
      <c r="SAK611"/>
      <c r="SAL611"/>
      <c r="SAM611"/>
      <c r="SAN611"/>
      <c r="SAO611"/>
      <c r="SAP611"/>
      <c r="SAQ611"/>
      <c r="SAR611"/>
      <c r="SAS611"/>
      <c r="SAT611"/>
      <c r="SAU611"/>
      <c r="SAV611"/>
      <c r="SAW611"/>
      <c r="SAX611"/>
      <c r="SAY611"/>
      <c r="SAZ611"/>
      <c r="SBA611"/>
      <c r="SBB611"/>
      <c r="SBC611"/>
      <c r="SBD611"/>
      <c r="SBE611"/>
      <c r="SBF611"/>
      <c r="SBG611"/>
      <c r="SBH611"/>
      <c r="SBI611"/>
      <c r="SBJ611"/>
      <c r="SBK611"/>
      <c r="SBL611"/>
      <c r="SBM611"/>
      <c r="SBN611"/>
      <c r="SBO611"/>
      <c r="SBP611"/>
      <c r="SBQ611"/>
      <c r="SBR611"/>
      <c r="SBS611"/>
      <c r="SBT611"/>
      <c r="SBU611"/>
      <c r="SBV611"/>
      <c r="SBW611"/>
      <c r="SBX611"/>
      <c r="SBY611"/>
      <c r="SBZ611"/>
      <c r="SCA611"/>
      <c r="SCB611"/>
      <c r="SCC611"/>
      <c r="SCD611"/>
      <c r="SCE611"/>
      <c r="SCF611"/>
      <c r="SCG611"/>
      <c r="SCH611"/>
      <c r="SCI611"/>
      <c r="SCJ611"/>
      <c r="SCK611"/>
      <c r="SCL611"/>
      <c r="SCM611"/>
      <c r="SCN611"/>
      <c r="SCO611"/>
      <c r="SCP611"/>
      <c r="SCQ611"/>
      <c r="SCR611"/>
      <c r="SCS611"/>
      <c r="SCT611"/>
      <c r="SCU611"/>
      <c r="SCV611"/>
      <c r="SCW611"/>
      <c r="SCX611"/>
      <c r="SCY611"/>
      <c r="SCZ611"/>
      <c r="SDA611"/>
      <c r="SDB611"/>
      <c r="SDC611"/>
      <c r="SDD611"/>
      <c r="SDE611"/>
      <c r="SDF611"/>
      <c r="SDG611"/>
      <c r="SDH611"/>
      <c r="SDI611"/>
      <c r="SDJ611"/>
      <c r="SDK611"/>
      <c r="SDL611"/>
      <c r="SDM611"/>
      <c r="SDN611"/>
      <c r="SDO611"/>
      <c r="SDP611"/>
      <c r="SDQ611"/>
      <c r="SDR611"/>
      <c r="SDS611"/>
      <c r="SDT611"/>
      <c r="SDU611"/>
      <c r="SDV611"/>
      <c r="SDW611"/>
      <c r="SDX611"/>
      <c r="SDY611"/>
      <c r="SDZ611"/>
      <c r="SEA611"/>
      <c r="SEB611"/>
      <c r="SEC611"/>
      <c r="SED611"/>
      <c r="SEE611"/>
      <c r="SEF611"/>
      <c r="SEG611"/>
      <c r="SEH611"/>
      <c r="SEI611"/>
      <c r="SEJ611"/>
      <c r="SEK611"/>
      <c r="SEL611"/>
      <c r="SEM611"/>
      <c r="SEN611"/>
      <c r="SEO611"/>
      <c r="SEP611"/>
      <c r="SEQ611"/>
      <c r="SER611"/>
      <c r="SES611"/>
      <c r="SET611"/>
      <c r="SEU611"/>
      <c r="SEV611"/>
      <c r="SEW611"/>
      <c r="SEX611"/>
      <c r="SEY611"/>
      <c r="SEZ611"/>
      <c r="SFA611"/>
      <c r="SFB611"/>
      <c r="SFC611"/>
      <c r="SFD611"/>
      <c r="SFE611"/>
      <c r="SFF611"/>
      <c r="SFG611"/>
      <c r="SFH611"/>
      <c r="SFI611"/>
      <c r="SFJ611"/>
      <c r="SFK611"/>
      <c r="SFL611"/>
      <c r="SFM611"/>
      <c r="SFN611"/>
      <c r="SFO611"/>
      <c r="SFP611"/>
      <c r="SFQ611"/>
      <c r="SFR611"/>
      <c r="SFS611"/>
      <c r="SFT611"/>
      <c r="SFU611"/>
      <c r="SFV611"/>
      <c r="SFW611"/>
      <c r="SFX611"/>
      <c r="SFY611"/>
      <c r="SFZ611"/>
      <c r="SGA611"/>
      <c r="SGB611"/>
      <c r="SGC611"/>
      <c r="SGD611"/>
      <c r="SGE611"/>
      <c r="SGF611"/>
      <c r="SGG611"/>
      <c r="SGH611"/>
      <c r="SGI611"/>
      <c r="SGJ611"/>
      <c r="SGK611"/>
      <c r="SGL611"/>
      <c r="SGM611"/>
      <c r="SGN611"/>
      <c r="SGO611"/>
      <c r="SGP611"/>
      <c r="SGQ611"/>
      <c r="SGR611"/>
      <c r="SGS611"/>
      <c r="SGT611"/>
      <c r="SGU611"/>
      <c r="SGV611"/>
      <c r="SGW611"/>
      <c r="SGX611"/>
      <c r="SGY611"/>
      <c r="SGZ611"/>
      <c r="SHA611"/>
      <c r="SHB611"/>
      <c r="SHC611"/>
      <c r="SHD611"/>
      <c r="SHE611"/>
      <c r="SHF611"/>
      <c r="SHG611"/>
      <c r="SHH611"/>
      <c r="SHI611"/>
      <c r="SHJ611"/>
      <c r="SHK611"/>
      <c r="SHL611"/>
      <c r="SHM611"/>
      <c r="SHN611"/>
      <c r="SHO611"/>
      <c r="SHP611"/>
      <c r="SHQ611"/>
      <c r="SHR611"/>
      <c r="SHS611"/>
      <c r="SHT611"/>
      <c r="SHU611"/>
      <c r="SHV611"/>
      <c r="SHW611"/>
      <c r="SHX611"/>
      <c r="SHY611"/>
      <c r="SHZ611"/>
      <c r="SIA611"/>
      <c r="SIB611"/>
      <c r="SIC611"/>
      <c r="SID611"/>
      <c r="SIE611"/>
      <c r="SIF611"/>
      <c r="SIG611"/>
      <c r="SIH611"/>
      <c r="SII611"/>
      <c r="SIJ611"/>
      <c r="SIK611"/>
      <c r="SIL611"/>
      <c r="SIM611"/>
      <c r="SIN611"/>
      <c r="SIO611"/>
      <c r="SIP611"/>
      <c r="SIQ611"/>
      <c r="SIR611"/>
      <c r="SIS611"/>
      <c r="SIT611"/>
      <c r="SIU611"/>
      <c r="SIV611"/>
      <c r="SIW611"/>
      <c r="SIX611"/>
      <c r="SIY611"/>
      <c r="SIZ611"/>
      <c r="SJA611"/>
      <c r="SJB611"/>
      <c r="SJC611"/>
      <c r="SJD611"/>
      <c r="SJE611"/>
      <c r="SJF611"/>
      <c r="SJG611"/>
      <c r="SJH611"/>
      <c r="SJI611"/>
      <c r="SJJ611"/>
      <c r="SJK611"/>
      <c r="SJL611"/>
      <c r="SJM611"/>
      <c r="SJN611"/>
      <c r="SJO611"/>
      <c r="SJP611"/>
      <c r="SJQ611"/>
      <c r="SJR611"/>
      <c r="SJS611"/>
      <c r="SJT611"/>
      <c r="SJU611"/>
      <c r="SJV611"/>
      <c r="SJW611"/>
      <c r="SJX611"/>
      <c r="SJY611"/>
      <c r="SJZ611"/>
      <c r="SKA611"/>
      <c r="SKB611"/>
      <c r="SKC611"/>
      <c r="SKD611"/>
      <c r="SKE611"/>
      <c r="SKF611"/>
      <c r="SKG611"/>
      <c r="SKH611"/>
      <c r="SKI611"/>
      <c r="SKJ611"/>
      <c r="SKK611"/>
      <c r="SKL611"/>
      <c r="SKM611"/>
      <c r="SKN611"/>
      <c r="SKO611"/>
      <c r="SKP611"/>
      <c r="SKQ611"/>
      <c r="SKR611"/>
      <c r="SKS611"/>
      <c r="SKT611"/>
      <c r="SKU611"/>
      <c r="SKV611"/>
      <c r="SKW611"/>
      <c r="SKX611"/>
      <c r="SKY611"/>
      <c r="SKZ611"/>
      <c r="SLA611"/>
      <c r="SLB611"/>
      <c r="SLC611"/>
      <c r="SLD611"/>
      <c r="SLE611"/>
      <c r="SLF611"/>
      <c r="SLG611"/>
      <c r="SLH611"/>
      <c r="SLI611"/>
      <c r="SLJ611"/>
      <c r="SLK611"/>
      <c r="SLL611"/>
      <c r="SLM611"/>
      <c r="SLN611"/>
      <c r="SLO611"/>
      <c r="SLP611"/>
      <c r="SLQ611"/>
      <c r="SLR611"/>
      <c r="SLS611"/>
      <c r="SLT611"/>
      <c r="SLU611"/>
      <c r="SLV611"/>
      <c r="SLW611"/>
      <c r="SLX611"/>
      <c r="SLY611"/>
      <c r="SLZ611"/>
      <c r="SMA611"/>
      <c r="SMB611"/>
      <c r="SMC611"/>
      <c r="SMD611"/>
      <c r="SME611"/>
      <c r="SMF611"/>
      <c r="SMG611"/>
      <c r="SMH611"/>
      <c r="SMI611"/>
      <c r="SMJ611"/>
      <c r="SMK611"/>
      <c r="SML611"/>
      <c r="SMM611"/>
      <c r="SMN611"/>
      <c r="SMO611"/>
      <c r="SMP611"/>
      <c r="SMQ611"/>
      <c r="SMR611"/>
      <c r="SMS611"/>
      <c r="SMT611"/>
      <c r="SMU611"/>
      <c r="SMV611"/>
      <c r="SMW611"/>
      <c r="SMX611"/>
      <c r="SMY611"/>
      <c r="SMZ611"/>
      <c r="SNA611"/>
      <c r="SNB611"/>
      <c r="SNC611"/>
      <c r="SND611"/>
      <c r="SNE611"/>
      <c r="SNF611"/>
      <c r="SNG611"/>
      <c r="SNH611"/>
      <c r="SNI611"/>
      <c r="SNJ611"/>
      <c r="SNK611"/>
      <c r="SNL611"/>
      <c r="SNM611"/>
      <c r="SNN611"/>
      <c r="SNO611"/>
      <c r="SNP611"/>
      <c r="SNQ611"/>
      <c r="SNR611"/>
      <c r="SNS611"/>
      <c r="SNT611"/>
      <c r="SNU611"/>
      <c r="SNV611"/>
      <c r="SNW611"/>
      <c r="SNX611"/>
      <c r="SNY611"/>
      <c r="SNZ611"/>
      <c r="SOA611"/>
      <c r="SOB611"/>
      <c r="SOC611"/>
      <c r="SOD611"/>
      <c r="SOE611"/>
      <c r="SOF611"/>
      <c r="SOG611"/>
      <c r="SOH611"/>
      <c r="SOI611"/>
      <c r="SOJ611"/>
      <c r="SOK611"/>
      <c r="SOL611"/>
      <c r="SOM611"/>
      <c r="SON611"/>
      <c r="SOO611"/>
      <c r="SOP611"/>
      <c r="SOQ611"/>
      <c r="SOR611"/>
      <c r="SOS611"/>
      <c r="SOT611"/>
      <c r="SOU611"/>
      <c r="SOV611"/>
      <c r="SOW611"/>
      <c r="SOX611"/>
      <c r="SOY611"/>
      <c r="SOZ611"/>
      <c r="SPA611"/>
      <c r="SPB611"/>
      <c r="SPC611"/>
      <c r="SPD611"/>
      <c r="SPE611"/>
      <c r="SPF611"/>
      <c r="SPG611"/>
      <c r="SPH611"/>
      <c r="SPI611"/>
      <c r="SPJ611"/>
      <c r="SPK611"/>
      <c r="SPL611"/>
      <c r="SPM611"/>
      <c r="SPN611"/>
      <c r="SPO611"/>
      <c r="SPP611"/>
      <c r="SPQ611"/>
      <c r="SPR611"/>
      <c r="SPS611"/>
      <c r="SPT611"/>
      <c r="SPU611"/>
      <c r="SPV611"/>
      <c r="SPW611"/>
      <c r="SPX611"/>
      <c r="SPY611"/>
      <c r="SPZ611"/>
      <c r="SQA611"/>
      <c r="SQB611"/>
      <c r="SQC611"/>
      <c r="SQD611"/>
      <c r="SQE611"/>
      <c r="SQF611"/>
      <c r="SQG611"/>
      <c r="SQH611"/>
      <c r="SQI611"/>
      <c r="SQJ611"/>
      <c r="SQK611"/>
      <c r="SQL611"/>
      <c r="SQM611"/>
      <c r="SQN611"/>
      <c r="SQO611"/>
      <c r="SQP611"/>
      <c r="SQQ611"/>
      <c r="SQR611"/>
      <c r="SQS611"/>
      <c r="SQT611"/>
      <c r="SQU611"/>
      <c r="SQV611"/>
      <c r="SQW611"/>
      <c r="SQX611"/>
      <c r="SQY611"/>
      <c r="SQZ611"/>
      <c r="SRA611"/>
      <c r="SRB611"/>
      <c r="SRC611"/>
      <c r="SRD611"/>
      <c r="SRE611"/>
      <c r="SRF611"/>
      <c r="SRG611"/>
      <c r="SRH611"/>
      <c r="SRI611"/>
      <c r="SRJ611"/>
      <c r="SRK611"/>
      <c r="SRL611"/>
      <c r="SRM611"/>
      <c r="SRN611"/>
      <c r="SRO611"/>
      <c r="SRP611"/>
      <c r="SRQ611"/>
      <c r="SRR611"/>
      <c r="SRS611"/>
      <c r="SRT611"/>
      <c r="SRU611"/>
      <c r="SRV611"/>
      <c r="SRW611"/>
      <c r="SRX611"/>
      <c r="SRY611"/>
      <c r="SRZ611"/>
      <c r="SSA611"/>
      <c r="SSB611"/>
      <c r="SSC611"/>
      <c r="SSD611"/>
      <c r="SSE611"/>
      <c r="SSF611"/>
      <c r="SSG611"/>
      <c r="SSH611"/>
      <c r="SSI611"/>
      <c r="SSJ611"/>
      <c r="SSK611"/>
      <c r="SSL611"/>
      <c r="SSM611"/>
      <c r="SSN611"/>
      <c r="SSO611"/>
      <c r="SSP611"/>
      <c r="SSQ611"/>
      <c r="SSR611"/>
      <c r="SSS611"/>
      <c r="SST611"/>
      <c r="SSU611"/>
      <c r="SSV611"/>
      <c r="SSW611"/>
      <c r="SSX611"/>
      <c r="SSY611"/>
      <c r="SSZ611"/>
      <c r="STA611"/>
      <c r="STB611"/>
      <c r="STC611"/>
      <c r="STD611"/>
      <c r="STE611"/>
      <c r="STF611"/>
      <c r="STG611"/>
      <c r="STH611"/>
      <c r="STI611"/>
      <c r="STJ611"/>
      <c r="STK611"/>
      <c r="STL611"/>
      <c r="STM611"/>
      <c r="STN611"/>
      <c r="STO611"/>
      <c r="STP611"/>
      <c r="STQ611"/>
      <c r="STR611"/>
      <c r="STS611"/>
      <c r="STT611"/>
      <c r="STU611"/>
      <c r="STV611"/>
      <c r="STW611"/>
      <c r="STX611"/>
      <c r="STY611"/>
      <c r="STZ611"/>
      <c r="SUA611"/>
      <c r="SUB611"/>
      <c r="SUC611"/>
      <c r="SUD611"/>
      <c r="SUE611"/>
      <c r="SUF611"/>
      <c r="SUG611"/>
      <c r="SUH611"/>
      <c r="SUI611"/>
      <c r="SUJ611"/>
      <c r="SUK611"/>
      <c r="SUL611"/>
      <c r="SUM611"/>
      <c r="SUN611"/>
      <c r="SUO611"/>
      <c r="SUP611"/>
      <c r="SUQ611"/>
      <c r="SUR611"/>
      <c r="SUS611"/>
      <c r="SUT611"/>
      <c r="SUU611"/>
      <c r="SUV611"/>
      <c r="SUW611"/>
      <c r="SUX611"/>
      <c r="SUY611"/>
      <c r="SUZ611"/>
      <c r="SVA611"/>
      <c r="SVB611"/>
      <c r="SVC611"/>
      <c r="SVD611"/>
      <c r="SVE611"/>
      <c r="SVF611"/>
      <c r="SVG611"/>
      <c r="SVH611"/>
      <c r="SVI611"/>
      <c r="SVJ611"/>
      <c r="SVK611"/>
      <c r="SVL611"/>
      <c r="SVM611"/>
      <c r="SVN611"/>
      <c r="SVO611"/>
      <c r="SVP611"/>
      <c r="SVQ611"/>
      <c r="SVR611"/>
      <c r="SVS611"/>
      <c r="SVT611"/>
      <c r="SVU611"/>
      <c r="SVV611"/>
      <c r="SVW611"/>
      <c r="SVX611"/>
      <c r="SVY611"/>
      <c r="SVZ611"/>
      <c r="SWA611"/>
      <c r="SWB611"/>
      <c r="SWC611"/>
      <c r="SWD611"/>
      <c r="SWE611"/>
      <c r="SWF611"/>
      <c r="SWG611"/>
      <c r="SWH611"/>
      <c r="SWI611"/>
      <c r="SWJ611"/>
      <c r="SWK611"/>
      <c r="SWL611"/>
      <c r="SWM611"/>
      <c r="SWN611"/>
      <c r="SWO611"/>
      <c r="SWP611"/>
      <c r="SWQ611"/>
      <c r="SWR611"/>
      <c r="SWS611"/>
      <c r="SWT611"/>
      <c r="SWU611"/>
      <c r="SWV611"/>
      <c r="SWW611"/>
      <c r="SWX611"/>
      <c r="SWY611"/>
      <c r="SWZ611"/>
      <c r="SXA611"/>
      <c r="SXB611"/>
      <c r="SXC611"/>
      <c r="SXD611"/>
      <c r="SXE611"/>
      <c r="SXF611"/>
      <c r="SXG611"/>
      <c r="SXH611"/>
      <c r="SXI611"/>
      <c r="SXJ611"/>
      <c r="SXK611"/>
      <c r="SXL611"/>
      <c r="SXM611"/>
      <c r="SXN611"/>
      <c r="SXO611"/>
      <c r="SXP611"/>
      <c r="SXQ611"/>
      <c r="SXR611"/>
      <c r="SXS611"/>
      <c r="SXT611"/>
      <c r="SXU611"/>
      <c r="SXV611"/>
      <c r="SXW611"/>
      <c r="SXX611"/>
      <c r="SXY611"/>
      <c r="SXZ611"/>
      <c r="SYA611"/>
      <c r="SYB611"/>
      <c r="SYC611"/>
      <c r="SYD611"/>
      <c r="SYE611"/>
      <c r="SYF611"/>
      <c r="SYG611"/>
      <c r="SYH611"/>
      <c r="SYI611"/>
      <c r="SYJ611"/>
      <c r="SYK611"/>
      <c r="SYL611"/>
      <c r="SYM611"/>
      <c r="SYN611"/>
      <c r="SYO611"/>
      <c r="SYP611"/>
      <c r="SYQ611"/>
      <c r="SYR611"/>
      <c r="SYS611"/>
      <c r="SYT611"/>
      <c r="SYU611"/>
      <c r="SYV611"/>
      <c r="SYW611"/>
      <c r="SYX611"/>
      <c r="SYY611"/>
      <c r="SYZ611"/>
      <c r="SZA611"/>
      <c r="SZB611"/>
      <c r="SZC611"/>
      <c r="SZD611"/>
      <c r="SZE611"/>
      <c r="SZF611"/>
      <c r="SZG611"/>
      <c r="SZH611"/>
      <c r="SZI611"/>
      <c r="SZJ611"/>
      <c r="SZK611"/>
      <c r="SZL611"/>
      <c r="SZM611"/>
      <c r="SZN611"/>
      <c r="SZO611"/>
      <c r="SZP611"/>
      <c r="SZQ611"/>
      <c r="SZR611"/>
      <c r="SZS611"/>
      <c r="SZT611"/>
      <c r="SZU611"/>
      <c r="SZV611"/>
      <c r="SZW611"/>
      <c r="SZX611"/>
      <c r="SZY611"/>
      <c r="SZZ611"/>
      <c r="TAA611"/>
      <c r="TAB611"/>
      <c r="TAC611"/>
      <c r="TAD611"/>
      <c r="TAE611"/>
      <c r="TAF611"/>
      <c r="TAG611"/>
      <c r="TAH611"/>
      <c r="TAI611"/>
      <c r="TAJ611"/>
      <c r="TAK611"/>
      <c r="TAL611"/>
      <c r="TAM611"/>
      <c r="TAN611"/>
      <c r="TAO611"/>
      <c r="TAP611"/>
      <c r="TAQ611"/>
      <c r="TAR611"/>
      <c r="TAS611"/>
      <c r="TAT611"/>
      <c r="TAU611"/>
      <c r="TAV611"/>
      <c r="TAW611"/>
      <c r="TAX611"/>
      <c r="TAY611"/>
      <c r="TAZ611"/>
      <c r="TBA611"/>
      <c r="TBB611"/>
      <c r="TBC611"/>
      <c r="TBD611"/>
      <c r="TBE611"/>
      <c r="TBF611"/>
      <c r="TBG611"/>
      <c r="TBH611"/>
      <c r="TBI611"/>
      <c r="TBJ611"/>
      <c r="TBK611"/>
      <c r="TBL611"/>
      <c r="TBM611"/>
      <c r="TBN611"/>
      <c r="TBO611"/>
      <c r="TBP611"/>
      <c r="TBQ611"/>
      <c r="TBR611"/>
      <c r="TBS611"/>
      <c r="TBT611"/>
      <c r="TBU611"/>
      <c r="TBV611"/>
      <c r="TBW611"/>
      <c r="TBX611"/>
      <c r="TBY611"/>
      <c r="TBZ611"/>
      <c r="TCA611"/>
      <c r="TCB611"/>
      <c r="TCC611"/>
      <c r="TCD611"/>
      <c r="TCE611"/>
      <c r="TCF611"/>
      <c r="TCG611"/>
      <c r="TCH611"/>
      <c r="TCI611"/>
      <c r="TCJ611"/>
      <c r="TCK611"/>
      <c r="TCL611"/>
      <c r="TCM611"/>
      <c r="TCN611"/>
      <c r="TCO611"/>
      <c r="TCP611"/>
      <c r="TCQ611"/>
      <c r="TCR611"/>
      <c r="TCS611"/>
      <c r="TCT611"/>
      <c r="TCU611"/>
      <c r="TCV611"/>
      <c r="TCW611"/>
      <c r="TCX611"/>
      <c r="TCY611"/>
      <c r="TCZ611"/>
      <c r="TDA611"/>
      <c r="TDB611"/>
      <c r="TDC611"/>
      <c r="TDD611"/>
      <c r="TDE611"/>
      <c r="TDF611"/>
      <c r="TDG611"/>
      <c r="TDH611"/>
      <c r="TDI611"/>
      <c r="TDJ611"/>
      <c r="TDK611"/>
      <c r="TDL611"/>
      <c r="TDM611"/>
      <c r="TDN611"/>
      <c r="TDO611"/>
      <c r="TDP611"/>
      <c r="TDQ611"/>
      <c r="TDR611"/>
      <c r="TDS611"/>
      <c r="TDT611"/>
      <c r="TDU611"/>
      <c r="TDV611"/>
      <c r="TDW611"/>
      <c r="TDX611"/>
      <c r="TDY611"/>
      <c r="TDZ611"/>
      <c r="TEA611"/>
      <c r="TEB611"/>
      <c r="TEC611"/>
      <c r="TED611"/>
      <c r="TEE611"/>
      <c r="TEF611"/>
      <c r="TEG611"/>
      <c r="TEH611"/>
      <c r="TEI611"/>
      <c r="TEJ611"/>
      <c r="TEK611"/>
      <c r="TEL611"/>
      <c r="TEM611"/>
      <c r="TEN611"/>
      <c r="TEO611"/>
      <c r="TEP611"/>
      <c r="TEQ611"/>
      <c r="TER611"/>
      <c r="TES611"/>
      <c r="TET611"/>
      <c r="TEU611"/>
      <c r="TEV611"/>
      <c r="TEW611"/>
      <c r="TEX611"/>
      <c r="TEY611"/>
      <c r="TEZ611"/>
      <c r="TFA611"/>
      <c r="TFB611"/>
      <c r="TFC611"/>
      <c r="TFD611"/>
      <c r="TFE611"/>
      <c r="TFF611"/>
      <c r="TFG611"/>
      <c r="TFH611"/>
      <c r="TFI611"/>
      <c r="TFJ611"/>
      <c r="TFK611"/>
      <c r="TFL611"/>
      <c r="TFM611"/>
      <c r="TFN611"/>
      <c r="TFO611"/>
      <c r="TFP611"/>
      <c r="TFQ611"/>
      <c r="TFR611"/>
      <c r="TFS611"/>
      <c r="TFT611"/>
      <c r="TFU611"/>
      <c r="TFV611"/>
      <c r="TFW611"/>
      <c r="TFX611"/>
      <c r="TFY611"/>
      <c r="TFZ611"/>
      <c r="TGA611"/>
      <c r="TGB611"/>
      <c r="TGC611"/>
      <c r="TGD611"/>
      <c r="TGE611"/>
      <c r="TGF611"/>
      <c r="TGG611"/>
      <c r="TGH611"/>
      <c r="TGI611"/>
      <c r="TGJ611"/>
      <c r="TGK611"/>
      <c r="TGL611"/>
      <c r="TGM611"/>
      <c r="TGN611"/>
      <c r="TGO611"/>
      <c r="TGP611"/>
      <c r="TGQ611"/>
      <c r="TGR611"/>
      <c r="TGS611"/>
      <c r="TGT611"/>
      <c r="TGU611"/>
      <c r="TGV611"/>
      <c r="TGW611"/>
      <c r="TGX611"/>
      <c r="TGY611"/>
      <c r="TGZ611"/>
      <c r="THA611"/>
      <c r="THB611"/>
      <c r="THC611"/>
      <c r="THD611"/>
      <c r="THE611"/>
      <c r="THF611"/>
      <c r="THG611"/>
      <c r="THH611"/>
      <c r="THI611"/>
      <c r="THJ611"/>
      <c r="THK611"/>
      <c r="THL611"/>
      <c r="THM611"/>
      <c r="THN611"/>
      <c r="THO611"/>
      <c r="THP611"/>
      <c r="THQ611"/>
      <c r="THR611"/>
      <c r="THS611"/>
      <c r="THT611"/>
      <c r="THU611"/>
      <c r="THV611"/>
      <c r="THW611"/>
      <c r="THX611"/>
      <c r="THY611"/>
      <c r="THZ611"/>
      <c r="TIA611"/>
      <c r="TIB611"/>
      <c r="TIC611"/>
      <c r="TID611"/>
      <c r="TIE611"/>
      <c r="TIF611"/>
      <c r="TIG611"/>
      <c r="TIH611"/>
      <c r="TII611"/>
      <c r="TIJ611"/>
      <c r="TIK611"/>
      <c r="TIL611"/>
      <c r="TIM611"/>
      <c r="TIN611"/>
      <c r="TIO611"/>
      <c r="TIP611"/>
      <c r="TIQ611"/>
      <c r="TIR611"/>
      <c r="TIS611"/>
      <c r="TIT611"/>
      <c r="TIU611"/>
      <c r="TIV611"/>
      <c r="TIW611"/>
      <c r="TIX611"/>
      <c r="TIY611"/>
      <c r="TIZ611"/>
      <c r="TJA611"/>
      <c r="TJB611"/>
      <c r="TJC611"/>
      <c r="TJD611"/>
      <c r="TJE611"/>
      <c r="TJF611"/>
      <c r="TJG611"/>
      <c r="TJH611"/>
      <c r="TJI611"/>
      <c r="TJJ611"/>
      <c r="TJK611"/>
      <c r="TJL611"/>
      <c r="TJM611"/>
      <c r="TJN611"/>
      <c r="TJO611"/>
      <c r="TJP611"/>
      <c r="TJQ611"/>
      <c r="TJR611"/>
      <c r="TJS611"/>
      <c r="TJT611"/>
      <c r="TJU611"/>
      <c r="TJV611"/>
      <c r="TJW611"/>
      <c r="TJX611"/>
      <c r="TJY611"/>
      <c r="TJZ611"/>
      <c r="TKA611"/>
      <c r="TKB611"/>
      <c r="TKC611"/>
      <c r="TKD611"/>
      <c r="TKE611"/>
      <c r="TKF611"/>
      <c r="TKG611"/>
      <c r="TKH611"/>
      <c r="TKI611"/>
      <c r="TKJ611"/>
      <c r="TKK611"/>
      <c r="TKL611"/>
      <c r="TKM611"/>
      <c r="TKN611"/>
      <c r="TKO611"/>
      <c r="TKP611"/>
      <c r="TKQ611"/>
      <c r="TKR611"/>
      <c r="TKS611"/>
      <c r="TKT611"/>
      <c r="TKU611"/>
      <c r="TKV611"/>
      <c r="TKW611"/>
      <c r="TKX611"/>
      <c r="TKY611"/>
      <c r="TKZ611"/>
      <c r="TLA611"/>
      <c r="TLB611"/>
      <c r="TLC611"/>
      <c r="TLD611"/>
      <c r="TLE611"/>
      <c r="TLF611"/>
      <c r="TLG611"/>
      <c r="TLH611"/>
      <c r="TLI611"/>
      <c r="TLJ611"/>
      <c r="TLK611"/>
      <c r="TLL611"/>
      <c r="TLM611"/>
      <c r="TLN611"/>
      <c r="TLO611"/>
      <c r="TLP611"/>
      <c r="TLQ611"/>
      <c r="TLR611"/>
      <c r="TLS611"/>
      <c r="TLT611"/>
      <c r="TLU611"/>
      <c r="TLV611"/>
      <c r="TLW611"/>
      <c r="TLX611"/>
      <c r="TLY611"/>
      <c r="TLZ611"/>
      <c r="TMA611"/>
      <c r="TMB611"/>
      <c r="TMC611"/>
      <c r="TMD611"/>
      <c r="TME611"/>
      <c r="TMF611"/>
      <c r="TMG611"/>
      <c r="TMH611"/>
      <c r="TMI611"/>
      <c r="TMJ611"/>
      <c r="TMK611"/>
      <c r="TML611"/>
      <c r="TMM611"/>
      <c r="TMN611"/>
      <c r="TMO611"/>
      <c r="TMP611"/>
      <c r="TMQ611"/>
      <c r="TMR611"/>
      <c r="TMS611"/>
      <c r="TMT611"/>
      <c r="TMU611"/>
      <c r="TMV611"/>
      <c r="TMW611"/>
      <c r="TMX611"/>
      <c r="TMY611"/>
      <c r="TMZ611"/>
      <c r="TNA611"/>
      <c r="TNB611"/>
      <c r="TNC611"/>
      <c r="TND611"/>
      <c r="TNE611"/>
      <c r="TNF611"/>
      <c r="TNG611"/>
      <c r="TNH611"/>
      <c r="TNI611"/>
      <c r="TNJ611"/>
      <c r="TNK611"/>
      <c r="TNL611"/>
      <c r="TNM611"/>
      <c r="TNN611"/>
      <c r="TNO611"/>
      <c r="TNP611"/>
      <c r="TNQ611"/>
      <c r="TNR611"/>
      <c r="TNS611"/>
      <c r="TNT611"/>
      <c r="TNU611"/>
      <c r="TNV611"/>
      <c r="TNW611"/>
      <c r="TNX611"/>
      <c r="TNY611"/>
      <c r="TNZ611"/>
      <c r="TOA611"/>
      <c r="TOB611"/>
      <c r="TOC611"/>
      <c r="TOD611"/>
      <c r="TOE611"/>
      <c r="TOF611"/>
      <c r="TOG611"/>
      <c r="TOH611"/>
      <c r="TOI611"/>
      <c r="TOJ611"/>
      <c r="TOK611"/>
      <c r="TOL611"/>
      <c r="TOM611"/>
      <c r="TON611"/>
      <c r="TOO611"/>
      <c r="TOP611"/>
      <c r="TOQ611"/>
      <c r="TOR611"/>
      <c r="TOS611"/>
      <c r="TOT611"/>
      <c r="TOU611"/>
      <c r="TOV611"/>
      <c r="TOW611"/>
      <c r="TOX611"/>
      <c r="TOY611"/>
      <c r="TOZ611"/>
      <c r="TPA611"/>
      <c r="TPB611"/>
      <c r="TPC611"/>
      <c r="TPD611"/>
      <c r="TPE611"/>
      <c r="TPF611"/>
      <c r="TPG611"/>
      <c r="TPH611"/>
      <c r="TPI611"/>
      <c r="TPJ611"/>
      <c r="TPK611"/>
      <c r="TPL611"/>
      <c r="TPM611"/>
      <c r="TPN611"/>
      <c r="TPO611"/>
      <c r="TPP611"/>
      <c r="TPQ611"/>
      <c r="TPR611"/>
      <c r="TPS611"/>
      <c r="TPT611"/>
      <c r="TPU611"/>
      <c r="TPV611"/>
      <c r="TPW611"/>
      <c r="TPX611"/>
      <c r="TPY611"/>
      <c r="TPZ611"/>
      <c r="TQA611"/>
      <c r="TQB611"/>
      <c r="TQC611"/>
      <c r="TQD611"/>
      <c r="TQE611"/>
      <c r="TQF611"/>
      <c r="TQG611"/>
      <c r="TQH611"/>
      <c r="TQI611"/>
      <c r="TQJ611"/>
      <c r="TQK611"/>
      <c r="TQL611"/>
      <c r="TQM611"/>
      <c r="TQN611"/>
      <c r="TQO611"/>
      <c r="TQP611"/>
      <c r="TQQ611"/>
      <c r="TQR611"/>
      <c r="TQS611"/>
      <c r="TQT611"/>
      <c r="TQU611"/>
      <c r="TQV611"/>
      <c r="TQW611"/>
      <c r="TQX611"/>
      <c r="TQY611"/>
      <c r="TQZ611"/>
      <c r="TRA611"/>
      <c r="TRB611"/>
      <c r="TRC611"/>
      <c r="TRD611"/>
      <c r="TRE611"/>
      <c r="TRF611"/>
      <c r="TRG611"/>
      <c r="TRH611"/>
      <c r="TRI611"/>
      <c r="TRJ611"/>
      <c r="TRK611"/>
      <c r="TRL611"/>
      <c r="TRM611"/>
      <c r="TRN611"/>
      <c r="TRO611"/>
      <c r="TRP611"/>
      <c r="TRQ611"/>
      <c r="TRR611"/>
      <c r="TRS611"/>
      <c r="TRT611"/>
      <c r="TRU611"/>
      <c r="TRV611"/>
      <c r="TRW611"/>
      <c r="TRX611"/>
      <c r="TRY611"/>
      <c r="TRZ611"/>
      <c r="TSA611"/>
      <c r="TSB611"/>
      <c r="TSC611"/>
      <c r="TSD611"/>
      <c r="TSE611"/>
      <c r="TSF611"/>
      <c r="TSG611"/>
      <c r="TSH611"/>
      <c r="TSI611"/>
      <c r="TSJ611"/>
      <c r="TSK611"/>
      <c r="TSL611"/>
      <c r="TSM611"/>
      <c r="TSN611"/>
      <c r="TSO611"/>
      <c r="TSP611"/>
      <c r="TSQ611"/>
      <c r="TSR611"/>
      <c r="TSS611"/>
      <c r="TST611"/>
      <c r="TSU611"/>
      <c r="TSV611"/>
      <c r="TSW611"/>
      <c r="TSX611"/>
      <c r="TSY611"/>
      <c r="TSZ611"/>
      <c r="TTA611"/>
      <c r="TTB611"/>
      <c r="TTC611"/>
      <c r="TTD611"/>
      <c r="TTE611"/>
      <c r="TTF611"/>
      <c r="TTG611"/>
      <c r="TTH611"/>
      <c r="TTI611"/>
      <c r="TTJ611"/>
      <c r="TTK611"/>
      <c r="TTL611"/>
      <c r="TTM611"/>
      <c r="TTN611"/>
      <c r="TTO611"/>
      <c r="TTP611"/>
      <c r="TTQ611"/>
      <c r="TTR611"/>
      <c r="TTS611"/>
      <c r="TTT611"/>
      <c r="TTU611"/>
      <c r="TTV611"/>
      <c r="TTW611"/>
      <c r="TTX611"/>
      <c r="TTY611"/>
      <c r="TTZ611"/>
      <c r="TUA611"/>
      <c r="TUB611"/>
      <c r="TUC611"/>
      <c r="TUD611"/>
      <c r="TUE611"/>
      <c r="TUF611"/>
      <c r="TUG611"/>
      <c r="TUH611"/>
      <c r="TUI611"/>
      <c r="TUJ611"/>
      <c r="TUK611"/>
      <c r="TUL611"/>
      <c r="TUM611"/>
      <c r="TUN611"/>
      <c r="TUO611"/>
      <c r="TUP611"/>
      <c r="TUQ611"/>
      <c r="TUR611"/>
      <c r="TUS611"/>
      <c r="TUT611"/>
      <c r="TUU611"/>
      <c r="TUV611"/>
      <c r="TUW611"/>
      <c r="TUX611"/>
      <c r="TUY611"/>
      <c r="TUZ611"/>
      <c r="TVA611"/>
      <c r="TVB611"/>
      <c r="TVC611"/>
      <c r="TVD611"/>
      <c r="TVE611"/>
      <c r="TVF611"/>
      <c r="TVG611"/>
      <c r="TVH611"/>
      <c r="TVI611"/>
      <c r="TVJ611"/>
      <c r="TVK611"/>
      <c r="TVL611"/>
      <c r="TVM611"/>
      <c r="TVN611"/>
      <c r="TVO611"/>
      <c r="TVP611"/>
      <c r="TVQ611"/>
      <c r="TVR611"/>
      <c r="TVS611"/>
      <c r="TVT611"/>
      <c r="TVU611"/>
      <c r="TVV611"/>
      <c r="TVW611"/>
      <c r="TVX611"/>
      <c r="TVY611"/>
      <c r="TVZ611"/>
      <c r="TWA611"/>
      <c r="TWB611"/>
      <c r="TWC611"/>
      <c r="TWD611"/>
      <c r="TWE611"/>
      <c r="TWF611"/>
      <c r="TWG611"/>
      <c r="TWH611"/>
      <c r="TWI611"/>
      <c r="TWJ611"/>
      <c r="TWK611"/>
      <c r="TWL611"/>
      <c r="TWM611"/>
      <c r="TWN611"/>
      <c r="TWO611"/>
      <c r="TWP611"/>
      <c r="TWQ611"/>
      <c r="TWR611"/>
      <c r="TWS611"/>
      <c r="TWT611"/>
      <c r="TWU611"/>
      <c r="TWV611"/>
      <c r="TWW611"/>
      <c r="TWX611"/>
      <c r="TWY611"/>
      <c r="TWZ611"/>
      <c r="TXA611"/>
      <c r="TXB611"/>
      <c r="TXC611"/>
      <c r="TXD611"/>
      <c r="TXE611"/>
      <c r="TXF611"/>
      <c r="TXG611"/>
      <c r="TXH611"/>
      <c r="TXI611"/>
      <c r="TXJ611"/>
      <c r="TXK611"/>
      <c r="TXL611"/>
      <c r="TXM611"/>
      <c r="TXN611"/>
      <c r="TXO611"/>
      <c r="TXP611"/>
      <c r="TXQ611"/>
      <c r="TXR611"/>
      <c r="TXS611"/>
      <c r="TXT611"/>
      <c r="TXU611"/>
      <c r="TXV611"/>
      <c r="TXW611"/>
      <c r="TXX611"/>
      <c r="TXY611"/>
      <c r="TXZ611"/>
      <c r="TYA611"/>
      <c r="TYB611"/>
      <c r="TYC611"/>
      <c r="TYD611"/>
      <c r="TYE611"/>
      <c r="TYF611"/>
      <c r="TYG611"/>
      <c r="TYH611"/>
      <c r="TYI611"/>
      <c r="TYJ611"/>
      <c r="TYK611"/>
      <c r="TYL611"/>
      <c r="TYM611"/>
      <c r="TYN611"/>
      <c r="TYO611"/>
      <c r="TYP611"/>
      <c r="TYQ611"/>
      <c r="TYR611"/>
      <c r="TYS611"/>
      <c r="TYT611"/>
      <c r="TYU611"/>
      <c r="TYV611"/>
      <c r="TYW611"/>
      <c r="TYX611"/>
      <c r="TYY611"/>
      <c r="TYZ611"/>
      <c r="TZA611"/>
      <c r="TZB611"/>
      <c r="TZC611"/>
      <c r="TZD611"/>
      <c r="TZE611"/>
      <c r="TZF611"/>
      <c r="TZG611"/>
      <c r="TZH611"/>
      <c r="TZI611"/>
      <c r="TZJ611"/>
      <c r="TZK611"/>
      <c r="TZL611"/>
      <c r="TZM611"/>
      <c r="TZN611"/>
      <c r="TZO611"/>
      <c r="TZP611"/>
      <c r="TZQ611"/>
      <c r="TZR611"/>
      <c r="TZS611"/>
      <c r="TZT611"/>
      <c r="TZU611"/>
      <c r="TZV611"/>
      <c r="TZW611"/>
      <c r="TZX611"/>
      <c r="TZY611"/>
      <c r="TZZ611"/>
      <c r="UAA611"/>
      <c r="UAB611"/>
      <c r="UAC611"/>
      <c r="UAD611"/>
      <c r="UAE611"/>
      <c r="UAF611"/>
      <c r="UAG611"/>
      <c r="UAH611"/>
      <c r="UAI611"/>
      <c r="UAJ611"/>
      <c r="UAK611"/>
      <c r="UAL611"/>
      <c r="UAM611"/>
      <c r="UAN611"/>
      <c r="UAO611"/>
      <c r="UAP611"/>
      <c r="UAQ611"/>
      <c r="UAR611"/>
      <c r="UAS611"/>
      <c r="UAT611"/>
      <c r="UAU611"/>
      <c r="UAV611"/>
      <c r="UAW611"/>
      <c r="UAX611"/>
      <c r="UAY611"/>
      <c r="UAZ611"/>
      <c r="UBA611"/>
      <c r="UBB611"/>
      <c r="UBC611"/>
      <c r="UBD611"/>
      <c r="UBE611"/>
      <c r="UBF611"/>
      <c r="UBG611"/>
      <c r="UBH611"/>
      <c r="UBI611"/>
      <c r="UBJ611"/>
      <c r="UBK611"/>
      <c r="UBL611"/>
      <c r="UBM611"/>
      <c r="UBN611"/>
      <c r="UBO611"/>
      <c r="UBP611"/>
      <c r="UBQ611"/>
      <c r="UBR611"/>
      <c r="UBS611"/>
      <c r="UBT611"/>
      <c r="UBU611"/>
      <c r="UBV611"/>
      <c r="UBW611"/>
      <c r="UBX611"/>
      <c r="UBY611"/>
      <c r="UBZ611"/>
      <c r="UCA611"/>
      <c r="UCB611"/>
      <c r="UCC611"/>
      <c r="UCD611"/>
      <c r="UCE611"/>
      <c r="UCF611"/>
      <c r="UCG611"/>
      <c r="UCH611"/>
      <c r="UCI611"/>
      <c r="UCJ611"/>
      <c r="UCK611"/>
      <c r="UCL611"/>
      <c r="UCM611"/>
      <c r="UCN611"/>
      <c r="UCO611"/>
      <c r="UCP611"/>
      <c r="UCQ611"/>
      <c r="UCR611"/>
      <c r="UCS611"/>
      <c r="UCT611"/>
      <c r="UCU611"/>
      <c r="UCV611"/>
      <c r="UCW611"/>
      <c r="UCX611"/>
      <c r="UCY611"/>
      <c r="UCZ611"/>
      <c r="UDA611"/>
      <c r="UDB611"/>
      <c r="UDC611"/>
      <c r="UDD611"/>
      <c r="UDE611"/>
      <c r="UDF611"/>
      <c r="UDG611"/>
      <c r="UDH611"/>
      <c r="UDI611"/>
      <c r="UDJ611"/>
      <c r="UDK611"/>
      <c r="UDL611"/>
      <c r="UDM611"/>
      <c r="UDN611"/>
      <c r="UDO611"/>
      <c r="UDP611"/>
      <c r="UDQ611"/>
      <c r="UDR611"/>
      <c r="UDS611"/>
      <c r="UDT611"/>
      <c r="UDU611"/>
      <c r="UDV611"/>
      <c r="UDW611"/>
      <c r="UDX611"/>
      <c r="UDY611"/>
      <c r="UDZ611"/>
      <c r="UEA611"/>
      <c r="UEB611"/>
      <c r="UEC611"/>
      <c r="UED611"/>
      <c r="UEE611"/>
      <c r="UEF611"/>
      <c r="UEG611"/>
      <c r="UEH611"/>
      <c r="UEI611"/>
      <c r="UEJ611"/>
      <c r="UEK611"/>
      <c r="UEL611"/>
      <c r="UEM611"/>
      <c r="UEN611"/>
      <c r="UEO611"/>
      <c r="UEP611"/>
      <c r="UEQ611"/>
      <c r="UER611"/>
      <c r="UES611"/>
      <c r="UET611"/>
      <c r="UEU611"/>
      <c r="UEV611"/>
      <c r="UEW611"/>
      <c r="UEX611"/>
      <c r="UEY611"/>
      <c r="UEZ611"/>
      <c r="UFA611"/>
      <c r="UFB611"/>
      <c r="UFC611"/>
      <c r="UFD611"/>
      <c r="UFE611"/>
      <c r="UFF611"/>
      <c r="UFG611"/>
      <c r="UFH611"/>
      <c r="UFI611"/>
      <c r="UFJ611"/>
      <c r="UFK611"/>
      <c r="UFL611"/>
      <c r="UFM611"/>
      <c r="UFN611"/>
      <c r="UFO611"/>
      <c r="UFP611"/>
      <c r="UFQ611"/>
      <c r="UFR611"/>
      <c r="UFS611"/>
      <c r="UFT611"/>
      <c r="UFU611"/>
      <c r="UFV611"/>
      <c r="UFW611"/>
      <c r="UFX611"/>
      <c r="UFY611"/>
      <c r="UFZ611"/>
      <c r="UGA611"/>
      <c r="UGB611"/>
      <c r="UGC611"/>
      <c r="UGD611"/>
      <c r="UGE611"/>
      <c r="UGF611"/>
      <c r="UGG611"/>
      <c r="UGH611"/>
      <c r="UGI611"/>
      <c r="UGJ611"/>
      <c r="UGK611"/>
      <c r="UGL611"/>
      <c r="UGM611"/>
      <c r="UGN611"/>
      <c r="UGO611"/>
      <c r="UGP611"/>
      <c r="UGQ611"/>
      <c r="UGR611"/>
      <c r="UGS611"/>
      <c r="UGT611"/>
      <c r="UGU611"/>
      <c r="UGV611"/>
      <c r="UGW611"/>
      <c r="UGX611"/>
      <c r="UGY611"/>
      <c r="UGZ611"/>
      <c r="UHA611"/>
      <c r="UHB611"/>
      <c r="UHC611"/>
      <c r="UHD611"/>
      <c r="UHE611"/>
      <c r="UHF611"/>
      <c r="UHG611"/>
      <c r="UHH611"/>
      <c r="UHI611"/>
      <c r="UHJ611"/>
      <c r="UHK611"/>
      <c r="UHL611"/>
      <c r="UHM611"/>
      <c r="UHN611"/>
      <c r="UHO611"/>
      <c r="UHP611"/>
      <c r="UHQ611"/>
      <c r="UHR611"/>
      <c r="UHS611"/>
      <c r="UHT611"/>
      <c r="UHU611"/>
      <c r="UHV611"/>
      <c r="UHW611"/>
      <c r="UHX611"/>
      <c r="UHY611"/>
      <c r="UHZ611"/>
      <c r="UIA611"/>
      <c r="UIB611"/>
      <c r="UIC611"/>
      <c r="UID611"/>
      <c r="UIE611"/>
      <c r="UIF611"/>
      <c r="UIG611"/>
      <c r="UIH611"/>
      <c r="UII611"/>
      <c r="UIJ611"/>
      <c r="UIK611"/>
      <c r="UIL611"/>
      <c r="UIM611"/>
      <c r="UIN611"/>
      <c r="UIO611"/>
      <c r="UIP611"/>
      <c r="UIQ611"/>
      <c r="UIR611"/>
      <c r="UIS611"/>
      <c r="UIT611"/>
      <c r="UIU611"/>
      <c r="UIV611"/>
      <c r="UIW611"/>
      <c r="UIX611"/>
      <c r="UIY611"/>
      <c r="UIZ611"/>
      <c r="UJA611"/>
      <c r="UJB611"/>
      <c r="UJC611"/>
      <c r="UJD611"/>
      <c r="UJE611"/>
      <c r="UJF611"/>
      <c r="UJG611"/>
      <c r="UJH611"/>
      <c r="UJI611"/>
      <c r="UJJ611"/>
      <c r="UJK611"/>
      <c r="UJL611"/>
      <c r="UJM611"/>
      <c r="UJN611"/>
      <c r="UJO611"/>
      <c r="UJP611"/>
      <c r="UJQ611"/>
      <c r="UJR611"/>
      <c r="UJS611"/>
      <c r="UJT611"/>
      <c r="UJU611"/>
      <c r="UJV611"/>
      <c r="UJW611"/>
      <c r="UJX611"/>
      <c r="UJY611"/>
      <c r="UJZ611"/>
      <c r="UKA611"/>
      <c r="UKB611"/>
      <c r="UKC611"/>
      <c r="UKD611"/>
      <c r="UKE611"/>
      <c r="UKF611"/>
      <c r="UKG611"/>
      <c r="UKH611"/>
      <c r="UKI611"/>
      <c r="UKJ611"/>
      <c r="UKK611"/>
      <c r="UKL611"/>
      <c r="UKM611"/>
      <c r="UKN611"/>
      <c r="UKO611"/>
      <c r="UKP611"/>
      <c r="UKQ611"/>
      <c r="UKR611"/>
      <c r="UKS611"/>
      <c r="UKT611"/>
      <c r="UKU611"/>
      <c r="UKV611"/>
      <c r="UKW611"/>
      <c r="UKX611"/>
      <c r="UKY611"/>
      <c r="UKZ611"/>
      <c r="ULA611"/>
      <c r="ULB611"/>
      <c r="ULC611"/>
      <c r="ULD611"/>
      <c r="ULE611"/>
      <c r="ULF611"/>
      <c r="ULG611"/>
      <c r="ULH611"/>
      <c r="ULI611"/>
      <c r="ULJ611"/>
      <c r="ULK611"/>
      <c r="ULL611"/>
      <c r="ULM611"/>
      <c r="ULN611"/>
      <c r="ULO611"/>
      <c r="ULP611"/>
      <c r="ULQ611"/>
      <c r="ULR611"/>
      <c r="ULS611"/>
      <c r="ULT611"/>
      <c r="ULU611"/>
      <c r="ULV611"/>
      <c r="ULW611"/>
      <c r="ULX611"/>
      <c r="ULY611"/>
      <c r="ULZ611"/>
      <c r="UMA611"/>
      <c r="UMB611"/>
      <c r="UMC611"/>
      <c r="UMD611"/>
      <c r="UME611"/>
      <c r="UMF611"/>
      <c r="UMG611"/>
      <c r="UMH611"/>
      <c r="UMI611"/>
      <c r="UMJ611"/>
      <c r="UMK611"/>
      <c r="UML611"/>
      <c r="UMM611"/>
      <c r="UMN611"/>
      <c r="UMO611"/>
      <c r="UMP611"/>
      <c r="UMQ611"/>
      <c r="UMR611"/>
      <c r="UMS611"/>
      <c r="UMT611"/>
      <c r="UMU611"/>
      <c r="UMV611"/>
      <c r="UMW611"/>
      <c r="UMX611"/>
      <c r="UMY611"/>
      <c r="UMZ611"/>
      <c r="UNA611"/>
      <c r="UNB611"/>
      <c r="UNC611"/>
      <c r="UND611"/>
      <c r="UNE611"/>
      <c r="UNF611"/>
      <c r="UNG611"/>
      <c r="UNH611"/>
      <c r="UNI611"/>
      <c r="UNJ611"/>
      <c r="UNK611"/>
      <c r="UNL611"/>
      <c r="UNM611"/>
      <c r="UNN611"/>
      <c r="UNO611"/>
      <c r="UNP611"/>
      <c r="UNQ611"/>
      <c r="UNR611"/>
      <c r="UNS611"/>
      <c r="UNT611"/>
      <c r="UNU611"/>
      <c r="UNV611"/>
      <c r="UNW611"/>
      <c r="UNX611"/>
      <c r="UNY611"/>
      <c r="UNZ611"/>
      <c r="UOA611"/>
      <c r="UOB611"/>
      <c r="UOC611"/>
      <c r="UOD611"/>
      <c r="UOE611"/>
      <c r="UOF611"/>
      <c r="UOG611"/>
      <c r="UOH611"/>
      <c r="UOI611"/>
      <c r="UOJ611"/>
      <c r="UOK611"/>
      <c r="UOL611"/>
      <c r="UOM611"/>
      <c r="UON611"/>
      <c r="UOO611"/>
      <c r="UOP611"/>
      <c r="UOQ611"/>
      <c r="UOR611"/>
      <c r="UOS611"/>
      <c r="UOT611"/>
      <c r="UOU611"/>
      <c r="UOV611"/>
      <c r="UOW611"/>
      <c r="UOX611"/>
      <c r="UOY611"/>
      <c r="UOZ611"/>
      <c r="UPA611"/>
      <c r="UPB611"/>
      <c r="UPC611"/>
      <c r="UPD611"/>
      <c r="UPE611"/>
      <c r="UPF611"/>
      <c r="UPG611"/>
      <c r="UPH611"/>
      <c r="UPI611"/>
      <c r="UPJ611"/>
      <c r="UPK611"/>
      <c r="UPL611"/>
      <c r="UPM611"/>
      <c r="UPN611"/>
      <c r="UPO611"/>
      <c r="UPP611"/>
      <c r="UPQ611"/>
      <c r="UPR611"/>
      <c r="UPS611"/>
      <c r="UPT611"/>
      <c r="UPU611"/>
      <c r="UPV611"/>
      <c r="UPW611"/>
      <c r="UPX611"/>
      <c r="UPY611"/>
      <c r="UPZ611"/>
      <c r="UQA611"/>
      <c r="UQB611"/>
      <c r="UQC611"/>
      <c r="UQD611"/>
      <c r="UQE611"/>
      <c r="UQF611"/>
      <c r="UQG611"/>
      <c r="UQH611"/>
      <c r="UQI611"/>
      <c r="UQJ611"/>
      <c r="UQK611"/>
      <c r="UQL611"/>
      <c r="UQM611"/>
      <c r="UQN611"/>
      <c r="UQO611"/>
      <c r="UQP611"/>
      <c r="UQQ611"/>
      <c r="UQR611"/>
      <c r="UQS611"/>
      <c r="UQT611"/>
      <c r="UQU611"/>
      <c r="UQV611"/>
      <c r="UQW611"/>
      <c r="UQX611"/>
      <c r="UQY611"/>
      <c r="UQZ611"/>
      <c r="URA611"/>
      <c r="URB611"/>
      <c r="URC611"/>
      <c r="URD611"/>
      <c r="URE611"/>
      <c r="URF611"/>
      <c r="URG611"/>
      <c r="URH611"/>
      <c r="URI611"/>
      <c r="URJ611"/>
      <c r="URK611"/>
      <c r="URL611"/>
      <c r="URM611"/>
      <c r="URN611"/>
      <c r="URO611"/>
      <c r="URP611"/>
      <c r="URQ611"/>
      <c r="URR611"/>
      <c r="URS611"/>
      <c r="URT611"/>
      <c r="URU611"/>
      <c r="URV611"/>
      <c r="URW611"/>
      <c r="URX611"/>
      <c r="URY611"/>
      <c r="URZ611"/>
      <c r="USA611"/>
      <c r="USB611"/>
      <c r="USC611"/>
      <c r="USD611"/>
      <c r="USE611"/>
      <c r="USF611"/>
      <c r="USG611"/>
      <c r="USH611"/>
      <c r="USI611"/>
      <c r="USJ611"/>
      <c r="USK611"/>
      <c r="USL611"/>
      <c r="USM611"/>
      <c r="USN611"/>
      <c r="USO611"/>
      <c r="USP611"/>
      <c r="USQ611"/>
      <c r="USR611"/>
      <c r="USS611"/>
      <c r="UST611"/>
      <c r="USU611"/>
      <c r="USV611"/>
      <c r="USW611"/>
      <c r="USX611"/>
      <c r="USY611"/>
      <c r="USZ611"/>
      <c r="UTA611"/>
      <c r="UTB611"/>
      <c r="UTC611"/>
      <c r="UTD611"/>
      <c r="UTE611"/>
      <c r="UTF611"/>
      <c r="UTG611"/>
      <c r="UTH611"/>
      <c r="UTI611"/>
      <c r="UTJ611"/>
      <c r="UTK611"/>
      <c r="UTL611"/>
      <c r="UTM611"/>
      <c r="UTN611"/>
      <c r="UTO611"/>
      <c r="UTP611"/>
      <c r="UTQ611"/>
      <c r="UTR611"/>
      <c r="UTS611"/>
      <c r="UTT611"/>
      <c r="UTU611"/>
      <c r="UTV611"/>
      <c r="UTW611"/>
      <c r="UTX611"/>
      <c r="UTY611"/>
      <c r="UTZ611"/>
      <c r="UUA611"/>
      <c r="UUB611"/>
      <c r="UUC611"/>
      <c r="UUD611"/>
      <c r="UUE611"/>
      <c r="UUF611"/>
      <c r="UUG611"/>
      <c r="UUH611"/>
      <c r="UUI611"/>
      <c r="UUJ611"/>
      <c r="UUK611"/>
      <c r="UUL611"/>
      <c r="UUM611"/>
      <c r="UUN611"/>
      <c r="UUO611"/>
      <c r="UUP611"/>
      <c r="UUQ611"/>
      <c r="UUR611"/>
      <c r="UUS611"/>
      <c r="UUT611"/>
      <c r="UUU611"/>
      <c r="UUV611"/>
      <c r="UUW611"/>
      <c r="UUX611"/>
      <c r="UUY611"/>
      <c r="UUZ611"/>
      <c r="UVA611"/>
      <c r="UVB611"/>
      <c r="UVC611"/>
      <c r="UVD611"/>
      <c r="UVE611"/>
      <c r="UVF611"/>
      <c r="UVG611"/>
      <c r="UVH611"/>
      <c r="UVI611"/>
      <c r="UVJ611"/>
      <c r="UVK611"/>
      <c r="UVL611"/>
      <c r="UVM611"/>
      <c r="UVN611"/>
      <c r="UVO611"/>
      <c r="UVP611"/>
      <c r="UVQ611"/>
      <c r="UVR611"/>
      <c r="UVS611"/>
      <c r="UVT611"/>
      <c r="UVU611"/>
      <c r="UVV611"/>
      <c r="UVW611"/>
      <c r="UVX611"/>
      <c r="UVY611"/>
      <c r="UVZ611"/>
      <c r="UWA611"/>
      <c r="UWB611"/>
      <c r="UWC611"/>
      <c r="UWD611"/>
      <c r="UWE611"/>
      <c r="UWF611"/>
      <c r="UWG611"/>
      <c r="UWH611"/>
      <c r="UWI611"/>
      <c r="UWJ611"/>
      <c r="UWK611"/>
      <c r="UWL611"/>
      <c r="UWM611"/>
      <c r="UWN611"/>
      <c r="UWO611"/>
      <c r="UWP611"/>
      <c r="UWQ611"/>
      <c r="UWR611"/>
      <c r="UWS611"/>
      <c r="UWT611"/>
      <c r="UWU611"/>
      <c r="UWV611"/>
      <c r="UWW611"/>
      <c r="UWX611"/>
      <c r="UWY611"/>
      <c r="UWZ611"/>
      <c r="UXA611"/>
      <c r="UXB611"/>
      <c r="UXC611"/>
      <c r="UXD611"/>
      <c r="UXE611"/>
      <c r="UXF611"/>
      <c r="UXG611"/>
      <c r="UXH611"/>
      <c r="UXI611"/>
      <c r="UXJ611"/>
      <c r="UXK611"/>
      <c r="UXL611"/>
      <c r="UXM611"/>
      <c r="UXN611"/>
      <c r="UXO611"/>
      <c r="UXP611"/>
      <c r="UXQ611"/>
      <c r="UXR611"/>
      <c r="UXS611"/>
      <c r="UXT611"/>
      <c r="UXU611"/>
      <c r="UXV611"/>
      <c r="UXW611"/>
      <c r="UXX611"/>
      <c r="UXY611"/>
      <c r="UXZ611"/>
      <c r="UYA611"/>
      <c r="UYB611"/>
      <c r="UYC611"/>
      <c r="UYD611"/>
      <c r="UYE611"/>
      <c r="UYF611"/>
      <c r="UYG611"/>
      <c r="UYH611"/>
      <c r="UYI611"/>
      <c r="UYJ611"/>
      <c r="UYK611"/>
      <c r="UYL611"/>
      <c r="UYM611"/>
      <c r="UYN611"/>
      <c r="UYO611"/>
      <c r="UYP611"/>
      <c r="UYQ611"/>
      <c r="UYR611"/>
      <c r="UYS611"/>
      <c r="UYT611"/>
      <c r="UYU611"/>
      <c r="UYV611"/>
      <c r="UYW611"/>
      <c r="UYX611"/>
      <c r="UYY611"/>
      <c r="UYZ611"/>
      <c r="UZA611"/>
      <c r="UZB611"/>
      <c r="UZC611"/>
      <c r="UZD611"/>
      <c r="UZE611"/>
      <c r="UZF611"/>
      <c r="UZG611"/>
      <c r="UZH611"/>
      <c r="UZI611"/>
      <c r="UZJ611"/>
      <c r="UZK611"/>
      <c r="UZL611"/>
      <c r="UZM611"/>
      <c r="UZN611"/>
      <c r="UZO611"/>
      <c r="UZP611"/>
      <c r="UZQ611"/>
      <c r="UZR611"/>
      <c r="UZS611"/>
      <c r="UZT611"/>
      <c r="UZU611"/>
      <c r="UZV611"/>
      <c r="UZW611"/>
      <c r="UZX611"/>
      <c r="UZY611"/>
      <c r="UZZ611"/>
      <c r="VAA611"/>
      <c r="VAB611"/>
      <c r="VAC611"/>
      <c r="VAD611"/>
      <c r="VAE611"/>
      <c r="VAF611"/>
      <c r="VAG611"/>
      <c r="VAH611"/>
      <c r="VAI611"/>
      <c r="VAJ611"/>
      <c r="VAK611"/>
      <c r="VAL611"/>
      <c r="VAM611"/>
      <c r="VAN611"/>
      <c r="VAO611"/>
      <c r="VAP611"/>
      <c r="VAQ611"/>
      <c r="VAR611"/>
      <c r="VAS611"/>
      <c r="VAT611"/>
      <c r="VAU611"/>
      <c r="VAV611"/>
      <c r="VAW611"/>
      <c r="VAX611"/>
      <c r="VAY611"/>
      <c r="VAZ611"/>
      <c r="VBA611"/>
      <c r="VBB611"/>
      <c r="VBC611"/>
      <c r="VBD611"/>
      <c r="VBE611"/>
      <c r="VBF611"/>
      <c r="VBG611"/>
      <c r="VBH611"/>
      <c r="VBI611"/>
      <c r="VBJ611"/>
      <c r="VBK611"/>
      <c r="VBL611"/>
      <c r="VBM611"/>
      <c r="VBN611"/>
      <c r="VBO611"/>
      <c r="VBP611"/>
      <c r="VBQ611"/>
      <c r="VBR611"/>
      <c r="VBS611"/>
      <c r="VBT611"/>
      <c r="VBU611"/>
      <c r="VBV611"/>
      <c r="VBW611"/>
      <c r="VBX611"/>
      <c r="VBY611"/>
      <c r="VBZ611"/>
      <c r="VCA611"/>
      <c r="VCB611"/>
      <c r="VCC611"/>
      <c r="VCD611"/>
      <c r="VCE611"/>
      <c r="VCF611"/>
      <c r="VCG611"/>
      <c r="VCH611"/>
      <c r="VCI611"/>
      <c r="VCJ611"/>
      <c r="VCK611"/>
      <c r="VCL611"/>
      <c r="VCM611"/>
      <c r="VCN611"/>
      <c r="VCO611"/>
      <c r="VCP611"/>
      <c r="VCQ611"/>
      <c r="VCR611"/>
      <c r="VCS611"/>
      <c r="VCT611"/>
      <c r="VCU611"/>
      <c r="VCV611"/>
      <c r="VCW611"/>
      <c r="VCX611"/>
      <c r="VCY611"/>
      <c r="VCZ611"/>
      <c r="VDA611"/>
      <c r="VDB611"/>
      <c r="VDC611"/>
      <c r="VDD611"/>
      <c r="VDE611"/>
      <c r="VDF611"/>
      <c r="VDG611"/>
      <c r="VDH611"/>
      <c r="VDI611"/>
      <c r="VDJ611"/>
      <c r="VDK611"/>
      <c r="VDL611"/>
      <c r="VDM611"/>
      <c r="VDN611"/>
      <c r="VDO611"/>
      <c r="VDP611"/>
      <c r="VDQ611"/>
      <c r="VDR611"/>
      <c r="VDS611"/>
      <c r="VDT611"/>
      <c r="VDU611"/>
      <c r="VDV611"/>
      <c r="VDW611"/>
      <c r="VDX611"/>
      <c r="VDY611"/>
      <c r="VDZ611"/>
      <c r="VEA611"/>
      <c r="VEB611"/>
      <c r="VEC611"/>
      <c r="VED611"/>
      <c r="VEE611"/>
      <c r="VEF611"/>
      <c r="VEG611"/>
      <c r="VEH611"/>
      <c r="VEI611"/>
      <c r="VEJ611"/>
      <c r="VEK611"/>
      <c r="VEL611"/>
      <c r="VEM611"/>
      <c r="VEN611"/>
      <c r="VEO611"/>
      <c r="VEP611"/>
      <c r="VEQ611"/>
      <c r="VER611"/>
      <c r="VES611"/>
      <c r="VET611"/>
      <c r="VEU611"/>
      <c r="VEV611"/>
      <c r="VEW611"/>
      <c r="VEX611"/>
      <c r="VEY611"/>
      <c r="VEZ611"/>
      <c r="VFA611"/>
      <c r="VFB611"/>
      <c r="VFC611"/>
      <c r="VFD611"/>
      <c r="VFE611"/>
      <c r="VFF611"/>
      <c r="VFG611"/>
      <c r="VFH611"/>
      <c r="VFI611"/>
      <c r="VFJ611"/>
      <c r="VFK611"/>
      <c r="VFL611"/>
      <c r="VFM611"/>
      <c r="VFN611"/>
      <c r="VFO611"/>
      <c r="VFP611"/>
      <c r="VFQ611"/>
      <c r="VFR611"/>
      <c r="VFS611"/>
      <c r="VFT611"/>
      <c r="VFU611"/>
      <c r="VFV611"/>
      <c r="VFW611"/>
      <c r="VFX611"/>
      <c r="VFY611"/>
      <c r="VFZ611"/>
      <c r="VGA611"/>
      <c r="VGB611"/>
      <c r="VGC611"/>
      <c r="VGD611"/>
      <c r="VGE611"/>
      <c r="VGF611"/>
      <c r="VGG611"/>
      <c r="VGH611"/>
      <c r="VGI611"/>
      <c r="VGJ611"/>
      <c r="VGK611"/>
      <c r="VGL611"/>
      <c r="VGM611"/>
      <c r="VGN611"/>
      <c r="VGO611"/>
      <c r="VGP611"/>
      <c r="VGQ611"/>
      <c r="VGR611"/>
      <c r="VGS611"/>
      <c r="VGT611"/>
      <c r="VGU611"/>
      <c r="VGV611"/>
      <c r="VGW611"/>
      <c r="VGX611"/>
      <c r="VGY611"/>
      <c r="VGZ611"/>
      <c r="VHA611"/>
      <c r="VHB611"/>
      <c r="VHC611"/>
      <c r="VHD611"/>
      <c r="VHE611"/>
      <c r="VHF611"/>
      <c r="VHG611"/>
      <c r="VHH611"/>
      <c r="VHI611"/>
      <c r="VHJ611"/>
      <c r="VHK611"/>
      <c r="VHL611"/>
      <c r="VHM611"/>
      <c r="VHN611"/>
      <c r="VHO611"/>
      <c r="VHP611"/>
      <c r="VHQ611"/>
      <c r="VHR611"/>
      <c r="VHS611"/>
      <c r="VHT611"/>
      <c r="VHU611"/>
      <c r="VHV611"/>
      <c r="VHW611"/>
      <c r="VHX611"/>
      <c r="VHY611"/>
      <c r="VHZ611"/>
      <c r="VIA611"/>
      <c r="VIB611"/>
      <c r="VIC611"/>
      <c r="VID611"/>
      <c r="VIE611"/>
      <c r="VIF611"/>
      <c r="VIG611"/>
      <c r="VIH611"/>
      <c r="VII611"/>
      <c r="VIJ611"/>
      <c r="VIK611"/>
      <c r="VIL611"/>
      <c r="VIM611"/>
      <c r="VIN611"/>
      <c r="VIO611"/>
      <c r="VIP611"/>
      <c r="VIQ611"/>
      <c r="VIR611"/>
      <c r="VIS611"/>
      <c r="VIT611"/>
      <c r="VIU611"/>
      <c r="VIV611"/>
      <c r="VIW611"/>
      <c r="VIX611"/>
      <c r="VIY611"/>
      <c r="VIZ611"/>
      <c r="VJA611"/>
      <c r="VJB611"/>
      <c r="VJC611"/>
      <c r="VJD611"/>
      <c r="VJE611"/>
      <c r="VJF611"/>
      <c r="VJG611"/>
      <c r="VJH611"/>
      <c r="VJI611"/>
      <c r="VJJ611"/>
      <c r="VJK611"/>
      <c r="VJL611"/>
      <c r="VJM611"/>
      <c r="VJN611"/>
      <c r="VJO611"/>
      <c r="VJP611"/>
      <c r="VJQ611"/>
      <c r="VJR611"/>
      <c r="VJS611"/>
      <c r="VJT611"/>
      <c r="VJU611"/>
      <c r="VJV611"/>
      <c r="VJW611"/>
      <c r="VJX611"/>
      <c r="VJY611"/>
      <c r="VJZ611"/>
      <c r="VKA611"/>
      <c r="VKB611"/>
      <c r="VKC611"/>
      <c r="VKD611"/>
      <c r="VKE611"/>
      <c r="VKF611"/>
      <c r="VKG611"/>
      <c r="VKH611"/>
      <c r="VKI611"/>
      <c r="VKJ611"/>
      <c r="VKK611"/>
      <c r="VKL611"/>
      <c r="VKM611"/>
      <c r="VKN611"/>
      <c r="VKO611"/>
      <c r="VKP611"/>
      <c r="VKQ611"/>
      <c r="VKR611"/>
      <c r="VKS611"/>
      <c r="VKT611"/>
      <c r="VKU611"/>
      <c r="VKV611"/>
      <c r="VKW611"/>
      <c r="VKX611"/>
      <c r="VKY611"/>
      <c r="VKZ611"/>
      <c r="VLA611"/>
      <c r="VLB611"/>
      <c r="VLC611"/>
      <c r="VLD611"/>
      <c r="VLE611"/>
      <c r="VLF611"/>
      <c r="VLG611"/>
      <c r="VLH611"/>
      <c r="VLI611"/>
      <c r="VLJ611"/>
      <c r="VLK611"/>
      <c r="VLL611"/>
      <c r="VLM611"/>
      <c r="VLN611"/>
      <c r="VLO611"/>
      <c r="VLP611"/>
      <c r="VLQ611"/>
      <c r="VLR611"/>
      <c r="VLS611"/>
      <c r="VLT611"/>
      <c r="VLU611"/>
      <c r="VLV611"/>
      <c r="VLW611"/>
      <c r="VLX611"/>
      <c r="VLY611"/>
      <c r="VLZ611"/>
      <c r="VMA611"/>
      <c r="VMB611"/>
      <c r="VMC611"/>
      <c r="VMD611"/>
      <c r="VME611"/>
      <c r="VMF611"/>
      <c r="VMG611"/>
      <c r="VMH611"/>
      <c r="VMI611"/>
      <c r="VMJ611"/>
      <c r="VMK611"/>
      <c r="VML611"/>
      <c r="VMM611"/>
      <c r="VMN611"/>
      <c r="VMO611"/>
      <c r="VMP611"/>
      <c r="VMQ611"/>
      <c r="VMR611"/>
      <c r="VMS611"/>
      <c r="VMT611"/>
      <c r="VMU611"/>
      <c r="VMV611"/>
      <c r="VMW611"/>
      <c r="VMX611"/>
      <c r="VMY611"/>
      <c r="VMZ611"/>
      <c r="VNA611"/>
      <c r="VNB611"/>
      <c r="VNC611"/>
      <c r="VND611"/>
      <c r="VNE611"/>
      <c r="VNF611"/>
      <c r="VNG611"/>
      <c r="VNH611"/>
      <c r="VNI611"/>
      <c r="VNJ611"/>
      <c r="VNK611"/>
      <c r="VNL611"/>
      <c r="VNM611"/>
      <c r="VNN611"/>
      <c r="VNO611"/>
      <c r="VNP611"/>
      <c r="VNQ611"/>
      <c r="VNR611"/>
      <c r="VNS611"/>
      <c r="VNT611"/>
      <c r="VNU611"/>
      <c r="VNV611"/>
      <c r="VNW611"/>
      <c r="VNX611"/>
      <c r="VNY611"/>
      <c r="VNZ611"/>
      <c r="VOA611"/>
      <c r="VOB611"/>
      <c r="VOC611"/>
      <c r="VOD611"/>
      <c r="VOE611"/>
      <c r="VOF611"/>
      <c r="VOG611"/>
      <c r="VOH611"/>
      <c r="VOI611"/>
      <c r="VOJ611"/>
      <c r="VOK611"/>
      <c r="VOL611"/>
      <c r="VOM611"/>
      <c r="VON611"/>
      <c r="VOO611"/>
      <c r="VOP611"/>
      <c r="VOQ611"/>
      <c r="VOR611"/>
      <c r="VOS611"/>
      <c r="VOT611"/>
      <c r="VOU611"/>
      <c r="VOV611"/>
      <c r="VOW611"/>
      <c r="VOX611"/>
      <c r="VOY611"/>
      <c r="VOZ611"/>
      <c r="VPA611"/>
      <c r="VPB611"/>
      <c r="VPC611"/>
      <c r="VPD611"/>
      <c r="VPE611"/>
      <c r="VPF611"/>
      <c r="VPG611"/>
      <c r="VPH611"/>
      <c r="VPI611"/>
      <c r="VPJ611"/>
      <c r="VPK611"/>
      <c r="VPL611"/>
      <c r="VPM611"/>
      <c r="VPN611"/>
      <c r="VPO611"/>
      <c r="VPP611"/>
      <c r="VPQ611"/>
      <c r="VPR611"/>
      <c r="VPS611"/>
      <c r="VPT611"/>
      <c r="VPU611"/>
      <c r="VPV611"/>
      <c r="VPW611"/>
      <c r="VPX611"/>
      <c r="VPY611"/>
      <c r="VPZ611"/>
      <c r="VQA611"/>
      <c r="VQB611"/>
      <c r="VQC611"/>
      <c r="VQD611"/>
      <c r="VQE611"/>
      <c r="VQF611"/>
      <c r="VQG611"/>
      <c r="VQH611"/>
      <c r="VQI611"/>
      <c r="VQJ611"/>
      <c r="VQK611"/>
      <c r="VQL611"/>
      <c r="VQM611"/>
      <c r="VQN611"/>
      <c r="VQO611"/>
      <c r="VQP611"/>
      <c r="VQQ611"/>
      <c r="VQR611"/>
      <c r="VQS611"/>
      <c r="VQT611"/>
      <c r="VQU611"/>
      <c r="VQV611"/>
      <c r="VQW611"/>
      <c r="VQX611"/>
      <c r="VQY611"/>
      <c r="VQZ611"/>
      <c r="VRA611"/>
      <c r="VRB611"/>
      <c r="VRC611"/>
      <c r="VRD611"/>
      <c r="VRE611"/>
      <c r="VRF611"/>
      <c r="VRG611"/>
      <c r="VRH611"/>
      <c r="VRI611"/>
      <c r="VRJ611"/>
      <c r="VRK611"/>
      <c r="VRL611"/>
      <c r="VRM611"/>
      <c r="VRN611"/>
      <c r="VRO611"/>
      <c r="VRP611"/>
      <c r="VRQ611"/>
      <c r="VRR611"/>
      <c r="VRS611"/>
      <c r="VRT611"/>
      <c r="VRU611"/>
      <c r="VRV611"/>
      <c r="VRW611"/>
      <c r="VRX611"/>
      <c r="VRY611"/>
      <c r="VRZ611"/>
      <c r="VSA611"/>
      <c r="VSB611"/>
      <c r="VSC611"/>
      <c r="VSD611"/>
      <c r="VSE611"/>
      <c r="VSF611"/>
      <c r="VSG611"/>
      <c r="VSH611"/>
      <c r="VSI611"/>
      <c r="VSJ611"/>
      <c r="VSK611"/>
      <c r="VSL611"/>
      <c r="VSM611"/>
      <c r="VSN611"/>
      <c r="VSO611"/>
      <c r="VSP611"/>
      <c r="VSQ611"/>
      <c r="VSR611"/>
      <c r="VSS611"/>
      <c r="VST611"/>
      <c r="VSU611"/>
      <c r="VSV611"/>
      <c r="VSW611"/>
      <c r="VSX611"/>
      <c r="VSY611"/>
      <c r="VSZ611"/>
      <c r="VTA611"/>
      <c r="VTB611"/>
      <c r="VTC611"/>
      <c r="VTD611"/>
      <c r="VTE611"/>
      <c r="VTF611"/>
      <c r="VTG611"/>
      <c r="VTH611"/>
      <c r="VTI611"/>
      <c r="VTJ611"/>
      <c r="VTK611"/>
      <c r="VTL611"/>
      <c r="VTM611"/>
      <c r="VTN611"/>
      <c r="VTO611"/>
      <c r="VTP611"/>
      <c r="VTQ611"/>
      <c r="VTR611"/>
      <c r="VTS611"/>
      <c r="VTT611"/>
      <c r="VTU611"/>
      <c r="VTV611"/>
      <c r="VTW611"/>
      <c r="VTX611"/>
      <c r="VTY611"/>
      <c r="VTZ611"/>
      <c r="VUA611"/>
      <c r="VUB611"/>
      <c r="VUC611"/>
      <c r="VUD611"/>
      <c r="VUE611"/>
      <c r="VUF611"/>
      <c r="VUG611"/>
      <c r="VUH611"/>
      <c r="VUI611"/>
      <c r="VUJ611"/>
      <c r="VUK611"/>
      <c r="VUL611"/>
      <c r="VUM611"/>
      <c r="VUN611"/>
      <c r="VUO611"/>
      <c r="VUP611"/>
      <c r="VUQ611"/>
      <c r="VUR611"/>
      <c r="VUS611"/>
      <c r="VUT611"/>
      <c r="VUU611"/>
      <c r="VUV611"/>
      <c r="VUW611"/>
      <c r="VUX611"/>
      <c r="VUY611"/>
      <c r="VUZ611"/>
      <c r="VVA611"/>
      <c r="VVB611"/>
      <c r="VVC611"/>
      <c r="VVD611"/>
      <c r="VVE611"/>
      <c r="VVF611"/>
      <c r="VVG611"/>
      <c r="VVH611"/>
      <c r="VVI611"/>
      <c r="VVJ611"/>
      <c r="VVK611"/>
      <c r="VVL611"/>
      <c r="VVM611"/>
      <c r="VVN611"/>
      <c r="VVO611"/>
      <c r="VVP611"/>
      <c r="VVQ611"/>
      <c r="VVR611"/>
      <c r="VVS611"/>
      <c r="VVT611"/>
      <c r="VVU611"/>
      <c r="VVV611"/>
      <c r="VVW611"/>
      <c r="VVX611"/>
      <c r="VVY611"/>
      <c r="VVZ611"/>
      <c r="VWA611"/>
      <c r="VWB611"/>
      <c r="VWC611"/>
      <c r="VWD611"/>
      <c r="VWE611"/>
      <c r="VWF611"/>
      <c r="VWG611"/>
      <c r="VWH611"/>
      <c r="VWI611"/>
      <c r="VWJ611"/>
      <c r="VWK611"/>
      <c r="VWL611"/>
      <c r="VWM611"/>
      <c r="VWN611"/>
      <c r="VWO611"/>
      <c r="VWP611"/>
      <c r="VWQ611"/>
      <c r="VWR611"/>
      <c r="VWS611"/>
      <c r="VWT611"/>
      <c r="VWU611"/>
      <c r="VWV611"/>
      <c r="VWW611"/>
      <c r="VWX611"/>
      <c r="VWY611"/>
      <c r="VWZ611"/>
      <c r="VXA611"/>
      <c r="VXB611"/>
      <c r="VXC611"/>
      <c r="VXD611"/>
      <c r="VXE611"/>
      <c r="VXF611"/>
      <c r="VXG611"/>
      <c r="VXH611"/>
      <c r="VXI611"/>
      <c r="VXJ611"/>
      <c r="VXK611"/>
      <c r="VXL611"/>
      <c r="VXM611"/>
      <c r="VXN611"/>
      <c r="VXO611"/>
      <c r="VXP611"/>
      <c r="VXQ611"/>
      <c r="VXR611"/>
      <c r="VXS611"/>
      <c r="VXT611"/>
      <c r="VXU611"/>
      <c r="VXV611"/>
      <c r="VXW611"/>
      <c r="VXX611"/>
      <c r="VXY611"/>
      <c r="VXZ611"/>
      <c r="VYA611"/>
      <c r="VYB611"/>
      <c r="VYC611"/>
      <c r="VYD611"/>
      <c r="VYE611"/>
      <c r="VYF611"/>
      <c r="VYG611"/>
      <c r="VYH611"/>
      <c r="VYI611"/>
      <c r="VYJ611"/>
      <c r="VYK611"/>
      <c r="VYL611"/>
      <c r="VYM611"/>
      <c r="VYN611"/>
      <c r="VYO611"/>
      <c r="VYP611"/>
      <c r="VYQ611"/>
      <c r="VYR611"/>
      <c r="VYS611"/>
      <c r="VYT611"/>
      <c r="VYU611"/>
      <c r="VYV611"/>
      <c r="VYW611"/>
      <c r="VYX611"/>
      <c r="VYY611"/>
      <c r="VYZ611"/>
      <c r="VZA611"/>
      <c r="VZB611"/>
      <c r="VZC611"/>
      <c r="VZD611"/>
      <c r="VZE611"/>
      <c r="VZF611"/>
      <c r="VZG611"/>
      <c r="VZH611"/>
      <c r="VZI611"/>
      <c r="VZJ611"/>
      <c r="VZK611"/>
      <c r="VZL611"/>
      <c r="VZM611"/>
      <c r="VZN611"/>
      <c r="VZO611"/>
      <c r="VZP611"/>
      <c r="VZQ611"/>
      <c r="VZR611"/>
      <c r="VZS611"/>
      <c r="VZT611"/>
      <c r="VZU611"/>
      <c r="VZV611"/>
      <c r="VZW611"/>
      <c r="VZX611"/>
      <c r="VZY611"/>
      <c r="VZZ611"/>
      <c r="WAA611"/>
      <c r="WAB611"/>
      <c r="WAC611"/>
      <c r="WAD611"/>
      <c r="WAE611"/>
      <c r="WAF611"/>
      <c r="WAG611"/>
      <c r="WAH611"/>
      <c r="WAI611"/>
      <c r="WAJ611"/>
      <c r="WAK611"/>
      <c r="WAL611"/>
      <c r="WAM611"/>
      <c r="WAN611"/>
      <c r="WAO611"/>
      <c r="WAP611"/>
      <c r="WAQ611"/>
      <c r="WAR611"/>
      <c r="WAS611"/>
      <c r="WAT611"/>
      <c r="WAU611"/>
      <c r="WAV611"/>
      <c r="WAW611"/>
      <c r="WAX611"/>
      <c r="WAY611"/>
      <c r="WAZ611"/>
      <c r="WBA611"/>
      <c r="WBB611"/>
      <c r="WBC611"/>
      <c r="WBD611"/>
      <c r="WBE611"/>
      <c r="WBF611"/>
      <c r="WBG611"/>
      <c r="WBH611"/>
      <c r="WBI611"/>
      <c r="WBJ611"/>
      <c r="WBK611"/>
      <c r="WBL611"/>
      <c r="WBM611"/>
      <c r="WBN611"/>
      <c r="WBO611"/>
      <c r="WBP611"/>
      <c r="WBQ611"/>
      <c r="WBR611"/>
      <c r="WBS611"/>
      <c r="WBT611"/>
      <c r="WBU611"/>
      <c r="WBV611"/>
      <c r="WBW611"/>
      <c r="WBX611"/>
      <c r="WBY611"/>
      <c r="WBZ611"/>
      <c r="WCA611"/>
      <c r="WCB611"/>
      <c r="WCC611"/>
      <c r="WCD611"/>
      <c r="WCE611"/>
      <c r="WCF611"/>
      <c r="WCG611"/>
      <c r="WCH611"/>
      <c r="WCI611"/>
      <c r="WCJ611"/>
      <c r="WCK611"/>
      <c r="WCL611"/>
      <c r="WCM611"/>
      <c r="WCN611"/>
      <c r="WCO611"/>
      <c r="WCP611"/>
      <c r="WCQ611"/>
      <c r="WCR611"/>
      <c r="WCS611"/>
      <c r="WCT611"/>
      <c r="WCU611"/>
      <c r="WCV611"/>
      <c r="WCW611"/>
      <c r="WCX611"/>
      <c r="WCY611"/>
      <c r="WCZ611"/>
      <c r="WDA611"/>
      <c r="WDB611"/>
      <c r="WDC611"/>
      <c r="WDD611"/>
      <c r="WDE611"/>
      <c r="WDF611"/>
      <c r="WDG611"/>
      <c r="WDH611"/>
      <c r="WDI611"/>
      <c r="WDJ611"/>
      <c r="WDK611"/>
      <c r="WDL611"/>
      <c r="WDM611"/>
      <c r="WDN611"/>
      <c r="WDO611"/>
      <c r="WDP611"/>
      <c r="WDQ611"/>
      <c r="WDR611"/>
      <c r="WDS611"/>
      <c r="WDT611"/>
      <c r="WDU611"/>
      <c r="WDV611"/>
      <c r="WDW611"/>
      <c r="WDX611"/>
      <c r="WDY611"/>
      <c r="WDZ611"/>
      <c r="WEA611"/>
      <c r="WEB611"/>
      <c r="WEC611"/>
      <c r="WED611"/>
      <c r="WEE611"/>
      <c r="WEF611"/>
      <c r="WEG611"/>
      <c r="WEH611"/>
      <c r="WEI611"/>
      <c r="WEJ611"/>
      <c r="WEK611"/>
      <c r="WEL611"/>
      <c r="WEM611"/>
      <c r="WEN611"/>
      <c r="WEO611"/>
      <c r="WEP611"/>
      <c r="WEQ611"/>
      <c r="WER611"/>
      <c r="WES611"/>
      <c r="WET611"/>
      <c r="WEU611"/>
      <c r="WEV611"/>
      <c r="WEW611"/>
      <c r="WEX611"/>
      <c r="WEY611"/>
      <c r="WEZ611"/>
      <c r="WFA611"/>
      <c r="WFB611"/>
      <c r="WFC611"/>
      <c r="WFD611"/>
      <c r="WFE611"/>
      <c r="WFF611"/>
      <c r="WFG611"/>
      <c r="WFH611"/>
      <c r="WFI611"/>
      <c r="WFJ611"/>
      <c r="WFK611"/>
      <c r="WFL611"/>
      <c r="WFM611"/>
      <c r="WFN611"/>
      <c r="WFO611"/>
      <c r="WFP611"/>
      <c r="WFQ611"/>
      <c r="WFR611"/>
      <c r="WFS611"/>
      <c r="WFT611"/>
      <c r="WFU611"/>
      <c r="WFV611"/>
      <c r="WFW611"/>
      <c r="WFX611"/>
      <c r="WFY611"/>
      <c r="WFZ611"/>
      <c r="WGA611"/>
      <c r="WGB611"/>
      <c r="WGC611"/>
      <c r="WGD611"/>
      <c r="WGE611"/>
      <c r="WGF611"/>
      <c r="WGG611"/>
      <c r="WGH611"/>
      <c r="WGI611"/>
      <c r="WGJ611"/>
      <c r="WGK611"/>
      <c r="WGL611"/>
      <c r="WGM611"/>
      <c r="WGN611"/>
      <c r="WGO611"/>
      <c r="WGP611"/>
      <c r="WGQ611"/>
      <c r="WGR611"/>
      <c r="WGS611"/>
      <c r="WGT611"/>
      <c r="WGU611"/>
      <c r="WGV611"/>
      <c r="WGW611"/>
      <c r="WGX611"/>
      <c r="WGY611"/>
      <c r="WGZ611"/>
      <c r="WHA611"/>
      <c r="WHB611"/>
      <c r="WHC611"/>
      <c r="WHD611"/>
      <c r="WHE611"/>
      <c r="WHF611"/>
      <c r="WHG611"/>
      <c r="WHH611"/>
      <c r="WHI611"/>
      <c r="WHJ611"/>
      <c r="WHK611"/>
      <c r="WHL611"/>
      <c r="WHM611"/>
      <c r="WHN611"/>
      <c r="WHO611"/>
      <c r="WHP611"/>
      <c r="WHQ611"/>
      <c r="WHR611"/>
      <c r="WHS611"/>
      <c r="WHT611"/>
      <c r="WHU611"/>
      <c r="WHV611"/>
      <c r="WHW611"/>
      <c r="WHX611"/>
      <c r="WHY611"/>
      <c r="WHZ611"/>
      <c r="WIA611"/>
      <c r="WIB611"/>
      <c r="WIC611"/>
      <c r="WID611"/>
      <c r="WIE611"/>
      <c r="WIF611"/>
      <c r="WIG611"/>
      <c r="WIH611"/>
      <c r="WII611"/>
      <c r="WIJ611"/>
      <c r="WIK611"/>
      <c r="WIL611"/>
      <c r="WIM611"/>
      <c r="WIN611"/>
      <c r="WIO611"/>
      <c r="WIP611"/>
      <c r="WIQ611"/>
      <c r="WIR611"/>
      <c r="WIS611"/>
      <c r="WIT611"/>
      <c r="WIU611"/>
      <c r="WIV611"/>
      <c r="WIW611"/>
      <c r="WIX611"/>
      <c r="WIY611"/>
      <c r="WIZ611"/>
      <c r="WJA611"/>
      <c r="WJB611"/>
      <c r="WJC611"/>
      <c r="WJD611"/>
      <c r="WJE611"/>
      <c r="WJF611"/>
      <c r="WJG611"/>
      <c r="WJH611"/>
      <c r="WJI611"/>
      <c r="WJJ611"/>
      <c r="WJK611"/>
      <c r="WJL611"/>
      <c r="WJM611"/>
      <c r="WJN611"/>
      <c r="WJO611"/>
      <c r="WJP611"/>
      <c r="WJQ611"/>
      <c r="WJR611"/>
      <c r="WJS611"/>
      <c r="WJT611"/>
      <c r="WJU611"/>
      <c r="WJV611"/>
      <c r="WJW611"/>
      <c r="WJX611"/>
      <c r="WJY611"/>
      <c r="WJZ611"/>
      <c r="WKA611"/>
      <c r="WKB611"/>
      <c r="WKC611"/>
      <c r="WKD611"/>
      <c r="WKE611"/>
      <c r="WKF611"/>
      <c r="WKG611"/>
      <c r="WKH611"/>
      <c r="WKI611"/>
      <c r="WKJ611"/>
      <c r="WKK611"/>
      <c r="WKL611"/>
      <c r="WKM611"/>
      <c r="WKN611"/>
      <c r="WKO611"/>
      <c r="WKP611"/>
      <c r="WKQ611"/>
      <c r="WKR611"/>
      <c r="WKS611"/>
      <c r="WKT611"/>
      <c r="WKU611"/>
      <c r="WKV611"/>
      <c r="WKW611"/>
      <c r="WKX611"/>
      <c r="WKY611"/>
      <c r="WKZ611"/>
      <c r="WLA611"/>
      <c r="WLB611"/>
      <c r="WLC611"/>
      <c r="WLD611"/>
      <c r="WLE611"/>
      <c r="WLF611"/>
      <c r="WLG611"/>
      <c r="WLH611"/>
      <c r="WLI611"/>
      <c r="WLJ611"/>
      <c r="WLK611"/>
      <c r="WLL611"/>
      <c r="WLM611"/>
      <c r="WLN611"/>
      <c r="WLO611"/>
      <c r="WLP611"/>
      <c r="WLQ611"/>
      <c r="WLR611"/>
      <c r="WLS611"/>
      <c r="WLT611"/>
      <c r="WLU611"/>
      <c r="WLV611"/>
      <c r="WLW611"/>
      <c r="WLX611"/>
      <c r="WLY611"/>
      <c r="WLZ611"/>
      <c r="WMA611"/>
      <c r="WMB611"/>
      <c r="WMC611"/>
      <c r="WMD611"/>
      <c r="WME611"/>
      <c r="WMF611"/>
      <c r="WMG611"/>
      <c r="WMH611"/>
      <c r="WMI611"/>
      <c r="WMJ611"/>
      <c r="WMK611"/>
      <c r="WML611"/>
      <c r="WMM611"/>
      <c r="WMN611"/>
      <c r="WMO611"/>
      <c r="WMP611"/>
      <c r="WMQ611"/>
      <c r="WMR611"/>
      <c r="WMS611"/>
      <c r="WMT611"/>
      <c r="WMU611"/>
      <c r="WMV611"/>
      <c r="WMW611"/>
      <c r="WMX611"/>
      <c r="WMY611"/>
      <c r="WMZ611"/>
      <c r="WNA611"/>
      <c r="WNB611"/>
      <c r="WNC611"/>
      <c r="WND611"/>
      <c r="WNE611"/>
      <c r="WNF611"/>
      <c r="WNG611"/>
      <c r="WNH611"/>
      <c r="WNI611"/>
      <c r="WNJ611"/>
      <c r="WNK611"/>
      <c r="WNL611"/>
      <c r="WNM611"/>
      <c r="WNN611"/>
      <c r="WNO611"/>
      <c r="WNP611"/>
      <c r="WNQ611"/>
      <c r="WNR611"/>
      <c r="WNS611"/>
      <c r="WNT611"/>
      <c r="WNU611"/>
      <c r="WNV611"/>
      <c r="WNW611"/>
      <c r="WNX611"/>
      <c r="WNY611"/>
      <c r="WNZ611"/>
      <c r="WOA611"/>
      <c r="WOB611"/>
      <c r="WOC611"/>
      <c r="WOD611"/>
      <c r="WOE611"/>
      <c r="WOF611"/>
      <c r="WOG611"/>
      <c r="WOH611"/>
      <c r="WOI611"/>
      <c r="WOJ611"/>
      <c r="WOK611"/>
      <c r="WOL611"/>
      <c r="WOM611"/>
      <c r="WON611"/>
      <c r="WOO611"/>
      <c r="WOP611"/>
      <c r="WOQ611"/>
      <c r="WOR611"/>
      <c r="WOS611"/>
      <c r="WOT611"/>
      <c r="WOU611"/>
      <c r="WOV611"/>
      <c r="WOW611"/>
      <c r="WOX611"/>
      <c r="WOY611"/>
      <c r="WOZ611"/>
      <c r="WPA611"/>
      <c r="WPB611"/>
      <c r="WPC611"/>
      <c r="WPD611"/>
      <c r="WPE611"/>
      <c r="WPF611"/>
      <c r="WPG611"/>
      <c r="WPH611"/>
      <c r="WPI611"/>
      <c r="WPJ611"/>
      <c r="WPK611"/>
      <c r="WPL611"/>
      <c r="WPM611"/>
      <c r="WPN611"/>
      <c r="WPO611"/>
      <c r="WPP611"/>
      <c r="WPQ611"/>
      <c r="WPR611"/>
      <c r="WPS611"/>
      <c r="WPT611"/>
      <c r="WPU611"/>
      <c r="WPV611"/>
      <c r="WPW611"/>
      <c r="WPX611"/>
      <c r="WPY611"/>
      <c r="WPZ611"/>
      <c r="WQA611"/>
      <c r="WQB611"/>
      <c r="WQC611"/>
      <c r="WQD611"/>
      <c r="WQE611"/>
      <c r="WQF611"/>
      <c r="WQG611"/>
      <c r="WQH611"/>
      <c r="WQI611"/>
      <c r="WQJ611"/>
      <c r="WQK611"/>
      <c r="WQL611"/>
      <c r="WQM611"/>
      <c r="WQN611"/>
      <c r="WQO611"/>
      <c r="WQP611"/>
      <c r="WQQ611"/>
      <c r="WQR611"/>
      <c r="WQS611"/>
      <c r="WQT611"/>
      <c r="WQU611"/>
      <c r="WQV611"/>
      <c r="WQW611"/>
      <c r="WQX611"/>
      <c r="WQY611"/>
      <c r="WQZ611"/>
      <c r="WRA611"/>
      <c r="WRB611"/>
      <c r="WRC611"/>
      <c r="WRD611"/>
      <c r="WRE611"/>
      <c r="WRF611"/>
      <c r="WRG611"/>
      <c r="WRH611"/>
      <c r="WRI611"/>
      <c r="WRJ611"/>
      <c r="WRK611"/>
      <c r="WRL611"/>
      <c r="WRM611"/>
      <c r="WRN611"/>
      <c r="WRO611"/>
      <c r="WRP611"/>
      <c r="WRQ611"/>
      <c r="WRR611"/>
      <c r="WRS611"/>
      <c r="WRT611"/>
      <c r="WRU611"/>
      <c r="WRV611"/>
      <c r="WRW611"/>
      <c r="WRX611"/>
      <c r="WRY611"/>
      <c r="WRZ611"/>
      <c r="WSA611"/>
      <c r="WSB611"/>
      <c r="WSC611"/>
      <c r="WSD611"/>
      <c r="WSE611"/>
      <c r="WSF611"/>
      <c r="WSG611"/>
      <c r="WSH611"/>
      <c r="WSI611"/>
      <c r="WSJ611"/>
      <c r="WSK611"/>
      <c r="WSL611"/>
      <c r="WSM611"/>
      <c r="WSN611"/>
      <c r="WSO611"/>
      <c r="WSP611"/>
      <c r="WSQ611"/>
      <c r="WSR611"/>
      <c r="WSS611"/>
      <c r="WST611"/>
      <c r="WSU611"/>
      <c r="WSV611"/>
      <c r="WSW611"/>
      <c r="WSX611"/>
      <c r="WSY611"/>
      <c r="WSZ611"/>
      <c r="WTA611"/>
      <c r="WTB611"/>
      <c r="WTC611"/>
      <c r="WTD611"/>
      <c r="WTE611"/>
      <c r="WTF611"/>
      <c r="WTG611"/>
      <c r="WTH611"/>
      <c r="WTI611"/>
      <c r="WTJ611"/>
      <c r="WTK611"/>
      <c r="WTL611"/>
      <c r="WTM611"/>
      <c r="WTN611"/>
      <c r="WTO611"/>
      <c r="WTP611"/>
      <c r="WTQ611"/>
      <c r="WTR611"/>
      <c r="WTS611"/>
      <c r="WTT611"/>
      <c r="WTU611"/>
      <c r="WTV611"/>
      <c r="WTW611"/>
      <c r="WTX611"/>
      <c r="WTY611"/>
      <c r="WTZ611"/>
      <c r="WUA611"/>
      <c r="WUB611"/>
      <c r="WUC611"/>
      <c r="WUD611"/>
      <c r="WUE611"/>
      <c r="WUF611"/>
      <c r="WUG611"/>
      <c r="WUH611"/>
      <c r="WUI611"/>
      <c r="WUJ611"/>
      <c r="WUK611"/>
      <c r="WUL611"/>
      <c r="WUM611"/>
      <c r="WUN611"/>
      <c r="WUO611"/>
      <c r="WUP611"/>
      <c r="WUQ611"/>
      <c r="WUR611"/>
      <c r="WUS611"/>
      <c r="WUT611"/>
      <c r="WUU611"/>
      <c r="WUV611"/>
      <c r="WUW611"/>
      <c r="WUX611"/>
      <c r="WUY611"/>
      <c r="WUZ611"/>
      <c r="WVA611"/>
      <c r="WVB611"/>
      <c r="WVC611"/>
      <c r="WVD611"/>
      <c r="WVE611"/>
      <c r="WVF611"/>
      <c r="WVG611"/>
      <c r="WVH611"/>
      <c r="WVI611"/>
      <c r="WVJ611"/>
      <c r="WVK611"/>
      <c r="WVL611"/>
      <c r="WVM611"/>
      <c r="WVN611"/>
      <c r="WVO611"/>
      <c r="WVP611"/>
      <c r="WVQ611"/>
      <c r="WVR611"/>
      <c r="WVS611"/>
      <c r="WVT611"/>
      <c r="WVU611"/>
      <c r="WVV611"/>
      <c r="WVW611"/>
      <c r="WVX611"/>
      <c r="WVY611"/>
      <c r="WVZ611"/>
      <c r="WWA611"/>
      <c r="WWB611"/>
      <c r="WWC611"/>
      <c r="WWD611"/>
      <c r="WWE611"/>
      <c r="WWF611"/>
      <c r="WWG611"/>
      <c r="WWH611"/>
      <c r="WWI611"/>
      <c r="WWJ611"/>
      <c r="WWK611"/>
      <c r="WWL611"/>
      <c r="WWM611"/>
      <c r="WWN611"/>
      <c r="WWO611"/>
      <c r="WWP611"/>
      <c r="WWQ611"/>
      <c r="WWR611"/>
      <c r="WWS611"/>
      <c r="WWT611"/>
      <c r="WWU611"/>
      <c r="WWV611"/>
      <c r="WWW611"/>
      <c r="WWX611"/>
      <c r="WWY611"/>
      <c r="WWZ611"/>
      <c r="WXA611"/>
      <c r="WXB611"/>
      <c r="WXC611"/>
      <c r="WXD611"/>
      <c r="WXE611"/>
      <c r="WXF611"/>
      <c r="WXG611"/>
      <c r="WXH611"/>
      <c r="WXI611"/>
      <c r="WXJ611"/>
      <c r="WXK611"/>
      <c r="WXL611"/>
      <c r="WXM611"/>
      <c r="WXN611"/>
      <c r="WXO611"/>
      <c r="WXP611"/>
      <c r="WXQ611"/>
      <c r="WXR611"/>
      <c r="WXS611"/>
      <c r="WXT611"/>
      <c r="WXU611"/>
      <c r="WXV611"/>
      <c r="WXW611"/>
      <c r="WXX611"/>
      <c r="WXY611"/>
      <c r="WXZ611"/>
      <c r="WYA611"/>
      <c r="WYB611"/>
      <c r="WYC611"/>
      <c r="WYD611"/>
      <c r="WYE611"/>
      <c r="WYF611"/>
      <c r="WYG611"/>
      <c r="WYH611"/>
      <c r="WYI611"/>
      <c r="WYJ611"/>
      <c r="WYK611"/>
      <c r="WYL611"/>
      <c r="WYM611"/>
      <c r="WYN611"/>
      <c r="WYO611"/>
      <c r="WYP611"/>
      <c r="WYQ611"/>
      <c r="WYR611"/>
      <c r="WYS611"/>
      <c r="WYT611"/>
      <c r="WYU611"/>
      <c r="WYV611"/>
      <c r="WYW611"/>
      <c r="WYX611"/>
      <c r="WYY611"/>
      <c r="WYZ611"/>
      <c r="WZA611"/>
      <c r="WZB611"/>
      <c r="WZC611"/>
      <c r="WZD611"/>
      <c r="WZE611"/>
      <c r="WZF611"/>
      <c r="WZG611"/>
      <c r="WZH611"/>
      <c r="WZI611"/>
      <c r="WZJ611"/>
      <c r="WZK611"/>
      <c r="WZL611"/>
      <c r="WZM611"/>
      <c r="WZN611"/>
      <c r="WZO611"/>
      <c r="WZP611"/>
      <c r="WZQ611"/>
      <c r="WZR611"/>
      <c r="WZS611"/>
      <c r="WZT611"/>
      <c r="WZU611"/>
      <c r="WZV611"/>
      <c r="WZW611"/>
      <c r="WZX611"/>
      <c r="WZY611"/>
      <c r="WZZ611"/>
      <c r="XAA611"/>
      <c r="XAB611"/>
      <c r="XAC611"/>
      <c r="XAD611"/>
      <c r="XAE611"/>
      <c r="XAF611"/>
      <c r="XAG611"/>
      <c r="XAH611"/>
      <c r="XAI611"/>
      <c r="XAJ611"/>
      <c r="XAK611"/>
      <c r="XAL611"/>
      <c r="XAM611"/>
      <c r="XAN611"/>
      <c r="XAO611"/>
      <c r="XAP611"/>
      <c r="XAQ611"/>
      <c r="XAR611"/>
      <c r="XAS611"/>
      <c r="XAT611"/>
      <c r="XAU611"/>
      <c r="XAV611"/>
      <c r="XAW611"/>
      <c r="XAX611"/>
      <c r="XAY611"/>
      <c r="XAZ611"/>
      <c r="XBA611"/>
      <c r="XBB611"/>
      <c r="XBC611"/>
      <c r="XBD611"/>
      <c r="XBE611"/>
      <c r="XBF611"/>
      <c r="XBG611"/>
      <c r="XBH611"/>
      <c r="XBI611"/>
      <c r="XBJ611"/>
      <c r="XBK611"/>
      <c r="XBL611"/>
      <c r="XBM611"/>
      <c r="XBN611"/>
      <c r="XBO611"/>
      <c r="XBP611"/>
      <c r="XBQ611"/>
      <c r="XBR611"/>
      <c r="XBS611"/>
      <c r="XBT611"/>
      <c r="XBU611"/>
      <c r="XBV611"/>
      <c r="XBW611"/>
      <c r="XBX611"/>
      <c r="XBY611"/>
      <c r="XBZ611"/>
      <c r="XCA611"/>
      <c r="XCB611"/>
      <c r="XCC611"/>
      <c r="XCD611"/>
      <c r="XCE611"/>
      <c r="XCF611"/>
      <c r="XCG611"/>
      <c r="XCH611"/>
      <c r="XCI611"/>
      <c r="XCJ611"/>
      <c r="XCK611"/>
      <c r="XCL611"/>
      <c r="XCM611"/>
      <c r="XCN611"/>
      <c r="XCO611"/>
      <c r="XCP611"/>
      <c r="XCQ611"/>
      <c r="XCR611"/>
      <c r="XCS611"/>
      <c r="XCT611"/>
      <c r="XCU611"/>
      <c r="XCV611"/>
      <c r="XCW611"/>
      <c r="XCX611"/>
      <c r="XCY611"/>
      <c r="XCZ611"/>
      <c r="XDA611"/>
      <c r="XDB611"/>
      <c r="XDC611"/>
      <c r="XDD611"/>
      <c r="XDE611"/>
      <c r="XDF611"/>
      <c r="XDG611"/>
      <c r="XDH611"/>
      <c r="XDI611"/>
      <c r="XDJ611"/>
      <c r="XDK611"/>
      <c r="XDL611"/>
      <c r="XDM611"/>
      <c r="XDN611"/>
      <c r="XDO611"/>
      <c r="XDP611"/>
      <c r="XDQ611"/>
      <c r="XDR611"/>
      <c r="XDS611"/>
      <c r="XDT611"/>
      <c r="XDU611"/>
      <c r="XDV611"/>
      <c r="XDW611"/>
      <c r="XDX611"/>
      <c r="XDY611"/>
      <c r="XDZ611"/>
      <c r="XEA611"/>
      <c r="XEB611"/>
      <c r="XEC611"/>
      <c r="XED611"/>
      <c r="XEE611"/>
      <c r="XEF611"/>
      <c r="XEG611"/>
      <c r="XEH611"/>
      <c r="XEI611"/>
      <c r="XEJ611"/>
      <c r="XEK611"/>
      <c r="XEL611"/>
      <c r="XEM611"/>
      <c r="XEN611"/>
      <c r="XEO611"/>
      <c r="XEP611"/>
      <c r="XEQ611"/>
      <c r="XER611"/>
      <c r="XES611"/>
      <c r="XET611"/>
      <c r="XEU611"/>
      <c r="XEV611"/>
      <c r="XEW611"/>
      <c r="XEX611"/>
      <c r="XEY611"/>
      <c r="XEZ611"/>
      <c r="XFA611"/>
      <c r="XFB611"/>
      <c r="XFC611"/>
      <c r="XFD611"/>
    </row>
    <row r="612" spans="1:16384" x14ac:dyDescent="0.25">
      <c r="C612" s="19"/>
      <c r="D612" s="40" t="s">
        <v>987</v>
      </c>
      <c r="E612" s="19"/>
      <c r="F612" s="19"/>
      <c r="G612" s="19"/>
      <c r="H612" s="42" t="s">
        <v>996</v>
      </c>
      <c r="I612" s="42" t="s">
        <v>4572</v>
      </c>
      <c r="J612" s="25"/>
      <c r="K612" s="25"/>
      <c r="L612" s="25"/>
      <c r="M612" s="42" t="s">
        <v>4581</v>
      </c>
    </row>
    <row r="613" spans="1:16384" x14ac:dyDescent="0.25">
      <c r="C613" s="44">
        <v>40837</v>
      </c>
      <c r="D613" s="19" t="s">
        <v>4545</v>
      </c>
      <c r="E613" s="19"/>
      <c r="F613" s="19"/>
      <c r="G613" s="19"/>
      <c r="H613" s="46">
        <f>SUMIFS($H$4:$H$610,$M$4:$M$610,"&gt;0",$M$4:$M$610,"&lt;1.99")</f>
        <v>4428203347.1100006</v>
      </c>
      <c r="I613" s="10">
        <f>SUMIFS($I$4:$I$610,$M$4:$M$610,"&lt;1.99")</f>
        <v>2.1344894650000001</v>
      </c>
      <c r="J613" s="25"/>
      <c r="K613" s="25"/>
      <c r="L613" s="25"/>
      <c r="M613" s="10">
        <f>SUMIFS($AB$4:$AB$610,$M$4:$M$610,"&gt;0",$M$4:$M$610,"&lt;1.99")</f>
        <v>1.6881407505464154</v>
      </c>
    </row>
    <row r="614" spans="1:16384" x14ac:dyDescent="0.25">
      <c r="C614" s="44">
        <v>40837</v>
      </c>
      <c r="D614" s="55" t="s">
        <v>4546</v>
      </c>
      <c r="E614" s="19"/>
      <c r="F614" s="19"/>
      <c r="G614" s="19"/>
      <c r="H614" s="46">
        <f>SUMIFS($H$4:$H$610,$M$4:$M$610,"&gt;1.99",$M$4:$M$610,"&lt;3.99")</f>
        <v>61442270643.640015</v>
      </c>
      <c r="I614" s="10">
        <f>SUMIFS($I$4:$I$610,$M$4:$M$610,"&gt;1.999",$M$4:$M$610,"&lt;3.999")</f>
        <v>29.929686830999991</v>
      </c>
      <c r="J614" s="25"/>
      <c r="K614" s="25"/>
      <c r="L614" s="25"/>
      <c r="M614" s="10">
        <f>SUMIFS($AB$4:$AB$610,$M$4:$M$610,"&gt;1.99",$M$4:$M$610,"&lt;3.99")</f>
        <v>3.0657814144303521</v>
      </c>
    </row>
    <row r="615" spans="1:16384" x14ac:dyDescent="0.25">
      <c r="C615" s="44">
        <v>40837</v>
      </c>
      <c r="D615" s="55" t="s">
        <v>4547</v>
      </c>
      <c r="E615" s="19"/>
      <c r="F615" s="19"/>
      <c r="G615" s="19"/>
      <c r="H615" s="46">
        <f>SUMIFS($H$4:$H$610,$M$4:$M$610,"&gt;3.99",$M$4:$M$610,"&lt;5.99")</f>
        <v>72051483192.599991</v>
      </c>
      <c r="I615" s="10">
        <f>SUMIFS($I$4:$I$610,$M$4:$M$610,"&gt;3.999",$M$4:$M$610,"&lt;5.999")</f>
        <v>34.41717998999998</v>
      </c>
      <c r="J615" s="25"/>
      <c r="K615" s="25"/>
      <c r="L615" s="25"/>
      <c r="M615" s="10">
        <f>SUMIFS($AB$4:$AB$610,$M$4:$M$610,"&gt;3.99",$M$4:$M$610,"&lt;5.99")</f>
        <v>4.9966214739106443</v>
      </c>
    </row>
    <row r="616" spans="1:16384" x14ac:dyDescent="0.25">
      <c r="C616" s="44">
        <v>40837</v>
      </c>
      <c r="D616" s="55" t="s">
        <v>4548</v>
      </c>
      <c r="E616" s="19"/>
      <c r="F616" s="19"/>
      <c r="G616" s="19"/>
      <c r="H616" s="46">
        <f>SUMIFS($H$4:$H$610,$M$4:$M$610,"&gt;5.99",$M$4:$M$610,"&lt;7.99")</f>
        <v>37100980217.520004</v>
      </c>
      <c r="I616" s="10">
        <f>SUMIFS($I$4:$I$610,$M$4:$M$610,"&gt;5.999",$M$4:$M$610,"&lt;7.999")</f>
        <v>18.011619352000007</v>
      </c>
      <c r="J616" s="25"/>
      <c r="K616" s="25"/>
      <c r="L616" s="25"/>
      <c r="M616" s="10">
        <f>SUMIFS($AB$4:$AB$610,$M$4:$M$610,"&gt;5.99",$M$4:$M$610,"&lt;7.99")</f>
        <v>6.8443761706744661</v>
      </c>
    </row>
    <row r="617" spans="1:16384" s="36" customFormat="1" x14ac:dyDescent="0.25">
      <c r="C617" s="39">
        <v>40837</v>
      </c>
      <c r="D617" s="55" t="s">
        <v>4549</v>
      </c>
      <c r="E617" s="19"/>
      <c r="F617" s="19"/>
      <c r="G617" s="19"/>
      <c r="H617" s="46">
        <f>SUMIFS($H$4:$H$610,$M$4:$M$610,"&gt;7.99",$M$4:$M$610,"&lt;9.99")</f>
        <v>16591227218.15</v>
      </c>
      <c r="I617" s="10">
        <f>SUMIFS($I$4:$I$610,$M$4:$M$610,"&gt;7.999",$M$4:$M$610,"&lt;9.999")</f>
        <v>7.8691819730000017</v>
      </c>
      <c r="J617" s="25"/>
      <c r="K617" s="25"/>
      <c r="L617" s="25"/>
      <c r="M617" s="10">
        <f>SUMIFS($AB$4:$AB$610,$M$4:$M$610,"&gt;7.99",$M$4:$M$610,"&lt;9.99")</f>
        <v>8.918120379226421</v>
      </c>
    </row>
    <row r="618" spans="1:16384" s="36" customFormat="1" x14ac:dyDescent="0.25">
      <c r="C618" s="39">
        <v>40837</v>
      </c>
      <c r="D618" s="54" t="s">
        <v>992</v>
      </c>
      <c r="E618" s="19"/>
      <c r="F618" s="19"/>
      <c r="G618" s="19"/>
      <c r="H618" s="46">
        <f>SUMIFS($H$4:$H$610,$M$4:$M$610,"&gt;9.99")</f>
        <v>15845437417.370001</v>
      </c>
      <c r="I618" s="10">
        <f>SUMIFS($I$4:$I$610,$M$4:$M$610,"&gt;9.999")</f>
        <v>7.6378423879999966</v>
      </c>
      <c r="J618" s="25"/>
      <c r="K618" s="25"/>
      <c r="L618" s="25"/>
      <c r="M618" s="10">
        <f>SUMIFS($AB$4:$AB$610,$M$4:$M$610,"&gt;9.99")</f>
        <v>15.298529140401911</v>
      </c>
    </row>
    <row r="619" spans="1:16384" s="36" customFormat="1" x14ac:dyDescent="0.25">
      <c r="C619" s="39"/>
      <c r="H619" s="31" t="str">
        <f>IF(SUM(H613:H618)&lt;&gt;$H$611,"check values","")</f>
        <v/>
      </c>
      <c r="I619" s="70" t="str">
        <f>IF(SUM(I613:I618)&lt;&gt;$I$611,"check values","")</f>
        <v>check values</v>
      </c>
      <c r="J619" s="69"/>
      <c r="K619" s="4"/>
      <c r="L619" s="4"/>
      <c r="M619" s="4"/>
    </row>
    <row r="620" spans="1:16384" x14ac:dyDescent="0.25">
      <c r="C620" s="19"/>
      <c r="D620" s="40" t="s">
        <v>990</v>
      </c>
      <c r="E620" s="19"/>
      <c r="F620" s="19"/>
      <c r="G620" s="19"/>
      <c r="H620" s="42" t="s">
        <v>996</v>
      </c>
      <c r="I620" s="42" t="s">
        <v>4572</v>
      </c>
      <c r="J620" s="25"/>
      <c r="K620" s="25"/>
      <c r="L620" s="25"/>
      <c r="M620" s="42" t="s">
        <v>4582</v>
      </c>
    </row>
    <row r="621" spans="1:16384" x14ac:dyDescent="0.25">
      <c r="C621" s="44">
        <v>40837</v>
      </c>
      <c r="D621" s="19" t="s">
        <v>4550</v>
      </c>
      <c r="E621" s="19"/>
      <c r="F621" s="19"/>
      <c r="G621" s="19"/>
      <c r="H621" s="46">
        <f>SUMIFS($H$4:$H$610,$O$4:$O$610,"&gt;0",$O$4:$O$610,"&lt;199.99")</f>
        <v>28539065334.769997</v>
      </c>
      <c r="I621" s="10">
        <f>SUMIFS($I$4:$I$610,$O$4:$O$610,"&gt;0",$O$4:$O$610,"&lt;199.99")</f>
        <v>13.756444654999999</v>
      </c>
      <c r="J621" s="25"/>
      <c r="K621" s="25"/>
      <c r="L621" s="25"/>
      <c r="M621" s="10">
        <f>SUMIFS($AC$4:$AC$610,$O$4:$O$610,"&gt;0",$O$4:$O$610,"&lt;199.99")</f>
        <v>166.69101930288662</v>
      </c>
    </row>
    <row r="622" spans="1:16384" x14ac:dyDescent="0.25">
      <c r="C622" s="44">
        <v>40837</v>
      </c>
      <c r="D622" s="55" t="s">
        <v>4551</v>
      </c>
      <c r="E622" s="19"/>
      <c r="F622" s="19"/>
      <c r="G622" s="19"/>
      <c r="H622" s="46">
        <f>SUMIFS($H$4:$H$610,$O$4:$O$610,"&gt;199.99",$O$4:$O$610,"&lt;399.99")</f>
        <v>100895404817.92004</v>
      </c>
      <c r="I622" s="10">
        <f>SUMIFS($I$4:$I$610,$O$4:$O$610,"&gt;199.99",$O$4:$O$610,"&lt;399.99")</f>
        <v>48.633759932999993</v>
      </c>
      <c r="J622" s="25"/>
      <c r="K622" s="25"/>
      <c r="L622" s="25"/>
      <c r="M622" s="10">
        <f>SUMIFS($AC$4:$AC$610,$O$4:$O$610,"&gt;199.99",$O$4:$O$610,"&lt;399.99")</f>
        <v>295.45841817910696</v>
      </c>
    </row>
    <row r="623" spans="1:16384" x14ac:dyDescent="0.25">
      <c r="C623" s="44">
        <v>40837</v>
      </c>
      <c r="D623" s="55" t="s">
        <v>4552</v>
      </c>
      <c r="E623" s="19"/>
      <c r="F623" s="19"/>
      <c r="G623" s="19"/>
      <c r="H623" s="46">
        <f>SUMIFS($H$4:$H$610,$O$4:$O$610,"&gt;399.99",$O$4:$O$610,"&lt;599.99")</f>
        <v>35329885623.950012</v>
      </c>
      <c r="I623" s="10">
        <f>SUMIFS($I$4:$I$610,$O$4:$O$610,"&gt;399.99",$O$4:$O$610,"&lt;599.99")</f>
        <v>17.029766410000004</v>
      </c>
      <c r="J623" s="25"/>
      <c r="K623" s="25"/>
      <c r="L623" s="25"/>
      <c r="M623" s="10">
        <f>SUMIFS($AC$4:$AC$610,$O$4:$O$610,"&gt;399.99",$O$4:$O$610,"&lt;599.99")</f>
        <v>480.14532403666675</v>
      </c>
    </row>
    <row r="624" spans="1:16384" x14ac:dyDescent="0.25">
      <c r="C624" s="44">
        <v>40837</v>
      </c>
      <c r="D624" s="55" t="s">
        <v>4553</v>
      </c>
      <c r="E624" s="19"/>
      <c r="F624" s="19"/>
      <c r="G624" s="19"/>
      <c r="H624" s="46">
        <f>SUMIFS($H$4:$H$610,$O$4:$O$610,"&gt;599.99",$O$4:$O$610,"&lt;799.99")</f>
        <v>18412180811.930004</v>
      </c>
      <c r="I624" s="10">
        <f>SUMIFS($I$4:$I$610,$O$4:$O$610,"&gt;599.99",$O$4:$O$610,"&lt;799.99")</f>
        <v>8.8750680279999994</v>
      </c>
      <c r="J624" s="25"/>
      <c r="K624" s="25"/>
      <c r="L624" s="25"/>
      <c r="M624" s="10">
        <f>SUMIFS($AC$4:$AC$610,$O$4:$O$610,"&gt;599.99",$O$4:$O$610,"&lt;799.99")</f>
        <v>671.79608266883361</v>
      </c>
    </row>
    <row r="625" spans="3:13" s="36" customFormat="1" x14ac:dyDescent="0.25">
      <c r="C625" s="39">
        <v>40837</v>
      </c>
      <c r="D625" s="55" t="s">
        <v>4554</v>
      </c>
      <c r="E625" s="19"/>
      <c r="F625" s="19"/>
      <c r="G625" s="19"/>
      <c r="H625" s="46">
        <f>SUMIFS($H$4:$H$610,$O$4:$O$610,"&gt;799.99",$O$4:$O$610,"&lt;999.99")</f>
        <v>10787007986.580002</v>
      </c>
      <c r="I625" s="10">
        <f>SUMIFS($I$4:$I$610,$O$4:$O$610,"&gt;799.99",$O$4:$O$610,"&lt;999.99")</f>
        <v>5.1995703659999988</v>
      </c>
      <c r="J625" s="25"/>
      <c r="K625" s="25"/>
      <c r="L625" s="25"/>
      <c r="M625" s="10">
        <f>SUMIFS($AC$4:$AC$610,$O$4:$O$610,"&gt;799.99",$O$4:$O$610,"&lt;999.99")</f>
        <v>880.17986751983301</v>
      </c>
    </row>
    <row r="626" spans="3:13" s="36" customFormat="1" x14ac:dyDescent="0.25">
      <c r="C626" s="39">
        <v>40837</v>
      </c>
      <c r="D626" s="56" t="s">
        <v>4555</v>
      </c>
      <c r="E626" s="19"/>
      <c r="F626" s="19"/>
      <c r="G626" s="19"/>
      <c r="H626" s="46">
        <f>SUMIFS($H$4:$H$610,$O$4:$O$610,"&gt;999.99")</f>
        <v>13496057461.24</v>
      </c>
      <c r="I626" s="10">
        <f>SUMIFS($I$4:$I$610,$O$4:$O$610,"&gt;999.99")</f>
        <v>6.5053906069999972</v>
      </c>
      <c r="J626" s="25"/>
      <c r="K626" s="25"/>
      <c r="L626" s="25"/>
      <c r="M626" s="10">
        <f>SUMIFS($AC$4:$AC$610,$O$4:$O$610,"&gt;999.99")</f>
        <v>1519.8428038035465</v>
      </c>
    </row>
    <row r="627" spans="3:13" x14ac:dyDescent="0.25">
      <c r="H627" s="31" t="str">
        <f>IF(SUM(H621:H626)&lt;&gt;$H$611,"check values","")</f>
        <v/>
      </c>
      <c r="I627" s="70" t="str">
        <f>IF(SUM(I621:I626)&lt;&gt;$I$611,"check values","")</f>
        <v>check values</v>
      </c>
      <c r="J627" s="10"/>
      <c r="K627" s="4"/>
      <c r="L627" s="4"/>
      <c r="M627" s="4"/>
    </row>
    <row r="628" spans="3:13" x14ac:dyDescent="0.25">
      <c r="D628" s="37" t="s">
        <v>991</v>
      </c>
      <c r="H628" s="12" t="s">
        <v>996</v>
      </c>
      <c r="I628" s="42" t="s">
        <v>4572</v>
      </c>
      <c r="J628" s="4"/>
      <c r="K628" s="4"/>
      <c r="L628" s="4"/>
      <c r="M628" s="12" t="s">
        <v>4583</v>
      </c>
    </row>
    <row r="629" spans="3:13" x14ac:dyDescent="0.25">
      <c r="C629" s="39">
        <v>40837</v>
      </c>
      <c r="D629" s="19" t="s">
        <v>4545</v>
      </c>
      <c r="H629" s="31">
        <f>SUMIFS($H$4:$H$610,$K$4:$K$610,"&lt;1.999")</f>
        <v>16408854890.880001</v>
      </c>
      <c r="I629" s="10">
        <f>SUMIFS($I$4:$I$610,$K$4:$K$610,"&lt;1.999")</f>
        <v>7.9094217560000004</v>
      </c>
      <c r="J629" s="4"/>
      <c r="K629" s="4"/>
      <c r="L629" s="4"/>
      <c r="M629" s="10">
        <f>SUMIFS($AA$4:$AA$610,$K$4:$K$610,"&lt;1.999")</f>
        <v>0.98287716483668019</v>
      </c>
    </row>
    <row r="630" spans="3:13" x14ac:dyDescent="0.25">
      <c r="C630" s="39">
        <v>40837</v>
      </c>
      <c r="D630" s="55" t="s">
        <v>4546</v>
      </c>
      <c r="H630" s="31">
        <f>SUMIFS($H$4:$H$610,$K$4:$K$610,"&gt;1.999",$K$4:$K$610,"&lt;3.999")</f>
        <v>73252241248.770004</v>
      </c>
      <c r="I630" s="10">
        <f>SUMIFS($I$4:$I$610,$K$4:$K$610,"&gt;1.999",$K$4:$K$610,"&lt;3.999")</f>
        <v>35.309159244999996</v>
      </c>
      <c r="J630" s="4"/>
      <c r="K630" s="4"/>
      <c r="L630" s="4"/>
      <c r="M630" s="10">
        <f>SUMIFS($AA$4:$AA$610,$K$4:$K$610,"&gt;1.999",$K$4:$K$610,"&lt;3.999")</f>
        <v>3.1330464270530216</v>
      </c>
    </row>
    <row r="631" spans="3:13" x14ac:dyDescent="0.25">
      <c r="C631" s="39">
        <v>40837</v>
      </c>
      <c r="D631" s="55" t="s">
        <v>4547</v>
      </c>
      <c r="H631" s="31">
        <f>SUMIFS($H$4:$H$610,$K$4:$K$610,"&gt;3.999",$K$4:$K$610,"&lt;5.999")</f>
        <v>45917474090.599991</v>
      </c>
      <c r="I631" s="10">
        <f>SUMIFS($I$4:$I$610,$K$4:$K$610,"&gt;3.999",$K$4:$K$610,"&lt;5.999")</f>
        <v>22.133212266000001</v>
      </c>
      <c r="J631" s="4"/>
      <c r="K631" s="4"/>
      <c r="L631" s="4"/>
      <c r="M631" s="10">
        <f>SUMIFS($AA$4:$AA$610,$K$4:$K$610,"&gt;3.999",$K$4:$K$610,"&lt;5.999")</f>
        <v>4.8033395516262694</v>
      </c>
    </row>
    <row r="632" spans="3:13" x14ac:dyDescent="0.25">
      <c r="C632" s="39">
        <v>40837</v>
      </c>
      <c r="D632" s="55" t="s">
        <v>4548</v>
      </c>
      <c r="H632" s="31">
        <f>SUMIFS($H$4:$H$610,$K$4:$K$610,"&gt;5.999",$K$4:$K$610,"&lt;7.999")</f>
        <v>47516843068.899994</v>
      </c>
      <c r="I632" s="10">
        <f>SUMIFS($I$4:$I$610,$K$4:$K$610,"&gt;5.999",$K$4:$K$610,"&lt;7.999")</f>
        <v>22.904142590000006</v>
      </c>
      <c r="J632" s="4"/>
      <c r="K632" s="4"/>
      <c r="L632" s="4"/>
      <c r="M632" s="10">
        <f>SUMIFS($AA$4:$AA$610,$K$4:$K$610,"&gt;5.999",$K$4:$K$610,"&lt;7.999")</f>
        <v>6.8815119057851497</v>
      </c>
    </row>
    <row r="633" spans="3:13" s="36" customFormat="1" x14ac:dyDescent="0.25">
      <c r="C633" s="39">
        <v>40837</v>
      </c>
      <c r="D633" s="55" t="s">
        <v>4549</v>
      </c>
      <c r="H633" s="31">
        <f>SUMIFS($H$4:$H$610,$K$4:$K$610,"&gt;7.999",$K$4:$K$610,"&lt;9.999")</f>
        <v>4895283717.8399992</v>
      </c>
      <c r="I633" s="10">
        <f>SUMIFS($I$4:$I$610,$K$4:$K$610,"&gt;7.999",$K$4:$K$610,"&lt;9.999")</f>
        <v>2.3596322710000002</v>
      </c>
      <c r="J633" s="4"/>
      <c r="K633" s="4"/>
      <c r="L633" s="4"/>
      <c r="M633" s="10">
        <f>SUMIFS($AA$4:$AA$610,$K$4:$K$610,"&gt;7.999",$K$4:$K$610,"&lt;9.999")</f>
        <v>9.271626747667284</v>
      </c>
    </row>
    <row r="634" spans="3:13" s="36" customFormat="1" x14ac:dyDescent="0.25">
      <c r="C634" s="39">
        <v>40837</v>
      </c>
      <c r="D634" s="54" t="s">
        <v>992</v>
      </c>
      <c r="H634" s="31">
        <f>SUMIFS($H$4:$H$610,$K$4:$K$610,"&gt;9.999")</f>
        <v>19468905019.400002</v>
      </c>
      <c r="I634" s="10">
        <f>SUMIFS($I$4:$I$610,$K$4:$K$610,"&gt;9.999")</f>
        <v>9.3844318710000003</v>
      </c>
      <c r="J634" s="4"/>
      <c r="K634" s="4"/>
      <c r="L634" s="4"/>
      <c r="M634" s="10">
        <f>SUMIFS($AA$4:$AA$610,$K$4:$K$610,"&gt;9.999")</f>
        <v>12.779430515282691</v>
      </c>
    </row>
    <row r="635" spans="3:13" x14ac:dyDescent="0.25">
      <c r="H635" s="31" t="str">
        <f>IF(SUM(H629:H634)&lt;&gt;$H$611,"check values","")</f>
        <v/>
      </c>
      <c r="I635" s="70" t="str">
        <f>IF(SUM(I629:I634)&lt;&gt;$I$611,"check values","")</f>
        <v>check values</v>
      </c>
      <c r="J635" s="31"/>
      <c r="K635" s="4"/>
      <c r="L635" s="4"/>
      <c r="M635" s="4"/>
    </row>
    <row r="636" spans="3:13" x14ac:dyDescent="0.25">
      <c r="D636" s="37" t="s">
        <v>994</v>
      </c>
      <c r="H636" s="12" t="s">
        <v>996</v>
      </c>
      <c r="I636" s="42" t="s">
        <v>4572</v>
      </c>
      <c r="J636" s="4"/>
      <c r="K636" s="4"/>
      <c r="L636" s="4"/>
      <c r="M636" s="12" t="s">
        <v>4584</v>
      </c>
    </row>
    <row r="637" spans="3:13" x14ac:dyDescent="0.25">
      <c r="C637" s="39">
        <v>40837</v>
      </c>
      <c r="D637" s="55" t="s">
        <v>4556</v>
      </c>
      <c r="H637" s="32">
        <f>SUMIFS($H$4:$H$610,$U$4:$U$610,"&gt;0",$U$4:$U$610,"&lt;49.99")</f>
        <v>430339498.60000002</v>
      </c>
      <c r="I637" s="10">
        <f>SUMIFS($I$4:$I$610,$U$4:$U$610,"&gt;0",$U$4:$U$610,"&lt;49.99")</f>
        <v>0.207432914</v>
      </c>
      <c r="M637" s="10">
        <f>SUMIFS($AD$4:$AD$610,$U$4:$U$610,"&gt;0",$U$4:$U$610,"&lt;49.99")</f>
        <v>38.93018327739437</v>
      </c>
    </row>
    <row r="638" spans="3:13" x14ac:dyDescent="0.25">
      <c r="C638" s="39">
        <v>40837</v>
      </c>
      <c r="D638" s="55" t="s">
        <v>4557</v>
      </c>
      <c r="H638" s="32">
        <f>SUMIFS($H$4:$H$610,$U$4:$U$610,"&gt;49.99",$U$4:$U$610,"&lt;79.99")</f>
        <v>2910563548.4900002</v>
      </c>
      <c r="I638" s="10">
        <f>SUMIFS($I$4:$I$610,$U$4:$U$610,"&gt;49.99",$U$4:$U$610,"&lt;79.99")</f>
        <v>1.4029543690000001</v>
      </c>
      <c r="M638" s="10">
        <f>SUMIFS($AD$4:$AD$610,$U$4:$U$610,"&gt;49.99",$U$4:$U$610,"&lt;79.99")</f>
        <v>63.904735700478398</v>
      </c>
    </row>
    <row r="639" spans="3:13" x14ac:dyDescent="0.25">
      <c r="C639" s="39">
        <v>40837</v>
      </c>
      <c r="D639" s="55" t="s">
        <v>4558</v>
      </c>
      <c r="H639" s="32">
        <f>SUMIFS($H$4:$H$610,$U$4:$U$610,"&gt;79.99",$U$4:$U$610,"&lt;99.99")</f>
        <v>47703767604.069992</v>
      </c>
      <c r="I639" s="10">
        <f>SUMIFS($I$4:$I$610,$U$4:$U$610,"&gt;79.99",$U$4:$U$610,"&lt;99.99")</f>
        <v>22.994244250000008</v>
      </c>
      <c r="M639" s="10">
        <f>SUMIFS($AD$4:$AD$610,$U$4:$U$610,"&gt;79.99",$U$4:$U$610,"&lt;99.99")</f>
        <v>94.753115491756773</v>
      </c>
    </row>
    <row r="640" spans="3:13" x14ac:dyDescent="0.25">
      <c r="C640" s="39">
        <v>40837</v>
      </c>
      <c r="D640" s="55" t="s">
        <v>4559</v>
      </c>
      <c r="H640" s="32">
        <f>SUMIFS($H$4:$H$610,$U$4:$U$610,"&gt;99.99",$U$4:$U$610,"&lt;119.99")</f>
        <v>147262403377.33002</v>
      </c>
      <c r="I640" s="10">
        <f>SUMIFS($I$4:$I$610,$U$4:$U$610,"&gt;99.99",$U$4:$U$610,"&lt;119.99")</f>
        <v>70.983652682999988</v>
      </c>
      <c r="M640" s="10">
        <f>SUMIFS($AD$4:$AD$610,$U$4:$U$610,"&gt;99.99",$U$4:$U$610,"&lt;119.99")</f>
        <v>106.38475922810484</v>
      </c>
    </row>
    <row r="641" spans="3:13" s="36" customFormat="1" x14ac:dyDescent="0.25">
      <c r="C641" s="39">
        <v>40837</v>
      </c>
      <c r="D641" s="55" t="s">
        <v>4560</v>
      </c>
      <c r="H641" s="32">
        <f>SUMIFS($H$4:$H$610,$U$4:$U$610,"&gt;119.99",$U$4:$U$610,"&lt;139.99")</f>
        <v>8589116878.9000006</v>
      </c>
      <c r="I641" s="10">
        <f>SUMIFS($I$4:$I$610,$U$4:$U$610,"&gt;119.99",$U$4:$U$610,"&lt;139.99")</f>
        <v>4.1401394739999997</v>
      </c>
      <c r="M641" s="10">
        <f>SUMIFS($AD$4:$AD$610,$U$4:$U$610,"&gt;119.99",$U$4:$U$610,"&lt;139.99")</f>
        <v>125.40010531182325</v>
      </c>
    </row>
    <row r="642" spans="3:13" s="36" customFormat="1" x14ac:dyDescent="0.25">
      <c r="C642" s="39">
        <v>40837</v>
      </c>
      <c r="D642" s="55" t="s">
        <v>4561</v>
      </c>
      <c r="H642" s="32">
        <f>SUMIFS($H$4:$H$610,$U$4:$U$610,"&gt;139.99")</f>
        <v>563411129</v>
      </c>
      <c r="I642" s="10">
        <f>SUMIFS($I$4:$I$610,$U$4:$U$610,"&gt;139.99")</f>
        <v>0.27157630900000002</v>
      </c>
      <c r="M642" s="10">
        <f>SUMIFS($AD$4:$AD$610,$U$4:$U$610,"&gt;139.99")</f>
        <v>141.55000000000001</v>
      </c>
    </row>
    <row r="643" spans="3:13" x14ac:dyDescent="0.25">
      <c r="H643" s="31" t="str">
        <f>IF(SUM(H637:H642)&lt;&gt;$H$611,"check values","")</f>
        <v/>
      </c>
      <c r="I643" s="70" t="str">
        <f>IF(SUM(I637:I642)&lt;&gt;$I$611,"check values","")</f>
        <v>check values</v>
      </c>
    </row>
  </sheetData>
  <sortState ref="C4:Y609">
    <sortCondition ref="E4:E609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141"/>
  <sheetViews>
    <sheetView workbookViewId="0">
      <pane xSplit="1" ySplit="3" topLeftCell="D104" activePane="bottomRight" state="frozen"/>
      <selection pane="topRight" activeCell="B1" sqref="B1"/>
      <selection pane="bottomLeft" activeCell="A4" sqref="A4"/>
      <selection pane="bottomRight" activeCell="P119" sqref="P119:P124"/>
    </sheetView>
  </sheetViews>
  <sheetFormatPr defaultRowHeight="15" x14ac:dyDescent="0.25"/>
  <cols>
    <col min="1" max="1" width="14.7109375" customWidth="1"/>
    <col min="2" max="2" width="10.7109375" bestFit="1" customWidth="1"/>
    <col min="3" max="3" width="33.140625" bestFit="1" customWidth="1"/>
    <col min="4" max="4" width="7.5703125" bestFit="1" customWidth="1"/>
    <col min="5" max="5" width="10.7109375" bestFit="1" customWidth="1"/>
    <col min="6" max="6" width="10" bestFit="1" customWidth="1"/>
    <col min="7" max="7" width="8.140625" bestFit="1" customWidth="1"/>
    <col min="8" max="8" width="6.28515625" customWidth="1"/>
    <col min="9" max="9" width="6.7109375" customWidth="1"/>
    <col min="10" max="10" width="15.28515625" style="53" bestFit="1" customWidth="1"/>
    <col min="11" max="11" width="8.28515625" bestFit="1" customWidth="1"/>
    <col min="12" max="12" width="15.28515625" bestFit="1" customWidth="1"/>
    <col min="13" max="13" width="6" bestFit="1" customWidth="1"/>
    <col min="14" max="14" width="9.7109375" bestFit="1" customWidth="1"/>
    <col min="15" max="15" width="6.5703125" bestFit="1" customWidth="1"/>
    <col min="16" max="16" width="31.42578125" bestFit="1" customWidth="1"/>
    <col min="17" max="17" width="8" bestFit="1" customWidth="1"/>
    <col min="18" max="18" width="8.5703125" bestFit="1" customWidth="1"/>
    <col min="19" max="19" width="6.5703125" bestFit="1" customWidth="1"/>
    <col min="20" max="20" width="8.140625" bestFit="1" customWidth="1"/>
    <col min="21" max="21" width="2" bestFit="1" customWidth="1"/>
    <col min="22" max="22" width="27.28515625" bestFit="1" customWidth="1"/>
    <col min="23" max="23" width="30.5703125" hidden="1" customWidth="1"/>
    <col min="24" max="24" width="15.5703125" hidden="1" customWidth="1"/>
    <col min="25" max="25" width="17" bestFit="1" customWidth="1"/>
    <col min="26" max="26" width="10.28515625" bestFit="1" customWidth="1"/>
    <col min="27" max="27" width="11.42578125" hidden="1" customWidth="1"/>
    <col min="28" max="28" width="11.140625" hidden="1" customWidth="1"/>
    <col min="30" max="30" width="26.85546875" bestFit="1" customWidth="1"/>
    <col min="31" max="31" width="14.5703125" bestFit="1" customWidth="1"/>
    <col min="32" max="32" width="14.140625" bestFit="1" customWidth="1"/>
    <col min="33" max="33" width="22" bestFit="1" customWidth="1"/>
    <col min="38" max="38" width="10.42578125" bestFit="1" customWidth="1"/>
    <col min="39" max="39" width="17.85546875" bestFit="1" customWidth="1"/>
    <col min="40" max="40" width="0" hidden="1" customWidth="1"/>
  </cols>
  <sheetData>
    <row r="1" spans="1:40" x14ac:dyDescent="0.25">
      <c r="A1" s="51" t="s">
        <v>2903</v>
      </c>
      <c r="B1" s="65">
        <v>40847</v>
      </c>
      <c r="C1" s="51"/>
      <c r="D1" s="51"/>
      <c r="E1" s="51"/>
      <c r="F1" s="51"/>
      <c r="G1" s="51"/>
      <c r="H1" s="51"/>
      <c r="I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</row>
    <row r="2" spans="1:40" x14ac:dyDescent="0.25">
      <c r="A2" s="51"/>
      <c r="B2" s="4" t="s">
        <v>2904</v>
      </c>
      <c r="C2" s="51" t="s">
        <v>2905</v>
      </c>
      <c r="D2" s="4" t="s">
        <v>2906</v>
      </c>
      <c r="E2" s="4" t="s">
        <v>2907</v>
      </c>
      <c r="F2" s="4" t="s">
        <v>2908</v>
      </c>
      <c r="G2" s="4" t="s">
        <v>2909</v>
      </c>
      <c r="H2" s="4" t="s">
        <v>2910</v>
      </c>
      <c r="I2" s="4" t="s">
        <v>2911</v>
      </c>
      <c r="J2" s="12" t="s">
        <v>2912</v>
      </c>
      <c r="K2" s="4" t="s">
        <v>2912</v>
      </c>
      <c r="L2" s="4" t="s">
        <v>2912</v>
      </c>
      <c r="M2" s="4" t="s">
        <v>2913</v>
      </c>
      <c r="N2" s="4" t="s">
        <v>2914</v>
      </c>
      <c r="O2" s="4" t="s">
        <v>2915</v>
      </c>
      <c r="P2" s="4" t="s">
        <v>2916</v>
      </c>
      <c r="Q2" s="4" t="s">
        <v>2917</v>
      </c>
      <c r="R2" s="4" t="s">
        <v>2918</v>
      </c>
      <c r="S2" s="4" t="s">
        <v>2919</v>
      </c>
      <c r="T2" s="4" t="s">
        <v>2920</v>
      </c>
      <c r="U2" s="4"/>
      <c r="V2" s="4" t="s">
        <v>2921</v>
      </c>
      <c r="W2" s="4" t="s">
        <v>2922</v>
      </c>
      <c r="X2" s="4" t="s">
        <v>2923</v>
      </c>
      <c r="Y2" s="4" t="s">
        <v>2924</v>
      </c>
      <c r="Z2" s="4" t="s">
        <v>2925</v>
      </c>
      <c r="AA2" s="4" t="s">
        <v>2926</v>
      </c>
      <c r="AB2" s="4" t="s">
        <v>2927</v>
      </c>
    </row>
    <row r="3" spans="1:40" x14ac:dyDescent="0.25">
      <c r="A3" s="51" t="s">
        <v>2928</v>
      </c>
      <c r="B3" s="4" t="s">
        <v>2929</v>
      </c>
      <c r="C3" s="51" t="s">
        <v>2930</v>
      </c>
      <c r="D3" s="4"/>
      <c r="E3" s="4" t="s">
        <v>2931</v>
      </c>
      <c r="F3" s="4" t="s">
        <v>2907</v>
      </c>
      <c r="G3" s="4" t="s">
        <v>2932</v>
      </c>
      <c r="H3" s="4"/>
      <c r="I3" s="4"/>
      <c r="J3" s="12" t="s">
        <v>2933</v>
      </c>
      <c r="K3" s="4" t="s">
        <v>2933</v>
      </c>
      <c r="L3" s="4" t="s">
        <v>2934</v>
      </c>
      <c r="M3" s="4" t="s">
        <v>2935</v>
      </c>
      <c r="N3" s="4"/>
      <c r="O3" s="4"/>
      <c r="P3" s="4"/>
      <c r="Q3" s="4" t="s">
        <v>2936</v>
      </c>
      <c r="R3" s="4"/>
      <c r="S3" s="4" t="s">
        <v>2937</v>
      </c>
      <c r="T3" s="4"/>
      <c r="U3" s="4"/>
      <c r="V3" s="4"/>
      <c r="W3" s="4"/>
      <c r="X3" s="4"/>
      <c r="Y3" s="4"/>
      <c r="Z3" s="4"/>
      <c r="AA3" s="4"/>
      <c r="AB3" s="4"/>
      <c r="AD3" s="12" t="s">
        <v>4568</v>
      </c>
      <c r="AE3" s="12" t="s">
        <v>4566</v>
      </c>
      <c r="AF3" s="12" t="s">
        <v>4569</v>
      </c>
      <c r="AG3" s="12" t="s">
        <v>4567</v>
      </c>
      <c r="AI3" s="12"/>
      <c r="AL3" t="s">
        <v>985</v>
      </c>
      <c r="AM3" s="4" t="s">
        <v>4592</v>
      </c>
    </row>
    <row r="4" spans="1:40" x14ac:dyDescent="0.25">
      <c r="A4" s="50" t="s">
        <v>2938</v>
      </c>
      <c r="B4" s="4">
        <v>0</v>
      </c>
      <c r="C4" s="53" t="s">
        <v>2939</v>
      </c>
      <c r="D4" s="4">
        <v>0</v>
      </c>
      <c r="E4" s="4"/>
      <c r="F4" s="4">
        <v>0</v>
      </c>
      <c r="G4" s="4">
        <v>0</v>
      </c>
      <c r="H4" s="10" t="s">
        <v>2940</v>
      </c>
      <c r="I4" s="10" t="s">
        <v>2940</v>
      </c>
      <c r="J4" s="60" t="e">
        <f ca="1">IF(Z4="US",K4,VLOOKUP(Z4,$AL$4:$AM$20,2,FALSE)*K4)</f>
        <v>#NAME?</v>
      </c>
      <c r="K4" s="12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/>
      <c r="V4" s="4" t="s">
        <v>2941</v>
      </c>
      <c r="W4" s="4" t="s">
        <v>2942</v>
      </c>
      <c r="X4" s="4" t="s">
        <v>2943</v>
      </c>
      <c r="Y4" s="4" t="s">
        <v>2944</v>
      </c>
      <c r="Z4" s="4" t="s">
        <v>2943</v>
      </c>
      <c r="AA4" s="4" t="s">
        <v>2945</v>
      </c>
      <c r="AB4" s="4" t="s">
        <v>2945</v>
      </c>
      <c r="AD4" s="10">
        <f t="shared" ref="AD4:AD35" si="0">IF(S4&lt;1.99,($L4/$L$127)*S4,IF(AND(S4&gt;1.99,S4&lt;3.99),($L4/$L$128)*S4,IF(AND(S4&gt;3.99,S4&lt;5.99),($L4/$L$129)*S4,IF(AND(S4&gt;5.99,S4&lt;7.999),($L4/$L$130)*S4,IF(AND(S4&gt;7.999,S4&lt;9.99),($L4/$L$131)*S4,IF(S4&gt;9.99,($L4/$L$132)*S4))))))</f>
        <v>0</v>
      </c>
      <c r="AE4" s="10">
        <f t="shared" ref="AE4:AE35" si="1">IF(P4&lt;1.99,($L4/$L$111)*P4,IF(AND(P4&gt;1.99,P4&lt;3.99),($L4/$L$112)*P4,IF(AND(P4&gt;3.99,P4&lt;5.99),($L4/$L$113)*P4,IF(AND(P4&gt;5.99,P4&lt;7.99),($L4/$L$114)*P4,IF(AND(P4&gt;7.99,P4&lt;9.99),($L4/$L$115)*P4,IF(P4&gt;9.99,($L4/$L$116)*P4))))))</f>
        <v>0</v>
      </c>
      <c r="AF4" s="10">
        <f t="shared" ref="AF4:AF35" si="2">IF(R4&lt;199.99,($L4/$L$119)*R4,IF(AND(R4&gt;199.99,R4&lt;399.99),($L4/$L$120)*R4,IF(AND(R4&gt;399.99,R4&lt;599.99),($L4/$L$121)*R4,IF(AND(R4&gt;599.99,R4&lt;799.99),($L4/$L$122)*R4,IF(AND(R4&gt;799.99,R4&lt;999.99),($L4/$L$123)*R4,IF(R4&gt;999.99,($L4/$L$124)*R4))))))</f>
        <v>0</v>
      </c>
      <c r="AG4" s="10" t="e">
        <f t="shared" ref="AG4:AG35" ca="1" si="3">IF(J4&lt;49.99,($L4/$L$135)*J4,IF(AND(J4&gt;49.99,J4&lt;79.99),($L4/$L$136)*J4,IF(AND(J4&gt;79.99,J4&lt;99.99),($L4/$L$137)*J4,IF(AND(J4&gt;99.99,J4&lt;119.99),($L4/$L$138)*J4,IF(AND(J4&gt;119.99,J4&lt;139.99),($L4/$L$139)*J4,IF(J4&gt;139.99,($L4/$L$140)*J4))))))</f>
        <v>#NAME?</v>
      </c>
      <c r="AL4" s="53" t="s">
        <v>2943</v>
      </c>
      <c r="AM4" s="10" t="e">
        <f ca="1">_xll.BDH(AN4,$AM$3,$B$1,$B$1)</f>
        <v>#NAME?</v>
      </c>
      <c r="AN4" s="53" t="s">
        <v>4593</v>
      </c>
    </row>
    <row r="5" spans="1:40" x14ac:dyDescent="0.25">
      <c r="A5" s="50" t="s">
        <v>2946</v>
      </c>
      <c r="B5" s="4">
        <v>1108</v>
      </c>
      <c r="C5" s="53" t="s">
        <v>2947</v>
      </c>
      <c r="D5" s="4">
        <v>0.25</v>
      </c>
      <c r="E5" s="4"/>
      <c r="F5" s="4">
        <v>0</v>
      </c>
      <c r="G5" s="4">
        <v>0</v>
      </c>
      <c r="H5" s="10" t="s">
        <v>2940</v>
      </c>
      <c r="I5" s="10" t="s">
        <v>2940</v>
      </c>
      <c r="J5" s="60" t="e">
        <f t="shared" ref="J5:J36" ca="1" si="4">IF(Z5="US",K5,VLOOKUP(Z5,$AL$5:$AM$20,2,FALSE)*K5)</f>
        <v>#NAME?</v>
      </c>
      <c r="K5" s="12">
        <v>0</v>
      </c>
      <c r="L5" s="4">
        <v>1176</v>
      </c>
      <c r="M5" s="4">
        <v>0</v>
      </c>
      <c r="N5" s="4">
        <v>3.8299999999999999E-4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/>
      <c r="V5" s="4" t="s">
        <v>2941</v>
      </c>
      <c r="W5" s="4" t="s">
        <v>2942</v>
      </c>
      <c r="X5" s="4" t="s">
        <v>2948</v>
      </c>
      <c r="Y5" s="4" t="s">
        <v>2949</v>
      </c>
      <c r="Z5" s="4" t="s">
        <v>2948</v>
      </c>
      <c r="AA5" s="4" t="s">
        <v>2945</v>
      </c>
      <c r="AB5" s="4" t="s">
        <v>2945</v>
      </c>
      <c r="AD5" s="10">
        <f t="shared" si="0"/>
        <v>0</v>
      </c>
      <c r="AE5" s="10">
        <f t="shared" si="1"/>
        <v>0</v>
      </c>
      <c r="AF5" s="10">
        <f t="shared" si="2"/>
        <v>0</v>
      </c>
      <c r="AG5" s="10" t="e">
        <f t="shared" ca="1" si="3"/>
        <v>#NAME?</v>
      </c>
      <c r="AL5" t="s">
        <v>2948</v>
      </c>
      <c r="AM5" s="10" t="e">
        <f ca="1">_xll.BDH(AN5,$AM$3,$B$1,$B$1)</f>
        <v>#NAME?</v>
      </c>
      <c r="AN5" s="53" t="s">
        <v>4594</v>
      </c>
    </row>
    <row r="6" spans="1:40" x14ac:dyDescent="0.25">
      <c r="A6" s="50" t="s">
        <v>2950</v>
      </c>
      <c r="B6" s="4">
        <v>0</v>
      </c>
      <c r="C6" s="53" t="s">
        <v>2951</v>
      </c>
      <c r="D6" s="4">
        <v>0.25</v>
      </c>
      <c r="E6" s="4"/>
      <c r="F6" s="4">
        <v>0</v>
      </c>
      <c r="G6" s="4">
        <v>0</v>
      </c>
      <c r="H6" s="10" t="s">
        <v>2940</v>
      </c>
      <c r="I6" s="10" t="s">
        <v>2940</v>
      </c>
      <c r="J6" s="60" t="e">
        <f t="shared" ca="1" si="4"/>
        <v>#NAME?</v>
      </c>
      <c r="K6" s="12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/>
      <c r="V6" s="4" t="s">
        <v>2941</v>
      </c>
      <c r="W6" s="4" t="s">
        <v>2942</v>
      </c>
      <c r="X6" s="4" t="s">
        <v>2952</v>
      </c>
      <c r="Y6" s="4" t="s">
        <v>2953</v>
      </c>
      <c r="Z6" s="4" t="s">
        <v>2952</v>
      </c>
      <c r="AA6" s="4" t="s">
        <v>2945</v>
      </c>
      <c r="AB6" s="4" t="s">
        <v>2945</v>
      </c>
      <c r="AD6" s="10">
        <f t="shared" si="0"/>
        <v>0</v>
      </c>
      <c r="AE6" s="10">
        <f t="shared" si="1"/>
        <v>0</v>
      </c>
      <c r="AF6" s="10">
        <f t="shared" si="2"/>
        <v>0</v>
      </c>
      <c r="AG6" s="10" t="e">
        <f t="shared" ca="1" si="3"/>
        <v>#NAME?</v>
      </c>
      <c r="AL6" t="s">
        <v>2952</v>
      </c>
      <c r="AM6" s="10" t="e">
        <f ca="1">_xll.BDH(AN6,$AM$3,$B$1,$B$1)</f>
        <v>#NAME?</v>
      </c>
      <c r="AN6" s="53" t="s">
        <v>4595</v>
      </c>
    </row>
    <row r="7" spans="1:40" x14ac:dyDescent="0.25">
      <c r="A7" s="50" t="s">
        <v>2954</v>
      </c>
      <c r="B7" s="4">
        <v>0</v>
      </c>
      <c r="C7" s="53" t="s">
        <v>2955</v>
      </c>
      <c r="D7" s="4">
        <v>0.25</v>
      </c>
      <c r="E7" s="4"/>
      <c r="F7" s="4">
        <v>0</v>
      </c>
      <c r="G7" s="4">
        <v>0</v>
      </c>
      <c r="H7" s="10" t="s">
        <v>2940</v>
      </c>
      <c r="I7" s="10" t="s">
        <v>2940</v>
      </c>
      <c r="J7" s="60" t="e">
        <f t="shared" ca="1" si="4"/>
        <v>#NAME?</v>
      </c>
      <c r="K7" s="12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/>
      <c r="V7" s="4" t="s">
        <v>2941</v>
      </c>
      <c r="W7" s="4" t="s">
        <v>2942</v>
      </c>
      <c r="X7" s="4" t="s">
        <v>2956</v>
      </c>
      <c r="Y7" s="4" t="s">
        <v>2957</v>
      </c>
      <c r="Z7" s="4" t="s">
        <v>2956</v>
      </c>
      <c r="AA7" s="4" t="s">
        <v>2945</v>
      </c>
      <c r="AB7" s="4" t="s">
        <v>2945</v>
      </c>
      <c r="AD7" s="10">
        <f t="shared" si="0"/>
        <v>0</v>
      </c>
      <c r="AE7" s="10">
        <f t="shared" si="1"/>
        <v>0</v>
      </c>
      <c r="AF7" s="10">
        <f t="shared" si="2"/>
        <v>0</v>
      </c>
      <c r="AG7" s="10" t="e">
        <f t="shared" ca="1" si="3"/>
        <v>#NAME?</v>
      </c>
      <c r="AL7" t="s">
        <v>2956</v>
      </c>
      <c r="AM7" s="10" t="e">
        <f ca="1">_xll.BDH(AN7,$AM$3,$B$1,$B$1)</f>
        <v>#NAME?</v>
      </c>
      <c r="AN7" s="53" t="s">
        <v>4596</v>
      </c>
    </row>
    <row r="8" spans="1:40" x14ac:dyDescent="0.25">
      <c r="A8" s="50" t="s">
        <v>2958</v>
      </c>
      <c r="B8" s="4">
        <v>15398843</v>
      </c>
      <c r="C8" s="53" t="s">
        <v>2959</v>
      </c>
      <c r="D8" s="4">
        <v>0.09</v>
      </c>
      <c r="E8" s="4"/>
      <c r="F8" s="4">
        <v>0</v>
      </c>
      <c r="G8" s="4">
        <v>0</v>
      </c>
      <c r="H8" s="10" t="s">
        <v>2940</v>
      </c>
      <c r="I8" s="10" t="s">
        <v>2940</v>
      </c>
      <c r="J8" s="58">
        <f t="shared" si="4"/>
        <v>0</v>
      </c>
      <c r="K8" s="67">
        <v>0</v>
      </c>
      <c r="L8" s="4">
        <v>15398843</v>
      </c>
      <c r="M8" s="4">
        <v>0</v>
      </c>
      <c r="N8" s="4">
        <v>5.0191460000000001</v>
      </c>
      <c r="O8" s="4">
        <v>0.25</v>
      </c>
      <c r="P8" s="4">
        <v>0.25</v>
      </c>
      <c r="Q8" s="4">
        <v>0</v>
      </c>
      <c r="R8" s="4">
        <v>0</v>
      </c>
      <c r="S8" s="4">
        <v>0</v>
      </c>
      <c r="T8" s="4">
        <v>0</v>
      </c>
      <c r="U8" s="4"/>
      <c r="V8" s="4" t="s">
        <v>2941</v>
      </c>
      <c r="W8" s="4" t="s">
        <v>2942</v>
      </c>
      <c r="X8" s="4" t="s">
        <v>2960</v>
      </c>
      <c r="Y8" s="4" t="s">
        <v>2961</v>
      </c>
      <c r="Z8" s="4" t="s">
        <v>2962</v>
      </c>
      <c r="AA8" s="4" t="s">
        <v>2945</v>
      </c>
      <c r="AB8" s="4" t="s">
        <v>2945</v>
      </c>
      <c r="AD8" s="10">
        <f t="shared" si="0"/>
        <v>0</v>
      </c>
      <c r="AE8" s="10">
        <f t="shared" si="1"/>
        <v>0.1966724179364826</v>
      </c>
      <c r="AF8" s="10">
        <f t="shared" si="2"/>
        <v>0</v>
      </c>
      <c r="AG8" s="10">
        <f t="shared" ca="1" si="3"/>
        <v>0</v>
      </c>
      <c r="AL8" t="s">
        <v>2965</v>
      </c>
      <c r="AM8" s="10" t="e">
        <f ca="1">_xll.BDH(AN8,$AM$3,$B$1,$B$1)</f>
        <v>#NAME?</v>
      </c>
      <c r="AN8" s="53" t="s">
        <v>4597</v>
      </c>
    </row>
    <row r="9" spans="1:40" x14ac:dyDescent="0.25">
      <c r="A9" s="50" t="s">
        <v>2963</v>
      </c>
      <c r="B9" s="4">
        <v>0</v>
      </c>
      <c r="C9" s="53" t="s">
        <v>2964</v>
      </c>
      <c r="D9" s="4">
        <v>0.25</v>
      </c>
      <c r="E9" s="4"/>
      <c r="F9" s="4">
        <v>0</v>
      </c>
      <c r="G9" s="4">
        <v>0</v>
      </c>
      <c r="H9" s="10" t="s">
        <v>2940</v>
      </c>
      <c r="I9" s="10" t="s">
        <v>2940</v>
      </c>
      <c r="J9" s="60" t="e">
        <f t="shared" ca="1" si="4"/>
        <v>#NAME?</v>
      </c>
      <c r="K9" s="12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/>
      <c r="V9" s="4" t="s">
        <v>2941</v>
      </c>
      <c r="W9" s="4" t="s">
        <v>2942</v>
      </c>
      <c r="X9" s="4" t="s">
        <v>2965</v>
      </c>
      <c r="Y9" s="4" t="s">
        <v>2966</v>
      </c>
      <c r="Z9" s="4" t="s">
        <v>2965</v>
      </c>
      <c r="AA9" s="4" t="s">
        <v>2945</v>
      </c>
      <c r="AB9" s="4" t="s">
        <v>2945</v>
      </c>
      <c r="AD9" s="10">
        <f t="shared" si="0"/>
        <v>0</v>
      </c>
      <c r="AE9" s="10">
        <f t="shared" si="1"/>
        <v>0</v>
      </c>
      <c r="AF9" s="10">
        <f t="shared" si="2"/>
        <v>0</v>
      </c>
      <c r="AG9" s="10" t="e">
        <f t="shared" ca="1" si="3"/>
        <v>#NAME?</v>
      </c>
      <c r="AL9" t="s">
        <v>2969</v>
      </c>
      <c r="AM9" s="10" t="e">
        <f ca="1">_xll.BDH(AN9,$AM$3,$B$1,$B$1)</f>
        <v>#NAME?</v>
      </c>
      <c r="AN9" s="53" t="s">
        <v>4598</v>
      </c>
    </row>
    <row r="10" spans="1:40" x14ac:dyDescent="0.25">
      <c r="A10" s="50" t="s">
        <v>2967</v>
      </c>
      <c r="B10" s="4">
        <v>0</v>
      </c>
      <c r="C10" s="53" t="s">
        <v>2968</v>
      </c>
      <c r="D10" s="4">
        <v>0.25</v>
      </c>
      <c r="E10" s="4"/>
      <c r="F10" s="4">
        <v>0</v>
      </c>
      <c r="G10" s="4">
        <v>0</v>
      </c>
      <c r="H10" s="10" t="s">
        <v>2940</v>
      </c>
      <c r="I10" s="10" t="s">
        <v>2940</v>
      </c>
      <c r="J10" s="60" t="e">
        <f t="shared" ca="1" si="4"/>
        <v>#NAME?</v>
      </c>
      <c r="K10" s="12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/>
      <c r="V10" s="4" t="s">
        <v>2941</v>
      </c>
      <c r="W10" s="4" t="s">
        <v>2942</v>
      </c>
      <c r="X10" s="4" t="s">
        <v>2969</v>
      </c>
      <c r="Y10" s="4" t="s">
        <v>2970</v>
      </c>
      <c r="Z10" s="4" t="s">
        <v>2969</v>
      </c>
      <c r="AA10" s="4" t="s">
        <v>2945</v>
      </c>
      <c r="AB10" s="4" t="s">
        <v>2945</v>
      </c>
      <c r="AD10" s="10">
        <f t="shared" si="0"/>
        <v>0</v>
      </c>
      <c r="AE10" s="10">
        <f t="shared" si="1"/>
        <v>0</v>
      </c>
      <c r="AF10" s="10">
        <f t="shared" si="2"/>
        <v>0</v>
      </c>
      <c r="AG10" s="10" t="e">
        <f t="shared" ca="1" si="3"/>
        <v>#NAME?</v>
      </c>
      <c r="AL10" t="s">
        <v>2973</v>
      </c>
      <c r="AM10" s="10" t="e">
        <f ca="1">_xll.BDH(AN10,$AM$3,$B$1,$B$1)</f>
        <v>#NAME?</v>
      </c>
      <c r="AN10" s="53" t="s">
        <v>4599</v>
      </c>
    </row>
    <row r="11" spans="1:40" x14ac:dyDescent="0.25">
      <c r="A11" s="50" t="s">
        <v>2971</v>
      </c>
      <c r="B11" s="4">
        <v>0</v>
      </c>
      <c r="C11" s="53" t="s">
        <v>2972</v>
      </c>
      <c r="D11" s="4">
        <v>0.25</v>
      </c>
      <c r="E11" s="4"/>
      <c r="F11" s="4">
        <v>0</v>
      </c>
      <c r="G11" s="4">
        <v>0</v>
      </c>
      <c r="H11" s="10" t="s">
        <v>2940</v>
      </c>
      <c r="I11" s="10" t="s">
        <v>2940</v>
      </c>
      <c r="J11" s="60" t="e">
        <f t="shared" ca="1" si="4"/>
        <v>#NAME?</v>
      </c>
      <c r="K11" s="12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/>
      <c r="V11" s="4" t="s">
        <v>2941</v>
      </c>
      <c r="W11" s="4" t="s">
        <v>2942</v>
      </c>
      <c r="X11" s="4" t="s">
        <v>2973</v>
      </c>
      <c r="Y11" s="4" t="s">
        <v>2974</v>
      </c>
      <c r="Z11" s="4" t="s">
        <v>2973</v>
      </c>
      <c r="AA11" s="4" t="s">
        <v>2945</v>
      </c>
      <c r="AB11" s="4" t="s">
        <v>2945</v>
      </c>
      <c r="AD11" s="10">
        <f t="shared" si="0"/>
        <v>0</v>
      </c>
      <c r="AE11" s="10">
        <f t="shared" si="1"/>
        <v>0</v>
      </c>
      <c r="AF11" s="10">
        <f t="shared" si="2"/>
        <v>0</v>
      </c>
      <c r="AG11" s="10" t="e">
        <f t="shared" ca="1" si="3"/>
        <v>#NAME?</v>
      </c>
      <c r="AL11" t="s">
        <v>2981</v>
      </c>
      <c r="AM11" s="10" t="e">
        <f ca="1">_xll.BDH(AN11,$AM$3,$B$1,$B$1)</f>
        <v>#NAME?</v>
      </c>
      <c r="AN11" s="53" t="s">
        <v>4600</v>
      </c>
    </row>
    <row r="12" spans="1:40" x14ac:dyDescent="0.25">
      <c r="A12" s="50" t="s">
        <v>2975</v>
      </c>
      <c r="B12" s="4">
        <v>0</v>
      </c>
      <c r="C12" s="53" t="s">
        <v>2976</v>
      </c>
      <c r="D12" s="4">
        <v>0.25</v>
      </c>
      <c r="E12" s="4"/>
      <c r="F12" s="4">
        <v>0</v>
      </c>
      <c r="G12" s="4">
        <v>0</v>
      </c>
      <c r="H12" s="10" t="s">
        <v>2940</v>
      </c>
      <c r="I12" s="10" t="s">
        <v>2940</v>
      </c>
      <c r="J12" s="60" t="e">
        <f t="shared" ca="1" si="4"/>
        <v>#NAME?</v>
      </c>
      <c r="K12" s="12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/>
      <c r="V12" s="4" t="s">
        <v>2941</v>
      </c>
      <c r="W12" s="4" t="s">
        <v>2942</v>
      </c>
      <c r="X12" s="4" t="s">
        <v>2977</v>
      </c>
      <c r="Y12" s="4" t="s">
        <v>2978</v>
      </c>
      <c r="Z12" s="4" t="s">
        <v>2985</v>
      </c>
      <c r="AA12" s="4" t="s">
        <v>2945</v>
      </c>
      <c r="AB12" s="4" t="s">
        <v>2945</v>
      </c>
      <c r="AD12" s="10">
        <f t="shared" si="0"/>
        <v>0</v>
      </c>
      <c r="AE12" s="10">
        <f t="shared" si="1"/>
        <v>0</v>
      </c>
      <c r="AF12" s="10">
        <f t="shared" si="2"/>
        <v>0</v>
      </c>
      <c r="AG12" s="10" t="e">
        <f t="shared" ca="1" si="3"/>
        <v>#NAME?</v>
      </c>
      <c r="AL12" t="s">
        <v>2985</v>
      </c>
      <c r="AM12" s="10" t="e">
        <f ca="1">_xll.BDH(AN12,$AM$3,$B$1,$B$1)</f>
        <v>#NAME?</v>
      </c>
      <c r="AN12" s="53" t="s">
        <v>4601</v>
      </c>
    </row>
    <row r="13" spans="1:40" x14ac:dyDescent="0.25">
      <c r="A13" s="50" t="s">
        <v>2979</v>
      </c>
      <c r="B13" s="4">
        <v>0</v>
      </c>
      <c r="C13" s="53" t="s">
        <v>2980</v>
      </c>
      <c r="D13" s="4">
        <v>0.25</v>
      </c>
      <c r="E13" s="4"/>
      <c r="F13" s="4">
        <v>0</v>
      </c>
      <c r="G13" s="4">
        <v>0</v>
      </c>
      <c r="H13" s="10" t="s">
        <v>2940</v>
      </c>
      <c r="I13" s="10" t="s">
        <v>2940</v>
      </c>
      <c r="J13" s="60" t="e">
        <f t="shared" ca="1" si="4"/>
        <v>#NAME?</v>
      </c>
      <c r="K13" s="12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/>
      <c r="V13" s="4" t="s">
        <v>2941</v>
      </c>
      <c r="W13" s="4" t="s">
        <v>2942</v>
      </c>
      <c r="X13" s="4" t="s">
        <v>2981</v>
      </c>
      <c r="Y13" s="4" t="s">
        <v>2982</v>
      </c>
      <c r="Z13" s="4" t="s">
        <v>2981</v>
      </c>
      <c r="AA13" s="4" t="s">
        <v>2945</v>
      </c>
      <c r="AB13" s="4" t="s">
        <v>2945</v>
      </c>
      <c r="AD13" s="10">
        <f t="shared" si="0"/>
        <v>0</v>
      </c>
      <c r="AE13" s="10">
        <f t="shared" si="1"/>
        <v>0</v>
      </c>
      <c r="AF13" s="10">
        <f t="shared" si="2"/>
        <v>0</v>
      </c>
      <c r="AG13" s="10" t="e">
        <f t="shared" ca="1" si="3"/>
        <v>#NAME?</v>
      </c>
      <c r="AL13" t="s">
        <v>2989</v>
      </c>
      <c r="AM13" s="10" t="e">
        <f ca="1">_xll.BDH(AN13,$AM$3,$B$1,$B$1)</f>
        <v>#NAME?</v>
      </c>
      <c r="AN13" s="53" t="s">
        <v>4602</v>
      </c>
    </row>
    <row r="14" spans="1:40" x14ac:dyDescent="0.25">
      <c r="A14" s="50" t="s">
        <v>2983</v>
      </c>
      <c r="B14" s="4">
        <v>69</v>
      </c>
      <c r="C14" s="53" t="s">
        <v>2984</v>
      </c>
      <c r="D14" s="4">
        <v>0.25</v>
      </c>
      <c r="E14" s="4"/>
      <c r="F14" s="4">
        <v>0</v>
      </c>
      <c r="G14" s="4">
        <v>0</v>
      </c>
      <c r="H14" s="10" t="s">
        <v>2940</v>
      </c>
      <c r="I14" s="10" t="s">
        <v>2940</v>
      </c>
      <c r="J14" s="60" t="e">
        <f t="shared" ca="1" si="4"/>
        <v>#NAME?</v>
      </c>
      <c r="K14" s="12">
        <v>0</v>
      </c>
      <c r="L14" s="4">
        <v>97</v>
      </c>
      <c r="M14" s="4">
        <v>0</v>
      </c>
      <c r="N14" s="4">
        <v>3.1999999999999999E-5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/>
      <c r="V14" s="4" t="s">
        <v>2941</v>
      </c>
      <c r="W14" s="4" t="s">
        <v>2942</v>
      </c>
      <c r="X14" s="4" t="s">
        <v>2985</v>
      </c>
      <c r="Y14" s="4" t="s">
        <v>2986</v>
      </c>
      <c r="Z14" s="4" t="s">
        <v>2985</v>
      </c>
      <c r="AA14" s="4" t="s">
        <v>2945</v>
      </c>
      <c r="AB14" s="4" t="s">
        <v>2945</v>
      </c>
      <c r="AD14" s="10">
        <f t="shared" si="0"/>
        <v>0</v>
      </c>
      <c r="AE14" s="10">
        <f t="shared" si="1"/>
        <v>0</v>
      </c>
      <c r="AF14" s="10">
        <f t="shared" si="2"/>
        <v>0</v>
      </c>
      <c r="AG14" s="10" t="e">
        <f t="shared" ca="1" si="3"/>
        <v>#NAME?</v>
      </c>
      <c r="AL14" t="s">
        <v>2993</v>
      </c>
      <c r="AM14" s="10" t="e">
        <f ca="1">_xll.BDH(AN14,$AM$3,$B$1,$B$1)</f>
        <v>#NAME?</v>
      </c>
      <c r="AN14" s="53" t="s">
        <v>4603</v>
      </c>
    </row>
    <row r="15" spans="1:40" x14ac:dyDescent="0.25">
      <c r="A15" s="50" t="s">
        <v>2987</v>
      </c>
      <c r="B15" s="4">
        <v>-1945402</v>
      </c>
      <c r="C15" s="53" t="s">
        <v>2988</v>
      </c>
      <c r="D15" s="4">
        <v>0.25</v>
      </c>
      <c r="E15" s="4"/>
      <c r="F15" s="4">
        <v>0</v>
      </c>
      <c r="G15" s="4">
        <v>0</v>
      </c>
      <c r="H15" s="10" t="s">
        <v>2940</v>
      </c>
      <c r="I15" s="10" t="s">
        <v>2940</v>
      </c>
      <c r="J15" s="60" t="e">
        <f t="shared" ca="1" si="4"/>
        <v>#NAME?</v>
      </c>
      <c r="K15" s="12">
        <v>0</v>
      </c>
      <c r="L15" s="4">
        <v>-3140076</v>
      </c>
      <c r="M15" s="4">
        <v>0</v>
      </c>
      <c r="N15" s="4">
        <v>-1.0234859999999999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/>
      <c r="V15" s="4" t="s">
        <v>2941</v>
      </c>
      <c r="W15" s="4" t="s">
        <v>2942</v>
      </c>
      <c r="X15" s="4" t="s">
        <v>2989</v>
      </c>
      <c r="Y15" s="4" t="s">
        <v>2990</v>
      </c>
      <c r="Z15" s="4" t="s">
        <v>2989</v>
      </c>
      <c r="AA15" s="4" t="s">
        <v>2945</v>
      </c>
      <c r="AB15" s="4" t="s">
        <v>2945</v>
      </c>
      <c r="AD15" s="10">
        <f t="shared" si="0"/>
        <v>0</v>
      </c>
      <c r="AE15" s="10">
        <f t="shared" si="1"/>
        <v>0</v>
      </c>
      <c r="AF15" s="10">
        <f t="shared" si="2"/>
        <v>0</v>
      </c>
      <c r="AG15" s="10" t="e">
        <f t="shared" ca="1" si="3"/>
        <v>#NAME?</v>
      </c>
      <c r="AL15" t="s">
        <v>2997</v>
      </c>
      <c r="AM15" s="10" t="e">
        <f ca="1">_xll.BDH(AN15,$AM$3,$B$1,$B$1)</f>
        <v>#NAME?</v>
      </c>
      <c r="AN15" s="53" t="s">
        <v>4604</v>
      </c>
    </row>
    <row r="16" spans="1:40" x14ac:dyDescent="0.25">
      <c r="A16" s="50" t="s">
        <v>2991</v>
      </c>
      <c r="B16" s="4">
        <v>0</v>
      </c>
      <c r="C16" s="53" t="s">
        <v>2992</v>
      </c>
      <c r="D16" s="4">
        <v>0.25</v>
      </c>
      <c r="E16" s="4"/>
      <c r="F16" s="4">
        <v>0</v>
      </c>
      <c r="G16" s="4">
        <v>0</v>
      </c>
      <c r="H16" s="10" t="s">
        <v>2940</v>
      </c>
      <c r="I16" s="10" t="s">
        <v>2940</v>
      </c>
      <c r="J16" s="60" t="e">
        <f t="shared" ca="1" si="4"/>
        <v>#NAME?</v>
      </c>
      <c r="K16" s="12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/>
      <c r="V16" s="4" t="s">
        <v>2941</v>
      </c>
      <c r="W16" s="4" t="s">
        <v>2942</v>
      </c>
      <c r="X16" s="4" t="s">
        <v>2993</v>
      </c>
      <c r="Y16" s="4" t="s">
        <v>2994</v>
      </c>
      <c r="Z16" s="4" t="s">
        <v>2993</v>
      </c>
      <c r="AA16" s="4" t="s">
        <v>2945</v>
      </c>
      <c r="AB16" s="4" t="s">
        <v>2945</v>
      </c>
      <c r="AD16" s="10">
        <f t="shared" si="0"/>
        <v>0</v>
      </c>
      <c r="AE16" s="10">
        <f t="shared" si="1"/>
        <v>0</v>
      </c>
      <c r="AF16" s="10">
        <f t="shared" si="2"/>
        <v>0</v>
      </c>
      <c r="AG16" s="10" t="e">
        <f t="shared" ca="1" si="3"/>
        <v>#NAME?</v>
      </c>
      <c r="AL16" t="s">
        <v>3003</v>
      </c>
      <c r="AM16" s="10" t="e">
        <f ca="1">_xll.BDH(AN16,$AM$3,$B$1,$B$1)</f>
        <v>#NAME?</v>
      </c>
      <c r="AN16" s="53" t="s">
        <v>4605</v>
      </c>
    </row>
    <row r="17" spans="1:40" x14ac:dyDescent="0.25">
      <c r="A17" s="50" t="s">
        <v>2995</v>
      </c>
      <c r="B17" s="4">
        <v>0</v>
      </c>
      <c r="C17" s="53" t="s">
        <v>2996</v>
      </c>
      <c r="D17" s="4">
        <v>0</v>
      </c>
      <c r="E17" s="4"/>
      <c r="F17" s="4">
        <v>0</v>
      </c>
      <c r="G17" s="4">
        <v>0</v>
      </c>
      <c r="H17" s="10" t="s">
        <v>2940</v>
      </c>
      <c r="I17" s="10" t="s">
        <v>2940</v>
      </c>
      <c r="J17" s="10" t="e">
        <f t="shared" ca="1" si="4"/>
        <v>#NAME?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/>
      <c r="V17" s="4" t="s">
        <v>2941</v>
      </c>
      <c r="W17" s="4" t="s">
        <v>2942</v>
      </c>
      <c r="X17" s="4" t="s">
        <v>2997</v>
      </c>
      <c r="Y17" s="4" t="s">
        <v>2998</v>
      </c>
      <c r="Z17" s="4" t="s">
        <v>2997</v>
      </c>
      <c r="AA17" s="4" t="s">
        <v>2945</v>
      </c>
      <c r="AB17" s="4" t="s">
        <v>2945</v>
      </c>
      <c r="AD17" s="10">
        <f t="shared" si="0"/>
        <v>0</v>
      </c>
      <c r="AE17" s="10">
        <f t="shared" si="1"/>
        <v>0</v>
      </c>
      <c r="AF17" s="10">
        <f t="shared" si="2"/>
        <v>0</v>
      </c>
      <c r="AG17" s="10" t="e">
        <f t="shared" ca="1" si="3"/>
        <v>#NAME?</v>
      </c>
      <c r="AL17" t="s">
        <v>3007</v>
      </c>
      <c r="AM17" s="10" t="e">
        <f ca="1">_xll.BDH(AN17,$AM$3,$B$1,$B$1)</f>
        <v>#NAME?</v>
      </c>
      <c r="AN17" s="53" t="s">
        <v>4606</v>
      </c>
    </row>
    <row r="18" spans="1:40" x14ac:dyDescent="0.25">
      <c r="A18" s="50" t="s">
        <v>3001</v>
      </c>
      <c r="B18" s="4">
        <v>7238924</v>
      </c>
      <c r="C18" s="53" t="s">
        <v>3002</v>
      </c>
      <c r="D18" s="4">
        <v>0.25</v>
      </c>
      <c r="E18" s="4"/>
      <c r="F18" s="4">
        <v>0</v>
      </c>
      <c r="G18" s="4">
        <v>0</v>
      </c>
      <c r="H18" s="10" t="s">
        <v>2940</v>
      </c>
      <c r="I18" s="10" t="s">
        <v>2940</v>
      </c>
      <c r="J18" s="60" t="e">
        <f t="shared" ca="1" si="4"/>
        <v>#NAME?</v>
      </c>
      <c r="K18" s="12">
        <v>0</v>
      </c>
      <c r="L18" s="4">
        <v>549713</v>
      </c>
      <c r="M18" s="4">
        <v>0</v>
      </c>
      <c r="N18" s="4">
        <v>0.179175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/>
      <c r="V18" s="4" t="s">
        <v>2941</v>
      </c>
      <c r="W18" s="4" t="s">
        <v>2942</v>
      </c>
      <c r="X18" s="4" t="s">
        <v>3003</v>
      </c>
      <c r="Y18" s="4" t="s">
        <v>3004</v>
      </c>
      <c r="Z18" s="4" t="s">
        <v>3003</v>
      </c>
      <c r="AA18" s="4" t="s">
        <v>2945</v>
      </c>
      <c r="AB18" s="4" t="s">
        <v>2945</v>
      </c>
      <c r="AD18" s="10">
        <f t="shared" si="0"/>
        <v>0</v>
      </c>
      <c r="AE18" s="10">
        <f t="shared" si="1"/>
        <v>0</v>
      </c>
      <c r="AF18" s="10">
        <f t="shared" si="2"/>
        <v>0</v>
      </c>
      <c r="AG18" s="10" t="e">
        <f t="shared" ca="1" si="3"/>
        <v>#NAME?</v>
      </c>
      <c r="AL18" t="s">
        <v>3011</v>
      </c>
      <c r="AM18" s="10" t="e">
        <f ca="1">_xll.BDH(AN18,$AM$3,$B$1,$B$1)</f>
        <v>#NAME?</v>
      </c>
      <c r="AN18" s="53" t="s">
        <v>4607</v>
      </c>
    </row>
    <row r="19" spans="1:40" x14ac:dyDescent="0.25">
      <c r="A19" s="50" t="s">
        <v>3005</v>
      </c>
      <c r="B19" s="4">
        <v>0</v>
      </c>
      <c r="C19" s="53" t="s">
        <v>3006</v>
      </c>
      <c r="D19" s="4">
        <v>0.25</v>
      </c>
      <c r="E19" s="4"/>
      <c r="F19" s="4">
        <v>0</v>
      </c>
      <c r="G19" s="4">
        <v>0</v>
      </c>
      <c r="H19" s="10" t="s">
        <v>2940</v>
      </c>
      <c r="I19" s="10" t="s">
        <v>2940</v>
      </c>
      <c r="J19" s="60" t="e">
        <f t="shared" ca="1" si="4"/>
        <v>#NAME?</v>
      </c>
      <c r="K19" s="12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/>
      <c r="V19" s="4" t="s">
        <v>2941</v>
      </c>
      <c r="W19" s="4" t="s">
        <v>2942</v>
      </c>
      <c r="X19" s="4" t="s">
        <v>3007</v>
      </c>
      <c r="Y19" s="4" t="s">
        <v>3008</v>
      </c>
      <c r="Z19" s="4" t="s">
        <v>3007</v>
      </c>
      <c r="AA19" s="4" t="s">
        <v>2945</v>
      </c>
      <c r="AB19" s="4" t="s">
        <v>2945</v>
      </c>
      <c r="AD19" s="10">
        <f t="shared" si="0"/>
        <v>0</v>
      </c>
      <c r="AE19" s="10">
        <f t="shared" si="1"/>
        <v>0</v>
      </c>
      <c r="AF19" s="10">
        <f t="shared" si="2"/>
        <v>0</v>
      </c>
      <c r="AG19" s="10" t="e">
        <f t="shared" ca="1" si="3"/>
        <v>#NAME?</v>
      </c>
      <c r="AL19" t="s">
        <v>3015</v>
      </c>
      <c r="AM19" s="10" t="e">
        <f ca="1">_xll.BDH(AN19,$AM$3,$B$1,$B$1)</f>
        <v>#NAME?</v>
      </c>
      <c r="AN19" s="53" t="s">
        <v>4608</v>
      </c>
    </row>
    <row r="20" spans="1:40" x14ac:dyDescent="0.25">
      <c r="A20" s="50" t="s">
        <v>3009</v>
      </c>
      <c r="B20" s="4">
        <v>0</v>
      </c>
      <c r="C20" s="53" t="s">
        <v>3010</v>
      </c>
      <c r="D20" s="4">
        <v>0.25</v>
      </c>
      <c r="E20" s="4"/>
      <c r="F20" s="4">
        <v>0</v>
      </c>
      <c r="G20" s="4">
        <v>0</v>
      </c>
      <c r="H20" s="10" t="s">
        <v>2940</v>
      </c>
      <c r="I20" s="10" t="s">
        <v>2940</v>
      </c>
      <c r="J20" s="60" t="e">
        <f t="shared" ca="1" si="4"/>
        <v>#NAME?</v>
      </c>
      <c r="K20" s="12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/>
      <c r="V20" s="4" t="s">
        <v>2941</v>
      </c>
      <c r="W20" s="4" t="s">
        <v>2942</v>
      </c>
      <c r="X20" s="4" t="s">
        <v>3011</v>
      </c>
      <c r="Y20" s="4" t="s">
        <v>3012</v>
      </c>
      <c r="Z20" s="4" t="s">
        <v>3011</v>
      </c>
      <c r="AA20" s="4" t="s">
        <v>2945</v>
      </c>
      <c r="AB20" s="4" t="s">
        <v>2945</v>
      </c>
      <c r="AD20" s="10">
        <f t="shared" si="0"/>
        <v>0</v>
      </c>
      <c r="AE20" s="10">
        <f t="shared" si="1"/>
        <v>0</v>
      </c>
      <c r="AF20" s="10">
        <f t="shared" si="2"/>
        <v>0</v>
      </c>
      <c r="AG20" s="10" t="e">
        <f t="shared" ca="1" si="3"/>
        <v>#NAME?</v>
      </c>
      <c r="AL20" t="s">
        <v>3272</v>
      </c>
      <c r="AM20" s="10" t="e">
        <f ca="1">_xll.BDH(AN20,$AM$3,$B$1,$B$1)</f>
        <v>#NAME?</v>
      </c>
      <c r="AN20" s="53" t="s">
        <v>4609</v>
      </c>
    </row>
    <row r="21" spans="1:40" x14ac:dyDescent="0.25">
      <c r="A21" s="50" t="s">
        <v>3013</v>
      </c>
      <c r="B21" s="4">
        <v>324000</v>
      </c>
      <c r="C21" s="53" t="s">
        <v>3014</v>
      </c>
      <c r="D21" s="4">
        <v>0.25</v>
      </c>
      <c r="E21" s="4"/>
      <c r="F21" s="4">
        <v>0</v>
      </c>
      <c r="G21" s="4">
        <v>0</v>
      </c>
      <c r="H21" s="10" t="s">
        <v>2940</v>
      </c>
      <c r="I21" s="10" t="s">
        <v>2940</v>
      </c>
      <c r="J21" s="60" t="e">
        <f t="shared" ca="1" si="4"/>
        <v>#NAME?</v>
      </c>
      <c r="K21" s="12">
        <v>0</v>
      </c>
      <c r="L21" s="4">
        <v>183788</v>
      </c>
      <c r="M21" s="4">
        <v>0</v>
      </c>
      <c r="N21" s="4">
        <v>5.9903999999999999E-2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/>
      <c r="V21" s="4" t="s">
        <v>2941</v>
      </c>
      <c r="W21" s="4" t="s">
        <v>2942</v>
      </c>
      <c r="X21" s="4" t="s">
        <v>3015</v>
      </c>
      <c r="Y21" s="4" t="s">
        <v>3016</v>
      </c>
      <c r="Z21" s="4" t="s">
        <v>3015</v>
      </c>
      <c r="AA21" s="4" t="s">
        <v>2945</v>
      </c>
      <c r="AB21" s="4" t="s">
        <v>2945</v>
      </c>
      <c r="AD21" s="10">
        <f t="shared" si="0"/>
        <v>0</v>
      </c>
      <c r="AE21" s="10">
        <f t="shared" si="1"/>
        <v>0</v>
      </c>
      <c r="AF21" s="10">
        <f t="shared" si="2"/>
        <v>0</v>
      </c>
      <c r="AG21" s="10" t="e">
        <f t="shared" ca="1" si="3"/>
        <v>#NAME?</v>
      </c>
    </row>
    <row r="22" spans="1:40" x14ac:dyDescent="0.25">
      <c r="A22" s="50" t="s">
        <v>3017</v>
      </c>
      <c r="B22" s="4">
        <v>3000</v>
      </c>
      <c r="C22" s="53" t="s">
        <v>3018</v>
      </c>
      <c r="D22" s="4">
        <v>8</v>
      </c>
      <c r="E22" s="49">
        <v>43023</v>
      </c>
      <c r="F22" s="4">
        <v>5.96</v>
      </c>
      <c r="G22" s="4">
        <v>5.96</v>
      </c>
      <c r="H22" s="10" t="s">
        <v>3050</v>
      </c>
      <c r="I22" s="10" t="s">
        <v>3051</v>
      </c>
      <c r="J22" s="10">
        <f t="shared" si="4"/>
        <v>109.75</v>
      </c>
      <c r="K22" s="4">
        <v>109.75</v>
      </c>
      <c r="L22" s="4">
        <v>3303167</v>
      </c>
      <c r="M22" s="4">
        <v>0.62</v>
      </c>
      <c r="N22" s="4">
        <v>1.0766439999999999</v>
      </c>
      <c r="O22" s="4">
        <v>6.03</v>
      </c>
      <c r="P22" s="4">
        <v>6.03</v>
      </c>
      <c r="Q22" s="4">
        <v>0</v>
      </c>
      <c r="R22" s="4">
        <f>VLOOKUP(A22,[1]oas!$A$4:$D$88,4,FALSE)</f>
        <v>484</v>
      </c>
      <c r="S22" s="4">
        <v>4.75</v>
      </c>
      <c r="T22" s="4">
        <v>0.28000000000000003</v>
      </c>
      <c r="U22" s="4"/>
      <c r="V22" s="4" t="s">
        <v>3021</v>
      </c>
      <c r="W22" s="4" t="s">
        <v>3022</v>
      </c>
      <c r="X22" s="4" t="s">
        <v>3023</v>
      </c>
      <c r="Y22" s="4" t="s">
        <v>2961</v>
      </c>
      <c r="Z22" s="4" t="s">
        <v>2962</v>
      </c>
      <c r="AA22" s="4" t="s">
        <v>3024</v>
      </c>
      <c r="AB22" s="4" t="s">
        <v>2945</v>
      </c>
      <c r="AD22" s="10">
        <f t="shared" si="0"/>
        <v>0.17118638482169901</v>
      </c>
      <c r="AE22" s="10">
        <f t="shared" si="1"/>
        <v>0.45188623834103792</v>
      </c>
      <c r="AF22" s="10">
        <f t="shared" si="2"/>
        <v>27.011238333321703</v>
      </c>
      <c r="AG22" s="10">
        <f t="shared" ca="1" si="3"/>
        <v>2.1940177833160548</v>
      </c>
      <c r="AN22" s="61"/>
    </row>
    <row r="23" spans="1:40" x14ac:dyDescent="0.25">
      <c r="A23" s="50" t="s">
        <v>3025</v>
      </c>
      <c r="B23" s="4">
        <v>2300</v>
      </c>
      <c r="C23" s="53" t="s">
        <v>3026</v>
      </c>
      <c r="D23" s="4">
        <v>9.125</v>
      </c>
      <c r="E23" s="49">
        <v>43661</v>
      </c>
      <c r="F23" s="4">
        <v>7.71</v>
      </c>
      <c r="G23" s="4">
        <v>7.71</v>
      </c>
      <c r="H23" s="10" t="s">
        <v>2940</v>
      </c>
      <c r="I23" s="10" t="s">
        <v>2940</v>
      </c>
      <c r="J23" s="10">
        <f t="shared" si="4"/>
        <v>129.58000000000001</v>
      </c>
      <c r="K23" s="4">
        <v>129.58000000000001</v>
      </c>
      <c r="L23" s="4">
        <v>3042102</v>
      </c>
      <c r="M23" s="4">
        <v>0.47</v>
      </c>
      <c r="N23" s="4">
        <v>0.99155199999999999</v>
      </c>
      <c r="O23" s="4">
        <v>4.53</v>
      </c>
      <c r="P23" s="4">
        <v>4.53</v>
      </c>
      <c r="Q23" s="4">
        <v>274</v>
      </c>
      <c r="R23" s="4">
        <f>VLOOKUP(A23,[1]oas!$A$4:$D$88,4,FALSE)</f>
        <v>296</v>
      </c>
      <c r="S23" s="4">
        <v>5.72</v>
      </c>
      <c r="T23" s="4">
        <v>0.43</v>
      </c>
      <c r="U23" s="4"/>
      <c r="V23" s="4" t="s">
        <v>3029</v>
      </c>
      <c r="W23" s="4" t="s">
        <v>3030</v>
      </c>
      <c r="X23" s="4" t="s">
        <v>3031</v>
      </c>
      <c r="Y23" s="4" t="s">
        <v>2961</v>
      </c>
      <c r="Z23" s="4" t="s">
        <v>2962</v>
      </c>
      <c r="AA23" s="4" t="s">
        <v>3032</v>
      </c>
      <c r="AB23" s="4" t="s">
        <v>2945</v>
      </c>
      <c r="AD23" s="10">
        <f t="shared" si="0"/>
        <v>0.18985187039648727</v>
      </c>
      <c r="AE23" s="10">
        <f t="shared" si="1"/>
        <v>8.839253524769132E-2</v>
      </c>
      <c r="AF23" s="10">
        <f t="shared" si="2"/>
        <v>6.583569287372363</v>
      </c>
      <c r="AG23" s="10">
        <f t="shared" ca="1" si="3"/>
        <v>8.8962618368495292</v>
      </c>
    </row>
    <row r="24" spans="1:40" x14ac:dyDescent="0.25">
      <c r="A24" s="50" t="s">
        <v>3034</v>
      </c>
      <c r="B24" s="4">
        <v>1500</v>
      </c>
      <c r="C24" s="53" t="s">
        <v>3035</v>
      </c>
      <c r="D24" s="4">
        <v>7.75</v>
      </c>
      <c r="E24" s="49">
        <v>44138</v>
      </c>
      <c r="F24" s="4">
        <v>9.01</v>
      </c>
      <c r="G24" s="4">
        <v>9.01</v>
      </c>
      <c r="H24" s="10" t="s">
        <v>3306</v>
      </c>
      <c r="I24" s="10" t="s">
        <v>3051</v>
      </c>
      <c r="J24" s="10">
        <f t="shared" si="4"/>
        <v>103.63</v>
      </c>
      <c r="K24" s="4">
        <v>103.63</v>
      </c>
      <c r="L24" s="4">
        <v>1611854</v>
      </c>
      <c r="M24" s="4">
        <v>0.31</v>
      </c>
      <c r="N24" s="4">
        <v>0.52537299999999998</v>
      </c>
      <c r="O24" s="4">
        <v>7.2</v>
      </c>
      <c r="P24" s="4">
        <v>7.2</v>
      </c>
      <c r="Q24" s="4">
        <v>0</v>
      </c>
      <c r="R24" s="4">
        <f>VLOOKUP(A24,[1]oas!$A$4:$D$88,4,FALSE)</f>
        <v>540</v>
      </c>
      <c r="S24" s="4">
        <v>6.23</v>
      </c>
      <c r="T24" s="4">
        <v>0.51</v>
      </c>
      <c r="U24" s="4"/>
      <c r="V24" s="4" t="s">
        <v>3037</v>
      </c>
      <c r="W24" s="4" t="s">
        <v>3038</v>
      </c>
      <c r="X24" s="4" t="s">
        <v>3039</v>
      </c>
      <c r="Y24" s="4" t="s">
        <v>3040</v>
      </c>
      <c r="Z24" s="4" t="s">
        <v>2962</v>
      </c>
      <c r="AA24" s="4" t="s">
        <v>3041</v>
      </c>
      <c r="AB24" s="4" t="s">
        <v>2945</v>
      </c>
      <c r="AD24" s="10">
        <f t="shared" si="0"/>
        <v>8.8670301125896495E-2</v>
      </c>
      <c r="AE24" s="10">
        <f t="shared" si="1"/>
        <v>0.26329309528087685</v>
      </c>
      <c r="AF24" s="10">
        <f t="shared" si="2"/>
        <v>14.705779956849474</v>
      </c>
      <c r="AG24" s="10">
        <f t="shared" ca="1" si="3"/>
        <v>1.0109188224761494</v>
      </c>
    </row>
    <row r="25" spans="1:40" x14ac:dyDescent="0.25">
      <c r="A25" s="50" t="s">
        <v>3043</v>
      </c>
      <c r="B25" s="4">
        <v>17360</v>
      </c>
      <c r="C25" s="53" t="s">
        <v>3044</v>
      </c>
      <c r="D25" s="4">
        <v>2.5</v>
      </c>
      <c r="E25" s="49">
        <v>14245</v>
      </c>
      <c r="F25" s="4">
        <v>27.17</v>
      </c>
      <c r="G25" s="4">
        <v>27.17</v>
      </c>
      <c r="H25" s="10" t="s">
        <v>3028</v>
      </c>
      <c r="I25" s="10" t="s">
        <v>3028</v>
      </c>
      <c r="J25" s="10">
        <f t="shared" si="4"/>
        <v>37.25</v>
      </c>
      <c r="K25" s="4">
        <v>37.25</v>
      </c>
      <c r="L25" s="4">
        <v>6503972</v>
      </c>
      <c r="M25" s="4">
        <v>3.58</v>
      </c>
      <c r="N25" s="4">
        <v>2.1199249999999998</v>
      </c>
      <c r="O25" s="4">
        <v>9.11</v>
      </c>
      <c r="P25" s="4">
        <v>9.11</v>
      </c>
      <c r="Q25" s="4">
        <v>0</v>
      </c>
      <c r="R25" s="4">
        <f>VLOOKUP(A25,[1]oas!$A$4:$D$88,4,FALSE)</f>
        <v>755</v>
      </c>
      <c r="S25" s="4">
        <v>8.2899999999999991</v>
      </c>
      <c r="T25" s="4">
        <v>1.1499999999999999</v>
      </c>
      <c r="U25" s="4"/>
      <c r="V25" s="4" t="s">
        <v>3045</v>
      </c>
      <c r="W25" s="4" t="s">
        <v>3046</v>
      </c>
      <c r="X25" s="4" t="s">
        <v>153</v>
      </c>
      <c r="Y25" s="4" t="s">
        <v>2944</v>
      </c>
      <c r="Z25" s="4" t="s">
        <v>2962</v>
      </c>
      <c r="AA25" s="4" t="s">
        <v>2945</v>
      </c>
      <c r="AB25" s="4" t="s">
        <v>2945</v>
      </c>
      <c r="AD25" s="10">
        <f t="shared" si="0"/>
        <v>1.9267842407577982</v>
      </c>
      <c r="AE25" s="10">
        <f t="shared" si="1"/>
        <v>3.6614376154179467</v>
      </c>
      <c r="AF25" s="10">
        <f t="shared" si="2"/>
        <v>283.67177599485171</v>
      </c>
      <c r="AG25" s="10">
        <f t="shared" ca="1" si="3"/>
        <v>8.5448504651784933</v>
      </c>
    </row>
    <row r="26" spans="1:40" x14ac:dyDescent="0.25">
      <c r="A26" s="50" t="s">
        <v>3047</v>
      </c>
      <c r="B26" s="4">
        <v>1976</v>
      </c>
      <c r="C26" s="53" t="s">
        <v>3048</v>
      </c>
      <c r="D26" s="4">
        <v>8.2799999999999994</v>
      </c>
      <c r="E26" s="49">
        <v>12419</v>
      </c>
      <c r="F26" s="4">
        <v>22.17</v>
      </c>
      <c r="G26" s="4">
        <v>17.399999999999999</v>
      </c>
      <c r="H26" s="10" t="s">
        <v>2940</v>
      </c>
      <c r="I26" s="10" t="s">
        <v>2940</v>
      </c>
      <c r="J26" s="58">
        <f t="shared" si="4"/>
        <v>78.5</v>
      </c>
      <c r="K26" s="67">
        <v>78.5</v>
      </c>
      <c r="L26" s="4">
        <v>1606085</v>
      </c>
      <c r="M26" s="4">
        <v>0.41</v>
      </c>
      <c r="N26" s="4">
        <v>0.52349199999999996</v>
      </c>
      <c r="O26" s="4">
        <v>10.97</v>
      </c>
      <c r="P26" s="4">
        <v>10.97</v>
      </c>
      <c r="Q26" s="4">
        <v>0</v>
      </c>
      <c r="R26" s="4">
        <f>VLOOKUP(A26,[1]oas!$A$4:$D$88,4,FALSE)</f>
        <v>849</v>
      </c>
      <c r="S26" s="4">
        <v>8.3000000000000007</v>
      </c>
      <c r="T26" s="4">
        <v>0.73</v>
      </c>
      <c r="U26" s="4" t="s">
        <v>3049</v>
      </c>
      <c r="V26" s="4" t="s">
        <v>3045</v>
      </c>
      <c r="W26" s="4" t="s">
        <v>3046</v>
      </c>
      <c r="X26" s="4" t="s">
        <v>147</v>
      </c>
      <c r="Y26" s="4" t="s">
        <v>2944</v>
      </c>
      <c r="Z26" s="4" t="s">
        <v>2962</v>
      </c>
      <c r="AA26" s="4" t="s">
        <v>2945</v>
      </c>
      <c r="AB26" s="4" t="s">
        <v>2945</v>
      </c>
      <c r="AD26" s="10">
        <f t="shared" si="0"/>
        <v>0.47637231118932899</v>
      </c>
      <c r="AE26" s="10">
        <f t="shared" si="1"/>
        <v>0.73152444878407841</v>
      </c>
      <c r="AF26" s="10">
        <f t="shared" si="2"/>
        <v>207.44473125078159</v>
      </c>
      <c r="AG26" s="10">
        <f t="shared" ca="1" si="3"/>
        <v>6.7902407283874027</v>
      </c>
    </row>
    <row r="27" spans="1:40" s="53" customFormat="1" x14ac:dyDescent="0.25">
      <c r="A27" s="50" t="s">
        <v>3052</v>
      </c>
      <c r="B27" s="4">
        <v>2000</v>
      </c>
      <c r="C27" s="53" t="s">
        <v>3053</v>
      </c>
      <c r="D27" s="4">
        <v>7</v>
      </c>
      <c r="E27" s="49">
        <v>44777</v>
      </c>
      <c r="F27" s="4">
        <v>10.76</v>
      </c>
      <c r="G27" s="4">
        <v>10.76</v>
      </c>
      <c r="H27" s="10" t="s">
        <v>3028</v>
      </c>
      <c r="I27" s="10" t="s">
        <v>3076</v>
      </c>
      <c r="J27" s="58">
        <f t="shared" si="4"/>
        <v>100.5</v>
      </c>
      <c r="K27" s="67">
        <v>100.5</v>
      </c>
      <c r="L27" s="4">
        <v>2043833</v>
      </c>
      <c r="M27" s="4">
        <v>0.41</v>
      </c>
      <c r="N27" s="4">
        <v>0.66617300000000002</v>
      </c>
      <c r="O27" s="4">
        <v>6.93</v>
      </c>
      <c r="P27" s="4">
        <v>6.93</v>
      </c>
      <c r="Q27" s="4">
        <v>0</v>
      </c>
      <c r="R27" s="4">
        <f>VLOOKUP(A27,[1]oas!$A$4:$D$88,4,FALSE)</f>
        <v>492</v>
      </c>
      <c r="S27" s="4">
        <v>7.36</v>
      </c>
      <c r="T27" s="4">
        <v>0.71</v>
      </c>
      <c r="U27" s="4"/>
      <c r="V27" s="4" t="s">
        <v>3045</v>
      </c>
      <c r="W27" s="4" t="s">
        <v>3046</v>
      </c>
      <c r="X27" s="4" t="s">
        <v>3055</v>
      </c>
      <c r="Y27" s="4" t="s">
        <v>3056</v>
      </c>
      <c r="Z27" s="4" t="s">
        <v>2962</v>
      </c>
      <c r="AA27" s="4" t="s">
        <v>3041</v>
      </c>
      <c r="AB27" s="4" t="s">
        <v>2945</v>
      </c>
      <c r="AD27" s="10">
        <f t="shared" si="0"/>
        <v>0.1328273954163606</v>
      </c>
      <c r="AE27" s="10">
        <f t="shared" si="1"/>
        <v>0.32133639270487918</v>
      </c>
      <c r="AF27" s="10">
        <f t="shared" si="2"/>
        <v>16.989441875676484</v>
      </c>
      <c r="AG27" s="10">
        <f t="shared" ca="1" si="3"/>
        <v>1.2431300140321244</v>
      </c>
      <c r="AN27" s="61" t="e">
        <f ca="1">1/AM4</f>
        <v>#NAME?</v>
      </c>
    </row>
    <row r="28" spans="1:40" x14ac:dyDescent="0.25">
      <c r="A28" s="50" t="s">
        <v>3057</v>
      </c>
      <c r="B28" s="4">
        <v>3750</v>
      </c>
      <c r="C28" s="53" t="s">
        <v>3058</v>
      </c>
      <c r="D28" s="4">
        <v>4.8</v>
      </c>
      <c r="E28" s="49">
        <v>44122</v>
      </c>
      <c r="F28" s="4">
        <v>8.9700000000000006</v>
      </c>
      <c r="G28" s="4">
        <v>8.9700000000000006</v>
      </c>
      <c r="H28" s="10" t="s">
        <v>3306</v>
      </c>
      <c r="I28" s="10" t="s">
        <v>3051</v>
      </c>
      <c r="J28" s="10">
        <f t="shared" si="4"/>
        <v>97.69</v>
      </c>
      <c r="K28" s="4">
        <v>97.69</v>
      </c>
      <c r="L28" s="4">
        <v>3669736</v>
      </c>
      <c r="M28" s="4">
        <v>0.77</v>
      </c>
      <c r="N28" s="4">
        <v>1.1961250000000001</v>
      </c>
      <c r="O28" s="4">
        <v>5.12</v>
      </c>
      <c r="P28" s="4">
        <v>5.12</v>
      </c>
      <c r="Q28" s="4">
        <v>0</v>
      </c>
      <c r="R28" s="4">
        <f>VLOOKUP(A28,[1]oas!$A$4:$D$88,4,FALSE)</f>
        <v>325</v>
      </c>
      <c r="S28" s="4">
        <v>7.17</v>
      </c>
      <c r="T28" s="4">
        <v>0.62</v>
      </c>
      <c r="U28" s="4"/>
      <c r="V28" s="4" t="s">
        <v>3029</v>
      </c>
      <c r="W28" s="4" t="s">
        <v>3030</v>
      </c>
      <c r="X28" s="4" t="s">
        <v>3061</v>
      </c>
      <c r="Y28" s="4" t="s">
        <v>3062</v>
      </c>
      <c r="Z28" s="4" t="s">
        <v>2962</v>
      </c>
      <c r="AA28" s="4" t="s">
        <v>3041</v>
      </c>
      <c r="AB28" s="4" t="s">
        <v>2945</v>
      </c>
      <c r="AD28" s="10">
        <f t="shared" si="0"/>
        <v>0.2323370192719055</v>
      </c>
      <c r="AE28" s="10">
        <f t="shared" si="1"/>
        <v>0.12051702433770553</v>
      </c>
      <c r="AF28" s="10">
        <f t="shared" si="2"/>
        <v>8.7199523389523161</v>
      </c>
      <c r="AG28" s="10">
        <f t="shared" ca="1" si="3"/>
        <v>21.05487846518367</v>
      </c>
    </row>
    <row r="29" spans="1:40" x14ac:dyDescent="0.25">
      <c r="A29" s="50" t="s">
        <v>229</v>
      </c>
      <c r="B29" s="4">
        <v>2500</v>
      </c>
      <c r="C29" s="53" t="s">
        <v>3063</v>
      </c>
      <c r="D29" s="4">
        <v>6</v>
      </c>
      <c r="E29" s="49">
        <v>47169</v>
      </c>
      <c r="F29" s="4">
        <v>17.309999999999999</v>
      </c>
      <c r="G29" s="4">
        <v>7.81</v>
      </c>
      <c r="H29" s="10" t="s">
        <v>3050</v>
      </c>
      <c r="I29" s="10" t="s">
        <v>3051</v>
      </c>
      <c r="J29" s="10">
        <f t="shared" si="4"/>
        <v>60</v>
      </c>
      <c r="K29" s="4">
        <v>60</v>
      </c>
      <c r="L29" s="4">
        <v>1529583</v>
      </c>
      <c r="M29" s="4">
        <v>0.52</v>
      </c>
      <c r="N29" s="4">
        <v>0.49855699999999997</v>
      </c>
      <c r="O29" s="4">
        <v>14.87</v>
      </c>
      <c r="P29" s="4">
        <v>14.87</v>
      </c>
      <c r="Q29" s="4">
        <v>0</v>
      </c>
      <c r="R29" s="4">
        <f>VLOOKUP(A29,[1]oas!$A$4:$D$88,4,FALSE)</f>
        <v>1412</v>
      </c>
      <c r="S29" s="4">
        <v>6.7</v>
      </c>
      <c r="T29" s="4">
        <v>0.76</v>
      </c>
      <c r="U29" s="4"/>
      <c r="V29" s="4" t="s">
        <v>3045</v>
      </c>
      <c r="W29" s="4" t="s">
        <v>3046</v>
      </c>
      <c r="X29" s="4" t="s">
        <v>229</v>
      </c>
      <c r="Y29" s="4" t="s">
        <v>3066</v>
      </c>
      <c r="Z29" s="4" t="s">
        <v>2962</v>
      </c>
      <c r="AA29" s="4" t="s">
        <v>3067</v>
      </c>
      <c r="AB29" s="4" t="s">
        <v>2945</v>
      </c>
      <c r="AD29" s="10">
        <f t="shared" si="0"/>
        <v>9.0492437437367165E-2</v>
      </c>
      <c r="AE29" s="10">
        <f t="shared" si="1"/>
        <v>0.94436027207162843</v>
      </c>
      <c r="AF29" s="10">
        <f t="shared" si="2"/>
        <v>137.46892990805091</v>
      </c>
      <c r="AG29" s="10">
        <f t="shared" ca="1" si="3"/>
        <v>4.9427800710941847</v>
      </c>
    </row>
    <row r="30" spans="1:40" x14ac:dyDescent="0.25">
      <c r="A30" s="50" t="s">
        <v>3068</v>
      </c>
      <c r="B30" s="4">
        <v>4000</v>
      </c>
      <c r="C30" s="53" t="s">
        <v>3069</v>
      </c>
      <c r="D30" s="4">
        <v>5.6029999999999998</v>
      </c>
      <c r="E30" s="49">
        <v>44032</v>
      </c>
      <c r="F30" s="4">
        <v>8.7200000000000006</v>
      </c>
      <c r="G30" s="4">
        <v>8.7200000000000006</v>
      </c>
      <c r="H30" s="10" t="s">
        <v>3050</v>
      </c>
      <c r="I30" s="10" t="s">
        <v>3051</v>
      </c>
      <c r="J30" s="10">
        <f t="shared" si="4"/>
        <v>110.14</v>
      </c>
      <c r="K30" s="4">
        <v>110.14</v>
      </c>
      <c r="L30" s="4">
        <v>4468598</v>
      </c>
      <c r="M30" s="4">
        <v>0.83</v>
      </c>
      <c r="N30" s="4">
        <v>1.4565090000000001</v>
      </c>
      <c r="O30" s="4">
        <v>4.2</v>
      </c>
      <c r="P30" s="4">
        <v>4.2</v>
      </c>
      <c r="Q30" s="4">
        <v>0</v>
      </c>
      <c r="R30" s="4">
        <f>VLOOKUP(A30,[1]oas!$A$4:$D$88,4,FALSE)</f>
        <v>238</v>
      </c>
      <c r="S30" s="4">
        <v>6.87</v>
      </c>
      <c r="T30" s="4">
        <v>0.57999999999999996</v>
      </c>
      <c r="U30" s="4"/>
      <c r="V30" s="4" t="s">
        <v>3045</v>
      </c>
      <c r="W30" s="4" t="s">
        <v>3046</v>
      </c>
      <c r="X30" s="4" t="s">
        <v>3072</v>
      </c>
      <c r="Y30" s="4" t="s">
        <v>3073</v>
      </c>
      <c r="Z30" s="4" t="s">
        <v>2962</v>
      </c>
      <c r="AA30" s="4" t="s">
        <v>3041</v>
      </c>
      <c r="AB30" s="4" t="s">
        <v>2945</v>
      </c>
      <c r="AD30" s="10">
        <f t="shared" si="0"/>
        <v>0.27107686801800385</v>
      </c>
      <c r="AE30" s="10">
        <f t="shared" si="1"/>
        <v>0.1203827316821746</v>
      </c>
      <c r="AF30" s="10">
        <f t="shared" si="2"/>
        <v>7.7757837088605157</v>
      </c>
      <c r="AG30" s="10">
        <f t="shared" ca="1" si="3"/>
        <v>2.9786634905158489</v>
      </c>
    </row>
    <row r="31" spans="1:40" x14ac:dyDescent="0.25">
      <c r="A31" s="50" t="s">
        <v>3074</v>
      </c>
      <c r="B31" s="4">
        <v>10210</v>
      </c>
      <c r="C31" s="53" t="s">
        <v>3075</v>
      </c>
      <c r="D31" s="4">
        <v>0</v>
      </c>
      <c r="E31" s="49">
        <v>41640</v>
      </c>
      <c r="F31" s="4">
        <v>2.17</v>
      </c>
      <c r="G31" s="4">
        <v>2.17</v>
      </c>
      <c r="H31" s="10" t="s">
        <v>3028</v>
      </c>
      <c r="I31" s="10" t="s">
        <v>3091</v>
      </c>
      <c r="J31" s="60" t="e">
        <f t="shared" ca="1" si="4"/>
        <v>#NAME?</v>
      </c>
      <c r="K31" s="12">
        <v>101.69</v>
      </c>
      <c r="L31" s="4">
        <v>6129369</v>
      </c>
      <c r="M31" s="4">
        <v>2.11</v>
      </c>
      <c r="N31" s="4">
        <v>1.9978260000000001</v>
      </c>
      <c r="O31" s="4">
        <v>-0.77</v>
      </c>
      <c r="P31" s="4">
        <v>-0.77</v>
      </c>
      <c r="Q31" s="4">
        <v>0</v>
      </c>
      <c r="R31" s="4">
        <f>VLOOKUP(A31,[1]oas!$A$4:$D$88,4,FALSE)</f>
        <v>-178</v>
      </c>
      <c r="S31" s="4">
        <v>2.1800000000000002</v>
      </c>
      <c r="T31" s="4">
        <v>0.06</v>
      </c>
      <c r="U31" s="4"/>
      <c r="V31" s="4" t="s">
        <v>3045</v>
      </c>
      <c r="W31" s="4" t="s">
        <v>3046</v>
      </c>
      <c r="X31" s="4" t="s">
        <v>3074</v>
      </c>
      <c r="Y31" s="4" t="s">
        <v>2953</v>
      </c>
      <c r="Z31" s="4" t="s">
        <v>2952</v>
      </c>
      <c r="AA31" s="4" t="s">
        <v>2945</v>
      </c>
      <c r="AB31" s="4" t="s">
        <v>3033</v>
      </c>
      <c r="AD31" s="10">
        <f t="shared" si="0"/>
        <v>0.55533311322864909</v>
      </c>
      <c r="AE31" s="10">
        <f t="shared" si="1"/>
        <v>-0.24111367917038667</v>
      </c>
      <c r="AF31" s="10">
        <f t="shared" si="2"/>
        <v>-15.313629090070405</v>
      </c>
      <c r="AG31" s="10" t="e">
        <f t="shared" ca="1" si="3"/>
        <v>#NAME?</v>
      </c>
    </row>
    <row r="32" spans="1:40" x14ac:dyDescent="0.25">
      <c r="A32" s="50" t="s">
        <v>3077</v>
      </c>
      <c r="B32" s="4">
        <v>3000</v>
      </c>
      <c r="C32" s="53" t="s">
        <v>3078</v>
      </c>
      <c r="D32" s="4">
        <v>5.9</v>
      </c>
      <c r="E32" s="49">
        <v>44212</v>
      </c>
      <c r="F32" s="4">
        <v>9.2100000000000009</v>
      </c>
      <c r="G32" s="4">
        <v>9.2100000000000009</v>
      </c>
      <c r="H32" s="10" t="s">
        <v>3028</v>
      </c>
      <c r="I32" s="10" t="s">
        <v>3076</v>
      </c>
      <c r="J32" s="10">
        <f t="shared" si="4"/>
        <v>101</v>
      </c>
      <c r="K32" s="4">
        <v>101</v>
      </c>
      <c r="L32" s="4">
        <v>3081625</v>
      </c>
      <c r="M32" s="4">
        <v>0.62</v>
      </c>
      <c r="N32" s="4">
        <v>1.004434</v>
      </c>
      <c r="O32" s="4">
        <v>5.76</v>
      </c>
      <c r="P32" s="4">
        <v>5.76</v>
      </c>
      <c r="Q32" s="4">
        <v>0</v>
      </c>
      <c r="R32" s="4">
        <f>VLOOKUP(A32,[1]oas!$A$4:$D$88,4,FALSE)</f>
        <v>387</v>
      </c>
      <c r="S32" s="4">
        <v>7.21</v>
      </c>
      <c r="T32" s="4">
        <v>0.65</v>
      </c>
      <c r="U32" s="4"/>
      <c r="V32" s="4" t="s">
        <v>3029</v>
      </c>
      <c r="W32" s="4" t="s">
        <v>3030</v>
      </c>
      <c r="X32" s="4" t="s">
        <v>3080</v>
      </c>
      <c r="Y32" s="4" t="s">
        <v>2953</v>
      </c>
      <c r="Z32" s="4" t="s">
        <v>2962</v>
      </c>
      <c r="AA32" s="4" t="s">
        <v>3041</v>
      </c>
      <c r="AB32" s="4" t="s">
        <v>2945</v>
      </c>
      <c r="AD32" s="10">
        <f t="shared" si="0"/>
        <v>0.19619118429948934</v>
      </c>
      <c r="AE32" s="10">
        <f t="shared" si="1"/>
        <v>0.11385336970159896</v>
      </c>
      <c r="AF32" s="10">
        <f t="shared" si="2"/>
        <v>8.7194016136015158</v>
      </c>
      <c r="AG32" s="10">
        <f t="shared" ca="1" si="3"/>
        <v>1.8836761795612247</v>
      </c>
    </row>
    <row r="33" spans="1:33" x14ac:dyDescent="0.25">
      <c r="A33" s="50" t="s">
        <v>3081</v>
      </c>
      <c r="B33" s="4">
        <v>1500</v>
      </c>
      <c r="C33" s="53" t="s">
        <v>3082</v>
      </c>
      <c r="D33" s="4">
        <v>7</v>
      </c>
      <c r="E33" s="49">
        <v>43958</v>
      </c>
      <c r="F33" s="4">
        <v>8.52</v>
      </c>
      <c r="G33" s="4">
        <v>8.52</v>
      </c>
      <c r="H33" s="10" t="s">
        <v>3059</v>
      </c>
      <c r="I33" s="10" t="s">
        <v>3060</v>
      </c>
      <c r="J33" s="10">
        <f t="shared" si="4"/>
        <v>108</v>
      </c>
      <c r="K33" s="4">
        <v>108</v>
      </c>
      <c r="L33" s="4">
        <v>1670750</v>
      </c>
      <c r="M33" s="4">
        <v>0.31</v>
      </c>
      <c r="N33" s="4">
        <v>0.54456899999999997</v>
      </c>
      <c r="O33" s="4">
        <v>5.8</v>
      </c>
      <c r="P33" s="4">
        <v>5.8</v>
      </c>
      <c r="Q33" s="4">
        <v>0</v>
      </c>
      <c r="R33" s="4">
        <f>VLOOKUP(A33,[1]oas!$A$4:$D$88,4,FALSE)</f>
        <v>406</v>
      </c>
      <c r="S33" s="4">
        <v>6.26</v>
      </c>
      <c r="T33" s="4">
        <v>0.5</v>
      </c>
      <c r="U33" s="4"/>
      <c r="V33" s="4" t="s">
        <v>3037</v>
      </c>
      <c r="W33" s="4" t="s">
        <v>3084</v>
      </c>
      <c r="X33" s="4" t="s">
        <v>3085</v>
      </c>
      <c r="Y33" s="4" t="s">
        <v>3086</v>
      </c>
      <c r="Z33" s="4" t="s">
        <v>2962</v>
      </c>
      <c r="AA33" s="4" t="s">
        <v>3041</v>
      </c>
      <c r="AB33" s="4" t="s">
        <v>2945</v>
      </c>
      <c r="AD33" s="10">
        <f t="shared" si="0"/>
        <v>9.2352836410217423E-2</v>
      </c>
      <c r="AE33" s="10">
        <f t="shared" si="1"/>
        <v>6.2156003162106122E-2</v>
      </c>
      <c r="AF33" s="10">
        <f t="shared" si="2"/>
        <v>11.460567029046631</v>
      </c>
      <c r="AG33" s="10">
        <f t="shared" ca="1" si="3"/>
        <v>1.0920444314128241</v>
      </c>
    </row>
    <row r="34" spans="1:33" x14ac:dyDescent="0.25">
      <c r="A34" s="50" t="s">
        <v>3087</v>
      </c>
      <c r="B34" s="4">
        <v>3000</v>
      </c>
      <c r="C34" s="53" t="s">
        <v>3088</v>
      </c>
      <c r="D34" s="4">
        <v>4.875</v>
      </c>
      <c r="E34" s="49">
        <v>44218</v>
      </c>
      <c r="F34" s="4">
        <v>9.23</v>
      </c>
      <c r="G34" s="4">
        <v>9.23</v>
      </c>
      <c r="H34" s="10" t="s">
        <v>3054</v>
      </c>
      <c r="I34" s="10" t="s">
        <v>3083</v>
      </c>
      <c r="J34" s="10">
        <f t="shared" si="4"/>
        <v>110.45</v>
      </c>
      <c r="K34" s="4">
        <v>110.45</v>
      </c>
      <c r="L34" s="4">
        <v>3353719</v>
      </c>
      <c r="M34" s="4">
        <v>0.62</v>
      </c>
      <c r="N34" s="4">
        <v>1.093121</v>
      </c>
      <c r="O34" s="4">
        <v>3.54</v>
      </c>
      <c r="P34" s="4">
        <v>3.54</v>
      </c>
      <c r="Q34" s="4">
        <v>0</v>
      </c>
      <c r="R34" s="4">
        <f>VLOOKUP(A34,[1]oas!$A$4:$D$88,4,FALSE)</f>
        <v>161</v>
      </c>
      <c r="S34" s="4">
        <v>7.42</v>
      </c>
      <c r="T34" s="4">
        <v>0.66</v>
      </c>
      <c r="U34" s="4"/>
      <c r="V34" s="4" t="s">
        <v>3045</v>
      </c>
      <c r="W34" s="4" t="s">
        <v>3046</v>
      </c>
      <c r="X34" s="4" t="s">
        <v>190</v>
      </c>
      <c r="Y34" s="4" t="s">
        <v>2953</v>
      </c>
      <c r="Z34" s="4" t="s">
        <v>2962</v>
      </c>
      <c r="AA34" s="4" t="s">
        <v>2945</v>
      </c>
      <c r="AB34" s="4" t="s">
        <v>2945</v>
      </c>
      <c r="AD34" s="10">
        <f t="shared" si="0"/>
        <v>0.21973286177196133</v>
      </c>
      <c r="AE34" s="10">
        <f t="shared" si="1"/>
        <v>0.25271244914397722</v>
      </c>
      <c r="AF34" s="10">
        <f t="shared" si="2"/>
        <v>7.5787032349283816</v>
      </c>
      <c r="AG34" s="10">
        <f t="shared" ca="1" si="3"/>
        <v>2.2418031489704968</v>
      </c>
    </row>
    <row r="35" spans="1:33" x14ac:dyDescent="0.25">
      <c r="A35" s="50" t="s">
        <v>3089</v>
      </c>
      <c r="B35" s="4">
        <v>8800</v>
      </c>
      <c r="C35" s="53" t="s">
        <v>3090</v>
      </c>
      <c r="D35" s="4">
        <v>5.95</v>
      </c>
      <c r="E35" s="49">
        <v>43793</v>
      </c>
      <c r="F35" s="4">
        <v>8.07</v>
      </c>
      <c r="G35" s="4">
        <v>8.07</v>
      </c>
      <c r="H35" s="10" t="s">
        <v>3028</v>
      </c>
      <c r="I35" s="10" t="s">
        <v>3134</v>
      </c>
      <c r="J35" s="10">
        <f t="shared" si="4"/>
        <v>104.55</v>
      </c>
      <c r="K35" s="4">
        <v>104.55</v>
      </c>
      <c r="L35" s="4">
        <v>9428545</v>
      </c>
      <c r="M35" s="4">
        <v>1.82</v>
      </c>
      <c r="N35" s="4">
        <v>3.073169</v>
      </c>
      <c r="O35" s="4">
        <v>5.25</v>
      </c>
      <c r="P35" s="4">
        <v>5.25</v>
      </c>
      <c r="Q35" s="4">
        <v>0</v>
      </c>
      <c r="R35" s="4">
        <f>VLOOKUP(A35,[1]oas!$A$4:$D$88,4,FALSE)</f>
        <v>356</v>
      </c>
      <c r="S35" s="4">
        <v>6.24</v>
      </c>
      <c r="T35" s="4">
        <v>0.48</v>
      </c>
      <c r="U35" s="4"/>
      <c r="V35" s="4" t="s">
        <v>3045</v>
      </c>
      <c r="W35" s="4" t="s">
        <v>3046</v>
      </c>
      <c r="X35" s="4" t="s">
        <v>3092</v>
      </c>
      <c r="Y35" s="4" t="s">
        <v>3086</v>
      </c>
      <c r="Z35" s="4" t="s">
        <v>2962</v>
      </c>
      <c r="AA35" s="4" t="s">
        <v>3041</v>
      </c>
      <c r="AB35" s="4" t="s">
        <v>2945</v>
      </c>
      <c r="AD35" s="10">
        <f t="shared" si="0"/>
        <v>0.51950975065543448</v>
      </c>
      <c r="AE35" s="10">
        <f t="shared" si="1"/>
        <v>0.31750282831670829</v>
      </c>
      <c r="AF35" s="10">
        <f t="shared" si="2"/>
        <v>24.540906683656232</v>
      </c>
      <c r="AG35" s="10">
        <f t="shared" ca="1" si="3"/>
        <v>5.9658701799856448</v>
      </c>
    </row>
    <row r="36" spans="1:33" x14ac:dyDescent="0.25">
      <c r="A36" s="50" t="s">
        <v>3093</v>
      </c>
      <c r="B36" s="4">
        <v>6450000</v>
      </c>
      <c r="C36" s="53" t="s">
        <v>3094</v>
      </c>
      <c r="D36" s="4">
        <v>2.2000000000000002</v>
      </c>
      <c r="E36" s="4"/>
      <c r="F36" s="4">
        <v>0</v>
      </c>
      <c r="G36" s="4">
        <v>0</v>
      </c>
      <c r="H36" s="10" t="s">
        <v>133</v>
      </c>
      <c r="I36" s="10" t="s">
        <v>3134</v>
      </c>
      <c r="J36" s="10">
        <f t="shared" si="4"/>
        <v>1</v>
      </c>
      <c r="K36" s="4">
        <v>1</v>
      </c>
      <c r="L36" s="4">
        <v>6450000</v>
      </c>
      <c r="M36" s="4">
        <v>0</v>
      </c>
      <c r="N36" s="4">
        <v>2.1023329999999998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/>
      <c r="V36" s="4" t="s">
        <v>2941</v>
      </c>
      <c r="W36" s="4" t="s">
        <v>2942</v>
      </c>
      <c r="X36" s="4" t="s">
        <v>3093</v>
      </c>
      <c r="Y36" s="4" t="s">
        <v>2961</v>
      </c>
      <c r="Z36" s="4" t="s">
        <v>2962</v>
      </c>
      <c r="AA36" s="4" t="s">
        <v>2945</v>
      </c>
      <c r="AB36" s="4" t="s">
        <v>2945</v>
      </c>
      <c r="AD36" s="10">
        <f t="shared" ref="AD36:AD67" si="5">IF(S36&lt;1.99,($L36/$L$127)*S36,IF(AND(S36&gt;1.99,S36&lt;3.99),($L36/$L$128)*S36,IF(AND(S36&gt;3.99,S36&lt;5.99),($L36/$L$129)*S36,IF(AND(S36&gt;5.99,S36&lt;7.999),($L36/$L$130)*S36,IF(AND(S36&gt;7.999,S36&lt;9.99),($L36/$L$131)*S36,IF(S36&gt;9.99,($L36/$L$132)*S36))))))</f>
        <v>0</v>
      </c>
      <c r="AE36" s="10">
        <f t="shared" ref="AE36:AE67" si="6">IF(P36&lt;1.99,($L36/$L$111)*P36,IF(AND(P36&gt;1.99,P36&lt;3.99),($L36/$L$112)*P36,IF(AND(P36&gt;3.99,P36&lt;5.99),($L36/$L$113)*P36,IF(AND(P36&gt;5.99,P36&lt;7.99),($L36/$L$114)*P36,IF(AND(P36&gt;7.99,P36&lt;9.99),($L36/$L$115)*P36,IF(P36&gt;9.99,($L36/$L$116)*P36))))))</f>
        <v>0</v>
      </c>
      <c r="AF36" s="10">
        <f t="shared" ref="AF36:AF67" si="7">IF(R36&lt;199.99,($L36/$L$119)*R36,IF(AND(R36&gt;199.99,R36&lt;399.99),($L36/$L$120)*R36,IF(AND(R36&gt;399.99,R36&lt;599.99),($L36/$L$121)*R36,IF(AND(R36&gt;599.99,R36&lt;799.99),($L36/$L$122)*R36,IF(AND(R36&gt;799.99,R36&lt;999.99),($L36/$L$123)*R36,IF(R36&gt;999.99,($L36/$L$124)*R36))))))</f>
        <v>0</v>
      </c>
      <c r="AG36" s="10">
        <f t="shared" ref="AG36:AG67" ca="1" si="8">IF(J36&lt;49.99,($L36/$L$135)*J36,IF(AND(J36&gt;49.99,J36&lt;79.99),($L36/$L$136)*J36,IF(AND(J36&gt;79.99,J36&lt;99.99),($L36/$L$137)*J36,IF(AND(J36&gt;99.99,J36&lt;119.99),($L36/$L$138)*J36,IF(AND(J36&gt;119.99,J36&lt;139.99),($L36/$L$139)*J36,IF(J36&gt;139.99,($L36/$L$140)*J36))))))</f>
        <v>0.2274883923606929</v>
      </c>
    </row>
    <row r="37" spans="1:33" x14ac:dyDescent="0.25">
      <c r="A37" s="50" t="s">
        <v>3095</v>
      </c>
      <c r="B37" s="4">
        <v>1475</v>
      </c>
      <c r="C37" s="53" t="s">
        <v>3096</v>
      </c>
      <c r="D37" s="4">
        <v>6.75</v>
      </c>
      <c r="E37" s="49">
        <v>41774</v>
      </c>
      <c r="F37" s="4">
        <v>2.54</v>
      </c>
      <c r="G37" s="4">
        <v>2.54</v>
      </c>
      <c r="H37" s="10" t="s">
        <v>3027</v>
      </c>
      <c r="I37" s="10" t="s">
        <v>3127</v>
      </c>
      <c r="J37" s="10">
        <f t="shared" ref="J37:J68" si="9">IF(Z37="US",K37,VLOOKUP(Z37,$AL$5:$AM$20,2,FALSE)*K37)</f>
        <v>99.5</v>
      </c>
      <c r="K37" s="4">
        <v>99.5</v>
      </c>
      <c r="L37" s="4">
        <v>1513534</v>
      </c>
      <c r="M37" s="4">
        <v>0.3</v>
      </c>
      <c r="N37" s="4">
        <v>0.49332599999999999</v>
      </c>
      <c r="O37" s="4">
        <v>6.97</v>
      </c>
      <c r="P37" s="4">
        <v>6.97</v>
      </c>
      <c r="Q37" s="4">
        <v>0</v>
      </c>
      <c r="R37" s="4">
        <f>VLOOKUP(A37,[1]oas!$A$4:$D$88,4,FALSE)</f>
        <v>664</v>
      </c>
      <c r="S37" s="4">
        <v>2.23</v>
      </c>
      <c r="T37" s="4">
        <v>0.06</v>
      </c>
      <c r="U37" s="4"/>
      <c r="V37" s="4" t="s">
        <v>3037</v>
      </c>
      <c r="W37" s="4" t="s">
        <v>3038</v>
      </c>
      <c r="X37" s="4" t="s">
        <v>3097</v>
      </c>
      <c r="Y37" s="4" t="s">
        <v>3098</v>
      </c>
      <c r="Z37" s="4" t="s">
        <v>2962</v>
      </c>
      <c r="AA37" s="4" t="s">
        <v>3041</v>
      </c>
      <c r="AB37" s="4" t="s">
        <v>3033</v>
      </c>
      <c r="AD37" s="10">
        <f t="shared" si="5"/>
        <v>0.14027437860948203</v>
      </c>
      <c r="AE37" s="10">
        <f t="shared" si="6"/>
        <v>0.23933500991885237</v>
      </c>
      <c r="AF37" s="10">
        <f t="shared" si="7"/>
        <v>58.05648977686657</v>
      </c>
      <c r="AG37" s="10">
        <f t="shared" ca="1" si="8"/>
        <v>8.8446992315100097</v>
      </c>
    </row>
    <row r="38" spans="1:33" x14ac:dyDescent="0.25">
      <c r="A38" s="50" t="s">
        <v>3101</v>
      </c>
      <c r="B38" s="4">
        <v>9500</v>
      </c>
      <c r="C38" s="53" t="s">
        <v>3102</v>
      </c>
      <c r="D38" s="4">
        <v>4.375</v>
      </c>
      <c r="E38" s="49">
        <v>44389</v>
      </c>
      <c r="F38" s="4">
        <v>9.6999999999999993</v>
      </c>
      <c r="G38" s="4">
        <v>9.6999999999999993</v>
      </c>
      <c r="H38" s="10" t="s">
        <v>3070</v>
      </c>
      <c r="I38" s="10" t="s">
        <v>3071</v>
      </c>
      <c r="J38" s="10">
        <f t="shared" si="9"/>
        <v>104.5</v>
      </c>
      <c r="K38" s="4">
        <v>104.5</v>
      </c>
      <c r="L38" s="4">
        <v>10053342</v>
      </c>
      <c r="M38" s="4">
        <v>1.96</v>
      </c>
      <c r="N38" s="4">
        <v>3.2768169999999999</v>
      </c>
      <c r="O38" s="4">
        <v>3.81</v>
      </c>
      <c r="P38" s="4">
        <v>3.81</v>
      </c>
      <c r="Q38" s="4">
        <v>0</v>
      </c>
      <c r="R38" s="4">
        <f>VLOOKUP(A38,[1]oas!$A$4:$D$88,4,FALSE)</f>
        <v>179</v>
      </c>
      <c r="S38" s="4">
        <v>7.8</v>
      </c>
      <c r="T38" s="4">
        <v>0.73</v>
      </c>
      <c r="U38" s="4"/>
      <c r="V38" s="4" t="s">
        <v>3045</v>
      </c>
      <c r="W38" s="4" t="s">
        <v>3046</v>
      </c>
      <c r="X38" s="4" t="s">
        <v>298</v>
      </c>
      <c r="Y38" s="4" t="s">
        <v>2974</v>
      </c>
      <c r="Z38" s="4" t="s">
        <v>2962</v>
      </c>
      <c r="AA38" s="4" t="s">
        <v>3024</v>
      </c>
      <c r="AB38" s="4" t="s">
        <v>3033</v>
      </c>
      <c r="AD38" s="10">
        <f t="shared" si="5"/>
        <v>0.6924198266638445</v>
      </c>
      <c r="AE38" s="10">
        <f t="shared" si="6"/>
        <v>0.81532758470182043</v>
      </c>
      <c r="AF38" s="10">
        <f t="shared" si="7"/>
        <v>25.258400308993405</v>
      </c>
      <c r="AG38" s="10">
        <f t="shared" ca="1" si="8"/>
        <v>6.3581655360240488</v>
      </c>
    </row>
    <row r="39" spans="1:33" x14ac:dyDescent="0.25">
      <c r="A39" s="50" t="s">
        <v>3103</v>
      </c>
      <c r="B39" s="4">
        <v>2500</v>
      </c>
      <c r="C39" s="53" t="s">
        <v>3104</v>
      </c>
      <c r="D39" s="4">
        <v>9.5</v>
      </c>
      <c r="E39" s="49">
        <v>41866</v>
      </c>
      <c r="F39" s="4">
        <v>2.79</v>
      </c>
      <c r="G39" s="4">
        <v>2.79</v>
      </c>
      <c r="H39" s="10" t="s">
        <v>3190</v>
      </c>
      <c r="I39" s="10" t="s">
        <v>3071</v>
      </c>
      <c r="J39" s="10">
        <f t="shared" si="9"/>
        <v>112.5</v>
      </c>
      <c r="K39" s="4">
        <v>112.5</v>
      </c>
      <c r="L39" s="4">
        <v>2862639</v>
      </c>
      <c r="M39" s="4">
        <v>0.52</v>
      </c>
      <c r="N39" s="4">
        <v>0.93305700000000003</v>
      </c>
      <c r="O39" s="4">
        <v>4.67</v>
      </c>
      <c r="P39" s="4">
        <v>4.67</v>
      </c>
      <c r="Q39" s="4">
        <v>0</v>
      </c>
      <c r="R39" s="4">
        <f>VLOOKUP(A39,[1]oas!$A$4:$D$88,4,FALSE)</f>
        <v>429</v>
      </c>
      <c r="S39" s="4">
        <v>2.44</v>
      </c>
      <c r="T39" s="4">
        <v>0.08</v>
      </c>
      <c r="U39" s="4"/>
      <c r="V39" s="4" t="s">
        <v>3105</v>
      </c>
      <c r="W39" s="4" t="s">
        <v>3106</v>
      </c>
      <c r="X39" s="4" t="s">
        <v>3107</v>
      </c>
      <c r="Y39" s="4" t="s">
        <v>3086</v>
      </c>
      <c r="Z39" s="4" t="s">
        <v>2962</v>
      </c>
      <c r="AA39" s="4" t="s">
        <v>3041</v>
      </c>
      <c r="AB39" s="4" t="s">
        <v>2945</v>
      </c>
      <c r="AD39" s="10">
        <f t="shared" si="5"/>
        <v>0.29029377242555443</v>
      </c>
      <c r="AE39" s="10">
        <f t="shared" si="6"/>
        <v>8.5748608471001769E-2</v>
      </c>
      <c r="AF39" s="10">
        <f t="shared" si="7"/>
        <v>20.748775805428867</v>
      </c>
      <c r="AG39" s="10">
        <f t="shared" ca="1" si="8"/>
        <v>1.9490554261404405</v>
      </c>
    </row>
    <row r="40" spans="1:33" x14ac:dyDescent="0.25">
      <c r="A40" s="50" t="s">
        <v>3108</v>
      </c>
      <c r="B40" s="4">
        <v>1000</v>
      </c>
      <c r="C40" s="53" t="s">
        <v>3109</v>
      </c>
      <c r="D40" s="4">
        <v>6.375</v>
      </c>
      <c r="E40" s="49">
        <v>44279</v>
      </c>
      <c r="F40" s="4">
        <v>9.4</v>
      </c>
      <c r="G40" s="4">
        <v>9.4</v>
      </c>
      <c r="H40" s="10" t="s">
        <v>3070</v>
      </c>
      <c r="I40" s="10" t="s">
        <v>3071</v>
      </c>
      <c r="J40" s="10">
        <f t="shared" si="9"/>
        <v>97.75</v>
      </c>
      <c r="K40" s="4">
        <v>97.75</v>
      </c>
      <c r="L40" s="4">
        <v>984078</v>
      </c>
      <c r="M40" s="4">
        <v>0.21</v>
      </c>
      <c r="N40" s="4">
        <v>0.32075300000000001</v>
      </c>
      <c r="O40" s="4">
        <v>6.7</v>
      </c>
      <c r="P40" s="4">
        <v>6.7</v>
      </c>
      <c r="Q40" s="4">
        <v>0</v>
      </c>
      <c r="R40" s="4">
        <f>VLOOKUP(A40,[1]oas!$A$4:$D$88,4,FALSE)</f>
        <v>481</v>
      </c>
      <c r="S40" s="4">
        <v>6.91</v>
      </c>
      <c r="T40" s="4">
        <v>0.6</v>
      </c>
      <c r="U40" s="4"/>
      <c r="V40" s="4" t="s">
        <v>3045</v>
      </c>
      <c r="W40" s="4" t="s">
        <v>3046</v>
      </c>
      <c r="X40" s="4" t="s">
        <v>3110</v>
      </c>
      <c r="Y40" s="4" t="s">
        <v>3111</v>
      </c>
      <c r="Z40" s="4" t="s">
        <v>2962</v>
      </c>
      <c r="AA40" s="4" t="s">
        <v>3041</v>
      </c>
      <c r="AB40" s="4" t="s">
        <v>3033</v>
      </c>
      <c r="AD40" s="10">
        <f t="shared" si="5"/>
        <v>6.0044330336317286E-2</v>
      </c>
      <c r="AE40" s="10">
        <f t="shared" si="6"/>
        <v>0.14958415687940019</v>
      </c>
      <c r="AF40" s="10">
        <f t="shared" si="7"/>
        <v>7.9972965662742279</v>
      </c>
      <c r="AG40" s="10">
        <f t="shared" ca="1" si="8"/>
        <v>5.6495531124611036</v>
      </c>
    </row>
    <row r="41" spans="1:33" x14ac:dyDescent="0.25">
      <c r="A41" s="50" t="s">
        <v>3112</v>
      </c>
      <c r="B41" s="4">
        <v>1500</v>
      </c>
      <c r="C41" s="53" t="s">
        <v>3109</v>
      </c>
      <c r="D41" s="4">
        <v>6.625</v>
      </c>
      <c r="E41" s="49">
        <v>44026</v>
      </c>
      <c r="F41" s="4">
        <v>8.7100000000000009</v>
      </c>
      <c r="G41" s="4">
        <v>8.7100000000000009</v>
      </c>
      <c r="H41" s="10" t="s">
        <v>3181</v>
      </c>
      <c r="I41" s="10" t="s">
        <v>3116</v>
      </c>
      <c r="J41" s="10">
        <f t="shared" si="9"/>
        <v>98.63</v>
      </c>
      <c r="K41" s="4">
        <v>98.63</v>
      </c>
      <c r="L41" s="4">
        <v>1508911</v>
      </c>
      <c r="M41" s="4">
        <v>0.31</v>
      </c>
      <c r="N41" s="4">
        <v>0.49181900000000001</v>
      </c>
      <c r="O41" s="4">
        <v>6.84</v>
      </c>
      <c r="P41" s="4">
        <v>6.84</v>
      </c>
      <c r="Q41" s="4">
        <v>0</v>
      </c>
      <c r="R41" s="4">
        <f>VLOOKUP(A41,[1]oas!$A$4:$D$88,4,FALSE)</f>
        <v>506</v>
      </c>
      <c r="S41" s="4">
        <v>6.39</v>
      </c>
      <c r="T41" s="4">
        <v>0.52</v>
      </c>
      <c r="U41" s="4"/>
      <c r="V41" s="4" t="s">
        <v>3045</v>
      </c>
      <c r="W41" s="4" t="s">
        <v>3046</v>
      </c>
      <c r="X41" s="4" t="s">
        <v>3113</v>
      </c>
      <c r="Y41" s="4" t="s">
        <v>3111</v>
      </c>
      <c r="Z41" s="4" t="s">
        <v>2962</v>
      </c>
      <c r="AA41" s="4" t="s">
        <v>3041</v>
      </c>
      <c r="AB41" s="4" t="s">
        <v>3033</v>
      </c>
      <c r="AD41" s="10">
        <f t="shared" si="5"/>
        <v>8.5139073165213991E-2</v>
      </c>
      <c r="AE41" s="10">
        <f t="shared" si="6"/>
        <v>0.23415368594717328</v>
      </c>
      <c r="AF41" s="10">
        <f t="shared" si="7"/>
        <v>12.899793066771265</v>
      </c>
      <c r="AG41" s="10">
        <f t="shared" ca="1" si="8"/>
        <v>8.7405842770973496</v>
      </c>
    </row>
    <row r="42" spans="1:33" x14ac:dyDescent="0.25">
      <c r="A42" s="50" t="s">
        <v>3114</v>
      </c>
      <c r="B42" s="4">
        <v>1500</v>
      </c>
      <c r="C42" s="53" t="s">
        <v>3115</v>
      </c>
      <c r="D42" s="4">
        <v>6.5</v>
      </c>
      <c r="E42" s="49">
        <v>44033</v>
      </c>
      <c r="F42" s="4">
        <v>8.73</v>
      </c>
      <c r="G42" s="4">
        <v>8.73</v>
      </c>
      <c r="H42" s="10" t="s">
        <v>3054</v>
      </c>
      <c r="I42" s="10" t="s">
        <v>3083</v>
      </c>
      <c r="J42" s="10">
        <f t="shared" si="9"/>
        <v>107.25</v>
      </c>
      <c r="K42" s="4">
        <v>107.25</v>
      </c>
      <c r="L42" s="4">
        <v>1635833</v>
      </c>
      <c r="M42" s="4">
        <v>0.31</v>
      </c>
      <c r="N42" s="4">
        <v>0.53318900000000002</v>
      </c>
      <c r="O42" s="4">
        <v>5.44</v>
      </c>
      <c r="P42" s="4">
        <v>5.44</v>
      </c>
      <c r="Q42" s="4">
        <v>0</v>
      </c>
      <c r="R42" s="4">
        <f>VLOOKUP(A42,[1]oas!$A$4:$D$88,4,FALSE)</f>
        <v>366</v>
      </c>
      <c r="S42" s="4">
        <v>6.58</v>
      </c>
      <c r="T42" s="4">
        <v>0.54</v>
      </c>
      <c r="U42" s="4"/>
      <c r="V42" s="4" t="s">
        <v>3037</v>
      </c>
      <c r="W42" s="4" t="s">
        <v>3117</v>
      </c>
      <c r="X42" s="4" t="s">
        <v>3118</v>
      </c>
      <c r="Y42" s="4" t="s">
        <v>3040</v>
      </c>
      <c r="Z42" s="4" t="s">
        <v>2962</v>
      </c>
      <c r="AA42" s="4" t="s">
        <v>3041</v>
      </c>
      <c r="AB42" s="4" t="s">
        <v>2945</v>
      </c>
      <c r="AD42" s="10">
        <f t="shared" si="5"/>
        <v>9.504500415940724E-2</v>
      </c>
      <c r="AE42" s="10">
        <f t="shared" si="6"/>
        <v>5.7079673664675257E-2</v>
      </c>
      <c r="AF42" s="10">
        <f t="shared" si="7"/>
        <v>4.3773974273577183</v>
      </c>
      <c r="AG42" s="10">
        <f t="shared" ca="1" si="8"/>
        <v>1.0617966462462833</v>
      </c>
    </row>
    <row r="43" spans="1:33" x14ac:dyDescent="0.25">
      <c r="A43" s="50" t="s">
        <v>322</v>
      </c>
      <c r="B43" s="4">
        <v>3500</v>
      </c>
      <c r="C43" s="53" t="s">
        <v>3119</v>
      </c>
      <c r="D43" s="4">
        <v>7.5</v>
      </c>
      <c r="E43" s="49">
        <v>44322</v>
      </c>
      <c r="F43" s="4">
        <v>9.52</v>
      </c>
      <c r="G43" s="4">
        <v>9.52</v>
      </c>
      <c r="H43" s="10" t="s">
        <v>3059</v>
      </c>
      <c r="I43" s="10" t="s">
        <v>3076</v>
      </c>
      <c r="J43" s="10">
        <f t="shared" si="9"/>
        <v>103.8</v>
      </c>
      <c r="K43" s="4">
        <v>103.8</v>
      </c>
      <c r="L43" s="4">
        <v>3760604</v>
      </c>
      <c r="M43" s="4">
        <v>0.72</v>
      </c>
      <c r="N43" s="4">
        <v>1.225743</v>
      </c>
      <c r="O43" s="4">
        <v>6.61</v>
      </c>
      <c r="P43" s="4">
        <v>6.61</v>
      </c>
      <c r="Q43" s="4">
        <v>0</v>
      </c>
      <c r="R43" s="4">
        <f>VLOOKUP(A43,[1]oas!$A$4:$D$88,4,FALSE)</f>
        <v>517</v>
      </c>
      <c r="S43" s="4">
        <v>4.09</v>
      </c>
      <c r="T43" s="4">
        <v>0.26</v>
      </c>
      <c r="U43" s="4"/>
      <c r="V43" s="4" t="s">
        <v>3045</v>
      </c>
      <c r="W43" s="4" t="s">
        <v>3046</v>
      </c>
      <c r="X43" s="4" t="s">
        <v>322</v>
      </c>
      <c r="Y43" s="4" t="s">
        <v>3121</v>
      </c>
      <c r="Z43" s="4" t="s">
        <v>2962</v>
      </c>
      <c r="AA43" s="4" t="s">
        <v>3067</v>
      </c>
      <c r="AB43" s="4" t="s">
        <v>3033</v>
      </c>
      <c r="AD43" s="10">
        <f t="shared" si="5"/>
        <v>0.1678131506960393</v>
      </c>
      <c r="AE43" s="10">
        <f t="shared" si="6"/>
        <v>0.56394965524501295</v>
      </c>
      <c r="AF43" s="10">
        <f t="shared" si="7"/>
        <v>32.848591238337043</v>
      </c>
      <c r="AG43" s="10">
        <f t="shared" ca="1" si="8"/>
        <v>2.3624359374603587</v>
      </c>
    </row>
    <row r="44" spans="1:33" x14ac:dyDescent="0.25">
      <c r="A44" s="50" t="s">
        <v>3122</v>
      </c>
      <c r="B44" s="4">
        <v>3000</v>
      </c>
      <c r="C44" s="53" t="s">
        <v>3123</v>
      </c>
      <c r="D44" s="4">
        <v>7.625</v>
      </c>
      <c r="E44" s="49">
        <v>43669</v>
      </c>
      <c r="F44" s="4">
        <v>7.73</v>
      </c>
      <c r="G44" s="4">
        <v>7.73</v>
      </c>
      <c r="H44" s="10" t="s">
        <v>3027</v>
      </c>
      <c r="I44" s="10" t="s">
        <v>3028</v>
      </c>
      <c r="J44" s="10">
        <f t="shared" si="9"/>
        <v>119.3</v>
      </c>
      <c r="K44" s="4">
        <v>119.3</v>
      </c>
      <c r="L44" s="4">
        <v>3641271</v>
      </c>
      <c r="M44" s="4">
        <v>0.62</v>
      </c>
      <c r="N44" s="4">
        <v>1.186847</v>
      </c>
      <c r="O44" s="4">
        <v>4.63</v>
      </c>
      <c r="P44" s="4">
        <v>4.63</v>
      </c>
      <c r="Q44" s="4">
        <v>0</v>
      </c>
      <c r="R44" s="4">
        <f>VLOOKUP(A44,[1]oas!$A$4:$D$88,4,FALSE)</f>
        <v>302</v>
      </c>
      <c r="S44" s="4">
        <v>5.91</v>
      </c>
      <c r="T44" s="4">
        <v>0.44</v>
      </c>
      <c r="U44" s="4"/>
      <c r="V44" s="4" t="s">
        <v>3124</v>
      </c>
      <c r="W44" s="4" t="s">
        <v>3125</v>
      </c>
      <c r="X44" s="4" t="s">
        <v>1650</v>
      </c>
      <c r="Y44" s="4" t="s">
        <v>2974</v>
      </c>
      <c r="Z44" s="4" t="s">
        <v>2962</v>
      </c>
      <c r="AA44" s="4" t="s">
        <v>3024</v>
      </c>
      <c r="AB44" s="4" t="s">
        <v>3033</v>
      </c>
      <c r="AD44" s="10">
        <f t="shared" si="5"/>
        <v>0.23479322596503413</v>
      </c>
      <c r="AE44" s="10">
        <f t="shared" si="6"/>
        <v>0.10813781997431414</v>
      </c>
      <c r="AF44" s="10">
        <f t="shared" si="7"/>
        <v>8.0399967493861144</v>
      </c>
      <c r="AG44" s="10">
        <f t="shared" ca="1" si="8"/>
        <v>2.6290480847181636</v>
      </c>
    </row>
    <row r="45" spans="1:33" x14ac:dyDescent="0.25">
      <c r="A45" s="50" t="s">
        <v>4675</v>
      </c>
      <c r="B45" s="4">
        <v>2000</v>
      </c>
      <c r="C45" s="53" t="s">
        <v>3126</v>
      </c>
      <c r="D45" s="4">
        <v>4.375</v>
      </c>
      <c r="E45" s="49">
        <v>44454</v>
      </c>
      <c r="F45" s="4">
        <v>9.8800000000000008</v>
      </c>
      <c r="G45" s="4">
        <v>9.8800000000000008</v>
      </c>
      <c r="H45" s="10" t="s">
        <v>3161</v>
      </c>
      <c r="I45" s="10" t="s">
        <v>3083</v>
      </c>
      <c r="J45" s="10">
        <f t="shared" si="9"/>
        <v>100</v>
      </c>
      <c r="K45" s="4">
        <v>100</v>
      </c>
      <c r="L45" s="4">
        <v>2011089</v>
      </c>
      <c r="M45" s="4">
        <v>0.41</v>
      </c>
      <c r="N45" s="4">
        <v>0.65549999999999997</v>
      </c>
      <c r="O45" s="4">
        <v>4.38</v>
      </c>
      <c r="P45" s="4">
        <v>4.38</v>
      </c>
      <c r="Q45" s="4">
        <v>0</v>
      </c>
      <c r="R45" s="4">
        <f>VLOOKUP(A45,[1]oas!$A$4:$D$88,4,FALSE)</f>
        <v>232</v>
      </c>
      <c r="S45" s="4">
        <v>7.9</v>
      </c>
      <c r="T45" s="4">
        <v>0.75</v>
      </c>
      <c r="U45" s="4"/>
      <c r="V45" s="4" t="s">
        <v>3128</v>
      </c>
      <c r="W45" s="4" t="s">
        <v>3129</v>
      </c>
      <c r="X45" s="4" t="s">
        <v>3130</v>
      </c>
      <c r="Y45" s="4" t="s">
        <v>3131</v>
      </c>
      <c r="Z45" s="4" t="s">
        <v>2962</v>
      </c>
      <c r="AA45" s="4" t="s">
        <v>3024</v>
      </c>
      <c r="AB45" s="4" t="s">
        <v>2945</v>
      </c>
      <c r="AD45" s="10">
        <f t="shared" si="5"/>
        <v>0.14028874083206336</v>
      </c>
      <c r="AE45" s="10">
        <f t="shared" si="6"/>
        <v>5.6500074154757315E-2</v>
      </c>
      <c r="AF45" s="10">
        <f t="shared" si="7"/>
        <v>3.4112629969263564</v>
      </c>
      <c r="AG45" s="10">
        <f t="shared" ca="1" si="8"/>
        <v>1.2171283375317057</v>
      </c>
    </row>
    <row r="46" spans="1:33" x14ac:dyDescent="0.25">
      <c r="A46" s="50" t="s">
        <v>3132</v>
      </c>
      <c r="B46" s="4">
        <v>3000</v>
      </c>
      <c r="C46" s="53" t="s">
        <v>3133</v>
      </c>
      <c r="D46" s="4">
        <v>7.375</v>
      </c>
      <c r="E46" s="49">
        <v>43800</v>
      </c>
      <c r="F46" s="4">
        <v>8.09</v>
      </c>
      <c r="G46" s="4">
        <v>8.09</v>
      </c>
      <c r="H46" s="10" t="s">
        <v>3027</v>
      </c>
      <c r="I46" s="10" t="s">
        <v>3127</v>
      </c>
      <c r="J46" s="10">
        <f t="shared" si="9"/>
        <v>109</v>
      </c>
      <c r="K46" s="4">
        <v>109</v>
      </c>
      <c r="L46" s="4">
        <v>3362188</v>
      </c>
      <c r="M46" s="4">
        <v>0.62</v>
      </c>
      <c r="N46" s="4">
        <v>1.095882</v>
      </c>
      <c r="O46" s="4">
        <v>5.95</v>
      </c>
      <c r="P46" s="4">
        <v>5.95</v>
      </c>
      <c r="Q46" s="4">
        <v>0</v>
      </c>
      <c r="R46" s="4">
        <f>VLOOKUP(A46,[1]oas!$A$4:$D$88,4,FALSE)</f>
        <v>430</v>
      </c>
      <c r="S46" s="4">
        <v>5.97</v>
      </c>
      <c r="T46" s="4">
        <v>0.45</v>
      </c>
      <c r="U46" s="4"/>
      <c r="V46" s="4" t="s">
        <v>3045</v>
      </c>
      <c r="W46" s="4" t="s">
        <v>3046</v>
      </c>
      <c r="X46" s="4" t="s">
        <v>3135</v>
      </c>
      <c r="Y46" s="4" t="s">
        <v>3136</v>
      </c>
      <c r="Z46" s="4" t="s">
        <v>2962</v>
      </c>
      <c r="AA46" s="4" t="s">
        <v>3041</v>
      </c>
      <c r="AB46" s="4" t="s">
        <v>2945</v>
      </c>
      <c r="AD46" s="10">
        <f t="shared" si="5"/>
        <v>0.21899863332760824</v>
      </c>
      <c r="AE46" s="10">
        <f t="shared" si="6"/>
        <v>0.12831652100900295</v>
      </c>
      <c r="AF46" s="10">
        <f t="shared" si="7"/>
        <v>24.426376761343839</v>
      </c>
      <c r="AG46" s="10">
        <f t="shared" ca="1" si="8"/>
        <v>2.2179593131337625</v>
      </c>
    </row>
    <row r="47" spans="1:33" x14ac:dyDescent="0.25">
      <c r="A47" s="50" t="s">
        <v>3137</v>
      </c>
      <c r="B47" s="4">
        <v>1550</v>
      </c>
      <c r="C47" s="53" t="s">
        <v>3138</v>
      </c>
      <c r="D47" s="4">
        <v>8.25</v>
      </c>
      <c r="E47" s="49">
        <v>11789</v>
      </c>
      <c r="F47" s="4">
        <v>20.440000000000001</v>
      </c>
      <c r="G47" s="4">
        <v>20.440000000000001</v>
      </c>
      <c r="H47" s="10" t="s">
        <v>3054</v>
      </c>
      <c r="I47" s="10" t="s">
        <v>3116</v>
      </c>
      <c r="J47" s="10">
        <f t="shared" si="9"/>
        <v>109</v>
      </c>
      <c r="K47" s="4">
        <v>109</v>
      </c>
      <c r="L47" s="4">
        <v>1696959</v>
      </c>
      <c r="M47" s="4">
        <v>0.32</v>
      </c>
      <c r="N47" s="4">
        <v>0.55311200000000005</v>
      </c>
      <c r="O47" s="4">
        <v>7.39</v>
      </c>
      <c r="P47" s="4">
        <v>7.39</v>
      </c>
      <c r="Q47" s="4">
        <v>0</v>
      </c>
      <c r="R47" s="4">
        <f>VLOOKUP(A47,[1]oas!$A$4:$D$88,4,FALSE)</f>
        <v>499</v>
      </c>
      <c r="S47" s="4">
        <v>10.199999999999999</v>
      </c>
      <c r="T47" s="4">
        <v>1.56</v>
      </c>
      <c r="U47" s="4"/>
      <c r="V47" s="4" t="s">
        <v>3045</v>
      </c>
      <c r="W47" s="4" t="s">
        <v>3046</v>
      </c>
      <c r="X47" s="4" t="s">
        <v>3137</v>
      </c>
      <c r="Y47" s="4" t="s">
        <v>3136</v>
      </c>
      <c r="Z47" s="4" t="s">
        <v>2962</v>
      </c>
      <c r="AA47" s="4" t="s">
        <v>3041</v>
      </c>
      <c r="AB47" s="4" t="s">
        <v>2945</v>
      </c>
      <c r="AD47" s="10">
        <f t="shared" si="5"/>
        <v>0.62204714352517565</v>
      </c>
      <c r="AE47" s="10">
        <f t="shared" si="6"/>
        <v>0.28450968857707576</v>
      </c>
      <c r="AF47" s="10">
        <f t="shared" si="7"/>
        <v>14.306733827477744</v>
      </c>
      <c r="AG47" s="10">
        <f t="shared" ca="1" si="8"/>
        <v>1.1194454379279672</v>
      </c>
    </row>
    <row r="48" spans="1:33" x14ac:dyDescent="0.25">
      <c r="A48" s="50" t="s">
        <v>795</v>
      </c>
      <c r="B48" s="4">
        <v>2450</v>
      </c>
      <c r="C48" s="53" t="s">
        <v>3139</v>
      </c>
      <c r="D48" s="4">
        <v>7.65</v>
      </c>
      <c r="E48" s="49">
        <v>12950</v>
      </c>
      <c r="F48" s="4">
        <v>23.63</v>
      </c>
      <c r="G48" s="4">
        <v>23.63</v>
      </c>
      <c r="H48" s="10" t="s">
        <v>3028</v>
      </c>
      <c r="I48" s="10" t="s">
        <v>3060</v>
      </c>
      <c r="J48" s="10">
        <f t="shared" si="9"/>
        <v>101</v>
      </c>
      <c r="K48" s="4">
        <v>101</v>
      </c>
      <c r="L48" s="4">
        <v>2545305</v>
      </c>
      <c r="M48" s="4">
        <v>0.51</v>
      </c>
      <c r="N48" s="4">
        <v>0.82962499999999995</v>
      </c>
      <c r="O48" s="4">
        <v>7.56</v>
      </c>
      <c r="P48" s="4">
        <v>7.56</v>
      </c>
      <c r="Q48" s="4">
        <v>0</v>
      </c>
      <c r="R48" s="4">
        <f>VLOOKUP(A48,[1]oas!$A$4:$D$88,4,FALSE)</f>
        <v>505</v>
      </c>
      <c r="S48" s="4">
        <v>10.62</v>
      </c>
      <c r="T48" s="4">
        <v>1.79</v>
      </c>
      <c r="U48" s="4"/>
      <c r="V48" s="4" t="s">
        <v>3045</v>
      </c>
      <c r="W48" s="4" t="s">
        <v>3046</v>
      </c>
      <c r="X48" s="4" t="s">
        <v>795</v>
      </c>
      <c r="Y48" s="4" t="s">
        <v>3136</v>
      </c>
      <c r="Z48" s="4" t="s">
        <v>2962</v>
      </c>
      <c r="AA48" s="4" t="s">
        <v>3067</v>
      </c>
      <c r="AB48" s="4" t="s">
        <v>3033</v>
      </c>
      <c r="AD48" s="10">
        <f t="shared" si="5"/>
        <v>0.9714403225836592</v>
      </c>
      <c r="AE48" s="10">
        <f t="shared" si="6"/>
        <v>0.43655895228605496</v>
      </c>
      <c r="AF48" s="10">
        <f t="shared" si="7"/>
        <v>21.716998978723463</v>
      </c>
      <c r="AG48" s="10">
        <f t="shared" ca="1" si="8"/>
        <v>1.5558448540033532</v>
      </c>
    </row>
    <row r="49" spans="1:33" x14ac:dyDescent="0.25">
      <c r="A49" s="50" t="s">
        <v>3140</v>
      </c>
      <c r="B49" s="4">
        <v>2000</v>
      </c>
      <c r="C49" s="53" t="s">
        <v>3141</v>
      </c>
      <c r="D49" s="4">
        <v>5.25</v>
      </c>
      <c r="E49" s="49">
        <v>44053</v>
      </c>
      <c r="F49" s="4">
        <v>8.7799999999999994</v>
      </c>
      <c r="G49" s="4">
        <v>8.7799999999999994</v>
      </c>
      <c r="H49" s="10" t="s">
        <v>3054</v>
      </c>
      <c r="I49" s="10" t="s">
        <v>3083</v>
      </c>
      <c r="J49" s="10">
        <f t="shared" si="9"/>
        <v>105.19</v>
      </c>
      <c r="K49" s="4">
        <v>105.19</v>
      </c>
      <c r="L49" s="4">
        <v>2127483</v>
      </c>
      <c r="M49" s="4">
        <v>0.41</v>
      </c>
      <c r="N49" s="4">
        <v>0.693438</v>
      </c>
      <c r="O49" s="4">
        <v>4.53</v>
      </c>
      <c r="P49" s="4">
        <v>4.53</v>
      </c>
      <c r="Q49" s="4">
        <v>0</v>
      </c>
      <c r="R49" s="4">
        <f>VLOOKUP(A49,[1]oas!$A$4:$D$88,4,FALSE)</f>
        <v>269</v>
      </c>
      <c r="S49" s="4">
        <v>6.96</v>
      </c>
      <c r="T49" s="4">
        <v>0.59</v>
      </c>
      <c r="U49" s="4"/>
      <c r="V49" s="4" t="s">
        <v>3124</v>
      </c>
      <c r="W49" s="4" t="s">
        <v>3142</v>
      </c>
      <c r="X49" s="4" t="s">
        <v>3143</v>
      </c>
      <c r="Y49" s="4" t="s">
        <v>2966</v>
      </c>
      <c r="Z49" s="4" t="s">
        <v>2962</v>
      </c>
      <c r="AA49" s="4" t="s">
        <v>3041</v>
      </c>
      <c r="AB49" s="4" t="s">
        <v>2945</v>
      </c>
      <c r="AD49" s="10">
        <f t="shared" si="5"/>
        <v>0.13074942072494747</v>
      </c>
      <c r="AE49" s="10">
        <f t="shared" si="6"/>
        <v>6.1816998925862475E-2</v>
      </c>
      <c r="AF49" s="10">
        <f t="shared" si="7"/>
        <v>4.1842180283096591</v>
      </c>
      <c r="AG49" s="10">
        <f t="shared" ca="1" si="8"/>
        <v>1.3543959203058424</v>
      </c>
    </row>
    <row r="50" spans="1:33" x14ac:dyDescent="0.25">
      <c r="A50" s="50" t="s">
        <v>3144</v>
      </c>
      <c r="B50" s="4">
        <v>2500</v>
      </c>
      <c r="C50" s="53" t="s">
        <v>3145</v>
      </c>
      <c r="D50" s="4">
        <v>5.75</v>
      </c>
      <c r="E50" s="49">
        <v>44222</v>
      </c>
      <c r="F50" s="4">
        <v>9.24</v>
      </c>
      <c r="G50" s="4">
        <v>9.24</v>
      </c>
      <c r="H50" s="10" t="s">
        <v>3054</v>
      </c>
      <c r="I50" s="10" t="s">
        <v>3060</v>
      </c>
      <c r="J50" s="10">
        <f t="shared" si="9"/>
        <v>105.5</v>
      </c>
      <c r="K50" s="4">
        <v>105.5</v>
      </c>
      <c r="L50" s="4">
        <v>2675434</v>
      </c>
      <c r="M50" s="4">
        <v>0.52</v>
      </c>
      <c r="N50" s="4">
        <v>0.87203900000000001</v>
      </c>
      <c r="O50" s="4">
        <v>5</v>
      </c>
      <c r="P50" s="4">
        <v>5</v>
      </c>
      <c r="Q50" s="4">
        <v>0</v>
      </c>
      <c r="R50" s="4">
        <f>VLOOKUP(A50,[1]oas!$A$4:$D$88,4,FALSE)</f>
        <v>310</v>
      </c>
      <c r="S50" s="4">
        <v>7.08</v>
      </c>
      <c r="T50" s="4">
        <v>0.62</v>
      </c>
      <c r="U50" s="4"/>
      <c r="V50" s="4" t="s">
        <v>3128</v>
      </c>
      <c r="W50" s="4" t="s">
        <v>3129</v>
      </c>
      <c r="X50" s="4" t="s">
        <v>3146</v>
      </c>
      <c r="Y50" s="4" t="s">
        <v>3147</v>
      </c>
      <c r="Z50" s="4" t="s">
        <v>2962</v>
      </c>
      <c r="AA50" s="4" t="s">
        <v>3041</v>
      </c>
      <c r="AB50" s="4" t="s">
        <v>3033</v>
      </c>
      <c r="AD50" s="10">
        <f t="shared" si="5"/>
        <v>0.16725993933208072</v>
      </c>
      <c r="AE50" s="10">
        <f t="shared" si="6"/>
        <v>8.5804064953281467E-2</v>
      </c>
      <c r="AF50" s="10">
        <f t="shared" si="7"/>
        <v>6.0638976666390176</v>
      </c>
      <c r="AG50" s="10">
        <f t="shared" ca="1" si="8"/>
        <v>1.7082513981770924</v>
      </c>
    </row>
    <row r="51" spans="1:33" x14ac:dyDescent="0.25">
      <c r="A51" s="50" t="s">
        <v>3148</v>
      </c>
      <c r="B51" s="4">
        <v>-6450</v>
      </c>
      <c r="C51" s="53" t="s">
        <v>3149</v>
      </c>
      <c r="D51" s="4">
        <v>0.25</v>
      </c>
      <c r="E51" s="49">
        <v>42724</v>
      </c>
      <c r="F51" s="4">
        <v>5.14</v>
      </c>
      <c r="G51" s="4">
        <v>5.14</v>
      </c>
      <c r="H51" s="10" t="s">
        <v>133</v>
      </c>
      <c r="I51" s="10" t="s">
        <v>3028</v>
      </c>
      <c r="J51" s="10">
        <f t="shared" si="9"/>
        <v>92.98</v>
      </c>
      <c r="K51" s="4">
        <v>92.98</v>
      </c>
      <c r="L51" s="4">
        <v>-5998962</v>
      </c>
      <c r="M51" s="4">
        <v>-1.33</v>
      </c>
      <c r="N51" s="4">
        <v>-1.9553199999999999</v>
      </c>
      <c r="O51" s="4">
        <v>1.68</v>
      </c>
      <c r="P51" s="4">
        <v>1.68</v>
      </c>
      <c r="Q51" s="4">
        <v>0</v>
      </c>
      <c r="R51" s="4">
        <v>0</v>
      </c>
      <c r="S51" s="4">
        <v>0.01</v>
      </c>
      <c r="T51" s="4">
        <v>0.27</v>
      </c>
      <c r="U51" s="4" t="s">
        <v>3049</v>
      </c>
      <c r="V51" s="4" t="s">
        <v>3045</v>
      </c>
      <c r="W51" s="4" t="s">
        <v>3046</v>
      </c>
      <c r="X51" s="4" t="s">
        <v>2945</v>
      </c>
      <c r="Y51" s="4" t="s">
        <v>3150</v>
      </c>
      <c r="Z51" s="4" t="s">
        <v>2962</v>
      </c>
      <c r="AA51" s="4" t="s">
        <v>3032</v>
      </c>
      <c r="AB51" s="4" t="s">
        <v>3033</v>
      </c>
      <c r="AD51" s="10">
        <f t="shared" si="5"/>
        <v>-2.7233993832612158E-3</v>
      </c>
      <c r="AE51" s="10">
        <f t="shared" si="6"/>
        <v>-0.51487374929933383</v>
      </c>
      <c r="AF51" s="10">
        <f t="shared" si="7"/>
        <v>0</v>
      </c>
      <c r="AG51" s="10">
        <f t="shared" ca="1" si="8"/>
        <v>-32.759212994457492</v>
      </c>
    </row>
    <row r="52" spans="1:33" x14ac:dyDescent="0.25">
      <c r="A52" s="50" t="s">
        <v>3151</v>
      </c>
      <c r="B52" s="4">
        <v>1500</v>
      </c>
      <c r="C52" s="53" t="s">
        <v>3152</v>
      </c>
      <c r="D52" s="4">
        <v>8.75</v>
      </c>
      <c r="E52" s="49">
        <v>44666</v>
      </c>
      <c r="F52" s="4">
        <v>10.46</v>
      </c>
      <c r="G52" s="4">
        <v>10.46</v>
      </c>
      <c r="H52" s="10" t="s">
        <v>3054</v>
      </c>
      <c r="I52" s="10" t="s">
        <v>3076</v>
      </c>
      <c r="J52" s="10">
        <f t="shared" si="9"/>
        <v>106</v>
      </c>
      <c r="K52" s="4">
        <v>106</v>
      </c>
      <c r="L52" s="4">
        <v>1595833</v>
      </c>
      <c r="M52" s="4">
        <v>0.31</v>
      </c>
      <c r="N52" s="4">
        <v>0.52015100000000003</v>
      </c>
      <c r="O52" s="4">
        <v>7.9</v>
      </c>
      <c r="P52" s="4">
        <v>7.9</v>
      </c>
      <c r="Q52" s="4">
        <v>534</v>
      </c>
      <c r="R52" s="4">
        <f>VLOOKUP(A52,[1]oas!$A$4:$D$88,4,FALSE)</f>
        <v>595</v>
      </c>
      <c r="S52" s="4">
        <v>6.87</v>
      </c>
      <c r="T52" s="4">
        <v>0.65</v>
      </c>
      <c r="U52" s="4"/>
      <c r="V52" s="4" t="s">
        <v>3153</v>
      </c>
      <c r="W52" s="4" t="s">
        <v>3154</v>
      </c>
      <c r="X52" s="4" t="s">
        <v>3155</v>
      </c>
      <c r="Y52" s="4" t="s">
        <v>2961</v>
      </c>
      <c r="Z52" s="4" t="s">
        <v>2962</v>
      </c>
      <c r="AA52" s="4" t="s">
        <v>3024</v>
      </c>
      <c r="AB52" s="4" t="s">
        <v>2945</v>
      </c>
      <c r="AD52" s="10">
        <f t="shared" si="5"/>
        <v>9.6807412866356538E-2</v>
      </c>
      <c r="AE52" s="10">
        <f t="shared" si="6"/>
        <v>0.28601960674881255</v>
      </c>
      <c r="AF52" s="10">
        <f t="shared" si="7"/>
        <v>16.04253551637958</v>
      </c>
      <c r="AG52" s="10">
        <f t="shared" ca="1" si="8"/>
        <v>1.023760549754053</v>
      </c>
    </row>
    <row r="53" spans="1:33" x14ac:dyDescent="0.25">
      <c r="A53" s="50" t="s">
        <v>3156</v>
      </c>
      <c r="B53" s="4">
        <v>2200</v>
      </c>
      <c r="C53" s="53" t="s">
        <v>3157</v>
      </c>
      <c r="D53" s="4">
        <v>8.1999999999999993</v>
      </c>
      <c r="E53" s="49">
        <v>43081</v>
      </c>
      <c r="F53" s="4">
        <v>6.12</v>
      </c>
      <c r="G53" s="4">
        <v>6.12</v>
      </c>
      <c r="H53" s="10" t="s">
        <v>133</v>
      </c>
      <c r="I53" s="10" t="s">
        <v>3134</v>
      </c>
      <c r="J53" s="60">
        <f t="shared" si="9"/>
        <v>115</v>
      </c>
      <c r="K53" s="12">
        <v>115</v>
      </c>
      <c r="L53" s="4">
        <v>2599654</v>
      </c>
      <c r="M53" s="4">
        <v>0.45</v>
      </c>
      <c r="N53" s="4">
        <v>0.84733899999999995</v>
      </c>
      <c r="O53" s="4">
        <v>5.29</v>
      </c>
      <c r="P53" s="4">
        <v>5.29</v>
      </c>
      <c r="Q53" s="4">
        <v>0</v>
      </c>
      <c r="R53" s="4">
        <f>VLOOKUP(A53,[1]oas!$A$4:$D$88,4,FALSE)</f>
        <v>406</v>
      </c>
      <c r="S53" s="4">
        <v>4.76</v>
      </c>
      <c r="T53" s="4">
        <v>0.28999999999999998</v>
      </c>
      <c r="U53" s="4"/>
      <c r="V53" s="4" t="s">
        <v>3045</v>
      </c>
      <c r="W53" s="4" t="s">
        <v>3046</v>
      </c>
      <c r="X53" s="4" t="s">
        <v>3158</v>
      </c>
      <c r="Y53" s="4" t="s">
        <v>3159</v>
      </c>
      <c r="Z53" s="4" t="s">
        <v>2962</v>
      </c>
      <c r="AA53" s="4" t="s">
        <v>3041</v>
      </c>
      <c r="AB53" s="4" t="s">
        <v>2945</v>
      </c>
      <c r="AD53" s="10">
        <f t="shared" si="5"/>
        <v>0.13501051129511712</v>
      </c>
      <c r="AE53" s="10">
        <f t="shared" si="6"/>
        <v>8.8209393971608846E-2</v>
      </c>
      <c r="AF53" s="10">
        <f t="shared" si="7"/>
        <v>17.832415932562736</v>
      </c>
      <c r="AG53" s="10">
        <f t="shared" ca="1" si="8"/>
        <v>1.8093328708248597</v>
      </c>
    </row>
    <row r="54" spans="1:33" x14ac:dyDescent="0.25">
      <c r="A54" s="50" t="s">
        <v>2506</v>
      </c>
      <c r="B54" s="4">
        <v>6000</v>
      </c>
      <c r="C54" s="53" t="s">
        <v>3160</v>
      </c>
      <c r="D54" s="4">
        <v>9.25</v>
      </c>
      <c r="E54" s="49">
        <v>43578</v>
      </c>
      <c r="F54" s="4">
        <v>7.48</v>
      </c>
      <c r="G54" s="4">
        <v>7.48</v>
      </c>
      <c r="H54" s="10" t="s">
        <v>3232</v>
      </c>
      <c r="I54" s="10" t="s">
        <v>3079</v>
      </c>
      <c r="J54" s="60">
        <f t="shared" si="9"/>
        <v>123.88</v>
      </c>
      <c r="K54" s="12">
        <v>123.88</v>
      </c>
      <c r="L54" s="4">
        <v>7445133</v>
      </c>
      <c r="M54" s="4">
        <v>1.24</v>
      </c>
      <c r="N54" s="4">
        <v>2.4266899999999998</v>
      </c>
      <c r="O54" s="4">
        <v>5.34</v>
      </c>
      <c r="P54" s="4">
        <v>5.34</v>
      </c>
      <c r="Q54" s="4">
        <v>0</v>
      </c>
      <c r="R54" s="4">
        <f>VLOOKUP(A54,[1]oas!$A$4:$D$88,4,FALSE)</f>
        <v>381</v>
      </c>
      <c r="S54" s="4">
        <v>5.62</v>
      </c>
      <c r="T54" s="4">
        <v>0.4</v>
      </c>
      <c r="U54" s="4"/>
      <c r="V54" s="4" t="s">
        <v>3124</v>
      </c>
      <c r="W54" s="4" t="s">
        <v>3125</v>
      </c>
      <c r="X54" s="4" t="s">
        <v>2506</v>
      </c>
      <c r="Y54" s="4" t="s">
        <v>3040</v>
      </c>
      <c r="Z54" s="4" t="s">
        <v>2962</v>
      </c>
      <c r="AA54" s="4" t="s">
        <v>3067</v>
      </c>
      <c r="AB54" s="4" t="s">
        <v>2945</v>
      </c>
      <c r="AD54" s="10">
        <f t="shared" si="5"/>
        <v>0.45651374247559362</v>
      </c>
      <c r="AE54" s="10">
        <f t="shared" si="6"/>
        <v>0.2550100721800766</v>
      </c>
      <c r="AF54" s="10">
        <f t="shared" si="7"/>
        <v>20.739265145577747</v>
      </c>
      <c r="AG54" s="10">
        <f t="shared" ca="1" si="8"/>
        <v>20.814666964295323</v>
      </c>
    </row>
    <row r="55" spans="1:33" x14ac:dyDescent="0.25">
      <c r="A55" s="50" t="s">
        <v>346</v>
      </c>
      <c r="B55" s="4">
        <v>2500</v>
      </c>
      <c r="C55" s="53" t="s">
        <v>3162</v>
      </c>
      <c r="D55" s="4">
        <v>8.5</v>
      </c>
      <c r="E55" s="49">
        <v>43012</v>
      </c>
      <c r="F55" s="4">
        <v>5.93</v>
      </c>
      <c r="G55" s="4">
        <v>5.93</v>
      </c>
      <c r="H55" s="10" t="s">
        <v>3059</v>
      </c>
      <c r="I55" s="10" t="s">
        <v>3060</v>
      </c>
      <c r="J55" s="10">
        <f t="shared" si="9"/>
        <v>112</v>
      </c>
      <c r="K55" s="4">
        <v>112</v>
      </c>
      <c r="L55" s="4">
        <v>2815938</v>
      </c>
      <c r="M55" s="4">
        <v>0.52</v>
      </c>
      <c r="N55" s="4">
        <v>0.91783499999999996</v>
      </c>
      <c r="O55" s="4">
        <v>6.06</v>
      </c>
      <c r="P55" s="4">
        <v>6.06</v>
      </c>
      <c r="Q55" s="4">
        <v>0</v>
      </c>
      <c r="R55" s="4">
        <f>VLOOKUP(A55,[1]oas!$A$4:$D$88,4,FALSE)</f>
        <v>488</v>
      </c>
      <c r="S55" s="4">
        <v>4.68</v>
      </c>
      <c r="T55" s="4">
        <v>0.27</v>
      </c>
      <c r="U55" s="4"/>
      <c r="V55" s="4" t="s">
        <v>3045</v>
      </c>
      <c r="W55" s="4" t="s">
        <v>3046</v>
      </c>
      <c r="X55" s="4" t="s">
        <v>346</v>
      </c>
      <c r="Y55" s="4" t="s">
        <v>3163</v>
      </c>
      <c r="Z55" s="4" t="s">
        <v>2962</v>
      </c>
      <c r="AA55" s="4" t="s">
        <v>3067</v>
      </c>
      <c r="AB55" s="4" t="s">
        <v>3033</v>
      </c>
      <c r="AD55" s="10">
        <f t="shared" si="5"/>
        <v>0.14378514550988078</v>
      </c>
      <c r="AE55" s="10">
        <f t="shared" si="6"/>
        <v>0.38714796876786617</v>
      </c>
      <c r="AF55" s="10">
        <f t="shared" si="7"/>
        <v>23.217289284016839</v>
      </c>
      <c r="AG55" s="10">
        <f t="shared" ca="1" si="8"/>
        <v>1.9087374496684331</v>
      </c>
    </row>
    <row r="56" spans="1:33" x14ac:dyDescent="0.25">
      <c r="A56" s="50" t="s">
        <v>3164</v>
      </c>
      <c r="B56" s="4">
        <v>2000</v>
      </c>
      <c r="C56" s="53" t="s">
        <v>3165</v>
      </c>
      <c r="D56" s="4">
        <v>6.75</v>
      </c>
      <c r="E56" s="49">
        <v>43859</v>
      </c>
      <c r="F56" s="4">
        <v>8.25</v>
      </c>
      <c r="G56" s="4">
        <v>8.25</v>
      </c>
      <c r="H56" s="10" t="s">
        <v>3054</v>
      </c>
      <c r="I56" s="10" t="s">
        <v>3083</v>
      </c>
      <c r="J56" s="10">
        <f t="shared" si="9"/>
        <v>101</v>
      </c>
      <c r="K56" s="4">
        <v>101</v>
      </c>
      <c r="L56" s="4">
        <v>2054500</v>
      </c>
      <c r="M56" s="4">
        <v>0.41</v>
      </c>
      <c r="N56" s="4">
        <v>0.66964999999999997</v>
      </c>
      <c r="O56" s="4">
        <v>6.59</v>
      </c>
      <c r="P56" s="4">
        <v>6.59</v>
      </c>
      <c r="Q56" s="4">
        <v>0</v>
      </c>
      <c r="R56" s="4">
        <f>VLOOKUP(A56,[1]oas!$A$4:$D$88,4,FALSE)</f>
        <v>490</v>
      </c>
      <c r="S56" s="4">
        <v>6.16</v>
      </c>
      <c r="T56" s="4">
        <v>0.48</v>
      </c>
      <c r="U56" s="4"/>
      <c r="V56" s="4" t="s">
        <v>3045</v>
      </c>
      <c r="W56" s="4" t="s">
        <v>3046</v>
      </c>
      <c r="X56" s="4" t="s">
        <v>3166</v>
      </c>
      <c r="Y56" s="4" t="s">
        <v>3167</v>
      </c>
      <c r="Z56" s="4" t="s">
        <v>2962</v>
      </c>
      <c r="AA56" s="4" t="s">
        <v>3041</v>
      </c>
      <c r="AB56" s="4" t="s">
        <v>3033</v>
      </c>
      <c r="AD56" s="10">
        <f t="shared" si="5"/>
        <v>0.11175096784254138</v>
      </c>
      <c r="AE56" s="10">
        <f t="shared" si="6"/>
        <v>0.30716578095761848</v>
      </c>
      <c r="AF56" s="10">
        <f t="shared" si="7"/>
        <v>17.008688512616587</v>
      </c>
      <c r="AG56" s="10">
        <f t="shared" ca="1" si="8"/>
        <v>1.2558350580971196</v>
      </c>
    </row>
    <row r="57" spans="1:33" x14ac:dyDescent="0.25">
      <c r="A57" s="50" t="s">
        <v>3168</v>
      </c>
      <c r="B57" s="4">
        <v>1500</v>
      </c>
      <c r="C57" s="53" t="s">
        <v>3169</v>
      </c>
      <c r="D57" s="4">
        <v>9.5</v>
      </c>
      <c r="E57" s="49">
        <v>41870</v>
      </c>
      <c r="F57" s="4">
        <v>2.8</v>
      </c>
      <c r="G57" s="4">
        <v>2.8</v>
      </c>
      <c r="H57" s="10" t="s">
        <v>133</v>
      </c>
      <c r="I57" s="10" t="s">
        <v>3134</v>
      </c>
      <c r="J57" s="10">
        <f t="shared" si="9"/>
        <v>105.5</v>
      </c>
      <c r="K57" s="4">
        <v>105.5</v>
      </c>
      <c r="L57" s="4">
        <v>1611000</v>
      </c>
      <c r="M57" s="4">
        <v>0.31</v>
      </c>
      <c r="N57" s="4">
        <v>0.52509399999999995</v>
      </c>
      <c r="O57" s="4">
        <v>7.28</v>
      </c>
      <c r="P57" s="4">
        <v>7.28</v>
      </c>
      <c r="Q57" s="4">
        <v>0</v>
      </c>
      <c r="R57" s="4">
        <f>VLOOKUP(A57,[1]oas!$A$4:$D$88,4,FALSE)</f>
        <v>692</v>
      </c>
      <c r="S57" s="4">
        <v>2.4</v>
      </c>
      <c r="T57" s="4">
        <v>7.0000000000000007E-2</v>
      </c>
      <c r="U57" s="4"/>
      <c r="V57" s="4" t="s">
        <v>3037</v>
      </c>
      <c r="W57" s="4" t="s">
        <v>3084</v>
      </c>
      <c r="X57" s="4" t="s">
        <v>3170</v>
      </c>
      <c r="Y57" s="4" t="s">
        <v>3004</v>
      </c>
      <c r="Z57" s="4" t="s">
        <v>2962</v>
      </c>
      <c r="AA57" s="4" t="s">
        <v>3041</v>
      </c>
      <c r="AB57" s="4" t="s">
        <v>2945</v>
      </c>
      <c r="AD57" s="10">
        <f t="shared" si="5"/>
        <v>0.16068971897502698</v>
      </c>
      <c r="AE57" s="10">
        <f t="shared" si="6"/>
        <v>0.26607752495140397</v>
      </c>
      <c r="AF57" s="10">
        <f t="shared" si="7"/>
        <v>64.400931342517936</v>
      </c>
      <c r="AG57" s="10">
        <f t="shared" ca="1" si="8"/>
        <v>1.0286155451651193</v>
      </c>
    </row>
    <row r="58" spans="1:33" x14ac:dyDescent="0.25">
      <c r="A58" s="50" t="s">
        <v>3171</v>
      </c>
      <c r="B58" s="4">
        <v>500</v>
      </c>
      <c r="C58" s="53" t="s">
        <v>3172</v>
      </c>
      <c r="D58" s="4">
        <v>10.375</v>
      </c>
      <c r="E58" s="49">
        <v>44104</v>
      </c>
      <c r="F58" s="4">
        <v>8.92</v>
      </c>
      <c r="G58" s="4">
        <v>3.92</v>
      </c>
      <c r="H58" s="10" t="s">
        <v>3059</v>
      </c>
      <c r="I58" s="10" t="s">
        <v>3076</v>
      </c>
      <c r="J58" s="10">
        <f t="shared" si="9"/>
        <v>90.05</v>
      </c>
      <c r="K58" s="4">
        <v>90.05</v>
      </c>
      <c r="L58" s="4">
        <v>454717</v>
      </c>
      <c r="M58" s="4">
        <v>0.1</v>
      </c>
      <c r="N58" s="4">
        <v>0.14821200000000001</v>
      </c>
      <c r="O58" s="4">
        <v>12.23</v>
      </c>
      <c r="P58" s="4">
        <v>12.23</v>
      </c>
      <c r="Q58" s="4">
        <v>0</v>
      </c>
      <c r="R58" s="4">
        <f>VLOOKUP(A58,[1]oas!$A$4:$D$88,4,FALSE)</f>
        <v>1057</v>
      </c>
      <c r="S58" s="4">
        <v>5.47</v>
      </c>
      <c r="T58" s="4">
        <v>0.41</v>
      </c>
      <c r="U58" s="4"/>
      <c r="V58" s="4" t="s">
        <v>3173</v>
      </c>
      <c r="W58" s="4" t="s">
        <v>3174</v>
      </c>
      <c r="X58" s="4" t="s">
        <v>3175</v>
      </c>
      <c r="Y58" s="4" t="s">
        <v>3176</v>
      </c>
      <c r="Z58" s="4" t="s">
        <v>2962</v>
      </c>
      <c r="AA58" s="4" t="s">
        <v>3041</v>
      </c>
      <c r="AB58" s="4" t="s">
        <v>3033</v>
      </c>
      <c r="AD58" s="10">
        <f t="shared" si="5"/>
        <v>2.7137734985397045E-2</v>
      </c>
      <c r="AE58" s="10">
        <f t="shared" si="6"/>
        <v>0.23089862142718734</v>
      </c>
      <c r="AF58" s="10">
        <f t="shared" si="7"/>
        <v>30.592360296880326</v>
      </c>
      <c r="AG58" s="10">
        <f t="shared" ca="1" si="8"/>
        <v>2.4048761488308377</v>
      </c>
    </row>
    <row r="59" spans="1:33" x14ac:dyDescent="0.25">
      <c r="A59" s="50" t="s">
        <v>3177</v>
      </c>
      <c r="B59" s="4">
        <v>224</v>
      </c>
      <c r="C59" s="53" t="s">
        <v>3178</v>
      </c>
      <c r="D59" s="4">
        <v>0</v>
      </c>
      <c r="E59" s="49">
        <v>42734</v>
      </c>
      <c r="F59" s="4">
        <v>5.17</v>
      </c>
      <c r="G59" s="4">
        <v>5.17</v>
      </c>
      <c r="H59" s="10" t="s">
        <v>3181</v>
      </c>
      <c r="I59" s="10" t="s">
        <v>3116</v>
      </c>
      <c r="J59" s="10">
        <f t="shared" si="9"/>
        <v>0.13</v>
      </c>
      <c r="K59" s="4">
        <v>0.13</v>
      </c>
      <c r="L59" s="4">
        <v>280</v>
      </c>
      <c r="M59" s="4">
        <v>0.05</v>
      </c>
      <c r="N59" s="4">
        <v>9.1000000000000003E-5</v>
      </c>
      <c r="O59" s="4">
        <v>0</v>
      </c>
      <c r="P59" s="4">
        <v>0</v>
      </c>
      <c r="Q59" s="4">
        <v>0</v>
      </c>
      <c r="R59" s="4">
        <v>0</v>
      </c>
      <c r="S59" s="4">
        <v>5.17</v>
      </c>
      <c r="T59" s="4">
        <v>0.28999999999999998</v>
      </c>
      <c r="U59" s="4"/>
      <c r="V59" s="4" t="s">
        <v>3105</v>
      </c>
      <c r="W59" s="4" t="s">
        <v>3106</v>
      </c>
      <c r="X59" s="4" t="s">
        <v>3177</v>
      </c>
      <c r="Y59" s="4" t="s">
        <v>3086</v>
      </c>
      <c r="Z59" s="4" t="s">
        <v>2962</v>
      </c>
      <c r="AA59" s="4" t="s">
        <v>3067</v>
      </c>
      <c r="AB59" s="4" t="s">
        <v>2945</v>
      </c>
      <c r="AD59" s="10">
        <f t="shared" si="5"/>
        <v>1.5794055294773739E-5</v>
      </c>
      <c r="AE59" s="10">
        <f t="shared" si="6"/>
        <v>0</v>
      </c>
      <c r="AF59" s="10">
        <f t="shared" si="7"/>
        <v>0</v>
      </c>
      <c r="AG59" s="10">
        <f t="shared" ca="1" si="8"/>
        <v>1.2838104623146079E-6</v>
      </c>
    </row>
    <row r="60" spans="1:33" x14ac:dyDescent="0.25">
      <c r="A60" s="50" t="s">
        <v>3179</v>
      </c>
      <c r="B60" s="4">
        <v>8000</v>
      </c>
      <c r="C60" s="53" t="s">
        <v>3180</v>
      </c>
      <c r="D60" s="4">
        <v>4.875</v>
      </c>
      <c r="E60" s="49">
        <v>44321</v>
      </c>
      <c r="F60" s="4">
        <v>9.51</v>
      </c>
      <c r="G60" s="4">
        <v>9.51</v>
      </c>
      <c r="H60" s="10" t="s">
        <v>3161</v>
      </c>
      <c r="I60" s="10" t="s">
        <v>3079</v>
      </c>
      <c r="J60" s="10">
        <f t="shared" si="9"/>
        <v>107.25</v>
      </c>
      <c r="K60" s="4">
        <v>107.25</v>
      </c>
      <c r="L60" s="4">
        <v>8770667</v>
      </c>
      <c r="M60" s="4">
        <v>1.65</v>
      </c>
      <c r="N60" s="4">
        <v>2.8587379999999998</v>
      </c>
      <c r="O60" s="4">
        <v>3.95</v>
      </c>
      <c r="P60" s="4">
        <v>3.95</v>
      </c>
      <c r="Q60" s="4">
        <v>0</v>
      </c>
      <c r="R60" s="4">
        <f>VLOOKUP(A60,[1]oas!$A$4:$D$88,4,FALSE)</f>
        <v>198</v>
      </c>
      <c r="S60" s="4">
        <v>7.48</v>
      </c>
      <c r="T60" s="4">
        <v>0.68</v>
      </c>
      <c r="U60" s="4"/>
      <c r="V60" s="4" t="s">
        <v>3045</v>
      </c>
      <c r="W60" s="4" t="s">
        <v>3046</v>
      </c>
      <c r="X60" s="4" t="s">
        <v>3182</v>
      </c>
      <c r="Y60" s="4" t="s">
        <v>2994</v>
      </c>
      <c r="Z60" s="4" t="s">
        <v>2962</v>
      </c>
      <c r="AA60" s="4" t="s">
        <v>3041</v>
      </c>
      <c r="AB60" s="4" t="s">
        <v>3033</v>
      </c>
      <c r="AD60" s="10">
        <f t="shared" si="5"/>
        <v>0.57929349997805724</v>
      </c>
      <c r="AE60" s="10">
        <f t="shared" si="6"/>
        <v>0.73743954233629194</v>
      </c>
      <c r="AF60" s="10">
        <f t="shared" si="7"/>
        <v>24.374749805370257</v>
      </c>
      <c r="AG60" s="10">
        <f t="shared" ca="1" si="8"/>
        <v>5.6929190240953398</v>
      </c>
    </row>
    <row r="61" spans="1:33" x14ac:dyDescent="0.25">
      <c r="A61" s="50" t="s">
        <v>3183</v>
      </c>
      <c r="B61" s="4">
        <v>2000</v>
      </c>
      <c r="C61" s="53" t="s">
        <v>3184</v>
      </c>
      <c r="D61" s="4">
        <v>6.625</v>
      </c>
      <c r="E61" s="49">
        <v>13563</v>
      </c>
      <c r="F61" s="4">
        <v>25.3</v>
      </c>
      <c r="G61" s="4">
        <v>25.3</v>
      </c>
      <c r="H61" s="10" t="s">
        <v>3028</v>
      </c>
      <c r="I61" s="10" t="s">
        <v>3091</v>
      </c>
      <c r="J61" s="10">
        <f t="shared" si="9"/>
        <v>120.75</v>
      </c>
      <c r="K61" s="4">
        <v>120.75</v>
      </c>
      <c r="L61" s="4">
        <v>2442236</v>
      </c>
      <c r="M61" s="4">
        <v>0.41</v>
      </c>
      <c r="N61" s="4">
        <v>0.79603000000000002</v>
      </c>
      <c r="O61" s="4">
        <v>5.15</v>
      </c>
      <c r="P61" s="4">
        <v>5.15</v>
      </c>
      <c r="Q61" s="4">
        <v>0</v>
      </c>
      <c r="R61" s="4">
        <f>VLOOKUP(A61,[1]oas!$A$4:$D$88,4,FALSE)</f>
        <v>243</v>
      </c>
      <c r="S61" s="4">
        <v>13.21</v>
      </c>
      <c r="T61" s="4">
        <v>2.56</v>
      </c>
      <c r="U61" s="4"/>
      <c r="V61" s="4" t="s">
        <v>3045</v>
      </c>
      <c r="W61" s="4" t="s">
        <v>3046</v>
      </c>
      <c r="X61" s="4" t="s">
        <v>3185</v>
      </c>
      <c r="Y61" s="4" t="s">
        <v>2994</v>
      </c>
      <c r="Z61" s="4" t="s">
        <v>2962</v>
      </c>
      <c r="AA61" s="4" t="s">
        <v>3041</v>
      </c>
      <c r="AB61" s="4" t="s">
        <v>3033</v>
      </c>
      <c r="AD61" s="10">
        <f t="shared" si="5"/>
        <v>1.1594238376162356</v>
      </c>
      <c r="AE61" s="10">
        <f t="shared" si="6"/>
        <v>8.0674907198794527E-2</v>
      </c>
      <c r="AF61" s="10">
        <f t="shared" si="7"/>
        <v>4.339001799060517</v>
      </c>
      <c r="AG61" s="10">
        <f t="shared" ca="1" si="8"/>
        <v>6.6553450647501435</v>
      </c>
    </row>
    <row r="62" spans="1:33" x14ac:dyDescent="0.25">
      <c r="A62" s="50" t="s">
        <v>3186</v>
      </c>
      <c r="B62" s="4">
        <v>3000</v>
      </c>
      <c r="C62" s="53" t="s">
        <v>3187</v>
      </c>
      <c r="D62" s="4">
        <v>4.75</v>
      </c>
      <c r="E62" s="49">
        <v>43119</v>
      </c>
      <c r="F62" s="4">
        <v>6.22</v>
      </c>
      <c r="G62" s="4">
        <v>6.22</v>
      </c>
      <c r="H62" s="10" t="s">
        <v>2940</v>
      </c>
      <c r="I62" s="10" t="s">
        <v>2940</v>
      </c>
      <c r="J62" s="10">
        <f t="shared" si="9"/>
        <v>104.31</v>
      </c>
      <c r="K62" s="4">
        <v>104.31</v>
      </c>
      <c r="L62" s="4">
        <v>3169576</v>
      </c>
      <c r="M62" s="4">
        <v>0.62</v>
      </c>
      <c r="N62" s="4">
        <v>1.033101</v>
      </c>
      <c r="O62" s="4">
        <v>3.96</v>
      </c>
      <c r="P62" s="4">
        <v>3.96</v>
      </c>
      <c r="Q62" s="4">
        <v>0</v>
      </c>
      <c r="R62" s="4">
        <f>VLOOKUP(A62,[1]oas!$A$4:$D$88,4,FALSE)</f>
        <v>265</v>
      </c>
      <c r="S62" s="4">
        <v>5.3</v>
      </c>
      <c r="T62" s="4">
        <v>0.33</v>
      </c>
      <c r="U62" s="4"/>
      <c r="V62" s="4" t="s">
        <v>3037</v>
      </c>
      <c r="W62" s="4" t="s">
        <v>3188</v>
      </c>
      <c r="X62" s="4" t="s">
        <v>3189</v>
      </c>
      <c r="Y62" s="4" t="s">
        <v>2966</v>
      </c>
      <c r="Z62" s="4" t="s">
        <v>2962</v>
      </c>
      <c r="AA62" s="4" t="s">
        <v>3041</v>
      </c>
      <c r="AB62" s="4" t="s">
        <v>2945</v>
      </c>
      <c r="AD62" s="10">
        <f t="shared" si="5"/>
        <v>0.1832829722343432</v>
      </c>
      <c r="AE62" s="10">
        <f t="shared" si="6"/>
        <v>0.26717330266371009</v>
      </c>
      <c r="AF62" s="10">
        <f t="shared" si="7"/>
        <v>6.1410547818003494</v>
      </c>
      <c r="AG62" s="10">
        <f t="shared" ca="1" si="8"/>
        <v>2.0009313952004346</v>
      </c>
    </row>
    <row r="63" spans="1:33" x14ac:dyDescent="0.25">
      <c r="A63" s="50" t="s">
        <v>3192</v>
      </c>
      <c r="B63" s="4">
        <v>2000</v>
      </c>
      <c r="C63" s="53" t="s">
        <v>3193</v>
      </c>
      <c r="D63" s="4">
        <v>6.2</v>
      </c>
      <c r="E63" s="49">
        <v>43936</v>
      </c>
      <c r="F63" s="4">
        <v>8.4600000000000009</v>
      </c>
      <c r="G63" s="4">
        <v>8.4600000000000009</v>
      </c>
      <c r="H63" s="10" t="s">
        <v>135</v>
      </c>
      <c r="I63" s="10" t="s">
        <v>3028</v>
      </c>
      <c r="J63" s="10">
        <f t="shared" si="9"/>
        <v>102</v>
      </c>
      <c r="K63" s="4">
        <v>102</v>
      </c>
      <c r="L63" s="4">
        <v>2045511</v>
      </c>
      <c r="M63" s="4">
        <v>0.41</v>
      </c>
      <c r="N63" s="4">
        <v>0.66671999999999998</v>
      </c>
      <c r="O63" s="4">
        <v>5.9</v>
      </c>
      <c r="P63" s="4">
        <v>5.9</v>
      </c>
      <c r="Q63" s="4">
        <v>0</v>
      </c>
      <c r="R63" s="4">
        <f>VLOOKUP(A63,[1]oas!$A$4:$D$88,4,FALSE)</f>
        <v>415</v>
      </c>
      <c r="S63" s="4">
        <v>6.52</v>
      </c>
      <c r="T63" s="4">
        <v>0.52</v>
      </c>
      <c r="U63" s="4"/>
      <c r="V63" s="4" t="s">
        <v>3029</v>
      </c>
      <c r="W63" s="4" t="s">
        <v>3030</v>
      </c>
      <c r="X63" s="4" t="s">
        <v>3194</v>
      </c>
      <c r="Y63" s="4" t="s">
        <v>2953</v>
      </c>
      <c r="Z63" s="4" t="s">
        <v>2962</v>
      </c>
      <c r="AA63" s="4" t="s">
        <v>3041</v>
      </c>
      <c r="AB63" s="4" t="s">
        <v>3033</v>
      </c>
      <c r="AD63" s="10">
        <f t="shared" si="5"/>
        <v>0.11776435300135601</v>
      </c>
      <c r="AE63" s="10">
        <f t="shared" si="6"/>
        <v>7.7410067777358385E-2</v>
      </c>
      <c r="AF63" s="10">
        <f t="shared" si="7"/>
        <v>14.342290612418045</v>
      </c>
      <c r="AG63" s="10">
        <f t="shared" ca="1" si="8"/>
        <v>1.262720044159892</v>
      </c>
    </row>
    <row r="64" spans="1:33" x14ac:dyDescent="0.25">
      <c r="A64" s="50" t="s">
        <v>3195</v>
      </c>
      <c r="B64" s="4">
        <v>5000</v>
      </c>
      <c r="C64" s="53" t="s">
        <v>3196</v>
      </c>
      <c r="D64" s="4">
        <v>0</v>
      </c>
      <c r="E64" s="49">
        <v>12054</v>
      </c>
      <c r="F64" s="4">
        <v>21.17</v>
      </c>
      <c r="G64" s="4">
        <v>21.17</v>
      </c>
      <c r="H64" s="10" t="s">
        <v>3054</v>
      </c>
      <c r="I64" s="10" t="s">
        <v>3116</v>
      </c>
      <c r="J64" s="10">
        <f t="shared" si="9"/>
        <v>54.25</v>
      </c>
      <c r="K64" s="4">
        <v>54.25</v>
      </c>
      <c r="L64" s="4">
        <v>2712500</v>
      </c>
      <c r="M64" s="4">
        <v>1.03</v>
      </c>
      <c r="N64" s="4">
        <v>0.88412100000000005</v>
      </c>
      <c r="O64" s="4">
        <v>10</v>
      </c>
      <c r="P64" s="4">
        <v>10</v>
      </c>
      <c r="Q64" s="4">
        <v>0</v>
      </c>
      <c r="R64" s="4">
        <f>VLOOKUP(A64,[1]oas!$A$4:$D$88,4,FALSE)</f>
        <v>1089</v>
      </c>
      <c r="S64" s="4">
        <v>19.66</v>
      </c>
      <c r="T64" s="4">
        <v>0</v>
      </c>
      <c r="U64" s="4"/>
      <c r="V64" s="4" t="s">
        <v>3045</v>
      </c>
      <c r="W64" s="4" t="s">
        <v>3046</v>
      </c>
      <c r="X64" s="4" t="s">
        <v>3195</v>
      </c>
      <c r="Y64" s="4" t="s">
        <v>3197</v>
      </c>
      <c r="Z64" s="4" t="s">
        <v>2962</v>
      </c>
      <c r="AA64" s="4" t="s">
        <v>3041</v>
      </c>
      <c r="AB64" s="4" t="s">
        <v>3033</v>
      </c>
      <c r="AD64" s="10">
        <f t="shared" si="5"/>
        <v>1.9164832999087611</v>
      </c>
      <c r="AE64" s="10">
        <f t="shared" si="6"/>
        <v>1.1262205272239991</v>
      </c>
      <c r="AF64" s="10">
        <f t="shared" si="7"/>
        <v>188.01583758922183</v>
      </c>
      <c r="AG64" s="10">
        <f t="shared" ca="1" si="8"/>
        <v>7.9253139978808109</v>
      </c>
    </row>
    <row r="65" spans="1:33" x14ac:dyDescent="0.25">
      <c r="A65" s="50" t="s">
        <v>3198</v>
      </c>
      <c r="B65" s="4">
        <v>650</v>
      </c>
      <c r="C65" s="53" t="s">
        <v>3199</v>
      </c>
      <c r="D65" s="4">
        <v>8</v>
      </c>
      <c r="E65" s="49">
        <v>43640</v>
      </c>
      <c r="F65" s="4">
        <v>7.65</v>
      </c>
      <c r="G65" s="4">
        <v>7.65</v>
      </c>
      <c r="H65" s="10" t="s">
        <v>133</v>
      </c>
      <c r="I65" s="10" t="s">
        <v>3134</v>
      </c>
      <c r="J65" s="10">
        <f t="shared" si="9"/>
        <v>102.5</v>
      </c>
      <c r="K65" s="4">
        <v>102.5</v>
      </c>
      <c r="L65" s="4">
        <v>684594</v>
      </c>
      <c r="M65" s="4">
        <v>0.13</v>
      </c>
      <c r="N65" s="4">
        <v>0.223139</v>
      </c>
      <c r="O65" s="4">
        <v>7.56</v>
      </c>
      <c r="P65" s="4">
        <v>7.56</v>
      </c>
      <c r="Q65" s="4">
        <v>0</v>
      </c>
      <c r="R65" s="4">
        <f>VLOOKUP(A65,[1]oas!$A$4:$D$88,4,FALSE)</f>
        <v>607</v>
      </c>
      <c r="S65" s="4">
        <v>5.53</v>
      </c>
      <c r="T65" s="4">
        <v>0.39</v>
      </c>
      <c r="U65" s="4"/>
      <c r="V65" s="4" t="s">
        <v>3045</v>
      </c>
      <c r="W65" s="4" t="s">
        <v>3046</v>
      </c>
      <c r="X65" s="4" t="s">
        <v>430</v>
      </c>
      <c r="Y65" s="4" t="s">
        <v>3200</v>
      </c>
      <c r="Z65" s="4" t="s">
        <v>2962</v>
      </c>
      <c r="AA65" s="4" t="s">
        <v>3024</v>
      </c>
      <c r="AB65" s="4" t="s">
        <v>2945</v>
      </c>
      <c r="AD65" s="10">
        <f t="shared" si="5"/>
        <v>4.1305064010984355E-2</v>
      </c>
      <c r="AE65" s="10">
        <f t="shared" si="6"/>
        <v>0.11741839951648997</v>
      </c>
      <c r="AF65" s="10">
        <f t="shared" si="7"/>
        <v>24.00558493561276</v>
      </c>
      <c r="AG65" s="10">
        <f t="shared" ca="1" si="8"/>
        <v>0.42468022351660467</v>
      </c>
    </row>
    <row r="66" spans="1:33" x14ac:dyDescent="0.25">
      <c r="A66" s="50" t="s">
        <v>3201</v>
      </c>
      <c r="B66" s="4">
        <v>5000</v>
      </c>
      <c r="C66" s="53" t="s">
        <v>3202</v>
      </c>
      <c r="D66" s="4">
        <v>3.5</v>
      </c>
      <c r="E66" s="49">
        <v>42719</v>
      </c>
      <c r="F66" s="4">
        <v>5.13</v>
      </c>
      <c r="G66" s="4">
        <v>5.13</v>
      </c>
      <c r="H66" s="10" t="s">
        <v>3161</v>
      </c>
      <c r="I66" s="10" t="s">
        <v>3079</v>
      </c>
      <c r="J66" s="10">
        <f t="shared" si="9"/>
        <v>101.36</v>
      </c>
      <c r="K66" s="4">
        <v>101.36</v>
      </c>
      <c r="L66" s="4">
        <v>5114532</v>
      </c>
      <c r="M66" s="4">
        <v>1.03</v>
      </c>
      <c r="N66" s="4">
        <v>1.667046</v>
      </c>
      <c r="O66" s="4">
        <v>3.21</v>
      </c>
      <c r="P66" s="4">
        <v>3.21</v>
      </c>
      <c r="Q66" s="4">
        <v>0</v>
      </c>
      <c r="R66" s="4">
        <f>VLOOKUP(A66,[1]oas!$A$4:$D$88,4,FALSE)</f>
        <v>220</v>
      </c>
      <c r="S66" s="4">
        <v>4.62</v>
      </c>
      <c r="T66" s="4">
        <v>0.25</v>
      </c>
      <c r="U66" s="4"/>
      <c r="V66" s="4" t="s">
        <v>3203</v>
      </c>
      <c r="W66" s="4" t="s">
        <v>3204</v>
      </c>
      <c r="X66" s="4" t="s">
        <v>3205</v>
      </c>
      <c r="Y66" s="4" t="s">
        <v>3206</v>
      </c>
      <c r="Z66" s="4" t="s">
        <v>2962</v>
      </c>
      <c r="AA66" s="4" t="s">
        <v>3041</v>
      </c>
      <c r="AB66" s="4" t="s">
        <v>2945</v>
      </c>
      <c r="AD66" s="10">
        <f t="shared" si="5"/>
        <v>0.25780596132411615</v>
      </c>
      <c r="AE66" s="10">
        <f t="shared" si="6"/>
        <v>0.34946817818338166</v>
      </c>
      <c r="AF66" s="10">
        <f t="shared" si="7"/>
        <v>8.2266781888231595</v>
      </c>
      <c r="AG66" s="10">
        <f t="shared" ca="1" si="8"/>
        <v>3.1374555772053463</v>
      </c>
    </row>
    <row r="67" spans="1:33" x14ac:dyDescent="0.25">
      <c r="A67" s="50" t="s">
        <v>3207</v>
      </c>
      <c r="B67" s="4">
        <v>1000</v>
      </c>
      <c r="C67" s="53" t="s">
        <v>3208</v>
      </c>
      <c r="D67" s="4">
        <v>6.375</v>
      </c>
      <c r="E67" s="49">
        <v>44110</v>
      </c>
      <c r="F67" s="4">
        <v>8.93</v>
      </c>
      <c r="G67" s="4">
        <v>8.93</v>
      </c>
      <c r="H67" s="10" t="s">
        <v>133</v>
      </c>
      <c r="I67" s="10" t="s">
        <v>3116</v>
      </c>
      <c r="J67" s="10">
        <f t="shared" si="9"/>
        <v>105.13</v>
      </c>
      <c r="K67" s="4">
        <v>105.13</v>
      </c>
      <c r="L67" s="4">
        <v>1055779</v>
      </c>
      <c r="M67" s="4">
        <v>0.21</v>
      </c>
      <c r="N67" s="4">
        <v>0.34412399999999999</v>
      </c>
      <c r="O67" s="4">
        <v>5.64</v>
      </c>
      <c r="P67" s="4">
        <v>5.64</v>
      </c>
      <c r="Q67" s="4">
        <v>0</v>
      </c>
      <c r="R67" s="4">
        <f>VLOOKUP(A67,[1]oas!$A$4:$D$88,4,FALSE)</f>
        <v>381</v>
      </c>
      <c r="S67" s="4">
        <v>6.78</v>
      </c>
      <c r="T67" s="4">
        <v>0.56999999999999995</v>
      </c>
      <c r="U67" s="4"/>
      <c r="V67" s="4" t="s">
        <v>3209</v>
      </c>
      <c r="W67" s="4" t="s">
        <v>3210</v>
      </c>
      <c r="X67" s="4" t="s">
        <v>3211</v>
      </c>
      <c r="Y67" s="4" t="s">
        <v>3176</v>
      </c>
      <c r="Z67" s="4" t="s">
        <v>2962</v>
      </c>
      <c r="AA67" s="4" t="s">
        <v>3041</v>
      </c>
      <c r="AB67" s="4" t="s">
        <v>3033</v>
      </c>
      <c r="AD67" s="10">
        <f t="shared" si="5"/>
        <v>6.3207286825853512E-2</v>
      </c>
      <c r="AE67" s="10">
        <f t="shared" si="6"/>
        <v>3.8194052448509777E-2</v>
      </c>
      <c r="AF67" s="10">
        <f t="shared" si="7"/>
        <v>2.9409925405137729</v>
      </c>
      <c r="AG67" s="10">
        <f t="shared" ca="1" si="8"/>
        <v>0.67174550212607353</v>
      </c>
    </row>
    <row r="68" spans="1:33" x14ac:dyDescent="0.25">
      <c r="A68" s="50" t="s">
        <v>3212</v>
      </c>
      <c r="B68" s="4">
        <v>7000</v>
      </c>
      <c r="C68" s="53" t="s">
        <v>3213</v>
      </c>
      <c r="D68" s="4">
        <v>11.75</v>
      </c>
      <c r="E68" s="49">
        <v>42027</v>
      </c>
      <c r="F68" s="4">
        <v>3.23</v>
      </c>
      <c r="G68" s="4">
        <v>3.23</v>
      </c>
      <c r="H68" s="10" t="s">
        <v>3054</v>
      </c>
      <c r="I68" s="10" t="s">
        <v>3083</v>
      </c>
      <c r="J68" s="10">
        <f t="shared" si="9"/>
        <v>121.5</v>
      </c>
      <c r="K68" s="4">
        <v>121.5</v>
      </c>
      <c r="L68" s="4">
        <v>8728903</v>
      </c>
      <c r="M68" s="4">
        <v>1.44</v>
      </c>
      <c r="N68" s="4">
        <v>2.845126</v>
      </c>
      <c r="O68" s="4">
        <v>4.51</v>
      </c>
      <c r="P68" s="4">
        <v>4.51</v>
      </c>
      <c r="Q68" s="4">
        <v>0</v>
      </c>
      <c r="R68" s="4">
        <f>VLOOKUP(A68,[1]oas!$A$4:$D$88,4,FALSE)</f>
        <v>405</v>
      </c>
      <c r="S68" s="4">
        <v>2.69</v>
      </c>
      <c r="T68" s="4">
        <v>0.09</v>
      </c>
      <c r="U68" s="4"/>
      <c r="V68" s="4" t="s">
        <v>3124</v>
      </c>
      <c r="W68" s="4" t="s">
        <v>3142</v>
      </c>
      <c r="X68" s="4" t="s">
        <v>3214</v>
      </c>
      <c r="Y68" s="4" t="s">
        <v>3176</v>
      </c>
      <c r="Z68" s="4" t="s">
        <v>2962</v>
      </c>
      <c r="AA68" s="4" t="s">
        <v>3041</v>
      </c>
      <c r="AB68" s="4" t="s">
        <v>3033</v>
      </c>
      <c r="AD68" s="10">
        <f t="shared" ref="AD68:AD99" si="10">IF(S68&lt;1.99,($L68/$L$127)*S68,IF(AND(S68&gt;1.99,S68&lt;3.99),($L68/$L$128)*S68,IF(AND(S68&gt;3.99,S68&lt;5.99),($L68/$L$129)*S68,IF(AND(S68&gt;5.99,S68&lt;7.999),($L68/$L$130)*S68,IF(AND(S68&gt;7.999,S68&lt;9.99),($L68/$L$131)*S68,IF(S68&gt;9.99,($L68/$L$132)*S68))))))</f>
        <v>0.97587289710879033</v>
      </c>
      <c r="AE68" s="10">
        <f t="shared" ref="AE68:AE99" si="11">IF(P68&lt;1.99,($L68/$L$111)*P68,IF(AND(P68&gt;1.99,P68&lt;3.99),($L68/$L$112)*P68,IF(AND(P68&gt;3.99,P68&lt;5.99),($L68/$L$113)*P68,IF(AND(P68&gt;5.99,P68&lt;7.99),($L68/$L$114)*P68,IF(AND(P68&gt;7.99,P68&lt;9.99),($L68/$L$115)*P68,IF(P68&gt;9.99,($L68/$L$116)*P68))))))</f>
        <v>0.25251072338340991</v>
      </c>
      <c r="AF68" s="10">
        <f t="shared" ref="AF68:AF99" si="12">IF(R68&lt;199.99,($L68/$L$119)*R68,IF(AND(R68&gt;199.99,R68&lt;399.99),($L68/$L$120)*R68,IF(AND(R68&gt;399.99,R68&lt;599.99),($L68/$L$121)*R68,IF(AND(R68&gt;599.99,R68&lt;799.99),($L68/$L$122)*R68,IF(AND(R68&gt;799.99,R68&lt;999.99),($L68/$L$123)*R68,IF(R68&gt;999.99,($L68/$L$124)*R68))))))</f>
        <v>59.728731688485702</v>
      </c>
      <c r="AG68" s="10">
        <f t="shared" ref="AG68:AG99" ca="1" si="13">IF(J68&lt;49.99,($L68/$L$135)*J68,IF(AND(J68&gt;49.99,J68&lt;79.99),($L68/$L$136)*J68,IF(AND(J68&gt;79.99,J68&lt;99.99),($L68/$L$137)*J68,IF(AND(J68&gt;99.99,J68&lt;119.99),($L68/$L$138)*J68,IF(AND(J68&gt;119.99,J68&lt;139.99),($L68/$L$139)*J68,IF(J68&gt;139.99,($L68/$L$140)*J68))))))</f>
        <v>23.93490757634876</v>
      </c>
    </row>
    <row r="69" spans="1:33" x14ac:dyDescent="0.25">
      <c r="A69" s="50" t="s">
        <v>478</v>
      </c>
      <c r="B69" s="4">
        <v>6500</v>
      </c>
      <c r="C69" s="53" t="s">
        <v>3215</v>
      </c>
      <c r="D69" s="4">
        <v>6</v>
      </c>
      <c r="E69" s="49">
        <v>43605</v>
      </c>
      <c r="F69" s="4">
        <v>7.56</v>
      </c>
      <c r="G69" s="4">
        <v>7.56</v>
      </c>
      <c r="H69" s="10" t="s">
        <v>3019</v>
      </c>
      <c r="I69" s="10" t="s">
        <v>3028</v>
      </c>
      <c r="J69" s="10">
        <f t="shared" ref="J69:J100" si="14">IF(Z69="US",K69,VLOOKUP(Z69,$AL$5:$AM$20,2,FALSE)*K69)</f>
        <v>103</v>
      </c>
      <c r="K69" s="4">
        <v>103</v>
      </c>
      <c r="L69" s="4">
        <v>6869417</v>
      </c>
      <c r="M69" s="4">
        <v>1.34</v>
      </c>
      <c r="N69" s="4">
        <v>2.239039</v>
      </c>
      <c r="O69" s="4">
        <v>5.51</v>
      </c>
      <c r="P69" s="4">
        <v>5.51</v>
      </c>
      <c r="Q69" s="4">
        <v>0</v>
      </c>
      <c r="R69" s="4">
        <v>0</v>
      </c>
      <c r="S69" s="4">
        <v>5.89</v>
      </c>
      <c r="T69" s="4">
        <v>0.43</v>
      </c>
      <c r="U69" s="4"/>
      <c r="V69" s="4" t="s">
        <v>3045</v>
      </c>
      <c r="W69" s="4" t="s">
        <v>3046</v>
      </c>
      <c r="X69" s="4" t="s">
        <v>478</v>
      </c>
      <c r="Y69" s="4" t="s">
        <v>3216</v>
      </c>
      <c r="Z69" s="4" t="s">
        <v>2962</v>
      </c>
      <c r="AA69" s="4" t="s">
        <v>3067</v>
      </c>
      <c r="AB69" s="4" t="s">
        <v>3033</v>
      </c>
      <c r="AD69" s="10">
        <f t="shared" si="10"/>
        <v>0.44144871299506633</v>
      </c>
      <c r="AE69" s="10">
        <f t="shared" si="11"/>
        <v>0.24278122372295929</v>
      </c>
      <c r="AF69" s="10">
        <f t="shared" si="12"/>
        <v>0</v>
      </c>
      <c r="AG69" s="10">
        <f t="shared" ca="1" si="13"/>
        <v>4.2821530801534387</v>
      </c>
    </row>
    <row r="70" spans="1:33" x14ac:dyDescent="0.25">
      <c r="A70" s="50" t="s">
        <v>3217</v>
      </c>
      <c r="B70" s="4">
        <v>3500</v>
      </c>
      <c r="C70" s="53" t="s">
        <v>3218</v>
      </c>
      <c r="D70" s="4">
        <v>5.125</v>
      </c>
      <c r="E70" s="49">
        <v>42992</v>
      </c>
      <c r="F70" s="4">
        <v>5.87</v>
      </c>
      <c r="G70" s="4">
        <v>5.87</v>
      </c>
      <c r="H70" s="10" t="s">
        <v>3181</v>
      </c>
      <c r="I70" s="10" t="s">
        <v>3083</v>
      </c>
      <c r="J70" s="10">
        <f t="shared" si="14"/>
        <v>100.5</v>
      </c>
      <c r="K70" s="4">
        <v>100.5</v>
      </c>
      <c r="L70" s="4">
        <v>3540918</v>
      </c>
      <c r="M70" s="4">
        <v>0.72</v>
      </c>
      <c r="N70" s="4">
        <v>1.1541380000000001</v>
      </c>
      <c r="O70" s="4">
        <v>5.0199999999999996</v>
      </c>
      <c r="P70" s="4">
        <v>5.0199999999999996</v>
      </c>
      <c r="Q70" s="4">
        <v>0</v>
      </c>
      <c r="R70" s="4">
        <f>VLOOKUP(A70,[1]oas!$A$4:$D$88,4,FALSE)</f>
        <v>382</v>
      </c>
      <c r="S70" s="4">
        <v>4.99</v>
      </c>
      <c r="T70" s="4">
        <v>0.3</v>
      </c>
      <c r="U70" s="4"/>
      <c r="V70" s="4" t="s">
        <v>3045</v>
      </c>
      <c r="W70" s="4" t="s">
        <v>3046</v>
      </c>
      <c r="X70" s="4" t="s">
        <v>3219</v>
      </c>
      <c r="Y70" s="4" t="s">
        <v>3220</v>
      </c>
      <c r="Z70" s="4" t="s">
        <v>2962</v>
      </c>
      <c r="AA70" s="4" t="s">
        <v>3041</v>
      </c>
      <c r="AB70" s="4" t="s">
        <v>3033</v>
      </c>
      <c r="AD70" s="10">
        <f t="shared" si="10"/>
        <v>0.19277978646341232</v>
      </c>
      <c r="AE70" s="10">
        <f t="shared" si="11"/>
        <v>0.11401531814969403</v>
      </c>
      <c r="AF70" s="10">
        <f t="shared" si="12"/>
        <v>9.8895187991094655</v>
      </c>
      <c r="AG70" s="10">
        <f t="shared" ca="1" si="13"/>
        <v>2.1537089591109457</v>
      </c>
    </row>
    <row r="71" spans="1:33" x14ac:dyDescent="0.25">
      <c r="A71" s="50" t="s">
        <v>3221</v>
      </c>
      <c r="B71" s="4">
        <v>2000</v>
      </c>
      <c r="C71" s="53" t="s">
        <v>3222</v>
      </c>
      <c r="D71" s="4">
        <v>7.25</v>
      </c>
      <c r="E71" s="49">
        <v>43774</v>
      </c>
      <c r="F71" s="4">
        <v>8.01</v>
      </c>
      <c r="G71" s="4">
        <v>8.01</v>
      </c>
      <c r="H71" s="10" t="s">
        <v>3028</v>
      </c>
      <c r="I71" s="10" t="s">
        <v>3079</v>
      </c>
      <c r="J71" s="10">
        <f t="shared" si="14"/>
        <v>109.13</v>
      </c>
      <c r="K71" s="4">
        <v>109.13</v>
      </c>
      <c r="L71" s="4">
        <v>2253389</v>
      </c>
      <c r="M71" s="4">
        <v>0.41</v>
      </c>
      <c r="N71" s="4">
        <v>0.73447700000000005</v>
      </c>
      <c r="O71" s="4">
        <v>5.81</v>
      </c>
      <c r="P71" s="4">
        <v>5.81</v>
      </c>
      <c r="Q71" s="4">
        <v>0</v>
      </c>
      <c r="R71" s="4">
        <f>VLOOKUP(A71,[1]oas!$A$4:$D$88,4,FALSE)</f>
        <v>416</v>
      </c>
      <c r="S71" s="4">
        <v>5.93</v>
      </c>
      <c r="T71" s="4">
        <v>0.45</v>
      </c>
      <c r="U71" s="4"/>
      <c r="V71" s="4" t="s">
        <v>3124</v>
      </c>
      <c r="W71" s="4" t="s">
        <v>3125</v>
      </c>
      <c r="X71" s="4" t="s">
        <v>3223</v>
      </c>
      <c r="Y71" s="4" t="s">
        <v>3176</v>
      </c>
      <c r="Z71" s="4" t="s">
        <v>2962</v>
      </c>
      <c r="AA71" s="4" t="s">
        <v>3041</v>
      </c>
      <c r="AB71" s="4" t="s">
        <v>3033</v>
      </c>
      <c r="AD71" s="10">
        <f t="shared" si="10"/>
        <v>0.14579275508921316</v>
      </c>
      <c r="AE71" s="10">
        <f t="shared" si="11"/>
        <v>8.3976142103529217E-2</v>
      </c>
      <c r="AF71" s="10">
        <f t="shared" si="12"/>
        <v>15.83791846179639</v>
      </c>
      <c r="AG71" s="10">
        <f t="shared" ca="1" si="13"/>
        <v>1.4882826144125052</v>
      </c>
    </row>
    <row r="72" spans="1:33" x14ac:dyDescent="0.25">
      <c r="A72" s="50" t="s">
        <v>3224</v>
      </c>
      <c r="B72" s="4">
        <v>1600</v>
      </c>
      <c r="C72" s="53" t="s">
        <v>3225</v>
      </c>
      <c r="D72" s="4">
        <v>7.875</v>
      </c>
      <c r="E72" s="49">
        <v>43766</v>
      </c>
      <c r="F72" s="4">
        <v>7.99</v>
      </c>
      <c r="G72" s="4">
        <v>7.99</v>
      </c>
      <c r="H72" s="10" t="s">
        <v>3054</v>
      </c>
      <c r="I72" s="10" t="s">
        <v>3076</v>
      </c>
      <c r="J72" s="10">
        <f t="shared" si="14"/>
        <v>100</v>
      </c>
      <c r="K72" s="4">
        <v>100</v>
      </c>
      <c r="L72" s="4">
        <v>1601050</v>
      </c>
      <c r="M72" s="4">
        <v>0.33</v>
      </c>
      <c r="N72" s="4">
        <v>0.52185099999999995</v>
      </c>
      <c r="O72" s="4">
        <v>7.87</v>
      </c>
      <c r="P72" s="4">
        <v>7.87</v>
      </c>
      <c r="Q72" s="4">
        <v>0</v>
      </c>
      <c r="R72" s="4">
        <f>VLOOKUP(A72,[1]oas!$A$4:$D$88,4,FALSE)</f>
        <v>626</v>
      </c>
      <c r="S72" s="4">
        <v>5.85</v>
      </c>
      <c r="T72" s="4">
        <v>0.43</v>
      </c>
      <c r="U72" s="4"/>
      <c r="V72" s="4" t="s">
        <v>3226</v>
      </c>
      <c r="W72" s="4" t="s">
        <v>3227</v>
      </c>
      <c r="X72" s="4" t="s">
        <v>3228</v>
      </c>
      <c r="Y72" s="4" t="s">
        <v>3004</v>
      </c>
      <c r="Z72" s="4" t="s">
        <v>2962</v>
      </c>
      <c r="AA72" s="4" t="s">
        <v>3041</v>
      </c>
      <c r="AB72" s="4" t="s">
        <v>3033</v>
      </c>
      <c r="AD72" s="10">
        <f t="shared" si="10"/>
        <v>0.10218939799926111</v>
      </c>
      <c r="AE72" s="10">
        <f t="shared" si="11"/>
        <v>0.28586494343622443</v>
      </c>
      <c r="AF72" s="10">
        <f t="shared" si="12"/>
        <v>57.898823806020566</v>
      </c>
      <c r="AG72" s="10">
        <f t="shared" ca="1" si="13"/>
        <v>0.96896921260328972</v>
      </c>
    </row>
    <row r="73" spans="1:33" x14ac:dyDescent="0.25">
      <c r="A73" s="50" t="s">
        <v>2251</v>
      </c>
      <c r="B73" s="4">
        <v>1160</v>
      </c>
      <c r="C73" s="53" t="s">
        <v>3229</v>
      </c>
      <c r="D73" s="4">
        <v>7.875</v>
      </c>
      <c r="E73" s="49">
        <v>43766</v>
      </c>
      <c r="F73" s="4">
        <v>7.99</v>
      </c>
      <c r="G73" s="4">
        <v>7.99</v>
      </c>
      <c r="H73" s="10" t="s">
        <v>3028</v>
      </c>
      <c r="I73" s="10" t="s">
        <v>3079</v>
      </c>
      <c r="J73" s="10">
        <f t="shared" si="14"/>
        <v>100</v>
      </c>
      <c r="K73" s="4">
        <v>100</v>
      </c>
      <c r="L73" s="4">
        <v>1160761</v>
      </c>
      <c r="M73" s="4">
        <v>0.24</v>
      </c>
      <c r="N73" s="4">
        <v>0.37834200000000001</v>
      </c>
      <c r="O73" s="4">
        <v>7.87</v>
      </c>
      <c r="P73" s="4">
        <v>7.87</v>
      </c>
      <c r="Q73" s="4">
        <v>0</v>
      </c>
      <c r="R73" s="4">
        <f>VLOOKUP(A73,[1]oas!$A$4:$D$88,4,FALSE)</f>
        <v>626</v>
      </c>
      <c r="S73" s="4">
        <v>5.85</v>
      </c>
      <c r="T73" s="4">
        <v>0.43</v>
      </c>
      <c r="U73" s="4"/>
      <c r="V73" s="4" t="s">
        <v>3226</v>
      </c>
      <c r="W73" s="4" t="s">
        <v>3227</v>
      </c>
      <c r="X73" s="4" t="s">
        <v>2251</v>
      </c>
      <c r="Y73" s="4" t="s">
        <v>3004</v>
      </c>
      <c r="Z73" s="4" t="s">
        <v>2962</v>
      </c>
      <c r="AA73" s="4" t="s">
        <v>3067</v>
      </c>
      <c r="AB73" s="4" t="s">
        <v>3033</v>
      </c>
      <c r="AD73" s="10">
        <f t="shared" si="10"/>
        <v>7.4087297592842383E-2</v>
      </c>
      <c r="AE73" s="10">
        <f t="shared" si="11"/>
        <v>0.2072520393541584</v>
      </c>
      <c r="AF73" s="10">
        <f t="shared" si="12"/>
        <v>41.976638218606688</v>
      </c>
      <c r="AG73" s="10">
        <f t="shared" ca="1" si="13"/>
        <v>0.7025025278352377</v>
      </c>
    </row>
    <row r="74" spans="1:33" x14ac:dyDescent="0.25">
      <c r="A74" s="50" t="s">
        <v>3230</v>
      </c>
      <c r="B74" s="4">
        <v>111250</v>
      </c>
      <c r="C74" s="53" t="s">
        <v>3231</v>
      </c>
      <c r="D74" s="4">
        <v>7.25</v>
      </c>
      <c r="E74" s="49">
        <v>42719</v>
      </c>
      <c r="F74" s="4">
        <v>5.13</v>
      </c>
      <c r="G74" s="4">
        <v>5.13</v>
      </c>
      <c r="H74" s="10" t="s">
        <v>3054</v>
      </c>
      <c r="I74" s="10" t="s">
        <v>3083</v>
      </c>
      <c r="J74" s="60" t="e">
        <f t="shared" ca="1" si="14"/>
        <v>#NAME?</v>
      </c>
      <c r="K74" s="12">
        <v>109.65</v>
      </c>
      <c r="L74" s="4">
        <v>9486183</v>
      </c>
      <c r="M74" s="4">
        <v>22.96</v>
      </c>
      <c r="N74" s="4">
        <v>3.0919560000000001</v>
      </c>
      <c r="O74" s="4">
        <v>5.1100000000000003</v>
      </c>
      <c r="P74" s="4">
        <v>5.1100000000000003</v>
      </c>
      <c r="Q74" s="4">
        <v>0</v>
      </c>
      <c r="R74" s="4">
        <v>0</v>
      </c>
      <c r="S74" s="4">
        <v>4.26</v>
      </c>
      <c r="T74" s="4">
        <v>0.22</v>
      </c>
      <c r="U74" s="4"/>
      <c r="V74" s="4" t="s">
        <v>3045</v>
      </c>
      <c r="W74" s="4" t="s">
        <v>3046</v>
      </c>
      <c r="X74" s="4" t="s">
        <v>3230</v>
      </c>
      <c r="Y74" s="4" t="s">
        <v>3004</v>
      </c>
      <c r="Z74" s="4" t="s">
        <v>3003</v>
      </c>
      <c r="AA74" s="4" t="s">
        <v>2945</v>
      </c>
      <c r="AB74" s="4" t="s">
        <v>3033</v>
      </c>
      <c r="AD74" s="10">
        <f t="shared" si="10"/>
        <v>0.44090617093902984</v>
      </c>
      <c r="AE74" s="10">
        <f t="shared" si="11"/>
        <v>0.31092526657772546</v>
      </c>
      <c r="AF74" s="10">
        <f t="shared" si="12"/>
        <v>0</v>
      </c>
      <c r="AG74" s="10" t="e">
        <f t="shared" ca="1" si="13"/>
        <v>#NAME?</v>
      </c>
    </row>
    <row r="75" spans="1:33" x14ac:dyDescent="0.25">
      <c r="A75" s="50" t="s">
        <v>3233</v>
      </c>
      <c r="B75" s="4">
        <v>2000</v>
      </c>
      <c r="C75" s="53" t="s">
        <v>3234</v>
      </c>
      <c r="D75" s="4">
        <v>3.5</v>
      </c>
      <c r="E75" s="49">
        <v>42774</v>
      </c>
      <c r="F75" s="4">
        <v>5.27</v>
      </c>
      <c r="G75" s="4">
        <v>5.27</v>
      </c>
      <c r="H75" s="10" t="s">
        <v>3019</v>
      </c>
      <c r="I75" s="10" t="s">
        <v>3134</v>
      </c>
      <c r="J75" s="10">
        <f t="shared" si="14"/>
        <v>97.83</v>
      </c>
      <c r="K75" s="4">
        <v>97.83</v>
      </c>
      <c r="L75" s="4">
        <v>1972725</v>
      </c>
      <c r="M75" s="4">
        <v>0.41</v>
      </c>
      <c r="N75" s="4">
        <v>0.64299600000000001</v>
      </c>
      <c r="O75" s="4">
        <v>3.96</v>
      </c>
      <c r="P75" s="4">
        <v>3.96</v>
      </c>
      <c r="Q75" s="4">
        <v>0</v>
      </c>
      <c r="R75" s="4">
        <f>VLOOKUP(A75,[1]oas!$A$4:$D$88,4,FALSE)</f>
        <v>291</v>
      </c>
      <c r="S75" s="4">
        <v>4.72</v>
      </c>
      <c r="T75" s="4">
        <v>0.26</v>
      </c>
      <c r="U75" s="4"/>
      <c r="V75" s="4" t="s">
        <v>3128</v>
      </c>
      <c r="W75" s="4" t="s">
        <v>3129</v>
      </c>
      <c r="X75" s="4" t="s">
        <v>3235</v>
      </c>
      <c r="Y75" s="4" t="s">
        <v>3131</v>
      </c>
      <c r="Z75" s="4" t="s">
        <v>2962</v>
      </c>
      <c r="AA75" s="4" t="s">
        <v>3041</v>
      </c>
      <c r="AB75" s="4" t="s">
        <v>3033</v>
      </c>
      <c r="AD75" s="10">
        <f t="shared" si="10"/>
        <v>0.10159062371658298</v>
      </c>
      <c r="AE75" s="10">
        <f t="shared" si="11"/>
        <v>0.16628705337788635</v>
      </c>
      <c r="AF75" s="10">
        <f t="shared" si="12"/>
        <v>4.1971594196901147</v>
      </c>
      <c r="AG75" s="10">
        <f t="shared" ca="1" si="13"/>
        <v>11.334605492046729</v>
      </c>
    </row>
    <row r="76" spans="1:33" x14ac:dyDescent="0.25">
      <c r="A76" s="50" t="s">
        <v>618</v>
      </c>
      <c r="B76" s="4">
        <v>2000</v>
      </c>
      <c r="C76" s="53" t="s">
        <v>3236</v>
      </c>
      <c r="D76" s="4">
        <v>6.75</v>
      </c>
      <c r="E76" s="49">
        <v>44224</v>
      </c>
      <c r="F76" s="4">
        <v>9.24</v>
      </c>
      <c r="G76" s="4">
        <v>9.24</v>
      </c>
      <c r="H76" s="10" t="s">
        <v>2940</v>
      </c>
      <c r="I76" s="10" t="s">
        <v>2940</v>
      </c>
      <c r="J76" s="10">
        <f t="shared" si="14"/>
        <v>106.5</v>
      </c>
      <c r="K76" s="4">
        <v>106.5</v>
      </c>
      <c r="L76" s="4">
        <v>2164875</v>
      </c>
      <c r="M76" s="4">
        <v>0.41</v>
      </c>
      <c r="N76" s="4">
        <v>0.70562599999999998</v>
      </c>
      <c r="O76" s="4">
        <v>5.83</v>
      </c>
      <c r="P76" s="4">
        <v>5.83</v>
      </c>
      <c r="Q76" s="4">
        <v>0</v>
      </c>
      <c r="R76" s="4">
        <f>VLOOKUP(A76,[1]oas!$A$4:$D$88,4,FALSE)</f>
        <v>396</v>
      </c>
      <c r="S76" s="4">
        <v>6.8</v>
      </c>
      <c r="T76" s="4">
        <v>0.57999999999999996</v>
      </c>
      <c r="U76" s="4"/>
      <c r="V76" s="4" t="s">
        <v>3045</v>
      </c>
      <c r="W76" s="4" t="s">
        <v>3046</v>
      </c>
      <c r="X76" s="4" t="s">
        <v>618</v>
      </c>
      <c r="Y76" s="4" t="s">
        <v>3237</v>
      </c>
      <c r="Z76" s="4" t="s">
        <v>2962</v>
      </c>
      <c r="AA76" s="4" t="s">
        <v>3067</v>
      </c>
      <c r="AB76" s="4" t="s">
        <v>3042</v>
      </c>
      <c r="AD76" s="10">
        <f t="shared" si="10"/>
        <v>0.12998887145537574</v>
      </c>
      <c r="AE76" s="10">
        <f t="shared" si="11"/>
        <v>8.0955245984370122E-2</v>
      </c>
      <c r="AF76" s="10">
        <f t="shared" si="12"/>
        <v>6.2679271337536591</v>
      </c>
      <c r="AG76" s="10">
        <f t="shared" ca="1" si="13"/>
        <v>1.3953640071848428</v>
      </c>
    </row>
    <row r="77" spans="1:33" x14ac:dyDescent="0.25">
      <c r="A77" s="50" t="s">
        <v>3238</v>
      </c>
      <c r="B77" s="4">
        <v>2000</v>
      </c>
      <c r="C77" s="53" t="s">
        <v>3239</v>
      </c>
      <c r="D77" s="4">
        <v>6.6040000000000001</v>
      </c>
      <c r="E77" s="49">
        <v>44230</v>
      </c>
      <c r="F77" s="4">
        <v>9.26</v>
      </c>
      <c r="G77" s="4">
        <v>9.26</v>
      </c>
      <c r="H77" s="10" t="s">
        <v>3028</v>
      </c>
      <c r="I77" s="10" t="s">
        <v>3134</v>
      </c>
      <c r="J77" s="10">
        <f t="shared" si="14"/>
        <v>104.13</v>
      </c>
      <c r="K77" s="4">
        <v>104.13</v>
      </c>
      <c r="L77" s="4">
        <v>2114786</v>
      </c>
      <c r="M77" s="4">
        <v>0.41</v>
      </c>
      <c r="N77" s="4">
        <v>0.68930000000000002</v>
      </c>
      <c r="O77" s="4">
        <v>6.01</v>
      </c>
      <c r="P77" s="4">
        <v>6.01</v>
      </c>
      <c r="Q77" s="4">
        <v>0</v>
      </c>
      <c r="R77" s="4">
        <f>VLOOKUP(A77,[1]oas!$A$4:$D$88,4,FALSE)</f>
        <v>414</v>
      </c>
      <c r="S77" s="4">
        <v>6.81</v>
      </c>
      <c r="T77" s="4">
        <v>0.59</v>
      </c>
      <c r="U77" s="4"/>
      <c r="V77" s="4" t="s">
        <v>3124</v>
      </c>
      <c r="W77" s="4" t="s">
        <v>3142</v>
      </c>
      <c r="X77" s="4" t="s">
        <v>3240</v>
      </c>
      <c r="Y77" s="4" t="s">
        <v>3241</v>
      </c>
      <c r="Z77" s="4" t="s">
        <v>2962</v>
      </c>
      <c r="AA77" s="4" t="s">
        <v>3041</v>
      </c>
      <c r="AB77" s="4" t="s">
        <v>2945</v>
      </c>
      <c r="AD77" s="10">
        <f t="shared" si="10"/>
        <v>0.12716803890460787</v>
      </c>
      <c r="AE77" s="10">
        <f t="shared" si="11"/>
        <v>0.28835147085781282</v>
      </c>
      <c r="AF77" s="10">
        <f t="shared" si="12"/>
        <v>14.792288552023427</v>
      </c>
      <c r="AG77" s="10">
        <f t="shared" ca="1" si="13"/>
        <v>1.3327459714169181</v>
      </c>
    </row>
    <row r="78" spans="1:33" x14ac:dyDescent="0.25">
      <c r="A78" s="50" t="s">
        <v>3242</v>
      </c>
      <c r="B78" s="4">
        <v>500</v>
      </c>
      <c r="C78" s="53" t="s">
        <v>3243</v>
      </c>
      <c r="D78" s="4">
        <v>6</v>
      </c>
      <c r="E78" s="49">
        <v>45021</v>
      </c>
      <c r="F78" s="4">
        <v>11.43</v>
      </c>
      <c r="G78" s="4">
        <v>11.43</v>
      </c>
      <c r="H78" s="10" t="s">
        <v>3181</v>
      </c>
      <c r="I78" s="10" t="s">
        <v>3083</v>
      </c>
      <c r="J78" s="10">
        <f t="shared" si="14"/>
        <v>100.4</v>
      </c>
      <c r="K78" s="4">
        <v>100.4</v>
      </c>
      <c r="L78" s="4">
        <v>504167</v>
      </c>
      <c r="M78" s="4">
        <v>0.1</v>
      </c>
      <c r="N78" s="4">
        <v>0.16433</v>
      </c>
      <c r="O78" s="4">
        <v>5.95</v>
      </c>
      <c r="P78" s="4">
        <v>5.95</v>
      </c>
      <c r="Q78" s="4">
        <v>0</v>
      </c>
      <c r="R78" s="4">
        <f>VLOOKUP(A78,[1]oas!$A$4:$D$88,4,FALSE)</f>
        <v>386</v>
      </c>
      <c r="S78" s="4">
        <v>8.16</v>
      </c>
      <c r="T78" s="4">
        <v>0.84</v>
      </c>
      <c r="U78" s="4"/>
      <c r="V78" s="4" t="s">
        <v>3209</v>
      </c>
      <c r="W78" s="4" t="s">
        <v>3244</v>
      </c>
      <c r="X78" s="4" t="s">
        <v>3245</v>
      </c>
      <c r="Y78" s="4" t="s">
        <v>3086</v>
      </c>
      <c r="Z78" s="4" t="s">
        <v>2962</v>
      </c>
      <c r="AA78" s="4" t="s">
        <v>3041</v>
      </c>
      <c r="AB78" s="4" t="s">
        <v>3033</v>
      </c>
      <c r="AD78" s="10">
        <f t="shared" si="10"/>
        <v>0.14701595404357215</v>
      </c>
      <c r="AE78" s="10">
        <f t="shared" si="11"/>
        <v>1.9241326019706809E-2</v>
      </c>
      <c r="AF78" s="10">
        <f t="shared" si="12"/>
        <v>1.4228451842495256</v>
      </c>
      <c r="AG78" s="10">
        <f t="shared" ca="1" si="13"/>
        <v>0.30634670385972018</v>
      </c>
    </row>
    <row r="79" spans="1:33" x14ac:dyDescent="0.25">
      <c r="A79" s="50" t="s">
        <v>3246</v>
      </c>
      <c r="B79" s="4">
        <v>3000</v>
      </c>
      <c r="C79" s="53" t="s">
        <v>3247</v>
      </c>
      <c r="D79" s="4">
        <v>7</v>
      </c>
      <c r="E79" s="49">
        <v>43942</v>
      </c>
      <c r="F79" s="4">
        <v>8.48</v>
      </c>
      <c r="G79" s="4">
        <v>3.48</v>
      </c>
      <c r="H79" s="10" t="s">
        <v>3120</v>
      </c>
      <c r="I79" s="10" t="s">
        <v>3020</v>
      </c>
      <c r="J79" s="10">
        <f t="shared" si="14"/>
        <v>107</v>
      </c>
      <c r="K79" s="4">
        <v>107</v>
      </c>
      <c r="L79" s="4">
        <v>3215833</v>
      </c>
      <c r="M79" s="4">
        <v>0.62</v>
      </c>
      <c r="N79" s="4">
        <v>1.048179</v>
      </c>
      <c r="O79" s="4">
        <v>5.94</v>
      </c>
      <c r="P79" s="4">
        <v>5.67</v>
      </c>
      <c r="Q79" s="4">
        <v>0</v>
      </c>
      <c r="R79" s="4">
        <f>VLOOKUP(A79,[1]oas!$A$4:$D$88,4,FALSE)</f>
        <v>417</v>
      </c>
      <c r="S79" s="4">
        <v>3.83</v>
      </c>
      <c r="T79" s="4">
        <v>0.51</v>
      </c>
      <c r="U79" s="4"/>
      <c r="V79" s="4" t="s">
        <v>3209</v>
      </c>
      <c r="W79" s="4" t="s">
        <v>3244</v>
      </c>
      <c r="X79" s="4" t="s">
        <v>3248</v>
      </c>
      <c r="Y79" s="4" t="s">
        <v>3086</v>
      </c>
      <c r="Z79" s="4" t="s">
        <v>2962</v>
      </c>
      <c r="AA79" s="4" t="s">
        <v>3041</v>
      </c>
      <c r="AB79" s="4" t="s">
        <v>3033</v>
      </c>
      <c r="AD79" s="10">
        <f t="shared" si="10"/>
        <v>0.51188637569459117</v>
      </c>
      <c r="AE79" s="10">
        <f t="shared" si="11"/>
        <v>0.11695536890641571</v>
      </c>
      <c r="AF79" s="10">
        <f t="shared" si="12"/>
        <v>22.656777758064592</v>
      </c>
      <c r="AG79" s="10">
        <f t="shared" ca="1" si="13"/>
        <v>2.0824872376033432</v>
      </c>
    </row>
    <row r="80" spans="1:33" x14ac:dyDescent="0.25">
      <c r="A80" s="50" t="s">
        <v>3249</v>
      </c>
      <c r="B80" s="4">
        <v>3058</v>
      </c>
      <c r="C80" s="53" t="s">
        <v>3250</v>
      </c>
      <c r="D80" s="4">
        <v>6.7</v>
      </c>
      <c r="E80" s="49">
        <v>13175</v>
      </c>
      <c r="F80" s="4">
        <v>24.24</v>
      </c>
      <c r="G80" s="4">
        <v>24.24</v>
      </c>
      <c r="H80" s="10" t="s">
        <v>3028</v>
      </c>
      <c r="I80" s="10" t="s">
        <v>3083</v>
      </c>
      <c r="J80" s="10">
        <f t="shared" si="14"/>
        <v>126.25</v>
      </c>
      <c r="K80" s="4">
        <v>126.25</v>
      </c>
      <c r="L80" s="4">
        <v>3914792</v>
      </c>
      <c r="M80" s="4">
        <v>0.63</v>
      </c>
      <c r="N80" s="4">
        <v>1.2759990000000001</v>
      </c>
      <c r="O80" s="4">
        <v>4.25</v>
      </c>
      <c r="P80" s="4">
        <v>4.25</v>
      </c>
      <c r="Q80" s="4">
        <v>0</v>
      </c>
      <c r="R80" s="4">
        <f>VLOOKUP(A80,[1]oas!$A$4:$D$88,4,FALSE)</f>
        <v>217</v>
      </c>
      <c r="S80" s="4">
        <v>9.9600000000000009</v>
      </c>
      <c r="T80" s="4">
        <v>1.5</v>
      </c>
      <c r="U80" s="4"/>
      <c r="V80" s="4" t="s">
        <v>3045</v>
      </c>
      <c r="W80" s="4" t="s">
        <v>3046</v>
      </c>
      <c r="X80" s="4" t="s">
        <v>624</v>
      </c>
      <c r="Y80" s="4" t="s">
        <v>3251</v>
      </c>
      <c r="Z80" s="4" t="s">
        <v>2962</v>
      </c>
      <c r="AA80" s="4" t="s">
        <v>2945</v>
      </c>
      <c r="AB80" s="4" t="s">
        <v>2945</v>
      </c>
      <c r="AD80" s="10">
        <f t="shared" si="10"/>
        <v>1.3933747064685833</v>
      </c>
      <c r="AE80" s="10">
        <f t="shared" si="11"/>
        <v>0.10671887513936008</v>
      </c>
      <c r="AF80" s="10">
        <f t="shared" si="12"/>
        <v>6.2110403964081957</v>
      </c>
      <c r="AG80" s="10">
        <f t="shared" ca="1" si="13"/>
        <v>11.154134791704736</v>
      </c>
    </row>
    <row r="81" spans="1:33" x14ac:dyDescent="0.25">
      <c r="A81" s="50" t="s">
        <v>3252</v>
      </c>
      <c r="B81" s="4">
        <v>3252</v>
      </c>
      <c r="C81" s="53" t="s">
        <v>3253</v>
      </c>
      <c r="D81" s="4">
        <v>9.375</v>
      </c>
      <c r="E81" s="49">
        <v>47209</v>
      </c>
      <c r="F81" s="4">
        <v>17.420000000000002</v>
      </c>
      <c r="G81" s="4">
        <v>17.420000000000002</v>
      </c>
      <c r="H81" s="10" t="s">
        <v>3120</v>
      </c>
      <c r="I81" s="10" t="s">
        <v>3028</v>
      </c>
      <c r="J81" s="10">
        <f t="shared" si="14"/>
        <v>154.5</v>
      </c>
      <c r="K81" s="4">
        <v>154.5</v>
      </c>
      <c r="L81" s="4">
        <v>5049746</v>
      </c>
      <c r="M81" s="4">
        <v>0.67</v>
      </c>
      <c r="N81" s="4">
        <v>1.6459299999999999</v>
      </c>
      <c r="O81" s="4">
        <v>4.74</v>
      </c>
      <c r="P81" s="4">
        <v>4.74</v>
      </c>
      <c r="Q81" s="4">
        <v>167</v>
      </c>
      <c r="R81" s="4">
        <f>VLOOKUP(A81,[1]oas!$A$4:$D$88,4,FALSE)</f>
        <v>241</v>
      </c>
      <c r="S81" s="4">
        <v>10.25</v>
      </c>
      <c r="T81" s="4">
        <v>1.52</v>
      </c>
      <c r="U81" s="4"/>
      <c r="V81" s="4" t="s">
        <v>3045</v>
      </c>
      <c r="W81" s="4" t="s">
        <v>3046</v>
      </c>
      <c r="X81" s="4" t="s">
        <v>636</v>
      </c>
      <c r="Y81" s="4" t="s">
        <v>3251</v>
      </c>
      <c r="Z81" s="4" t="s">
        <v>2962</v>
      </c>
      <c r="AA81" s="4" t="s">
        <v>2945</v>
      </c>
      <c r="AB81" s="4" t="s">
        <v>2945</v>
      </c>
      <c r="AD81" s="10">
        <f t="shared" si="10"/>
        <v>1.8601380565888479</v>
      </c>
      <c r="AE81" s="10">
        <f t="shared" si="11"/>
        <v>0.15352937864471017</v>
      </c>
      <c r="AF81" s="10">
        <f t="shared" si="12"/>
        <v>8.8977972265449399</v>
      </c>
      <c r="AG81" s="10">
        <f t="shared" ca="1" si="13"/>
        <v>63.576966122197128</v>
      </c>
    </row>
    <row r="82" spans="1:33" x14ac:dyDescent="0.25">
      <c r="A82" s="50" t="s">
        <v>3254</v>
      </c>
      <c r="B82" s="4">
        <v>1000</v>
      </c>
      <c r="C82" s="53" t="s">
        <v>3255</v>
      </c>
      <c r="D82" s="4">
        <v>6.5</v>
      </c>
      <c r="E82" s="49">
        <v>15129</v>
      </c>
      <c r="F82" s="4">
        <v>29.59</v>
      </c>
      <c r="G82" s="4">
        <v>29.59</v>
      </c>
      <c r="H82" s="10" t="s">
        <v>3019</v>
      </c>
      <c r="I82" s="10" t="s">
        <v>3020</v>
      </c>
      <c r="J82" s="10">
        <f t="shared" si="14"/>
        <v>107.25</v>
      </c>
      <c r="K82" s="4">
        <v>107.25</v>
      </c>
      <c r="L82" s="4">
        <v>1099403</v>
      </c>
      <c r="M82" s="4">
        <v>0.21</v>
      </c>
      <c r="N82" s="4">
        <v>0.35834300000000002</v>
      </c>
      <c r="O82" s="4">
        <v>5.97</v>
      </c>
      <c r="P82" s="4">
        <v>5.97</v>
      </c>
      <c r="Q82" s="4">
        <v>0</v>
      </c>
      <c r="R82" s="4">
        <f>VLOOKUP(A82,[1]oas!$A$4:$D$88,4,FALSE)</f>
        <v>314</v>
      </c>
      <c r="S82" s="4">
        <v>13.26</v>
      </c>
      <c r="T82" s="4">
        <v>2.79</v>
      </c>
      <c r="U82" s="4"/>
      <c r="V82" s="4" t="s">
        <v>3124</v>
      </c>
      <c r="W82" s="4" t="s">
        <v>3125</v>
      </c>
      <c r="X82" s="4" t="s">
        <v>3256</v>
      </c>
      <c r="Y82" s="4" t="s">
        <v>3004</v>
      </c>
      <c r="Z82" s="4" t="s">
        <v>2962</v>
      </c>
      <c r="AA82" s="4" t="s">
        <v>3041</v>
      </c>
      <c r="AB82" s="4" t="s">
        <v>2945</v>
      </c>
      <c r="AD82" s="10">
        <f t="shared" si="10"/>
        <v>0.52390461080845874</v>
      </c>
      <c r="AE82" s="10">
        <f t="shared" si="11"/>
        <v>4.2099299114711115E-2</v>
      </c>
      <c r="AF82" s="10">
        <f t="shared" si="12"/>
        <v>2.5239601499303617</v>
      </c>
      <c r="AG82" s="10">
        <f t="shared" ca="1" si="13"/>
        <v>0.71360732927695103</v>
      </c>
    </row>
    <row r="83" spans="1:33" x14ac:dyDescent="0.25">
      <c r="A83" s="50" t="s">
        <v>3257</v>
      </c>
      <c r="B83" s="4">
        <v>6000</v>
      </c>
      <c r="C83" s="53" t="s">
        <v>3258</v>
      </c>
      <c r="D83" s="4">
        <v>7.35</v>
      </c>
      <c r="E83" s="49">
        <v>45859</v>
      </c>
      <c r="F83" s="4">
        <v>13.73</v>
      </c>
      <c r="G83" s="4">
        <v>13.73</v>
      </c>
      <c r="H83" s="10" t="s">
        <v>133</v>
      </c>
      <c r="I83" s="10" t="s">
        <v>3036</v>
      </c>
      <c r="J83" s="10">
        <f t="shared" si="14"/>
        <v>130.5</v>
      </c>
      <c r="K83" s="4">
        <v>130.5</v>
      </c>
      <c r="L83" s="4">
        <v>7952500</v>
      </c>
      <c r="M83" s="4">
        <v>1.24</v>
      </c>
      <c r="N83" s="4">
        <v>2.5920619999999999</v>
      </c>
      <c r="O83" s="4">
        <v>4.37</v>
      </c>
      <c r="P83" s="4">
        <v>4.37</v>
      </c>
      <c r="Q83" s="4">
        <v>0</v>
      </c>
      <c r="R83" s="4">
        <f>VLOOKUP(A83,[1]oas!$A$4:$D$88,4,FALSE)</f>
        <v>217</v>
      </c>
      <c r="S83" s="4">
        <v>9.18</v>
      </c>
      <c r="T83" s="4">
        <v>1.1100000000000001</v>
      </c>
      <c r="U83" s="4"/>
      <c r="V83" s="4" t="s">
        <v>3045</v>
      </c>
      <c r="W83" s="4" t="s">
        <v>3046</v>
      </c>
      <c r="X83" s="4" t="s">
        <v>648</v>
      </c>
      <c r="Y83" s="4" t="s">
        <v>3259</v>
      </c>
      <c r="Z83" s="4" t="s">
        <v>2962</v>
      </c>
      <c r="AA83" s="4" t="s">
        <v>2945</v>
      </c>
      <c r="AB83" s="4" t="s">
        <v>3033</v>
      </c>
      <c r="AD83" s="10">
        <f t="shared" si="10"/>
        <v>2.6088328298915755</v>
      </c>
      <c r="AE83" s="10">
        <f t="shared" si="11"/>
        <v>0.2229095789306739</v>
      </c>
      <c r="AF83" s="10">
        <f t="shared" si="12"/>
        <v>12.617094025030239</v>
      </c>
      <c r="AG83" s="10">
        <f t="shared" ca="1" si="13"/>
        <v>23.421246177154185</v>
      </c>
    </row>
    <row r="84" spans="1:33" x14ac:dyDescent="0.25">
      <c r="A84" s="50" t="s">
        <v>3260</v>
      </c>
      <c r="B84" s="4">
        <v>2840</v>
      </c>
      <c r="C84" s="53" t="s">
        <v>3261</v>
      </c>
      <c r="D84" s="4">
        <v>9.75</v>
      </c>
      <c r="E84" s="49">
        <v>43691</v>
      </c>
      <c r="F84" s="4">
        <v>7.79</v>
      </c>
      <c r="G84" s="4">
        <v>7.79</v>
      </c>
      <c r="H84" s="10" t="s">
        <v>135</v>
      </c>
      <c r="I84" s="10" t="s">
        <v>3028</v>
      </c>
      <c r="J84" s="10">
        <f t="shared" si="14"/>
        <v>116.28</v>
      </c>
      <c r="K84" s="4">
        <v>116.28</v>
      </c>
      <c r="L84" s="4">
        <v>3361493</v>
      </c>
      <c r="M84" s="4">
        <v>0.59</v>
      </c>
      <c r="N84" s="4">
        <v>1.095655</v>
      </c>
      <c r="O84" s="4">
        <v>7</v>
      </c>
      <c r="P84" s="4">
        <v>7</v>
      </c>
      <c r="Q84" s="4">
        <v>0</v>
      </c>
      <c r="R84" s="4">
        <f>VLOOKUP(A84,[1]oas!$A$4:$D$88,4,FALSE)</f>
        <v>544</v>
      </c>
      <c r="S84" s="4">
        <v>5.51</v>
      </c>
      <c r="T84" s="4">
        <v>0.39</v>
      </c>
      <c r="U84" s="4"/>
      <c r="V84" s="4" t="s">
        <v>3124</v>
      </c>
      <c r="W84" s="4" t="s">
        <v>3125</v>
      </c>
      <c r="X84" s="4" t="s">
        <v>3262</v>
      </c>
      <c r="Y84" s="4" t="s">
        <v>3263</v>
      </c>
      <c r="Z84" s="4" t="s">
        <v>2962</v>
      </c>
      <c r="AA84" s="4" t="s">
        <v>3041</v>
      </c>
      <c r="AB84" s="4" t="s">
        <v>2945</v>
      </c>
      <c r="AD84" s="10">
        <f t="shared" si="10"/>
        <v>0.20208258551783759</v>
      </c>
      <c r="AE84" s="10">
        <f t="shared" si="11"/>
        <v>0.53384050612464184</v>
      </c>
      <c r="AF84" s="10">
        <f t="shared" si="12"/>
        <v>30.895819064811974</v>
      </c>
      <c r="AG84" s="10">
        <f t="shared" ca="1" si="13"/>
        <v>2.3656054804494384</v>
      </c>
    </row>
    <row r="85" spans="1:33" x14ac:dyDescent="0.25">
      <c r="A85" s="50" t="s">
        <v>3264</v>
      </c>
      <c r="B85" s="4">
        <v>3500</v>
      </c>
      <c r="C85" s="53" t="s">
        <v>3265</v>
      </c>
      <c r="D85" s="4">
        <v>4</v>
      </c>
      <c r="E85" s="49">
        <v>44211</v>
      </c>
      <c r="F85" s="4">
        <v>9.2100000000000009</v>
      </c>
      <c r="G85" s="4">
        <v>9.2100000000000009</v>
      </c>
      <c r="H85" s="10" t="s">
        <v>3120</v>
      </c>
      <c r="I85" s="10" t="s">
        <v>3020</v>
      </c>
      <c r="J85" s="10">
        <f t="shared" si="14"/>
        <v>101.75</v>
      </c>
      <c r="K85" s="4">
        <v>101.75</v>
      </c>
      <c r="L85" s="4">
        <v>3602472</v>
      </c>
      <c r="M85" s="4">
        <v>0.72</v>
      </c>
      <c r="N85" s="4">
        <v>1.1742010000000001</v>
      </c>
      <c r="O85" s="4">
        <v>3.77</v>
      </c>
      <c r="P85" s="4">
        <v>3.77</v>
      </c>
      <c r="Q85" s="4">
        <v>0</v>
      </c>
      <c r="R85" s="4">
        <f>VLOOKUP(A85,[1]oas!$A$4:$D$88,4,FALSE)</f>
        <v>182</v>
      </c>
      <c r="S85" s="4">
        <v>7.58</v>
      </c>
      <c r="T85" s="4">
        <v>0.68</v>
      </c>
      <c r="U85" s="4"/>
      <c r="V85" s="4" t="s">
        <v>3045</v>
      </c>
      <c r="W85" s="4" t="s">
        <v>3046</v>
      </c>
      <c r="X85" s="4" t="s">
        <v>669</v>
      </c>
      <c r="Y85" s="4" t="s">
        <v>3266</v>
      </c>
      <c r="Z85" s="4" t="s">
        <v>2962</v>
      </c>
      <c r="AA85" s="4" t="s">
        <v>3024</v>
      </c>
      <c r="AB85" s="4" t="s">
        <v>2945</v>
      </c>
      <c r="AD85" s="10">
        <f t="shared" si="10"/>
        <v>0.24112056629749004</v>
      </c>
      <c r="AE85" s="10">
        <f t="shared" si="11"/>
        <v>0.28909372663913785</v>
      </c>
      <c r="AF85" s="10">
        <f t="shared" si="12"/>
        <v>9.2026807462766715</v>
      </c>
      <c r="AG85" s="10">
        <f t="shared" ca="1" si="13"/>
        <v>2.2184013211751932</v>
      </c>
    </row>
    <row r="86" spans="1:33" x14ac:dyDescent="0.25">
      <c r="A86" s="50" t="s">
        <v>3267</v>
      </c>
      <c r="B86" s="4">
        <v>4000</v>
      </c>
      <c r="C86" s="53" t="s">
        <v>3268</v>
      </c>
      <c r="D86" s="4">
        <v>8.375</v>
      </c>
      <c r="E86" s="49">
        <v>43633</v>
      </c>
      <c r="F86" s="4">
        <v>7.63</v>
      </c>
      <c r="G86" s="4">
        <v>7.63</v>
      </c>
      <c r="H86" s="10" t="s">
        <v>3161</v>
      </c>
      <c r="I86" s="10" t="s">
        <v>3083</v>
      </c>
      <c r="J86" s="10">
        <f t="shared" si="14"/>
        <v>130.38</v>
      </c>
      <c r="K86" s="4">
        <v>130.38</v>
      </c>
      <c r="L86" s="4">
        <v>5339694</v>
      </c>
      <c r="M86" s="4">
        <v>0.83</v>
      </c>
      <c r="N86" s="4">
        <v>1.740437</v>
      </c>
      <c r="O86" s="4">
        <v>3.76</v>
      </c>
      <c r="P86" s="4">
        <v>3.76</v>
      </c>
      <c r="Q86" s="4">
        <v>0</v>
      </c>
      <c r="R86" s="4">
        <f>VLOOKUP(A86,[1]oas!$A$4:$D$88,4,FALSE)</f>
        <v>218</v>
      </c>
      <c r="S86" s="4">
        <v>5.8</v>
      </c>
      <c r="T86" s="4">
        <v>0.42</v>
      </c>
      <c r="U86" s="4"/>
      <c r="V86" s="4" t="s">
        <v>3045</v>
      </c>
      <c r="W86" s="4" t="s">
        <v>3046</v>
      </c>
      <c r="X86" s="4" t="s">
        <v>693</v>
      </c>
      <c r="Y86" s="4" t="s">
        <v>3266</v>
      </c>
      <c r="Z86" s="4" t="s">
        <v>2962</v>
      </c>
      <c r="AA86" s="4" t="s">
        <v>2945</v>
      </c>
      <c r="AB86" s="4" t="s">
        <v>3033</v>
      </c>
      <c r="AD86" s="10">
        <f t="shared" si="10"/>
        <v>0.337900973542688</v>
      </c>
      <c r="AE86" s="10">
        <f t="shared" si="11"/>
        <v>0.42736693492227762</v>
      </c>
      <c r="AF86" s="10">
        <f t="shared" si="12"/>
        <v>8.5107687698184815</v>
      </c>
      <c r="AG86" s="10">
        <f t="shared" ca="1" si="13"/>
        <v>15.711699198982158</v>
      </c>
    </row>
    <row r="87" spans="1:33" x14ac:dyDescent="0.25">
      <c r="A87" s="50" t="s">
        <v>702</v>
      </c>
      <c r="B87" s="4">
        <v>4660</v>
      </c>
      <c r="C87" s="53" t="s">
        <v>3269</v>
      </c>
      <c r="D87" s="4">
        <v>9.5</v>
      </c>
      <c r="E87" s="49">
        <v>10991</v>
      </c>
      <c r="F87" s="4">
        <v>18.260000000000002</v>
      </c>
      <c r="G87" s="4">
        <v>18.260000000000002</v>
      </c>
      <c r="H87" s="10" t="s">
        <v>3019</v>
      </c>
      <c r="I87" s="10" t="s">
        <v>3020</v>
      </c>
      <c r="J87" s="10">
        <f t="shared" si="14"/>
        <v>152.63</v>
      </c>
      <c r="K87" s="4">
        <v>152.63</v>
      </c>
      <c r="L87" s="4">
        <v>7221770</v>
      </c>
      <c r="M87" s="4">
        <v>0.96</v>
      </c>
      <c r="N87" s="4">
        <v>2.3538860000000001</v>
      </c>
      <c r="O87" s="4">
        <v>5.05</v>
      </c>
      <c r="P87" s="4">
        <v>5.05</v>
      </c>
      <c r="Q87" s="4">
        <v>0</v>
      </c>
      <c r="R87" s="4">
        <f>VLOOKUP(A87,[1]oas!$A$4:$D$88,4,FALSE)</f>
        <v>270</v>
      </c>
      <c r="S87" s="4">
        <v>10.29</v>
      </c>
      <c r="T87" s="4">
        <v>1.5</v>
      </c>
      <c r="U87" s="4"/>
      <c r="V87" s="4" t="s">
        <v>3045</v>
      </c>
      <c r="W87" s="4" t="s">
        <v>3046</v>
      </c>
      <c r="X87" s="4" t="s">
        <v>702</v>
      </c>
      <c r="Y87" s="4" t="s">
        <v>3266</v>
      </c>
      <c r="Z87" s="4" t="s">
        <v>2962</v>
      </c>
      <c r="AA87" s="4" t="s">
        <v>3024</v>
      </c>
      <c r="AB87" s="4" t="s">
        <v>3033</v>
      </c>
      <c r="AD87" s="10">
        <f t="shared" si="10"/>
        <v>2.6706120635512978</v>
      </c>
      <c r="AE87" s="10">
        <f t="shared" si="11"/>
        <v>0.23392608241475446</v>
      </c>
      <c r="AF87" s="10">
        <f t="shared" si="12"/>
        <v>14.256185735076503</v>
      </c>
      <c r="AG87" s="10">
        <f t="shared" ca="1" si="13"/>
        <v>89.822541493650817</v>
      </c>
    </row>
    <row r="88" spans="1:33" x14ac:dyDescent="0.25">
      <c r="A88" s="50" t="s">
        <v>3270</v>
      </c>
      <c r="B88" s="4">
        <v>100000</v>
      </c>
      <c r="C88" s="53" t="s">
        <v>3265</v>
      </c>
      <c r="D88" s="4">
        <v>4.95</v>
      </c>
      <c r="E88" s="49">
        <v>44211</v>
      </c>
      <c r="F88" s="4">
        <v>9.2100000000000009</v>
      </c>
      <c r="G88" s="4">
        <v>9.2100000000000009</v>
      </c>
      <c r="H88" s="10" t="s">
        <v>3054</v>
      </c>
      <c r="I88" s="10" t="s">
        <v>3028</v>
      </c>
      <c r="J88" s="60" t="e">
        <f t="shared" ca="1" si="14"/>
        <v>#NAME?</v>
      </c>
      <c r="K88" s="12">
        <v>96.25</v>
      </c>
      <c r="L88" s="4">
        <v>2291720</v>
      </c>
      <c r="M88" s="4">
        <v>20.64</v>
      </c>
      <c r="N88" s="4">
        <v>0.74697000000000002</v>
      </c>
      <c r="O88" s="4">
        <v>5.47</v>
      </c>
      <c r="P88" s="4">
        <v>5.47</v>
      </c>
      <c r="Q88" s="4">
        <v>0</v>
      </c>
      <c r="R88" s="4">
        <f>VLOOKUP(A88,[1]oas!$A$4:$D$88,4,FALSE)</f>
        <v>-22</v>
      </c>
      <c r="S88" s="4">
        <v>7.16</v>
      </c>
      <c r="T88" s="4">
        <v>0.63</v>
      </c>
      <c r="U88" s="4"/>
      <c r="V88" s="4" t="s">
        <v>3045</v>
      </c>
      <c r="W88" s="4" t="s">
        <v>3046</v>
      </c>
      <c r="X88" s="4" t="s">
        <v>3271</v>
      </c>
      <c r="Y88" s="4" t="s">
        <v>3266</v>
      </c>
      <c r="Z88" s="4" t="s">
        <v>3272</v>
      </c>
      <c r="AA88" s="4" t="s">
        <v>3024</v>
      </c>
      <c r="AB88" s="4" t="s">
        <v>3033</v>
      </c>
      <c r="AD88" s="10">
        <f t="shared" si="10"/>
        <v>0.14489020021402338</v>
      </c>
      <c r="AE88" s="10">
        <f t="shared" si="11"/>
        <v>8.0406748048278978E-2</v>
      </c>
      <c r="AF88" s="10">
        <f t="shared" si="12"/>
        <v>-0.70766316384125916</v>
      </c>
      <c r="AG88" s="10" t="e">
        <f t="shared" ca="1" si="13"/>
        <v>#NAME?</v>
      </c>
    </row>
    <row r="89" spans="1:33" x14ac:dyDescent="0.25">
      <c r="A89" s="50" t="s">
        <v>3273</v>
      </c>
      <c r="B89" s="4">
        <v>8300</v>
      </c>
      <c r="C89" s="53" t="s">
        <v>3274</v>
      </c>
      <c r="D89" s="4">
        <v>8</v>
      </c>
      <c r="E89" s="49">
        <v>43684</v>
      </c>
      <c r="F89" s="4">
        <v>7.77</v>
      </c>
      <c r="G89" s="4">
        <v>7.77</v>
      </c>
      <c r="H89" s="10" t="s">
        <v>3054</v>
      </c>
      <c r="I89" s="10" t="s">
        <v>3134</v>
      </c>
      <c r="J89" s="58">
        <f t="shared" si="14"/>
        <v>117.5</v>
      </c>
      <c r="K89" s="67">
        <v>117.5</v>
      </c>
      <c r="L89" s="4">
        <v>9907433</v>
      </c>
      <c r="M89" s="4">
        <v>1.71</v>
      </c>
      <c r="N89" s="4">
        <v>3.22926</v>
      </c>
      <c r="O89" s="4">
        <v>5.23</v>
      </c>
      <c r="P89" s="4">
        <v>5.23</v>
      </c>
      <c r="Q89" s="4">
        <v>0</v>
      </c>
      <c r="R89" s="4">
        <f>VLOOKUP(A89,[1]oas!$A$4:$D$88,4,FALSE)</f>
        <v>363</v>
      </c>
      <c r="S89" s="4">
        <v>5.85</v>
      </c>
      <c r="T89" s="4">
        <v>0.43</v>
      </c>
      <c r="U89" s="4"/>
      <c r="V89" s="4" t="s">
        <v>3021</v>
      </c>
      <c r="W89" s="4" t="s">
        <v>3275</v>
      </c>
      <c r="X89" s="4" t="s">
        <v>3276</v>
      </c>
      <c r="Y89" s="4" t="s">
        <v>3176</v>
      </c>
      <c r="Z89" s="4" t="s">
        <v>2962</v>
      </c>
      <c r="AA89" s="4" t="s">
        <v>3041</v>
      </c>
      <c r="AB89" s="4" t="s">
        <v>2945</v>
      </c>
      <c r="AD89" s="10">
        <f t="shared" si="10"/>
        <v>0.63235664969114846</v>
      </c>
      <c r="AE89" s="10">
        <f t="shared" si="11"/>
        <v>0.33235823936837522</v>
      </c>
      <c r="AF89" s="10">
        <f t="shared" si="12"/>
        <v>26.294426136690362</v>
      </c>
      <c r="AG89" s="10">
        <f t="shared" ca="1" si="13"/>
        <v>7.0453746758018632</v>
      </c>
    </row>
    <row r="90" spans="1:33" x14ac:dyDescent="0.25">
      <c r="A90" s="50" t="s">
        <v>3277</v>
      </c>
      <c r="B90" s="4">
        <v>4000</v>
      </c>
      <c r="C90" s="53" t="s">
        <v>3278</v>
      </c>
      <c r="D90" s="4">
        <v>5</v>
      </c>
      <c r="E90" s="49">
        <v>44033</v>
      </c>
      <c r="F90" s="4">
        <v>8.73</v>
      </c>
      <c r="G90" s="4">
        <v>8.73</v>
      </c>
      <c r="H90" s="10" t="s">
        <v>3054</v>
      </c>
      <c r="I90" s="10" t="s">
        <v>3083</v>
      </c>
      <c r="J90" s="10">
        <f t="shared" si="14"/>
        <v>107.13</v>
      </c>
      <c r="K90" s="4">
        <v>107.13</v>
      </c>
      <c r="L90" s="4">
        <v>4340556</v>
      </c>
      <c r="M90" s="4">
        <v>0.83</v>
      </c>
      <c r="N90" s="4">
        <v>1.414774</v>
      </c>
      <c r="O90" s="4">
        <v>4.0199999999999996</v>
      </c>
      <c r="P90" s="4">
        <v>4.0199999999999996</v>
      </c>
      <c r="Q90" s="4">
        <v>0</v>
      </c>
      <c r="R90" s="4">
        <f>VLOOKUP(A90,[1]oas!$A$4:$D$88,4,FALSE)</f>
        <v>219</v>
      </c>
      <c r="S90" s="4">
        <v>7.01</v>
      </c>
      <c r="T90" s="4">
        <v>0.59</v>
      </c>
      <c r="U90" s="4"/>
      <c r="V90" s="4" t="s">
        <v>3279</v>
      </c>
      <c r="W90" s="4" t="s">
        <v>3280</v>
      </c>
      <c r="X90" s="4" t="s">
        <v>3281</v>
      </c>
      <c r="Y90" s="4" t="s">
        <v>3282</v>
      </c>
      <c r="Z90" s="4" t="s">
        <v>2962</v>
      </c>
      <c r="AA90" s="4" t="s">
        <v>3041</v>
      </c>
      <c r="AB90" s="4" t="s">
        <v>3033</v>
      </c>
      <c r="AD90" s="10">
        <f t="shared" si="10"/>
        <v>0.26867534610144644</v>
      </c>
      <c r="AE90" s="10">
        <f t="shared" si="11"/>
        <v>0.11192188951837866</v>
      </c>
      <c r="AF90" s="10">
        <f t="shared" si="12"/>
        <v>6.9500096308392747</v>
      </c>
      <c r="AG90" s="10">
        <f t="shared" ca="1" si="13"/>
        <v>2.8142427240370838</v>
      </c>
    </row>
    <row r="91" spans="1:33" x14ac:dyDescent="0.25">
      <c r="A91" s="50" t="s">
        <v>3283</v>
      </c>
      <c r="B91" s="4">
        <v>1250</v>
      </c>
      <c r="C91" s="53" t="s">
        <v>3284</v>
      </c>
      <c r="D91" s="4">
        <v>8.75</v>
      </c>
      <c r="E91" s="49">
        <v>44329</v>
      </c>
      <c r="F91" s="4">
        <v>9.5399999999999991</v>
      </c>
      <c r="G91" s="4">
        <v>9.5399999999999991</v>
      </c>
      <c r="H91" s="10" t="s">
        <v>3019</v>
      </c>
      <c r="I91" s="10" t="s">
        <v>3134</v>
      </c>
      <c r="J91" s="10">
        <f t="shared" si="14"/>
        <v>103</v>
      </c>
      <c r="K91" s="4">
        <v>103</v>
      </c>
      <c r="L91" s="4">
        <v>1338542</v>
      </c>
      <c r="M91" s="4">
        <v>0.26</v>
      </c>
      <c r="N91" s="4">
        <v>0.43628800000000001</v>
      </c>
      <c r="O91" s="4">
        <v>8.2899999999999991</v>
      </c>
      <c r="P91" s="4">
        <v>8.2899999999999991</v>
      </c>
      <c r="Q91" s="4">
        <v>0</v>
      </c>
      <c r="R91" s="4">
        <f>VLOOKUP(A91,[1]oas!$A$4:$D$88,4,FALSE)</f>
        <v>645</v>
      </c>
      <c r="S91" s="4">
        <v>6.19</v>
      </c>
      <c r="T91" s="4">
        <v>0.52</v>
      </c>
      <c r="U91" s="4"/>
      <c r="V91" s="4" t="s">
        <v>3045</v>
      </c>
      <c r="W91" s="4" t="s">
        <v>3046</v>
      </c>
      <c r="X91" s="4" t="s">
        <v>3285</v>
      </c>
      <c r="Y91" s="4" t="s">
        <v>3286</v>
      </c>
      <c r="Z91" s="4" t="s">
        <v>2962</v>
      </c>
      <c r="AA91" s="4" t="s">
        <v>3041</v>
      </c>
      <c r="AB91" s="4" t="s">
        <v>3033</v>
      </c>
      <c r="AD91" s="10">
        <f t="shared" si="10"/>
        <v>7.3162255734714854E-2</v>
      </c>
      <c r="AE91" s="10">
        <f t="shared" si="11"/>
        <v>0.6857110252240507</v>
      </c>
      <c r="AF91" s="10">
        <f t="shared" si="12"/>
        <v>49.874922120944547</v>
      </c>
      <c r="AG91" s="10">
        <f t="shared" ca="1" si="13"/>
        <v>0.83440002961164594</v>
      </c>
    </row>
    <row r="92" spans="1:33" x14ac:dyDescent="0.25">
      <c r="A92" s="50" t="s">
        <v>3287</v>
      </c>
      <c r="B92" s="4">
        <v>5000</v>
      </c>
      <c r="C92" s="53" t="s">
        <v>3288</v>
      </c>
      <c r="D92" s="4">
        <v>5.5</v>
      </c>
      <c r="E92" s="49">
        <v>43899</v>
      </c>
      <c r="F92" s="4">
        <v>8.36</v>
      </c>
      <c r="G92" s="4">
        <v>8.36</v>
      </c>
      <c r="H92" s="10" t="s">
        <v>3054</v>
      </c>
      <c r="I92" s="10" t="s">
        <v>3083</v>
      </c>
      <c r="J92" s="10">
        <f t="shared" si="14"/>
        <v>111.25</v>
      </c>
      <c r="K92" s="4">
        <v>111.25</v>
      </c>
      <c r="L92" s="4">
        <v>5602222</v>
      </c>
      <c r="M92" s="4">
        <v>1.03</v>
      </c>
      <c r="N92" s="4">
        <v>1.826006</v>
      </c>
      <c r="O92" s="4">
        <v>3.91</v>
      </c>
      <c r="P92" s="4">
        <v>3.91</v>
      </c>
      <c r="Q92" s="4">
        <v>0</v>
      </c>
      <c r="R92" s="4">
        <f>VLOOKUP(A92,[1]oas!$A$4:$D$88,4,FALSE)</f>
        <v>215</v>
      </c>
      <c r="S92" s="4">
        <v>6.73</v>
      </c>
      <c r="T92" s="4">
        <v>0.55000000000000004</v>
      </c>
      <c r="U92" s="4"/>
      <c r="V92" s="4" t="s">
        <v>3045</v>
      </c>
      <c r="W92" s="4" t="s">
        <v>3046</v>
      </c>
      <c r="X92" s="4" t="s">
        <v>969</v>
      </c>
      <c r="Y92" s="4" t="s">
        <v>3147</v>
      </c>
      <c r="Z92" s="4" t="s">
        <v>2962</v>
      </c>
      <c r="AA92" s="4" t="s">
        <v>2945</v>
      </c>
      <c r="AB92" s="4" t="s">
        <v>3033</v>
      </c>
      <c r="AD92" s="10">
        <f t="shared" si="10"/>
        <v>0.33291994503101169</v>
      </c>
      <c r="AE92" s="10">
        <f t="shared" si="11"/>
        <v>0.46626602949333751</v>
      </c>
      <c r="AF92" s="10">
        <f t="shared" si="12"/>
        <v>8.8063248640560161</v>
      </c>
      <c r="AG92" s="10">
        <f t="shared" ca="1" si="13"/>
        <v>3.7719455745840671</v>
      </c>
    </row>
    <row r="93" spans="1:33" x14ac:dyDescent="0.25">
      <c r="A93" s="50" t="s">
        <v>4676</v>
      </c>
      <c r="B93" s="4">
        <v>2175</v>
      </c>
      <c r="C93" s="53" t="s">
        <v>4677</v>
      </c>
      <c r="D93" s="4">
        <v>5.75</v>
      </c>
      <c r="E93" s="49">
        <v>17986</v>
      </c>
      <c r="F93" s="4">
        <v>37.409999999999997</v>
      </c>
      <c r="G93" s="4">
        <v>0.41</v>
      </c>
      <c r="H93" s="10" t="s">
        <v>3019</v>
      </c>
      <c r="I93" s="10" t="s">
        <v>3036</v>
      </c>
      <c r="J93" s="60" t="e">
        <f t="shared" ca="1" si="14"/>
        <v>#NAME?</v>
      </c>
      <c r="K93" s="12">
        <v>86</v>
      </c>
      <c r="L93" s="4">
        <v>3139963</v>
      </c>
      <c r="M93" s="4">
        <v>0.45</v>
      </c>
      <c r="N93" s="4">
        <v>1.0234490000000001</v>
      </c>
      <c r="O93" s="4">
        <v>6.78</v>
      </c>
      <c r="P93" s="4">
        <v>41.8</v>
      </c>
      <c r="Q93" s="4">
        <v>0</v>
      </c>
      <c r="R93" s="4">
        <f>VLOOKUP(A93,[1]oas!$A$4:$D$88,4,FALSE)</f>
        <v>4672</v>
      </c>
      <c r="S93" s="4">
        <v>0.3</v>
      </c>
      <c r="T93" s="4">
        <v>3.11</v>
      </c>
      <c r="U93" s="4" t="s">
        <v>3049</v>
      </c>
      <c r="V93" s="4" t="s">
        <v>3029</v>
      </c>
      <c r="W93" s="4" t="s">
        <v>3030</v>
      </c>
      <c r="X93" s="4" t="s">
        <v>4676</v>
      </c>
      <c r="Y93" s="4" t="s">
        <v>3150</v>
      </c>
      <c r="Z93" s="4" t="s">
        <v>2989</v>
      </c>
      <c r="AA93" s="4" t="s">
        <v>2945</v>
      </c>
      <c r="AB93" s="4" t="s">
        <v>3042</v>
      </c>
      <c r="AD93" s="10">
        <f t="shared" si="10"/>
        <v>4.2764264706109341E-2</v>
      </c>
      <c r="AE93" s="10">
        <f t="shared" si="11"/>
        <v>5.449472988996753</v>
      </c>
      <c r="AF93" s="10">
        <f t="shared" si="12"/>
        <v>933.73614740827384</v>
      </c>
      <c r="AG93" s="10" t="e">
        <f t="shared" ca="1" si="13"/>
        <v>#NAME?</v>
      </c>
    </row>
    <row r="94" spans="1:33" x14ac:dyDescent="0.25">
      <c r="A94" s="50" t="s">
        <v>3289</v>
      </c>
      <c r="B94" s="4">
        <v>3000</v>
      </c>
      <c r="C94" s="53" t="s">
        <v>3290</v>
      </c>
      <c r="D94" s="4">
        <v>6.25</v>
      </c>
      <c r="E94" s="49">
        <v>44108</v>
      </c>
      <c r="F94" s="4">
        <v>8.93</v>
      </c>
      <c r="G94" s="4">
        <v>8.93</v>
      </c>
      <c r="H94" s="10" t="s">
        <v>3019</v>
      </c>
      <c r="I94" s="10" t="s">
        <v>3134</v>
      </c>
      <c r="J94" s="10">
        <f t="shared" si="14"/>
        <v>101.25</v>
      </c>
      <c r="K94" s="4">
        <v>101.25</v>
      </c>
      <c r="L94" s="4">
        <v>3051563</v>
      </c>
      <c r="M94" s="4">
        <v>0.62</v>
      </c>
      <c r="N94" s="4">
        <v>0.99463599999999996</v>
      </c>
      <c r="O94" s="4">
        <v>6.07</v>
      </c>
      <c r="P94" s="4">
        <v>6.07</v>
      </c>
      <c r="Q94" s="4">
        <v>0</v>
      </c>
      <c r="R94" s="4">
        <f>VLOOKUP(A94,[1]oas!$A$4:$D$88,4,FALSE)</f>
        <v>424</v>
      </c>
      <c r="S94" s="4">
        <v>6.75</v>
      </c>
      <c r="T94" s="4">
        <v>0.56000000000000005</v>
      </c>
      <c r="U94" s="4"/>
      <c r="V94" s="4" t="s">
        <v>3045</v>
      </c>
      <c r="W94" s="4" t="s">
        <v>3046</v>
      </c>
      <c r="X94" s="4" t="s">
        <v>3291</v>
      </c>
      <c r="Y94" s="4" t="s">
        <v>3292</v>
      </c>
      <c r="Z94" s="4" t="s">
        <v>2962</v>
      </c>
      <c r="AA94" s="4" t="s">
        <v>3041</v>
      </c>
      <c r="AB94" s="4" t="s">
        <v>2945</v>
      </c>
      <c r="AD94" s="10">
        <f t="shared" si="10"/>
        <v>0.18188234656793936</v>
      </c>
      <c r="AE94" s="10">
        <f t="shared" si="11"/>
        <v>0.42023508065760268</v>
      </c>
      <c r="AF94" s="10">
        <f t="shared" si="12"/>
        <v>21.860334304982434</v>
      </c>
      <c r="AG94" s="10">
        <f t="shared" ca="1" si="13"/>
        <v>1.8699175414795444</v>
      </c>
    </row>
    <row r="95" spans="1:33" x14ac:dyDescent="0.25">
      <c r="A95" s="50" t="s">
        <v>3293</v>
      </c>
      <c r="B95" s="4">
        <v>3000</v>
      </c>
      <c r="C95" s="53" t="s">
        <v>3294</v>
      </c>
      <c r="D95" s="4">
        <v>6.25</v>
      </c>
      <c r="E95" s="49">
        <v>43724</v>
      </c>
      <c r="F95" s="4">
        <v>7.88</v>
      </c>
      <c r="G95" s="4">
        <v>7.88</v>
      </c>
      <c r="H95" s="10" t="s">
        <v>3064</v>
      </c>
      <c r="I95" s="10" t="s">
        <v>3065</v>
      </c>
      <c r="J95" s="10">
        <f t="shared" si="14"/>
        <v>110.75</v>
      </c>
      <c r="K95" s="4">
        <v>110.75</v>
      </c>
      <c r="L95" s="4">
        <v>3345938</v>
      </c>
      <c r="M95" s="4">
        <v>0.62</v>
      </c>
      <c r="N95" s="4">
        <v>1.0905849999999999</v>
      </c>
      <c r="O95" s="4">
        <v>4.6100000000000003</v>
      </c>
      <c r="P95" s="4">
        <v>4.6100000000000003</v>
      </c>
      <c r="Q95" s="4">
        <v>0</v>
      </c>
      <c r="R95" s="4">
        <f>VLOOKUP(A95,[1]oas!$A$4:$D$88,4,FALSE)</f>
        <v>295</v>
      </c>
      <c r="S95" s="4">
        <v>6.24</v>
      </c>
      <c r="T95" s="4">
        <v>0.47</v>
      </c>
      <c r="U95" s="4"/>
      <c r="V95" s="4" t="s">
        <v>3021</v>
      </c>
      <c r="W95" s="4" t="s">
        <v>3022</v>
      </c>
      <c r="X95" s="4" t="s">
        <v>3295</v>
      </c>
      <c r="Y95" s="4" t="s">
        <v>3296</v>
      </c>
      <c r="Z95" s="4" t="s">
        <v>2962</v>
      </c>
      <c r="AA95" s="4" t="s">
        <v>3041</v>
      </c>
      <c r="AB95" s="4" t="s">
        <v>2945</v>
      </c>
      <c r="AD95" s="10">
        <f t="shared" si="10"/>
        <v>0.18436009120055566</v>
      </c>
      <c r="AE95" s="10">
        <f t="shared" si="11"/>
        <v>9.8937841533778756E-2</v>
      </c>
      <c r="AF95" s="10">
        <f t="shared" si="12"/>
        <v>7.2166531596080299</v>
      </c>
      <c r="AG95" s="10">
        <f t="shared" ca="1" si="13"/>
        <v>2.2426768883089001</v>
      </c>
    </row>
    <row r="96" spans="1:33" x14ac:dyDescent="0.25">
      <c r="A96" s="50" t="s">
        <v>3297</v>
      </c>
      <c r="B96" s="4">
        <v>1800</v>
      </c>
      <c r="C96" s="53" t="s">
        <v>3298</v>
      </c>
      <c r="D96" s="4">
        <v>5.125</v>
      </c>
      <c r="E96" s="49">
        <v>44645</v>
      </c>
      <c r="F96" s="4">
        <v>10.4</v>
      </c>
      <c r="G96" s="4">
        <v>10.4</v>
      </c>
      <c r="H96" s="10" t="s">
        <v>133</v>
      </c>
      <c r="I96" s="10" t="s">
        <v>3028</v>
      </c>
      <c r="J96" s="10">
        <f t="shared" si="14"/>
        <v>100.13</v>
      </c>
      <c r="K96" s="4">
        <v>100.13</v>
      </c>
      <c r="L96" s="4">
        <v>1803788</v>
      </c>
      <c r="M96" s="4">
        <v>0.37</v>
      </c>
      <c r="N96" s="4">
        <v>0.58793200000000001</v>
      </c>
      <c r="O96" s="4">
        <v>5.1100000000000003</v>
      </c>
      <c r="P96" s="4">
        <v>5.1100000000000003</v>
      </c>
      <c r="Q96" s="4">
        <v>0</v>
      </c>
      <c r="R96" s="4">
        <f>VLOOKUP(A96,[1]oas!$A$4:$D$88,4,FALSE)</f>
        <v>304</v>
      </c>
      <c r="S96" s="4">
        <v>7.98</v>
      </c>
      <c r="T96" s="4">
        <v>0.78</v>
      </c>
      <c r="U96" s="4"/>
      <c r="V96" s="4" t="s">
        <v>3045</v>
      </c>
      <c r="W96" s="4" t="s">
        <v>3046</v>
      </c>
      <c r="X96" s="4" t="s">
        <v>3299</v>
      </c>
      <c r="Y96" s="4" t="s">
        <v>3016</v>
      </c>
      <c r="Z96" s="4" t="s">
        <v>2962</v>
      </c>
      <c r="AA96" s="4" t="s">
        <v>3024</v>
      </c>
      <c r="AB96" s="4" t="s">
        <v>3033</v>
      </c>
      <c r="AD96" s="10">
        <f t="shared" si="10"/>
        <v>0.12710212750965105</v>
      </c>
      <c r="AE96" s="10">
        <f t="shared" si="11"/>
        <v>5.9122121589864143E-2</v>
      </c>
      <c r="AF96" s="10">
        <f t="shared" si="12"/>
        <v>4.0091749198395767</v>
      </c>
      <c r="AG96" s="10">
        <f t="shared" ca="1" si="13"/>
        <v>1.0930871600591767</v>
      </c>
    </row>
    <row r="97" spans="1:33" x14ac:dyDescent="0.25">
      <c r="A97" s="50" t="s">
        <v>3300</v>
      </c>
      <c r="B97" s="4">
        <v>5000</v>
      </c>
      <c r="C97" s="53" t="s">
        <v>3301</v>
      </c>
      <c r="D97" s="4">
        <v>6</v>
      </c>
      <c r="E97" s="49">
        <v>14990</v>
      </c>
      <c r="F97" s="4">
        <v>29.21</v>
      </c>
      <c r="G97" s="4">
        <v>29.21</v>
      </c>
      <c r="H97" s="10" t="s">
        <v>3181</v>
      </c>
      <c r="I97" s="10" t="s">
        <v>3028</v>
      </c>
      <c r="J97" s="10">
        <f t="shared" si="14"/>
        <v>99.38</v>
      </c>
      <c r="K97" s="4">
        <v>99.38</v>
      </c>
      <c r="L97" s="4">
        <v>5057917</v>
      </c>
      <c r="M97" s="4">
        <v>1.03</v>
      </c>
      <c r="N97" s="4">
        <v>1.648593</v>
      </c>
      <c r="O97" s="4">
        <v>6.05</v>
      </c>
      <c r="P97" s="4">
        <v>6.05</v>
      </c>
      <c r="Q97" s="4">
        <v>0</v>
      </c>
      <c r="R97" s="4">
        <f>VLOOKUP(A97,[1]oas!$A$4:$D$88,4,FALSE)</f>
        <v>321</v>
      </c>
      <c r="S97" s="4">
        <v>13.42</v>
      </c>
      <c r="T97" s="4">
        <v>2.82</v>
      </c>
      <c r="U97" s="4"/>
      <c r="V97" s="4" t="s">
        <v>3045</v>
      </c>
      <c r="W97" s="4" t="s">
        <v>3046</v>
      </c>
      <c r="X97" s="4" t="s">
        <v>819</v>
      </c>
      <c r="Y97" s="4" t="s">
        <v>3016</v>
      </c>
      <c r="Z97" s="4" t="s">
        <v>2962</v>
      </c>
      <c r="AA97" s="4" t="s">
        <v>3024</v>
      </c>
      <c r="AB97" s="4" t="s">
        <v>2945</v>
      </c>
      <c r="AD97" s="10">
        <f t="shared" si="10"/>
        <v>2.439360533139058</v>
      </c>
      <c r="AE97" s="10">
        <f t="shared" si="11"/>
        <v>0.69423794196972255</v>
      </c>
      <c r="AF97" s="10">
        <f t="shared" si="12"/>
        <v>11.87059966332092</v>
      </c>
      <c r="AG97" s="10">
        <f t="shared" ca="1" si="13"/>
        <v>29.521505254638178</v>
      </c>
    </row>
    <row r="98" spans="1:33" x14ac:dyDescent="0.25">
      <c r="A98" s="50" t="s">
        <v>3302</v>
      </c>
      <c r="B98" s="4">
        <v>6225</v>
      </c>
      <c r="C98" s="53" t="s">
        <v>3303</v>
      </c>
      <c r="D98" s="4">
        <v>7.375</v>
      </c>
      <c r="E98" s="49">
        <v>45693</v>
      </c>
      <c r="F98" s="4">
        <v>13.26</v>
      </c>
      <c r="G98" s="4">
        <v>13.26</v>
      </c>
      <c r="H98" s="10" t="s">
        <v>3181</v>
      </c>
      <c r="I98" s="10" t="s">
        <v>3028</v>
      </c>
      <c r="J98" s="10">
        <f t="shared" si="14"/>
        <v>118.75</v>
      </c>
      <c r="K98" s="4">
        <v>118.75</v>
      </c>
      <c r="L98" s="4">
        <v>7501860</v>
      </c>
      <c r="M98" s="4">
        <v>1.28</v>
      </c>
      <c r="N98" s="4">
        <v>2.445179</v>
      </c>
      <c r="O98" s="4">
        <v>5.38</v>
      </c>
      <c r="P98" s="4">
        <v>5.38</v>
      </c>
      <c r="Q98" s="4">
        <v>0</v>
      </c>
      <c r="R98" s="4">
        <f>VLOOKUP(A98,[1]oas!$A$4:$D$88,4,FALSE)</f>
        <v>322</v>
      </c>
      <c r="S98" s="4">
        <v>8.73</v>
      </c>
      <c r="T98" s="4">
        <v>1.01</v>
      </c>
      <c r="U98" s="4"/>
      <c r="V98" s="4" t="s">
        <v>3045</v>
      </c>
      <c r="W98" s="4" t="s">
        <v>3046</v>
      </c>
      <c r="X98" s="4" t="s">
        <v>834</v>
      </c>
      <c r="Y98" s="4" t="s">
        <v>3016</v>
      </c>
      <c r="Z98" s="4" t="s">
        <v>2962</v>
      </c>
      <c r="AA98" s="4" t="s">
        <v>2945</v>
      </c>
      <c r="AB98" s="4" t="s">
        <v>2945</v>
      </c>
      <c r="AD98" s="10">
        <f t="shared" si="10"/>
        <v>2.3403622850938355</v>
      </c>
      <c r="AE98" s="10">
        <f t="shared" si="11"/>
        <v>0.25887782281170696</v>
      </c>
      <c r="AF98" s="10">
        <f t="shared" si="12"/>
        <v>17.661222205231521</v>
      </c>
      <c r="AG98" s="10">
        <f t="shared" ca="1" si="13"/>
        <v>5.3914757568448124</v>
      </c>
    </row>
    <row r="99" spans="1:33" x14ac:dyDescent="0.25">
      <c r="A99" s="50" t="s">
        <v>3304</v>
      </c>
      <c r="B99" s="4">
        <v>4050</v>
      </c>
      <c r="C99" s="53" t="s">
        <v>3305</v>
      </c>
      <c r="D99" s="4">
        <v>16</v>
      </c>
      <c r="E99" s="49">
        <v>40975</v>
      </c>
      <c r="F99" s="4">
        <v>0.35</v>
      </c>
      <c r="G99" s="4">
        <v>0.35</v>
      </c>
      <c r="H99" s="10" t="s">
        <v>133</v>
      </c>
      <c r="I99" s="10" t="s">
        <v>3134</v>
      </c>
      <c r="J99" s="60" t="e">
        <f t="shared" ca="1" si="14"/>
        <v>#NAME?</v>
      </c>
      <c r="K99" s="12">
        <v>102</v>
      </c>
      <c r="L99" s="4">
        <v>2398686</v>
      </c>
      <c r="M99" s="4">
        <v>0.84</v>
      </c>
      <c r="N99" s="4">
        <v>0.78183499999999995</v>
      </c>
      <c r="O99" s="4">
        <v>9.83</v>
      </c>
      <c r="P99" s="4">
        <v>9.83</v>
      </c>
      <c r="Q99" s="4">
        <v>0</v>
      </c>
      <c r="R99" s="4">
        <f>VLOOKUP(A99,[1]oas!$A$4:$D$88,4,FALSE)</f>
        <v>-41</v>
      </c>
      <c r="S99" s="4">
        <v>0.33</v>
      </c>
      <c r="T99" s="4">
        <v>0</v>
      </c>
      <c r="U99" s="4"/>
      <c r="V99" s="4" t="s">
        <v>3045</v>
      </c>
      <c r="W99" s="4" t="s">
        <v>3046</v>
      </c>
      <c r="X99" s="4" t="s">
        <v>3304</v>
      </c>
      <c r="Y99" s="4" t="s">
        <v>3016</v>
      </c>
      <c r="Z99" s="4" t="s">
        <v>3015</v>
      </c>
      <c r="AA99" s="4" t="s">
        <v>2945</v>
      </c>
      <c r="AB99" s="4" t="s">
        <v>2945</v>
      </c>
      <c r="AD99" s="10">
        <f t="shared" si="10"/>
        <v>3.5935406677060355E-2</v>
      </c>
      <c r="AE99" s="10">
        <f t="shared" si="11"/>
        <v>1.4570736929763353</v>
      </c>
      <c r="AF99" s="10">
        <f t="shared" si="12"/>
        <v>-1.3803830286400829</v>
      </c>
      <c r="AG99" s="10" t="e">
        <f t="shared" ca="1" si="13"/>
        <v>#NAME?</v>
      </c>
    </row>
    <row r="100" spans="1:33" x14ac:dyDescent="0.25">
      <c r="A100" s="50" t="s">
        <v>3309</v>
      </c>
      <c r="B100" s="4">
        <v>3000</v>
      </c>
      <c r="C100" s="53" t="s">
        <v>3310</v>
      </c>
      <c r="D100" s="4">
        <v>7.65</v>
      </c>
      <c r="E100" s="49">
        <v>41436</v>
      </c>
      <c r="F100" s="4">
        <v>1.61</v>
      </c>
      <c r="G100" s="4">
        <v>1.61</v>
      </c>
      <c r="H100" s="10" t="s">
        <v>3120</v>
      </c>
      <c r="I100" s="10" t="s">
        <v>3020</v>
      </c>
      <c r="J100" s="10">
        <f t="shared" si="14"/>
        <v>98.5</v>
      </c>
      <c r="K100" s="4">
        <v>98.5</v>
      </c>
      <c r="L100" s="4">
        <v>3044250</v>
      </c>
      <c r="M100" s="4">
        <v>0.62</v>
      </c>
      <c r="N100" s="4">
        <v>0.99225200000000002</v>
      </c>
      <c r="O100" s="4">
        <v>8.66</v>
      </c>
      <c r="P100" s="4">
        <v>8.66</v>
      </c>
      <c r="Q100" s="4">
        <v>0</v>
      </c>
      <c r="R100" s="4">
        <f>VLOOKUP(A100,[1]oas!$A$4:$D$88,4,FALSE)</f>
        <v>847</v>
      </c>
      <c r="S100" s="4">
        <v>1.44</v>
      </c>
      <c r="T100" s="4">
        <v>0.03</v>
      </c>
      <c r="U100" s="4"/>
      <c r="V100" s="4" t="s">
        <v>3045</v>
      </c>
      <c r="W100" s="4" t="s">
        <v>3046</v>
      </c>
      <c r="X100" s="4" t="s">
        <v>3312</v>
      </c>
      <c r="Y100" s="4" t="s">
        <v>3313</v>
      </c>
      <c r="Z100" s="4" t="s">
        <v>2962</v>
      </c>
      <c r="AA100" s="4" t="s">
        <v>3041</v>
      </c>
      <c r="AB100" s="4" t="s">
        <v>3033</v>
      </c>
      <c r="AD100" s="10">
        <f t="shared" ref="AD100:AD105" si="15">IF(S100&lt;1.99,($L100/$L$127)*S100,IF(AND(S100&gt;1.99,S100&lt;3.99),($L100/$L$128)*S100,IF(AND(S100&gt;3.99,S100&lt;5.99),($L100/$L$129)*S100,IF(AND(S100&gt;5.99,S100&lt;7.999),($L100/$L$130)*S100,IF(AND(S100&gt;7.999,S100&lt;9.99),($L100/$L$131)*S100,IF(S100&gt;9.99,($L100/$L$132)*S100))))))</f>
        <v>0.19901143471803717</v>
      </c>
      <c r="AE100" s="10">
        <f t="shared" ref="AE100:AE105" si="16">IF(P100&lt;1.99,($L100/$L$111)*P100,IF(AND(P100&gt;1.99,P100&lt;3.99),($L100/$L$112)*P100,IF(AND(P100&gt;3.99,P100&lt;5.99),($L100/$L$113)*P100,IF(AND(P100&gt;5.99,P100&lt;7.99),($L100/$L$114)*P100,IF(AND(P100&gt;7.99,P100&lt;9.99),($L100/$L$115)*P100,IF(P100&gt;9.99,($L100/$L$116)*P100))))))</f>
        <v>1.6291189885958233</v>
      </c>
      <c r="AF100" s="10">
        <f t="shared" ref="AF100:AF105" si="17">IF(R100&lt;199.99,($L100/$L$119)*R100,IF(AND(R100&gt;199.99,R100&lt;399.99),($L100/$L$120)*R100,IF(AND(R100&gt;399.99,R100&lt;599.99),($L100/$L$121)*R100,IF(AND(R100&gt;599.99,R100&lt;799.99),($L100/$L$122)*R100,IF(AND(R100&gt;799.99,R100&lt;999.99),($L100/$L$123)*R100,IF(R100&gt;999.99,($L100/$L$124)*R100))))))</f>
        <v>392.27435565939885</v>
      </c>
      <c r="AG100" s="10">
        <f t="shared" ref="AG100:AG105" ca="1" si="18">IF(J100&lt;49.99,($L100/$L$135)*J100,IF(AND(J100&gt;49.99,J100&lt;79.99),($L100/$L$136)*J100,IF(AND(J100&gt;79.99,J100&lt;99.99),($L100/$L$137)*J100,IF(AND(J100&gt;99.99,J100&lt;119.99),($L100/$L$138)*J100,IF(AND(J100&gt;119.99,J100&lt;139.99),($L100/$L$139)*J100,IF(J100&gt;139.99,($L100/$L$140)*J100))))))</f>
        <v>17.611013588193224</v>
      </c>
    </row>
    <row r="101" spans="1:33" x14ac:dyDescent="0.25">
      <c r="A101" s="50" t="s">
        <v>3314</v>
      </c>
      <c r="B101" s="4">
        <v>2000</v>
      </c>
      <c r="C101" s="53" t="s">
        <v>3315</v>
      </c>
      <c r="D101" s="4">
        <v>8.375</v>
      </c>
      <c r="E101" s="49">
        <v>43042</v>
      </c>
      <c r="F101" s="4">
        <v>6.01</v>
      </c>
      <c r="G101" s="4">
        <v>6.01</v>
      </c>
      <c r="H101" s="10" t="s">
        <v>3120</v>
      </c>
      <c r="I101" s="10" t="s">
        <v>3311</v>
      </c>
      <c r="J101" s="10">
        <f t="shared" ref="J101:J105" si="19">IF(Z101="US",K101,VLOOKUP(Z101,$AL$5:$AM$20,2,FALSE)*K101)</f>
        <v>92</v>
      </c>
      <c r="K101" s="4">
        <v>92</v>
      </c>
      <c r="L101" s="4">
        <v>1922819</v>
      </c>
      <c r="M101" s="4">
        <v>0.41</v>
      </c>
      <c r="N101" s="4">
        <v>0.62673000000000001</v>
      </c>
      <c r="O101" s="4">
        <v>10.19</v>
      </c>
      <c r="P101" s="4">
        <v>10.19</v>
      </c>
      <c r="Q101" s="4">
        <v>0</v>
      </c>
      <c r="R101" s="4">
        <f>VLOOKUP(A101,[1]oas!$A$4:$D$88,4,FALSE)</f>
        <v>901</v>
      </c>
      <c r="S101" s="4">
        <v>4.3600000000000003</v>
      </c>
      <c r="T101" s="4">
        <v>0.25</v>
      </c>
      <c r="U101" s="4"/>
      <c r="V101" s="4" t="s">
        <v>3279</v>
      </c>
      <c r="W101" s="4" t="s">
        <v>3280</v>
      </c>
      <c r="X101" s="4" t="s">
        <v>3316</v>
      </c>
      <c r="Y101" s="4" t="s">
        <v>3313</v>
      </c>
      <c r="Z101" s="4" t="s">
        <v>2962</v>
      </c>
      <c r="AA101" s="4" t="s">
        <v>3041</v>
      </c>
      <c r="AB101" s="4" t="s">
        <v>3033</v>
      </c>
      <c r="AD101" s="10">
        <f t="shared" si="15"/>
        <v>9.1468166544756258E-2</v>
      </c>
      <c r="AE101" s="10">
        <f t="shared" si="16"/>
        <v>0.81351634074363599</v>
      </c>
      <c r="AF101" s="10">
        <f t="shared" si="17"/>
        <v>263.5660018006576</v>
      </c>
      <c r="AG101" s="10">
        <f t="shared" ca="1" si="18"/>
        <v>10.389485449586525</v>
      </c>
    </row>
    <row r="102" spans="1:33" x14ac:dyDescent="0.25">
      <c r="A102" s="50" t="s">
        <v>3317</v>
      </c>
      <c r="B102" s="4">
        <v>3000</v>
      </c>
      <c r="C102" s="53" t="s">
        <v>3318</v>
      </c>
      <c r="D102" s="4">
        <v>7.75</v>
      </c>
      <c r="E102" s="49">
        <v>44097</v>
      </c>
      <c r="F102" s="4">
        <v>8.9</v>
      </c>
      <c r="G102" s="4">
        <v>8.9</v>
      </c>
      <c r="H102" s="10" t="s">
        <v>3120</v>
      </c>
      <c r="I102" s="10" t="s">
        <v>3311</v>
      </c>
      <c r="J102" s="10">
        <f t="shared" si="19"/>
        <v>95.75</v>
      </c>
      <c r="K102" s="4">
        <v>95.75</v>
      </c>
      <c r="L102" s="4">
        <v>2897042</v>
      </c>
      <c r="M102" s="4">
        <v>0.62</v>
      </c>
      <c r="N102" s="4">
        <v>0.94427099999999997</v>
      </c>
      <c r="O102" s="4">
        <v>8.44</v>
      </c>
      <c r="P102" s="4">
        <v>8.44</v>
      </c>
      <c r="Q102" s="4">
        <v>0</v>
      </c>
      <c r="R102" s="4">
        <f>VLOOKUP(A102,[1]oas!$A$4:$D$88,4,FALSE)</f>
        <v>668</v>
      </c>
      <c r="S102" s="4">
        <v>6.22</v>
      </c>
      <c r="T102" s="4">
        <v>0.5</v>
      </c>
      <c r="U102" s="4"/>
      <c r="V102" s="4" t="s">
        <v>3045</v>
      </c>
      <c r="W102" s="4" t="s">
        <v>3046</v>
      </c>
      <c r="X102" s="4" t="s">
        <v>3319</v>
      </c>
      <c r="Y102" s="4" t="s">
        <v>3313</v>
      </c>
      <c r="Z102" s="4" t="s">
        <v>2962</v>
      </c>
      <c r="AA102" s="4" t="s">
        <v>3041</v>
      </c>
      <c r="AB102" s="4" t="s">
        <v>3033</v>
      </c>
      <c r="AD102" s="10">
        <f t="shared" si="15"/>
        <v>0.1591144461719016</v>
      </c>
      <c r="AE102" s="10">
        <f t="shared" si="16"/>
        <v>1.5109560678293552</v>
      </c>
      <c r="AF102" s="10">
        <f t="shared" si="17"/>
        <v>111.79484214633953</v>
      </c>
      <c r="AG102" s="10">
        <f t="shared" ca="1" si="18"/>
        <v>16.291511565290111</v>
      </c>
    </row>
    <row r="103" spans="1:33" x14ac:dyDescent="0.25">
      <c r="A103" s="50" t="s">
        <v>3320</v>
      </c>
      <c r="B103" s="4">
        <v>4000</v>
      </c>
      <c r="C103" s="53" t="s">
        <v>3321</v>
      </c>
      <c r="D103" s="4">
        <v>8</v>
      </c>
      <c r="E103" s="49">
        <v>44883</v>
      </c>
      <c r="F103" s="4">
        <v>11.05</v>
      </c>
      <c r="G103" s="4">
        <v>11.05</v>
      </c>
      <c r="H103" s="10" t="s">
        <v>3028</v>
      </c>
      <c r="I103" s="10" t="s">
        <v>3028</v>
      </c>
      <c r="J103" s="10">
        <f t="shared" si="19"/>
        <v>132.5</v>
      </c>
      <c r="K103" s="4">
        <v>132.5</v>
      </c>
      <c r="L103" s="4">
        <v>5444889</v>
      </c>
      <c r="M103" s="4">
        <v>0.83</v>
      </c>
      <c r="N103" s="4">
        <v>1.774724</v>
      </c>
      <c r="O103" s="4">
        <v>4.28</v>
      </c>
      <c r="P103" s="4">
        <v>4.28</v>
      </c>
      <c r="Q103" s="4">
        <v>0</v>
      </c>
      <c r="R103" s="4">
        <f>VLOOKUP(A103,[1]oas!$A$4:$D$88,4,FALSE)</f>
        <v>207</v>
      </c>
      <c r="S103" s="4">
        <v>7.67</v>
      </c>
      <c r="T103" s="4">
        <v>0.77</v>
      </c>
      <c r="U103" s="4"/>
      <c r="V103" s="4" t="s">
        <v>3045</v>
      </c>
      <c r="W103" s="4" t="s">
        <v>3046</v>
      </c>
      <c r="X103" s="4" t="s">
        <v>891</v>
      </c>
      <c r="Y103" s="4" t="s">
        <v>3322</v>
      </c>
      <c r="Z103" s="4" t="s">
        <v>2962</v>
      </c>
      <c r="AA103" s="4" t="s">
        <v>2945</v>
      </c>
      <c r="AB103" s="4" t="s">
        <v>2945</v>
      </c>
      <c r="AD103" s="10">
        <f t="shared" si="15"/>
        <v>0.36876426558360487</v>
      </c>
      <c r="AE103" s="10">
        <f t="shared" si="16"/>
        <v>0.14947770330459026</v>
      </c>
      <c r="AF103" s="10">
        <f t="shared" si="17"/>
        <v>8.2405330202527658</v>
      </c>
      <c r="AG103" s="10">
        <f t="shared" ca="1" si="18"/>
        <v>16.281736365327127</v>
      </c>
    </row>
    <row r="104" spans="1:33" x14ac:dyDescent="0.25">
      <c r="A104" s="50" t="s">
        <v>927</v>
      </c>
      <c r="B104" s="4">
        <v>7800</v>
      </c>
      <c r="C104" s="53" t="s">
        <v>3323</v>
      </c>
      <c r="D104" s="4">
        <v>6</v>
      </c>
      <c r="E104" s="49">
        <v>44174</v>
      </c>
      <c r="F104" s="4">
        <v>9.11</v>
      </c>
      <c r="G104" s="4">
        <v>9.11</v>
      </c>
      <c r="H104" s="10" t="s">
        <v>3028</v>
      </c>
      <c r="I104" s="10" t="s">
        <v>3028</v>
      </c>
      <c r="J104" s="10">
        <f t="shared" si="19"/>
        <v>59.75</v>
      </c>
      <c r="K104" s="4">
        <v>59.75</v>
      </c>
      <c r="L104" s="4">
        <v>4845100</v>
      </c>
      <c r="M104" s="4">
        <v>1.61</v>
      </c>
      <c r="N104" s="4">
        <v>1.5792269999999999</v>
      </c>
      <c r="O104" s="4">
        <v>13.93</v>
      </c>
      <c r="P104" s="4">
        <v>13.93</v>
      </c>
      <c r="Q104" s="4">
        <v>1126</v>
      </c>
      <c r="R104" s="4">
        <v>0</v>
      </c>
      <c r="S104" s="4">
        <v>5.81</v>
      </c>
      <c r="T104" s="4">
        <v>0.49</v>
      </c>
      <c r="U104" s="4"/>
      <c r="V104" s="4" t="s">
        <v>3045</v>
      </c>
      <c r="W104" s="4" t="s">
        <v>3046</v>
      </c>
      <c r="X104" s="4" t="s">
        <v>927</v>
      </c>
      <c r="Y104" s="4" t="s">
        <v>3324</v>
      </c>
      <c r="Z104" s="4" t="s">
        <v>2962</v>
      </c>
      <c r="AA104" s="4" t="s">
        <v>3067</v>
      </c>
      <c r="AB104" s="4" t="s">
        <v>3033</v>
      </c>
      <c r="AD104" s="10">
        <f t="shared" si="15"/>
        <v>0.30713121453688513</v>
      </c>
      <c r="AE104" s="10">
        <f t="shared" si="16"/>
        <v>2.8022543592623137</v>
      </c>
      <c r="AF104" s="10">
        <f t="shared" si="17"/>
        <v>0</v>
      </c>
      <c r="AG104" s="10">
        <f t="shared" ca="1" si="18"/>
        <v>15.59149081173204</v>
      </c>
    </row>
    <row r="105" spans="1:33" x14ac:dyDescent="0.25">
      <c r="A105" s="50" t="s">
        <v>951</v>
      </c>
      <c r="B105" s="4">
        <v>11095</v>
      </c>
      <c r="C105" s="53" t="s">
        <v>3325</v>
      </c>
      <c r="D105" s="4">
        <v>9.25</v>
      </c>
      <c r="E105" s="49">
        <v>46880</v>
      </c>
      <c r="F105" s="4">
        <v>16.52</v>
      </c>
      <c r="G105" s="4">
        <v>16.52</v>
      </c>
      <c r="H105" s="10" t="s">
        <v>3028</v>
      </c>
      <c r="I105" s="10" t="s">
        <v>3311</v>
      </c>
      <c r="J105" s="10">
        <f t="shared" si="19"/>
        <v>66.5</v>
      </c>
      <c r="K105" s="4">
        <v>66.5</v>
      </c>
      <c r="L105" s="4">
        <v>7874214</v>
      </c>
      <c r="M105" s="4">
        <v>2.29</v>
      </c>
      <c r="N105" s="4">
        <v>2.5665460000000002</v>
      </c>
      <c r="O105" s="4">
        <v>14.7</v>
      </c>
      <c r="P105" s="4">
        <v>14.7</v>
      </c>
      <c r="Q105" s="4">
        <v>0</v>
      </c>
      <c r="R105" s="4">
        <f>VLOOKUP(A105,[1]oas!$A$4:$D$88,4,FALSE)</f>
        <v>1270</v>
      </c>
      <c r="S105" s="4">
        <v>6.23</v>
      </c>
      <c r="T105" s="4">
        <v>0.69</v>
      </c>
      <c r="U105" s="4"/>
      <c r="V105" s="4" t="s">
        <v>3045</v>
      </c>
      <c r="W105" s="4" t="s">
        <v>3046</v>
      </c>
      <c r="X105" s="4" t="s">
        <v>951</v>
      </c>
      <c r="Y105" s="4" t="s">
        <v>3324</v>
      </c>
      <c r="Z105" s="4" t="s">
        <v>2962</v>
      </c>
      <c r="AA105" s="4" t="s">
        <v>3067</v>
      </c>
      <c r="AB105" s="4" t="s">
        <v>3033</v>
      </c>
      <c r="AD105" s="10">
        <f t="shared" si="15"/>
        <v>0.4331713210438104</v>
      </c>
      <c r="AE105" s="10">
        <f t="shared" si="16"/>
        <v>4.8059388462876509</v>
      </c>
      <c r="AF105" s="10">
        <f t="shared" si="17"/>
        <v>636.51367957575144</v>
      </c>
      <c r="AG105" s="10">
        <f t="shared" ca="1" si="18"/>
        <v>28.201736293591132</v>
      </c>
    </row>
    <row r="106" spans="1:33" s="53" customFormat="1" x14ac:dyDescent="0.25">
      <c r="B106" s="4"/>
      <c r="D106" s="4"/>
      <c r="E106" s="49"/>
      <c r="F106" s="4"/>
      <c r="G106" s="4"/>
      <c r="H106" s="4"/>
      <c r="I106" s="4"/>
      <c r="J106" s="4"/>
      <c r="K106" s="4"/>
      <c r="L106" s="4"/>
      <c r="M106" s="4"/>
      <c r="N106" s="10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33" x14ac:dyDescent="0.25">
      <c r="A107" s="37" t="s">
        <v>4544</v>
      </c>
      <c r="B107" s="4"/>
      <c r="C107" s="51"/>
      <c r="D107" s="10">
        <f>SUMPRODUCT(D4:D105,$N$4:$N$105)/100</f>
        <v>6.5116243912700007</v>
      </c>
      <c r="E107" s="49">
        <v>42604</v>
      </c>
      <c r="F107" s="10">
        <f>SUMPRODUCT(F4:F105,$N$4:$N$105)/100</f>
        <v>10.000461051899999</v>
      </c>
      <c r="G107" s="10">
        <f>SUMPRODUCT(G4:G105,$N$4:$N$105)/100</f>
        <v>9.4896318884999999</v>
      </c>
      <c r="H107" s="4" t="s">
        <v>3019</v>
      </c>
      <c r="I107" s="4" t="s">
        <v>3134</v>
      </c>
      <c r="J107" s="10" t="e">
        <f ca="1">SUMPRODUCT(J4:J105,$N$4:$N$105)</f>
        <v>#NAME?</v>
      </c>
      <c r="K107" s="10">
        <f>SUMPRODUCT(K4:K105,$N$4:$N$105)/100</f>
        <v>100.28703126310002</v>
      </c>
      <c r="L107" s="4">
        <f>SUM(L4:L105)</f>
        <v>306802016</v>
      </c>
      <c r="M107" s="57">
        <f>SUM(M4:M105)</f>
        <v>99.990000000000023</v>
      </c>
      <c r="N107" s="57">
        <f>SUM(N4:N105)</f>
        <v>99.999994000000015</v>
      </c>
      <c r="O107" s="10">
        <f>SUMPRODUCT(O4:O105,$N$4:$N$105)/100</f>
        <v>5.5026671105000027</v>
      </c>
      <c r="P107" s="10">
        <f>SUMPRODUCT(P4:P105,$N$4:$N$105)/100</f>
        <v>5.8582488670000021</v>
      </c>
      <c r="Q107" s="10"/>
      <c r="R107" s="10">
        <f>SUMPRODUCT(R4:R105,$N$4:$N$105)/100</f>
        <v>385.73306609000008</v>
      </c>
      <c r="S107" s="10">
        <f>SUMPRODUCT(S4:S105,$N$4:$N$105)/100</f>
        <v>6.2905270065000023</v>
      </c>
      <c r="T107" s="10">
        <f>SUMPRODUCT(T4:T105,$N$4:$N$105)</f>
        <v>63.637875789999974</v>
      </c>
      <c r="U107" s="4"/>
      <c r="V107" s="4"/>
      <c r="W107" s="4"/>
      <c r="X107" s="4"/>
      <c r="Y107" s="4"/>
      <c r="Z107" s="4"/>
      <c r="AA107" s="4"/>
      <c r="AB107" s="4"/>
    </row>
    <row r="108" spans="1:33" x14ac:dyDescent="0.25"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10" spans="1:33" x14ac:dyDescent="0.25">
      <c r="A110" s="19"/>
      <c r="B110" s="40" t="s">
        <v>4563</v>
      </c>
      <c r="L110" s="12" t="s">
        <v>4565</v>
      </c>
      <c r="N110" s="12" t="s">
        <v>4571</v>
      </c>
      <c r="P110" s="12" t="s">
        <v>4573</v>
      </c>
    </row>
    <row r="111" spans="1:33" x14ac:dyDescent="0.25">
      <c r="A111" s="44">
        <v>40837</v>
      </c>
      <c r="B111" s="19" t="s">
        <v>4591</v>
      </c>
      <c r="L111" s="32">
        <f>SUMIFS($L$4:$L$105,$P$4:$P$105,"&lt;1.99")</f>
        <v>19574228</v>
      </c>
      <c r="N111" s="10">
        <f>SUMIFS($N$4:$N$105,$P$4:$P$105,"&lt;1.99")</f>
        <v>6.3800839999999992</v>
      </c>
      <c r="P111" s="10">
        <f>SUMIFS($AE$4:$AE$105,$P$4:$P$105,"&lt;1.99")</f>
        <v>-0.55931501053323784</v>
      </c>
    </row>
    <row r="112" spans="1:33" x14ac:dyDescent="0.25">
      <c r="A112" s="44">
        <v>40837</v>
      </c>
      <c r="B112" s="55" t="s">
        <v>4546</v>
      </c>
      <c r="L112" s="32">
        <f>SUMIFS($L$4:$L$105,$P$4:$P$105,"&gt;1.99",$P$4:$P$105,"&lt;3.99")</f>
        <v>46978949</v>
      </c>
      <c r="N112" s="10">
        <f>SUMIFS($N$4:$N$105,$P$4:$P$105,"&gt;1.99",$P$4:$P$105,"&lt;3.99")</f>
        <v>15.312462999999997</v>
      </c>
      <c r="P112" s="10">
        <f>SUMIFS($AE$4:$AE$105,$P$4:$P$105,"&gt;1.99",$P$4:$P$105,"&lt;3.99")</f>
        <v>3.7711348014618209</v>
      </c>
    </row>
    <row r="113" spans="1:16" x14ac:dyDescent="0.25">
      <c r="A113" s="44">
        <v>40837</v>
      </c>
      <c r="B113" s="55" t="s">
        <v>4547</v>
      </c>
      <c r="L113" s="32">
        <f>SUMIFS($L$4:$L$105,$P$4:$P$105,"&gt;3.99",$P$4:$P$105,"&lt;5.99")</f>
        <v>155903686</v>
      </c>
      <c r="N113" s="10">
        <f>SUMIFS($N$4:$N$105,$P$4:$P$105,"&gt;3.99",$P$4:$P$105,"&lt;5.99")</f>
        <v>50.815728</v>
      </c>
      <c r="P113" s="10">
        <f>SUMIFS($AE$4:$AE$105,$P$4:$P$105,"&gt;3.99",$P$4:$P$105,"&lt;5.99")</f>
        <v>5.0173529424442211</v>
      </c>
    </row>
    <row r="114" spans="1:16" x14ac:dyDescent="0.25">
      <c r="A114" s="44">
        <v>40837</v>
      </c>
      <c r="B114" s="55" t="s">
        <v>4548</v>
      </c>
      <c r="L114" s="32">
        <f>SUMIFS($L$4:$L$105,$P$4:$P$105,"&gt;5.99",$P$4:$P$105,"&lt;7.99")</f>
        <v>44077680</v>
      </c>
      <c r="N114" s="10">
        <f>SUMIFS($N$4:$N$105,$P$4:$P$105,"&gt;5.99",$P$4:$P$105,"&lt;7.99")</f>
        <v>14.366814</v>
      </c>
      <c r="P114" s="10">
        <f>SUMIFS($AE$4:$AE$105,$P$4:$P$105,"&gt;5.99",$P$4:$P$105,"&lt;7.99")</f>
        <v>6.7382181385227176</v>
      </c>
    </row>
    <row r="115" spans="1:16" x14ac:dyDescent="0.25">
      <c r="A115" s="39">
        <v>40837</v>
      </c>
      <c r="B115" s="55" t="s">
        <v>4549</v>
      </c>
      <c r="L115" s="32">
        <f>SUMIFS($L$4:$L$105,$P$4:$P$105,"&gt;7.99",$P$4:$P$105,"&lt;9.99")</f>
        <v>16182492</v>
      </c>
      <c r="N115" s="10">
        <f>SUMIFS($N$4:$N$105,$P$4:$P$105,"&gt;7.99",$P$4:$P$105,"&lt;9.99")</f>
        <v>5.274570999999999</v>
      </c>
      <c r="P115" s="10">
        <f>SUMIFS($AE$4:$AE$105,$P$4:$P$105,"&gt;7.99",$P$4:$P$105,"&lt;9.99")</f>
        <v>8.944297390043511</v>
      </c>
    </row>
    <row r="116" spans="1:16" x14ac:dyDescent="0.25">
      <c r="A116" s="39">
        <v>40837</v>
      </c>
      <c r="B116" s="54" t="s">
        <v>992</v>
      </c>
      <c r="L116" s="32">
        <f>SUMIFS($L$4:$L$105,$P$4:$P$105,"&gt;9.99")</f>
        <v>24084981</v>
      </c>
      <c r="N116" s="10">
        <f>SUMIFS($N$4:$N$105,$P$4:$P$105,"&gt;9.99")</f>
        <v>7.8503340000000001</v>
      </c>
      <c r="P116" s="10">
        <f>SUMIFS($AE$4:$AE$105,$P$4:$P$105,"&gt;9.99")</f>
        <v>16.904186404797244</v>
      </c>
    </row>
    <row r="117" spans="1:16" x14ac:dyDescent="0.25">
      <c r="A117" s="39"/>
      <c r="B117" s="53"/>
      <c r="L117" t="str">
        <f>IF(SUM(L111:L116)&lt;&gt;L107,"check formula","")</f>
        <v/>
      </c>
      <c r="N117" s="53" t="str">
        <f>IF(SUM(N111:N116)&lt;&gt;N107,"check formula","")</f>
        <v/>
      </c>
    </row>
    <row r="118" spans="1:16" x14ac:dyDescent="0.25">
      <c r="A118" s="19"/>
      <c r="B118" s="40" t="s">
        <v>4564</v>
      </c>
      <c r="L118" s="12" t="s">
        <v>4565</v>
      </c>
      <c r="M118" s="53"/>
      <c r="N118" s="12" t="s">
        <v>4571</v>
      </c>
      <c r="O118" s="53"/>
      <c r="P118" s="12" t="s">
        <v>4574</v>
      </c>
    </row>
    <row r="119" spans="1:16" x14ac:dyDescent="0.25">
      <c r="A119" s="44">
        <v>40837</v>
      </c>
      <c r="B119" s="19" t="s">
        <v>4550</v>
      </c>
      <c r="L119" s="32">
        <f>SUMIFS($L$4:$L$105,$R$4:$R$105,"&lt;199.99")</f>
        <v>71245534</v>
      </c>
      <c r="N119" s="10">
        <f>SUMIFS($N$4:$N$105,$R$4:$R$105,"&lt;199.99")</f>
        <v>23.221988</v>
      </c>
      <c r="P119" s="59">
        <f>SUMIFS($AF$4:$AF$105,$R$4:$R$105,"&gt;0",$R$4:$R$105,"&lt;199.99")</f>
        <v>66.414534095568712</v>
      </c>
    </row>
    <row r="120" spans="1:16" x14ac:dyDescent="0.25">
      <c r="A120" s="44">
        <v>40837</v>
      </c>
      <c r="B120" s="55" t="s">
        <v>4551</v>
      </c>
      <c r="L120" s="32">
        <f>SUMIFS($L$4:$L$105,$R$4:$R$105,"&gt;199.99",$R$4:$R$105,"&lt;399.99")</f>
        <v>136774165</v>
      </c>
      <c r="N120" s="10">
        <f>SUMIFS($N$4:$N$105,$R$4:$R$105,"&gt;199.99",$R$4:$R$105,"&lt;399.99")</f>
        <v>44.580593</v>
      </c>
      <c r="P120" s="59">
        <f>SUMIFS($AF$4:$AF$105,$R$4:$R$105,"&gt;199.99",$R$4:$R$105,"&lt;399.99")</f>
        <v>290.64661939628735</v>
      </c>
    </row>
    <row r="121" spans="1:16" x14ac:dyDescent="0.25">
      <c r="A121" s="44">
        <v>40837</v>
      </c>
      <c r="B121" s="55" t="s">
        <v>4552</v>
      </c>
      <c r="L121" s="32">
        <f>SUMIFS($L$4:$L$105,$R$4:$R$105,"&gt;399.99",$R$4:$R$105,"&lt;599.99")</f>
        <v>59187691</v>
      </c>
      <c r="N121" s="10">
        <f>SUMIFS($N$4:$N$105,$R$4:$R$105,"&gt;399.99",$R$4:$R$105,"&lt;599.99")</f>
        <v>19.291818000000003</v>
      </c>
      <c r="P121" s="59">
        <f>SUMIFS($AF$4:$AF$105,$R$4:$R$105,"&gt;399.99",$R$4:$R$105,"&lt;599.99")</f>
        <v>459.32668312740901</v>
      </c>
    </row>
    <row r="122" spans="1:16" x14ac:dyDescent="0.25">
      <c r="A122" s="44">
        <v>40837</v>
      </c>
      <c r="B122" s="55" t="s">
        <v>4553</v>
      </c>
      <c r="L122" s="32">
        <f>SUMIFS($L$4:$L$105,$R$4:$R$105,"&gt;599.99",$R$4:$R$105,"&lt;799.99")</f>
        <v>17310495</v>
      </c>
      <c r="N122" s="10">
        <f>SUMIFS($N$4:$N$105,$R$4:$R$105,"&gt;599.99",$R$4:$R$105,"&lt;799.99")</f>
        <v>5.6422360000000005</v>
      </c>
      <c r="P122" s="59">
        <f>SUMIFS($AF$4:$AF$105,$R$4:$R$105,"&gt;599.99",$R$4:$R$105,"&lt;799.99")</f>
        <v>691.6800083417603</v>
      </c>
    </row>
    <row r="123" spans="1:16" x14ac:dyDescent="0.25">
      <c r="A123" s="39">
        <v>40837</v>
      </c>
      <c r="B123" s="55" t="s">
        <v>4554</v>
      </c>
      <c r="L123" s="32">
        <f>SUMIFS($L$4:$L$105,$R$4:$R$105,"&gt;799.99",$R$4:$R$105,"&lt;999.99")</f>
        <v>6573154</v>
      </c>
      <c r="N123" s="10">
        <f>SUMIFS($N$4:$N$105,$R$4:$R$105,"&gt;799.99",$R$4:$R$105,"&lt;999.99")</f>
        <v>2.142474</v>
      </c>
      <c r="P123" s="59">
        <f>SUMIFS($AF$4:$AF$105,$R$4:$R$105,"&gt;799.99",$R$4:$R$105,"&lt;999.99")</f>
        <v>863.28508871083795</v>
      </c>
    </row>
    <row r="124" spans="1:16" x14ac:dyDescent="0.25">
      <c r="A124" s="39">
        <v>40837</v>
      </c>
      <c r="B124" s="56" t="s">
        <v>4555</v>
      </c>
      <c r="L124" s="32">
        <f>SUMIFS($L$4:$L$105,$R$4:$R$105,"&gt;999.99")</f>
        <v>15710977</v>
      </c>
      <c r="N124" s="10">
        <f>SUMIFS($N$4:$N$105,$R$4:$R$105,"&gt;999.99")</f>
        <v>5.1208849999999995</v>
      </c>
      <c r="P124" s="59">
        <f>SUMIFS($AF$4:$AF$105,$R$4:$R$105,"&gt;999.99")</f>
        <v>1926.3269547781783</v>
      </c>
    </row>
    <row r="125" spans="1:16" x14ac:dyDescent="0.25">
      <c r="A125" s="53"/>
      <c r="B125" s="53"/>
      <c r="J125" s="32"/>
      <c r="L125" t="str">
        <f>IF(SUM(L119:L124)&lt;&gt;L107,"check formula","")</f>
        <v/>
      </c>
      <c r="N125" t="str">
        <f>IF(SUM(N119:N124)&lt;&gt;N107,"check formula","")</f>
        <v/>
      </c>
    </row>
    <row r="126" spans="1:16" x14ac:dyDescent="0.25">
      <c r="A126" s="53"/>
      <c r="B126" s="37" t="s">
        <v>4570</v>
      </c>
      <c r="L126" s="12" t="s">
        <v>4565</v>
      </c>
      <c r="M126" s="53"/>
      <c r="N126" s="12" t="s">
        <v>4571</v>
      </c>
      <c r="O126" s="53"/>
      <c r="P126" s="12" t="s">
        <v>4575</v>
      </c>
    </row>
    <row r="127" spans="1:16" x14ac:dyDescent="0.25">
      <c r="A127" s="39">
        <v>40837</v>
      </c>
      <c r="B127" s="19" t="s">
        <v>4545</v>
      </c>
      <c r="L127" s="32">
        <f>SUMIFS($L$4:$L$105,$S$4:$S$105,"&lt;1.999")</f>
        <v>22027478</v>
      </c>
      <c r="N127" s="58">
        <f>SUMIFS($N$4:$N$105,$S$4:$S$105,"&lt;1.999")</f>
        <v>7.1797030000000008</v>
      </c>
      <c r="P127" s="58">
        <f>SUMIFS($AD$4:$AD$105,$S$4:$S$105,"&lt;1.999")</f>
        <v>0.27498770671794565</v>
      </c>
    </row>
    <row r="128" spans="1:16" x14ac:dyDescent="0.25">
      <c r="A128" s="39">
        <v>40837</v>
      </c>
      <c r="B128" s="55" t="s">
        <v>4546</v>
      </c>
      <c r="L128" s="32">
        <f>SUMIFS($L$4:$L$105,$S$4:$S$105,"&gt;1.999",$S$4:$S$105,"&lt;3.999")</f>
        <v>24061278</v>
      </c>
      <c r="N128" s="58">
        <f>SUMIFS($N$4:$N$105,$S$4:$S$105,"&gt;1.999",$S$4:$S$105,"&lt;3.999")</f>
        <v>7.8426080000000011</v>
      </c>
      <c r="P128" s="58">
        <f>SUMIFS($AD$4:$AD$105,$S$4:$S$105,"&gt;1.999",$S$4:$S$105,"&lt;3.999")</f>
        <v>2.6343502560420937</v>
      </c>
    </row>
    <row r="129" spans="1:16" x14ac:dyDescent="0.25">
      <c r="A129" s="39">
        <v>40837</v>
      </c>
      <c r="B129" s="55" t="s">
        <v>4547</v>
      </c>
      <c r="L129" s="32">
        <f>SUMIFS($L$4:$L$105,$S$4:$S$105,"&gt;3.999",$S$4:$S$105,"&lt;5.999")</f>
        <v>91654738</v>
      </c>
      <c r="N129" s="58">
        <f>SUMIFS($N$4:$N$105,$S$4:$S$105,"&gt;3.999",$S$4:$S$105,"&lt;5.999")</f>
        <v>29.874229000000003</v>
      </c>
      <c r="P129" s="58">
        <f>SUMIFS($AD$4:$AD$105,$S$4:$S$105,"&gt;3.999",$S$4:$S$105,"&lt;5.999")</f>
        <v>5.2972345257263189</v>
      </c>
    </row>
    <row r="130" spans="1:16" x14ac:dyDescent="0.25">
      <c r="A130" s="39">
        <v>40837</v>
      </c>
      <c r="B130" s="55" t="s">
        <v>4548</v>
      </c>
      <c r="L130" s="32">
        <f>SUMIFS($L$4:$L$105,$S$4:$S$105,"&gt;5.999",$S$4:$S$105,"&lt;7.999")</f>
        <v>113249310</v>
      </c>
      <c r="N130" s="58">
        <f>SUMIFS($N$4:$N$105,$S$4:$S$105,"&gt;5.999",$S$4:$S$105,"&lt;7.999")</f>
        <v>36.912827</v>
      </c>
      <c r="P130" s="58">
        <f>SUMIFS($AD$4:$AD$105,$S$4:$S$105,"&gt;5.999",$S$4:$S$105,"&lt;7.999")</f>
        <v>6.9552803319508083</v>
      </c>
    </row>
    <row r="131" spans="1:16" x14ac:dyDescent="0.25">
      <c r="A131" s="39">
        <v>40837</v>
      </c>
      <c r="B131" s="55" t="s">
        <v>4549</v>
      </c>
      <c r="L131" s="32">
        <f>SUMIFS($L$4:$L$105,$S$4:$S$105,"&gt;7.999",$S$4:$S$105,"&lt;9.999")</f>
        <v>27983376</v>
      </c>
      <c r="N131" s="58">
        <f>SUMIFS($N$4:$N$105,$S$4:$S$105,"&gt;7.999",$S$4:$S$105,"&lt;9.999")</f>
        <v>9.1209869999999995</v>
      </c>
      <c r="P131" s="58">
        <f>SUMIFS($AD$4:$AD$105,$S$4:$S$105,"&gt;7.999",$S$4:$S$105,"&lt;9.999")</f>
        <v>8.8927423274446937</v>
      </c>
    </row>
    <row r="132" spans="1:16" x14ac:dyDescent="0.25">
      <c r="A132" s="39">
        <v>40837</v>
      </c>
      <c r="B132" s="54" t="s">
        <v>992</v>
      </c>
      <c r="L132" s="32">
        <f>SUMIFS($L$4:$L$105,$S$4:$S$105,"&gt;9.999")</f>
        <v>27825836</v>
      </c>
      <c r="N132" s="58">
        <f>SUMIFS($N$4:$N$105,$S$4:$S$105,"&gt;9.999")</f>
        <v>9.0696399999999997</v>
      </c>
      <c r="P132" s="58">
        <f>SUMIFS($AD$4:$AD$105,$S$4:$S$105,"&gt;9.999")</f>
        <v>12.163409867721494</v>
      </c>
    </row>
    <row r="133" spans="1:16" x14ac:dyDescent="0.25">
      <c r="A133" s="53"/>
      <c r="B133" s="53"/>
      <c r="L133" t="str">
        <f>IF(SUM(L127:L132)&lt;&gt;L107,"check formula","")</f>
        <v/>
      </c>
      <c r="N133" s="53" t="str">
        <f>IF(SUM(N127:N132)&lt;&gt;N107,"check formula","")</f>
        <v/>
      </c>
    </row>
    <row r="134" spans="1:16" x14ac:dyDescent="0.25">
      <c r="A134" s="53"/>
      <c r="B134" s="37" t="s">
        <v>4562</v>
      </c>
      <c r="L134" s="12" t="s">
        <v>4565</v>
      </c>
      <c r="M134" s="53"/>
      <c r="N134" s="12" t="s">
        <v>4571</v>
      </c>
      <c r="O134" s="53"/>
      <c r="P134" s="12" t="s">
        <v>4576</v>
      </c>
    </row>
    <row r="135" spans="1:16" x14ac:dyDescent="0.25">
      <c r="A135" s="39">
        <v>40837</v>
      </c>
      <c r="B135" s="55" t="s">
        <v>4556</v>
      </c>
      <c r="L135" s="32">
        <f ca="1">SUMIFS($L$4:$L$105,$J$4:$J$105,"&lt;49.99")</f>
        <v>28353095</v>
      </c>
      <c r="N135" s="58">
        <f ca="1">SUMIFS($N$4:$N$105,$J$4:$J$105,"&lt;49.99")</f>
        <v>9.2414949999999987</v>
      </c>
      <c r="P135" s="58">
        <f ca="1">SUMIFS($AG$4:$AG$105,$J$4:$J$105,"&lt;49.99")</f>
        <v>8.7723401413496482</v>
      </c>
    </row>
    <row r="136" spans="1:16" x14ac:dyDescent="0.25">
      <c r="A136" s="39">
        <v>40837</v>
      </c>
      <c r="B136" s="55" t="s">
        <v>4557</v>
      </c>
      <c r="L136" s="32">
        <f ca="1">SUMIFS($L$4:$L$105,$J$4:$J$105,"&gt;49.999",$J$4:$J$105,"&lt;79.999")</f>
        <v>18567482</v>
      </c>
      <c r="N136" s="58">
        <f ca="1">SUMIFS($N$4:$N$105,$J$4:$J$105,"&gt;49.99",$J$4:$J$105,"&lt;79.99")</f>
        <v>6.0519429999999996</v>
      </c>
      <c r="P136" s="58">
        <f ca="1">SUMIFS($AG$4:$AG$105,$J$4:$J$105,"&gt;49.99",$J$4:$J$105,"&lt;79.99")</f>
        <v>63.451561902685569</v>
      </c>
    </row>
    <row r="137" spans="1:16" x14ac:dyDescent="0.25">
      <c r="A137" s="39">
        <v>40837</v>
      </c>
      <c r="B137" s="55" t="s">
        <v>4558</v>
      </c>
      <c r="L137" s="32">
        <f ca="1">SUMIFS($L$4:$L$105,$J$4:$J$105,"&gt;79.999",$J$4:$J$105,"&lt;99.999")</f>
        <v>17026767</v>
      </c>
      <c r="N137" s="58">
        <f ca="1">SUMIFS($N$4:$N$105,$J$4:$J$105,"&gt;79.99",$J$4:$J$105,"&lt;99.99")</f>
        <v>5.5497569999999996</v>
      </c>
      <c r="P137" s="58">
        <f ca="1">SUMIFS($AG$4:$AG$105,$J$4:$J$105,"&gt;79.99",$J$4:$J$105,"&lt;99.99")</f>
        <v>99.083499590380242</v>
      </c>
    </row>
    <row r="138" spans="1:16" x14ac:dyDescent="0.25">
      <c r="A138" s="39">
        <v>40837</v>
      </c>
      <c r="B138" s="55" t="s">
        <v>4559</v>
      </c>
      <c r="L138" s="32">
        <f ca="1">SUMIFS($L$4:$L$105,$J$4:$J$105,"&gt;99.999",$J$4:$J$105,"&lt;119.999")</f>
        <v>165232288</v>
      </c>
      <c r="N138" s="58">
        <f ca="1">SUMIFS($N$4:$N$105,$J$4:$J$105,"&gt;99.99",$J$4:$J$105,"&lt;119.99")</f>
        <v>53.856318999999999</v>
      </c>
      <c r="P138" s="58">
        <f ca="1">SUMIFS($AG$4:$AG$105,$J$4:$J$105,"&gt;99.99",$J$4:$J$105,"&lt;119.99")</f>
        <v>107.43367897756153</v>
      </c>
    </row>
    <row r="139" spans="1:16" x14ac:dyDescent="0.25">
      <c r="A139" s="39">
        <v>40837</v>
      </c>
      <c r="B139" s="55" t="s">
        <v>4560</v>
      </c>
      <c r="L139" s="32">
        <f ca="1">SUMIFS($L$4:$L$105,$J$4:$J$105,"&gt;119.999",$J$4:$J$105,"&lt;139.999")</f>
        <v>44310249</v>
      </c>
      <c r="N139" s="58">
        <f ca="1">SUMIFS($N$4:$N$105,$J$4:$J$105,"&gt;119.99",$J$4:$J$105,"&lt;139.99")</f>
        <v>14.442620000000002</v>
      </c>
      <c r="P139" s="58">
        <f ca="1">SUMIFS($AG$4:$AG$105,$J$4:$J$105,"&gt;119.99",$J$4:$J$105,"&lt;139.99")</f>
        <v>126.86999797541196</v>
      </c>
    </row>
    <row r="140" spans="1:16" x14ac:dyDescent="0.25">
      <c r="A140" s="39">
        <v>40837</v>
      </c>
      <c r="B140" s="55" t="s">
        <v>4561</v>
      </c>
      <c r="L140" s="32">
        <f ca="1">SUMIFS($L$4:$L$105,$J$4:$J$105,"&gt;139.999")</f>
        <v>12271516</v>
      </c>
      <c r="N140" s="58">
        <f ca="1">SUMIFS($N$4:$N$105,$J$4:$J$105,"&gt;139.99")</f>
        <v>3.999816</v>
      </c>
      <c r="P140" s="58">
        <f ca="1">SUMIFS($AG$4:$AG$105,$J$4:$J$105,"&gt;139.99")</f>
        <v>153.39950761584794</v>
      </c>
    </row>
    <row r="141" spans="1:16" x14ac:dyDescent="0.25">
      <c r="L141" s="53" t="str">
        <f ca="1">IF(SUM(L135:L140)&lt;&gt;L107,"check formula","")</f>
        <v>check formula</v>
      </c>
      <c r="N141" s="53" t="str">
        <f ca="1">IF(SUM(N135:N140)&lt;&gt;N107,"check formula","")</f>
        <v>check formula</v>
      </c>
    </row>
  </sheetData>
  <sortState ref="A4:AG110">
    <sortCondition ref="P4:P110"/>
  </sortState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A3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1" max="1" width="17.42578125" customWidth="1"/>
    <col min="2" max="2" width="10.7109375" bestFit="1" customWidth="1"/>
    <col min="3" max="3" width="32.42578125" bestFit="1" customWidth="1"/>
    <col min="4" max="4" width="6" bestFit="1" customWidth="1"/>
    <col min="5" max="5" width="10.7109375" bestFit="1" customWidth="1"/>
    <col min="6" max="6" width="10" bestFit="1" customWidth="1"/>
    <col min="7" max="7" width="8.140625" bestFit="1" customWidth="1"/>
    <col min="8" max="8" width="6.28515625" bestFit="1" customWidth="1"/>
    <col min="9" max="9" width="6.7109375" bestFit="1" customWidth="1"/>
    <col min="10" max="11" width="8.28515625" bestFit="1" customWidth="1"/>
    <col min="12" max="12" width="6" bestFit="1" customWidth="1"/>
    <col min="13" max="13" width="10" bestFit="1" customWidth="1"/>
    <col min="14" max="15" width="5" bestFit="1" customWidth="1"/>
    <col min="16" max="16" width="8" bestFit="1" customWidth="1"/>
    <col min="17" max="17" width="4.7109375" bestFit="1" customWidth="1"/>
    <col min="18" max="18" width="6" bestFit="1" customWidth="1"/>
    <col min="19" max="19" width="8" bestFit="1" customWidth="1"/>
    <col min="21" max="21" width="25" bestFit="1" customWidth="1"/>
    <col min="22" max="22" width="28.42578125" bestFit="1" customWidth="1"/>
    <col min="23" max="23" width="15.140625" bestFit="1" customWidth="1"/>
    <col min="24" max="24" width="17" bestFit="1" customWidth="1"/>
    <col min="25" max="25" width="10.28515625" bestFit="1" customWidth="1"/>
    <col min="26" max="26" width="11.42578125" bestFit="1" customWidth="1"/>
    <col min="27" max="27" width="11.140625" bestFit="1" customWidth="1"/>
  </cols>
  <sheetData>
    <row r="1" spans="1:27" x14ac:dyDescent="0.25">
      <c r="A1" s="53" t="s">
        <v>4543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</row>
    <row r="2" spans="1:27" x14ac:dyDescent="0.25">
      <c r="A2" s="53"/>
      <c r="B2" s="4" t="s">
        <v>2904</v>
      </c>
      <c r="C2" s="53" t="s">
        <v>2905</v>
      </c>
      <c r="D2" s="4" t="s">
        <v>2906</v>
      </c>
      <c r="E2" s="4" t="s">
        <v>2907</v>
      </c>
      <c r="F2" s="4" t="s">
        <v>2908</v>
      </c>
      <c r="G2" s="4" t="s">
        <v>2909</v>
      </c>
      <c r="H2" s="4" t="s">
        <v>2910</v>
      </c>
      <c r="I2" s="4" t="s">
        <v>2911</v>
      </c>
      <c r="J2" s="4" t="s">
        <v>2912</v>
      </c>
      <c r="K2" s="4" t="s">
        <v>2912</v>
      </c>
      <c r="L2" s="4" t="s">
        <v>2913</v>
      </c>
      <c r="M2" s="4" t="s">
        <v>2914</v>
      </c>
      <c r="N2" s="4" t="s">
        <v>2915</v>
      </c>
      <c r="O2" s="4" t="s">
        <v>2916</v>
      </c>
      <c r="P2" s="4" t="s">
        <v>2917</v>
      </c>
      <c r="Q2" s="4" t="s">
        <v>2918</v>
      </c>
      <c r="R2" s="4" t="s">
        <v>2919</v>
      </c>
      <c r="S2" s="4" t="s">
        <v>2920</v>
      </c>
      <c r="T2" s="4"/>
      <c r="U2" s="4" t="s">
        <v>2921</v>
      </c>
      <c r="V2" s="4" t="s">
        <v>2922</v>
      </c>
      <c r="W2" s="4" t="s">
        <v>2923</v>
      </c>
      <c r="X2" s="4" t="s">
        <v>2924</v>
      </c>
      <c r="Y2" s="4" t="s">
        <v>2925</v>
      </c>
      <c r="Z2" s="4" t="s">
        <v>2926</v>
      </c>
      <c r="AA2" s="4" t="s">
        <v>2927</v>
      </c>
    </row>
    <row r="3" spans="1:27" x14ac:dyDescent="0.25">
      <c r="A3" s="53" t="s">
        <v>2928</v>
      </c>
      <c r="B3" s="4" t="s">
        <v>2929</v>
      </c>
      <c r="C3" s="53" t="s">
        <v>2930</v>
      </c>
      <c r="D3" s="4"/>
      <c r="E3" s="4" t="s">
        <v>2931</v>
      </c>
      <c r="F3" s="4" t="s">
        <v>2907</v>
      </c>
      <c r="G3" s="4" t="s">
        <v>2932</v>
      </c>
      <c r="H3" s="4"/>
      <c r="I3" s="4"/>
      <c r="J3" s="4" t="s">
        <v>2933</v>
      </c>
      <c r="K3" s="4" t="s">
        <v>2934</v>
      </c>
      <c r="L3" s="4" t="s">
        <v>2935</v>
      </c>
      <c r="M3" s="4"/>
      <c r="N3" s="4"/>
      <c r="O3" s="4"/>
      <c r="P3" s="4" t="s">
        <v>2936</v>
      </c>
      <c r="Q3" s="4"/>
      <c r="R3" s="4" t="s">
        <v>2937</v>
      </c>
      <c r="S3" s="4"/>
      <c r="T3" s="4"/>
      <c r="U3" s="4"/>
      <c r="V3" s="4"/>
      <c r="W3" s="4"/>
      <c r="X3" s="4"/>
      <c r="Y3" s="4"/>
      <c r="Z3" s="4"/>
      <c r="AA3" s="4"/>
    </row>
    <row r="4" spans="1:27" x14ac:dyDescent="0.25">
      <c r="A4" s="53" t="s">
        <v>3057</v>
      </c>
      <c r="B4" s="4">
        <v>250</v>
      </c>
      <c r="C4" s="53" t="s">
        <v>3058</v>
      </c>
      <c r="D4" s="4">
        <v>4.8</v>
      </c>
      <c r="E4" s="49">
        <v>44122</v>
      </c>
      <c r="F4" s="4">
        <v>8.99</v>
      </c>
      <c r="G4" s="4">
        <v>8.99</v>
      </c>
      <c r="H4" s="4" t="s">
        <v>3059</v>
      </c>
      <c r="I4" s="4" t="s">
        <v>3060</v>
      </c>
      <c r="J4" s="4">
        <v>97.12</v>
      </c>
      <c r="K4" s="4">
        <v>242942</v>
      </c>
      <c r="L4" s="4">
        <v>5.4</v>
      </c>
      <c r="M4" s="4">
        <v>4.3012309999999996</v>
      </c>
      <c r="N4" s="4">
        <v>5.2</v>
      </c>
      <c r="O4" s="4">
        <v>5.2</v>
      </c>
      <c r="P4" s="4">
        <v>0</v>
      </c>
      <c r="Q4" s="4">
        <v>0</v>
      </c>
      <c r="R4" s="4">
        <v>7.19</v>
      </c>
      <c r="S4" s="4">
        <v>0.62</v>
      </c>
      <c r="T4" s="4"/>
      <c r="U4" s="4" t="s">
        <v>3029</v>
      </c>
      <c r="V4" s="4" t="s">
        <v>3030</v>
      </c>
      <c r="W4" s="4" t="s">
        <v>3061</v>
      </c>
      <c r="X4" s="4" t="s">
        <v>3062</v>
      </c>
      <c r="Y4" s="4" t="s">
        <v>2962</v>
      </c>
      <c r="Z4" s="4" t="s">
        <v>3041</v>
      </c>
      <c r="AA4" s="4" t="s">
        <v>3033</v>
      </c>
    </row>
    <row r="5" spans="1:27" x14ac:dyDescent="0.25">
      <c r="A5" s="53" t="s">
        <v>3095</v>
      </c>
      <c r="B5" s="4">
        <v>200</v>
      </c>
      <c r="C5" s="53" t="s">
        <v>3096</v>
      </c>
      <c r="D5" s="4">
        <v>6.75</v>
      </c>
      <c r="E5" s="49">
        <v>41774</v>
      </c>
      <c r="F5" s="4">
        <v>2.57</v>
      </c>
      <c r="G5" s="4">
        <v>2.57</v>
      </c>
      <c r="H5" s="4" t="s">
        <v>133</v>
      </c>
      <c r="I5" s="4" t="s">
        <v>3036</v>
      </c>
      <c r="J5" s="4">
        <v>99.5</v>
      </c>
      <c r="K5" s="4">
        <v>204888</v>
      </c>
      <c r="L5" s="4">
        <v>4.32</v>
      </c>
      <c r="M5" s="4">
        <v>3.627491</v>
      </c>
      <c r="N5" s="4">
        <v>6.96</v>
      </c>
      <c r="O5" s="4">
        <v>6.96</v>
      </c>
      <c r="P5" s="4">
        <v>0</v>
      </c>
      <c r="Q5" s="4">
        <v>0</v>
      </c>
      <c r="R5" s="4">
        <v>2.25</v>
      </c>
      <c r="S5" s="4">
        <v>7.0000000000000007E-2</v>
      </c>
      <c r="T5" s="4"/>
      <c r="U5" s="4" t="s">
        <v>3037</v>
      </c>
      <c r="V5" s="4" t="s">
        <v>3038</v>
      </c>
      <c r="W5" s="4" t="s">
        <v>3097</v>
      </c>
      <c r="X5" s="4" t="s">
        <v>3098</v>
      </c>
      <c r="Y5" s="4" t="s">
        <v>2962</v>
      </c>
      <c r="Z5" s="4" t="s">
        <v>3041</v>
      </c>
      <c r="AA5" s="4" t="s">
        <v>3033</v>
      </c>
    </row>
    <row r="6" spans="1:27" x14ac:dyDescent="0.25">
      <c r="A6" s="53" t="s">
        <v>3168</v>
      </c>
      <c r="B6" s="4">
        <v>400</v>
      </c>
      <c r="C6" s="53" t="s">
        <v>3169</v>
      </c>
      <c r="D6" s="4">
        <v>9.5</v>
      </c>
      <c r="E6" s="49">
        <v>41870</v>
      </c>
      <c r="F6" s="4">
        <v>2.83</v>
      </c>
      <c r="G6" s="4">
        <v>2.83</v>
      </c>
      <c r="H6" s="4" t="s">
        <v>133</v>
      </c>
      <c r="I6" s="4" t="s">
        <v>3028</v>
      </c>
      <c r="J6" s="4">
        <v>103.5</v>
      </c>
      <c r="K6" s="4">
        <v>420650</v>
      </c>
      <c r="L6" s="4">
        <v>8.64</v>
      </c>
      <c r="M6" s="4">
        <v>7.4475210000000001</v>
      </c>
      <c r="N6" s="4">
        <v>8.08</v>
      </c>
      <c r="O6" s="4">
        <v>8.08</v>
      </c>
      <c r="P6" s="4">
        <v>0</v>
      </c>
      <c r="Q6" s="4">
        <v>0</v>
      </c>
      <c r="R6" s="4">
        <v>2.42</v>
      </c>
      <c r="S6" s="4">
        <v>7.0000000000000007E-2</v>
      </c>
      <c r="T6" s="4"/>
      <c r="U6" s="4" t="s">
        <v>3037</v>
      </c>
      <c r="V6" s="4" t="s">
        <v>3084</v>
      </c>
      <c r="W6" s="4" t="s">
        <v>3170</v>
      </c>
      <c r="X6" s="4" t="s">
        <v>3004</v>
      </c>
      <c r="Y6" s="4" t="s">
        <v>2962</v>
      </c>
      <c r="Z6" s="4" t="s">
        <v>3041</v>
      </c>
      <c r="AA6" s="4" t="s">
        <v>3033</v>
      </c>
    </row>
    <row r="7" spans="1:27" x14ac:dyDescent="0.25">
      <c r="A7" s="53" t="s">
        <v>2938</v>
      </c>
      <c r="B7" s="4">
        <v>0</v>
      </c>
      <c r="C7" s="53" t="s">
        <v>2939</v>
      </c>
      <c r="D7" s="4">
        <v>0</v>
      </c>
      <c r="E7" s="4"/>
      <c r="F7" s="4">
        <v>0</v>
      </c>
      <c r="G7" s="4">
        <v>0</v>
      </c>
      <c r="H7" s="4" t="s">
        <v>2940</v>
      </c>
      <c r="I7" s="4" t="s">
        <v>2940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/>
      <c r="U7" s="4" t="s">
        <v>2941</v>
      </c>
      <c r="V7" s="4" t="s">
        <v>2942</v>
      </c>
      <c r="W7" s="4" t="s">
        <v>2943</v>
      </c>
      <c r="X7" s="4" t="s">
        <v>2944</v>
      </c>
      <c r="Y7" s="4" t="s">
        <v>2943</v>
      </c>
      <c r="Z7" s="4" t="s">
        <v>2945</v>
      </c>
      <c r="AA7" s="4" t="s">
        <v>2945</v>
      </c>
    </row>
    <row r="8" spans="1:27" x14ac:dyDescent="0.25">
      <c r="A8" s="53" t="s">
        <v>2946</v>
      </c>
      <c r="B8" s="4">
        <v>0</v>
      </c>
      <c r="C8" s="53" t="s">
        <v>2947</v>
      </c>
      <c r="D8" s="4">
        <v>0.25</v>
      </c>
      <c r="E8" s="4"/>
      <c r="F8" s="4">
        <v>0</v>
      </c>
      <c r="G8" s="4">
        <v>0</v>
      </c>
      <c r="H8" s="4" t="s">
        <v>2940</v>
      </c>
      <c r="I8" s="4" t="s">
        <v>2940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/>
      <c r="U8" s="4" t="s">
        <v>2941</v>
      </c>
      <c r="V8" s="4" t="s">
        <v>2942</v>
      </c>
      <c r="W8" s="4" t="s">
        <v>2948</v>
      </c>
      <c r="X8" s="4" t="s">
        <v>2949</v>
      </c>
      <c r="Y8" s="4" t="s">
        <v>2948</v>
      </c>
      <c r="Z8" s="4" t="s">
        <v>2945</v>
      </c>
      <c r="AA8" s="4" t="s">
        <v>2945</v>
      </c>
    </row>
    <row r="9" spans="1:27" x14ac:dyDescent="0.25">
      <c r="A9" s="53" t="s">
        <v>2950</v>
      </c>
      <c r="B9" s="4">
        <v>63452</v>
      </c>
      <c r="C9" s="53" t="s">
        <v>2951</v>
      </c>
      <c r="D9" s="4">
        <v>0.25</v>
      </c>
      <c r="E9" s="4"/>
      <c r="F9" s="4">
        <v>0</v>
      </c>
      <c r="G9" s="4">
        <v>0</v>
      </c>
      <c r="H9" s="4" t="s">
        <v>2940</v>
      </c>
      <c r="I9" s="4" t="s">
        <v>2940</v>
      </c>
      <c r="J9" s="4">
        <v>0</v>
      </c>
      <c r="K9" s="4">
        <v>35722</v>
      </c>
      <c r="L9" s="4">
        <v>0</v>
      </c>
      <c r="M9" s="4">
        <v>0.63245399999999996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/>
      <c r="U9" s="4" t="s">
        <v>2941</v>
      </c>
      <c r="V9" s="4" t="s">
        <v>2942</v>
      </c>
      <c r="W9" s="4" t="s">
        <v>2952</v>
      </c>
      <c r="X9" s="4" t="s">
        <v>2953</v>
      </c>
      <c r="Y9" s="4" t="s">
        <v>2952</v>
      </c>
      <c r="Z9" s="4" t="s">
        <v>2945</v>
      </c>
      <c r="AA9" s="4" t="s">
        <v>2945</v>
      </c>
    </row>
    <row r="10" spans="1:27" x14ac:dyDescent="0.25">
      <c r="A10" s="53" t="s">
        <v>2958</v>
      </c>
      <c r="B10" s="4">
        <v>698663</v>
      </c>
      <c r="C10" s="53" t="s">
        <v>2959</v>
      </c>
      <c r="D10" s="4">
        <v>0.09</v>
      </c>
      <c r="E10" s="4"/>
      <c r="F10" s="4">
        <v>0</v>
      </c>
      <c r="G10" s="4">
        <v>0</v>
      </c>
      <c r="H10" s="4" t="s">
        <v>2940</v>
      </c>
      <c r="I10" s="4" t="s">
        <v>2940</v>
      </c>
      <c r="J10" s="4">
        <v>0</v>
      </c>
      <c r="K10" s="4">
        <v>698663</v>
      </c>
      <c r="L10" s="4">
        <v>0</v>
      </c>
      <c r="M10" s="4">
        <v>12.369678</v>
      </c>
      <c r="N10" s="4">
        <v>0</v>
      </c>
      <c r="O10" s="4">
        <v>0.25</v>
      </c>
      <c r="P10" s="4">
        <v>0</v>
      </c>
      <c r="Q10" s="4">
        <v>0</v>
      </c>
      <c r="R10" s="4">
        <v>0</v>
      </c>
      <c r="S10" s="4">
        <v>0</v>
      </c>
      <c r="T10" s="4"/>
      <c r="U10" s="4" t="s">
        <v>2941</v>
      </c>
      <c r="V10" s="4" t="s">
        <v>2942</v>
      </c>
      <c r="W10" s="4" t="s">
        <v>2960</v>
      </c>
      <c r="X10" s="4" t="s">
        <v>2961</v>
      </c>
      <c r="Y10" s="4" t="s">
        <v>2962</v>
      </c>
      <c r="Z10" s="4" t="s">
        <v>2945</v>
      </c>
      <c r="AA10" s="4" t="s">
        <v>2945</v>
      </c>
    </row>
    <row r="11" spans="1:27" x14ac:dyDescent="0.25">
      <c r="A11" s="53" t="s">
        <v>2963</v>
      </c>
      <c r="B11" s="4">
        <v>0</v>
      </c>
      <c r="C11" s="53" t="s">
        <v>2964</v>
      </c>
      <c r="D11" s="4">
        <v>0.25</v>
      </c>
      <c r="E11" s="4"/>
      <c r="F11" s="4">
        <v>0</v>
      </c>
      <c r="G11" s="4">
        <v>0</v>
      </c>
      <c r="H11" s="4" t="s">
        <v>2940</v>
      </c>
      <c r="I11" s="4" t="s">
        <v>2940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/>
      <c r="U11" s="4" t="s">
        <v>2941</v>
      </c>
      <c r="V11" s="4" t="s">
        <v>2942</v>
      </c>
      <c r="W11" s="4" t="s">
        <v>2965</v>
      </c>
      <c r="X11" s="4" t="s">
        <v>2966</v>
      </c>
      <c r="Y11" s="4" t="s">
        <v>2965</v>
      </c>
      <c r="Z11" s="4" t="s">
        <v>2945</v>
      </c>
      <c r="AA11" s="4" t="s">
        <v>2945</v>
      </c>
    </row>
    <row r="12" spans="1:27" x14ac:dyDescent="0.25">
      <c r="A12" s="53" t="s">
        <v>2971</v>
      </c>
      <c r="B12" s="4">
        <v>0</v>
      </c>
      <c r="C12" s="53" t="s">
        <v>2972</v>
      </c>
      <c r="D12" s="4">
        <v>0.25</v>
      </c>
      <c r="E12" s="4"/>
      <c r="F12" s="4">
        <v>0</v>
      </c>
      <c r="G12" s="4">
        <v>0</v>
      </c>
      <c r="H12" s="4" t="s">
        <v>2940</v>
      </c>
      <c r="I12" s="4" t="s">
        <v>2940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/>
      <c r="U12" s="4" t="s">
        <v>2941</v>
      </c>
      <c r="V12" s="4" t="s">
        <v>2942</v>
      </c>
      <c r="W12" s="4" t="s">
        <v>2973</v>
      </c>
      <c r="X12" s="4" t="s">
        <v>2974</v>
      </c>
      <c r="Y12" s="4" t="s">
        <v>2973</v>
      </c>
      <c r="Z12" s="4" t="s">
        <v>2945</v>
      </c>
      <c r="AA12" s="4" t="s">
        <v>2945</v>
      </c>
    </row>
    <row r="13" spans="1:27" x14ac:dyDescent="0.25">
      <c r="A13" s="53" t="s">
        <v>2979</v>
      </c>
      <c r="B13" s="4">
        <v>0</v>
      </c>
      <c r="C13" s="53" t="s">
        <v>2980</v>
      </c>
      <c r="D13" s="4">
        <v>0.25</v>
      </c>
      <c r="E13" s="4"/>
      <c r="F13" s="4">
        <v>0</v>
      </c>
      <c r="G13" s="4">
        <v>0</v>
      </c>
      <c r="H13" s="4" t="s">
        <v>2940</v>
      </c>
      <c r="I13" s="4" t="s">
        <v>2940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/>
      <c r="U13" s="4" t="s">
        <v>2941</v>
      </c>
      <c r="V13" s="4" t="s">
        <v>2942</v>
      </c>
      <c r="W13" s="4" t="s">
        <v>2981</v>
      </c>
      <c r="X13" s="4" t="s">
        <v>2982</v>
      </c>
      <c r="Y13" s="4" t="s">
        <v>2981</v>
      </c>
      <c r="Z13" s="4" t="s">
        <v>2945</v>
      </c>
      <c r="AA13" s="4" t="s">
        <v>2945</v>
      </c>
    </row>
    <row r="14" spans="1:27" x14ac:dyDescent="0.25">
      <c r="A14" s="53" t="s">
        <v>2983</v>
      </c>
      <c r="B14" s="4">
        <v>0</v>
      </c>
      <c r="C14" s="53" t="s">
        <v>2984</v>
      </c>
      <c r="D14" s="4">
        <v>0.25</v>
      </c>
      <c r="E14" s="4"/>
      <c r="F14" s="4">
        <v>0</v>
      </c>
      <c r="G14" s="4">
        <v>0</v>
      </c>
      <c r="H14" s="4" t="s">
        <v>2940</v>
      </c>
      <c r="I14" s="4" t="s">
        <v>2940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/>
      <c r="U14" s="4" t="s">
        <v>2941</v>
      </c>
      <c r="V14" s="4" t="s">
        <v>2942</v>
      </c>
      <c r="W14" s="4" t="s">
        <v>2985</v>
      </c>
      <c r="X14" s="4" t="s">
        <v>2986</v>
      </c>
      <c r="Y14" s="4" t="s">
        <v>2985</v>
      </c>
      <c r="Z14" s="4" t="s">
        <v>2945</v>
      </c>
      <c r="AA14" s="4" t="s">
        <v>2945</v>
      </c>
    </row>
    <row r="15" spans="1:27" x14ac:dyDescent="0.25">
      <c r="A15" s="53" t="s">
        <v>2987</v>
      </c>
      <c r="B15" s="4">
        <v>0</v>
      </c>
      <c r="C15" s="53" t="s">
        <v>2988</v>
      </c>
      <c r="D15" s="4">
        <v>0.25</v>
      </c>
      <c r="E15" s="4"/>
      <c r="F15" s="4">
        <v>0</v>
      </c>
      <c r="G15" s="4">
        <v>0</v>
      </c>
      <c r="H15" s="4" t="s">
        <v>2940</v>
      </c>
      <c r="I15" s="4" t="s">
        <v>2940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/>
      <c r="U15" s="4" t="s">
        <v>2941</v>
      </c>
      <c r="V15" s="4" t="s">
        <v>2942</v>
      </c>
      <c r="W15" s="4" t="s">
        <v>2989</v>
      </c>
      <c r="X15" s="4" t="s">
        <v>2990</v>
      </c>
      <c r="Y15" s="4" t="s">
        <v>2989</v>
      </c>
      <c r="Z15" s="4" t="s">
        <v>2945</v>
      </c>
      <c r="AA15" s="4" t="s">
        <v>2945</v>
      </c>
    </row>
    <row r="16" spans="1:27" x14ac:dyDescent="0.25">
      <c r="A16" s="53" t="s">
        <v>2991</v>
      </c>
      <c r="B16" s="4">
        <v>0</v>
      </c>
      <c r="C16" s="53" t="s">
        <v>2992</v>
      </c>
      <c r="D16" s="4">
        <v>0.25</v>
      </c>
      <c r="E16" s="4"/>
      <c r="F16" s="4">
        <v>0</v>
      </c>
      <c r="G16" s="4">
        <v>0</v>
      </c>
      <c r="H16" s="4" t="s">
        <v>2940</v>
      </c>
      <c r="I16" s="4" t="s">
        <v>2940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/>
      <c r="U16" s="4" t="s">
        <v>2941</v>
      </c>
      <c r="V16" s="4" t="s">
        <v>2942</v>
      </c>
      <c r="W16" s="4" t="s">
        <v>2993</v>
      </c>
      <c r="X16" s="4" t="s">
        <v>2994</v>
      </c>
      <c r="Y16" s="4" t="s">
        <v>2993</v>
      </c>
      <c r="Z16" s="4" t="s">
        <v>2945</v>
      </c>
      <c r="AA16" s="4" t="s">
        <v>2945</v>
      </c>
    </row>
    <row r="17" spans="1:27" x14ac:dyDescent="0.25">
      <c r="A17" s="53" t="s">
        <v>2995</v>
      </c>
      <c r="B17" s="4">
        <v>0</v>
      </c>
      <c r="C17" s="53" t="s">
        <v>2996</v>
      </c>
      <c r="D17" s="4">
        <v>0</v>
      </c>
      <c r="E17" s="4"/>
      <c r="F17" s="4">
        <v>0</v>
      </c>
      <c r="G17" s="4">
        <v>0</v>
      </c>
      <c r="H17" s="4" t="s">
        <v>2940</v>
      </c>
      <c r="I17" s="4" t="s">
        <v>2940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/>
      <c r="U17" s="4" t="s">
        <v>2941</v>
      </c>
      <c r="V17" s="4" t="s">
        <v>2942</v>
      </c>
      <c r="W17" s="4" t="s">
        <v>2997</v>
      </c>
      <c r="X17" s="4" t="s">
        <v>2998</v>
      </c>
      <c r="Y17" s="4" t="s">
        <v>2997</v>
      </c>
      <c r="Z17" s="4" t="s">
        <v>2945</v>
      </c>
      <c r="AA17" s="4" t="s">
        <v>2945</v>
      </c>
    </row>
    <row r="18" spans="1:27" x14ac:dyDescent="0.25">
      <c r="A18" s="53" t="s">
        <v>3001</v>
      </c>
      <c r="B18" s="4">
        <v>0</v>
      </c>
      <c r="C18" s="53" t="s">
        <v>3002</v>
      </c>
      <c r="D18" s="4">
        <v>0.25</v>
      </c>
      <c r="E18" s="4"/>
      <c r="F18" s="4">
        <v>0</v>
      </c>
      <c r="G18" s="4">
        <v>0</v>
      </c>
      <c r="H18" s="4" t="s">
        <v>2940</v>
      </c>
      <c r="I18" s="4" t="s">
        <v>2940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/>
      <c r="U18" s="4" t="s">
        <v>2941</v>
      </c>
      <c r="V18" s="4" t="s">
        <v>2942</v>
      </c>
      <c r="W18" s="4" t="s">
        <v>3003</v>
      </c>
      <c r="X18" s="4" t="s">
        <v>3004</v>
      </c>
      <c r="Y18" s="4" t="s">
        <v>3003</v>
      </c>
      <c r="Z18" s="4" t="s">
        <v>2945</v>
      </c>
      <c r="AA18" s="4" t="s">
        <v>2945</v>
      </c>
    </row>
    <row r="19" spans="1:27" x14ac:dyDescent="0.25">
      <c r="A19" s="53" t="s">
        <v>3009</v>
      </c>
      <c r="B19" s="4">
        <v>0</v>
      </c>
      <c r="C19" s="53" t="s">
        <v>3010</v>
      </c>
      <c r="D19" s="4">
        <v>0</v>
      </c>
      <c r="E19" s="4"/>
      <c r="F19" s="4">
        <v>0</v>
      </c>
      <c r="G19" s="4">
        <v>0</v>
      </c>
      <c r="H19" s="4" t="s">
        <v>2940</v>
      </c>
      <c r="I19" s="4" t="s">
        <v>2940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/>
      <c r="U19" s="4" t="s">
        <v>2941</v>
      </c>
      <c r="V19" s="4" t="s">
        <v>2942</v>
      </c>
      <c r="W19" s="4" t="s">
        <v>3011</v>
      </c>
      <c r="X19" s="4" t="s">
        <v>3012</v>
      </c>
      <c r="Y19" s="4" t="s">
        <v>3011</v>
      </c>
      <c r="Z19" s="4" t="s">
        <v>2945</v>
      </c>
      <c r="AA19" s="4" t="s">
        <v>2945</v>
      </c>
    </row>
    <row r="20" spans="1:27" x14ac:dyDescent="0.25">
      <c r="A20" s="53" t="s">
        <v>3177</v>
      </c>
      <c r="B20" s="4">
        <v>56</v>
      </c>
      <c r="C20" s="53" t="s">
        <v>3178</v>
      </c>
      <c r="D20" s="4">
        <v>0</v>
      </c>
      <c r="E20" s="49">
        <v>42734</v>
      </c>
      <c r="F20" s="4">
        <v>5.19</v>
      </c>
      <c r="G20" s="4">
        <v>5.19</v>
      </c>
      <c r="H20" s="4" t="s">
        <v>3028</v>
      </c>
      <c r="I20" s="4" t="s">
        <v>3028</v>
      </c>
      <c r="J20" s="4">
        <v>0.25</v>
      </c>
      <c r="K20" s="4">
        <v>140</v>
      </c>
      <c r="L20" s="4">
        <v>1.21</v>
      </c>
      <c r="M20" s="4">
        <v>2.48E-3</v>
      </c>
      <c r="N20" s="4">
        <v>0</v>
      </c>
      <c r="O20" s="4">
        <v>0</v>
      </c>
      <c r="P20" s="4">
        <v>0</v>
      </c>
      <c r="Q20" s="4">
        <v>0</v>
      </c>
      <c r="R20" s="4">
        <v>5.19</v>
      </c>
      <c r="S20" s="4">
        <v>0.28999999999999998</v>
      </c>
      <c r="T20" s="4"/>
      <c r="U20" s="4" t="s">
        <v>3105</v>
      </c>
      <c r="V20" s="4" t="s">
        <v>3106</v>
      </c>
      <c r="W20" s="4" t="s">
        <v>3177</v>
      </c>
      <c r="X20" s="4" t="s">
        <v>3086</v>
      </c>
      <c r="Y20" s="4" t="s">
        <v>2962</v>
      </c>
      <c r="Z20" s="4" t="s">
        <v>3067</v>
      </c>
      <c r="AA20" s="4" t="s">
        <v>2945</v>
      </c>
    </row>
    <row r="21" spans="1:27" x14ac:dyDescent="0.25">
      <c r="A21" s="53" t="s">
        <v>4439</v>
      </c>
      <c r="B21" s="4">
        <v>400</v>
      </c>
      <c r="C21" s="53" t="s">
        <v>4440</v>
      </c>
      <c r="D21" s="4">
        <v>7.875</v>
      </c>
      <c r="E21" s="49">
        <v>43172</v>
      </c>
      <c r="F21" s="4">
        <v>6.39</v>
      </c>
      <c r="G21" s="4">
        <v>6.39</v>
      </c>
      <c r="H21" s="4" t="s">
        <v>3054</v>
      </c>
      <c r="I21" s="4" t="s">
        <v>3076</v>
      </c>
      <c r="J21" s="4">
        <v>108.63</v>
      </c>
      <c r="K21" s="4">
        <v>437913</v>
      </c>
      <c r="L21" s="4">
        <v>8.64</v>
      </c>
      <c r="M21" s="4">
        <v>7.7531499999999998</v>
      </c>
      <c r="N21" s="4">
        <v>6.22</v>
      </c>
      <c r="O21" s="4">
        <v>6.22</v>
      </c>
      <c r="P21" s="4">
        <v>0</v>
      </c>
      <c r="Q21" s="4">
        <v>0</v>
      </c>
      <c r="R21" s="4">
        <v>5.01</v>
      </c>
      <c r="S21" s="4">
        <v>0.31</v>
      </c>
      <c r="T21" s="4"/>
      <c r="U21" s="4" t="s">
        <v>3124</v>
      </c>
      <c r="V21" s="4" t="s">
        <v>3125</v>
      </c>
      <c r="W21" s="4" t="s">
        <v>4441</v>
      </c>
      <c r="X21" s="4" t="s">
        <v>3040</v>
      </c>
      <c r="Y21" s="4" t="s">
        <v>2962</v>
      </c>
      <c r="Z21" s="4" t="s">
        <v>3041</v>
      </c>
      <c r="AA21" s="4" t="s">
        <v>3033</v>
      </c>
    </row>
    <row r="22" spans="1:27" x14ac:dyDescent="0.25">
      <c r="A22" s="53" t="s">
        <v>3089</v>
      </c>
      <c r="B22" s="4">
        <v>200</v>
      </c>
      <c r="C22" s="53" t="s">
        <v>3090</v>
      </c>
      <c r="D22" s="4">
        <v>5.95</v>
      </c>
      <c r="E22" s="49">
        <v>43793</v>
      </c>
      <c r="F22" s="4">
        <v>8.09</v>
      </c>
      <c r="G22" s="4">
        <v>8.09</v>
      </c>
      <c r="H22" s="4" t="s">
        <v>3028</v>
      </c>
      <c r="I22" s="4" t="s">
        <v>3091</v>
      </c>
      <c r="J22" s="4">
        <v>104</v>
      </c>
      <c r="K22" s="4">
        <v>212892</v>
      </c>
      <c r="L22" s="4">
        <v>4.32</v>
      </c>
      <c r="M22" s="4">
        <v>3.7692130000000001</v>
      </c>
      <c r="N22" s="4">
        <v>5.33</v>
      </c>
      <c r="O22" s="4">
        <v>5.33</v>
      </c>
      <c r="P22" s="4">
        <v>0</v>
      </c>
      <c r="Q22" s="4">
        <v>0</v>
      </c>
      <c r="R22" s="4">
        <v>6.26</v>
      </c>
      <c r="S22" s="4">
        <v>0.49</v>
      </c>
      <c r="T22" s="4"/>
      <c r="U22" s="4" t="s">
        <v>3045</v>
      </c>
      <c r="V22" s="4" t="s">
        <v>3046</v>
      </c>
      <c r="W22" s="4" t="s">
        <v>3092</v>
      </c>
      <c r="X22" s="4" t="s">
        <v>3086</v>
      </c>
      <c r="Y22" s="4" t="s">
        <v>2962</v>
      </c>
      <c r="Z22" s="4" t="s">
        <v>3041</v>
      </c>
      <c r="AA22" s="4" t="s">
        <v>3033</v>
      </c>
    </row>
    <row r="23" spans="1:27" x14ac:dyDescent="0.25">
      <c r="A23" s="53" t="s">
        <v>3674</v>
      </c>
      <c r="B23" s="4">
        <v>200</v>
      </c>
      <c r="C23" s="53" t="s">
        <v>3675</v>
      </c>
      <c r="D23" s="4">
        <v>7.375</v>
      </c>
      <c r="E23" s="49">
        <v>43542</v>
      </c>
      <c r="F23" s="4">
        <v>7.41</v>
      </c>
      <c r="G23" s="4">
        <v>7.41</v>
      </c>
      <c r="H23" s="4" t="s">
        <v>3054</v>
      </c>
      <c r="I23" s="4" t="s">
        <v>3083</v>
      </c>
      <c r="J23" s="4">
        <v>124.5</v>
      </c>
      <c r="K23" s="4">
        <v>250393</v>
      </c>
      <c r="L23" s="4">
        <v>4.32</v>
      </c>
      <c r="M23" s="4">
        <v>4.4331569999999996</v>
      </c>
      <c r="N23" s="4">
        <v>3.58</v>
      </c>
      <c r="O23" s="4">
        <v>3.58</v>
      </c>
      <c r="P23" s="4">
        <v>0</v>
      </c>
      <c r="Q23" s="4">
        <v>0</v>
      </c>
      <c r="R23" s="4">
        <v>5.89</v>
      </c>
      <c r="S23" s="4">
        <v>0.42</v>
      </c>
      <c r="T23" s="4"/>
      <c r="U23" s="4" t="s">
        <v>3045</v>
      </c>
      <c r="V23" s="4" t="s">
        <v>3046</v>
      </c>
      <c r="W23" s="4" t="s">
        <v>307</v>
      </c>
      <c r="X23" s="4" t="s">
        <v>2974</v>
      </c>
      <c r="Y23" s="4" t="s">
        <v>2962</v>
      </c>
      <c r="Z23" s="4" t="s">
        <v>3024</v>
      </c>
      <c r="AA23" s="4" t="s">
        <v>2945</v>
      </c>
    </row>
    <row r="24" spans="1:27" x14ac:dyDescent="0.25">
      <c r="A24" s="53" t="s">
        <v>3137</v>
      </c>
      <c r="B24" s="4">
        <v>163</v>
      </c>
      <c r="C24" s="53" t="s">
        <v>3138</v>
      </c>
      <c r="D24" s="4">
        <v>8.25</v>
      </c>
      <c r="E24" s="49">
        <v>11789</v>
      </c>
      <c r="F24" s="4">
        <v>20.47</v>
      </c>
      <c r="G24" s="4">
        <v>20.47</v>
      </c>
      <c r="H24" s="4" t="s">
        <v>3019</v>
      </c>
      <c r="I24" s="4" t="s">
        <v>3134</v>
      </c>
      <c r="J24" s="4">
        <v>108.25</v>
      </c>
      <c r="K24" s="4">
        <v>176896</v>
      </c>
      <c r="L24" s="4">
        <v>3.52</v>
      </c>
      <c r="M24" s="4">
        <v>3.1319029999999999</v>
      </c>
      <c r="N24" s="4">
        <v>7.46</v>
      </c>
      <c r="O24" s="4">
        <v>7.46</v>
      </c>
      <c r="P24" s="4">
        <v>0</v>
      </c>
      <c r="Q24" s="4">
        <v>0</v>
      </c>
      <c r="R24" s="4">
        <v>10.19</v>
      </c>
      <c r="S24" s="4">
        <v>1.55</v>
      </c>
      <c r="T24" s="4"/>
      <c r="U24" s="4" t="s">
        <v>3045</v>
      </c>
      <c r="V24" s="4" t="s">
        <v>3046</v>
      </c>
      <c r="W24" s="4" t="s">
        <v>3137</v>
      </c>
      <c r="X24" s="4" t="s">
        <v>3136</v>
      </c>
      <c r="Y24" s="4" t="s">
        <v>2962</v>
      </c>
      <c r="Z24" s="4" t="s">
        <v>3041</v>
      </c>
      <c r="AA24" s="4" t="s">
        <v>3033</v>
      </c>
    </row>
    <row r="25" spans="1:27" x14ac:dyDescent="0.25">
      <c r="A25" s="53" t="s">
        <v>795</v>
      </c>
      <c r="B25" s="4">
        <v>163</v>
      </c>
      <c r="C25" s="53" t="s">
        <v>3139</v>
      </c>
      <c r="D25" s="4">
        <v>7.65</v>
      </c>
      <c r="E25" s="49">
        <v>12950</v>
      </c>
      <c r="F25" s="4">
        <v>23.65</v>
      </c>
      <c r="G25" s="4">
        <v>23.65</v>
      </c>
      <c r="H25" s="4" t="s">
        <v>3019</v>
      </c>
      <c r="I25" s="4" t="s">
        <v>3134</v>
      </c>
      <c r="J25" s="4">
        <v>99.75</v>
      </c>
      <c r="K25" s="4">
        <v>166991</v>
      </c>
      <c r="L25" s="4">
        <v>3.52</v>
      </c>
      <c r="M25" s="4">
        <v>2.9565489999999999</v>
      </c>
      <c r="N25" s="4">
        <v>7.67</v>
      </c>
      <c r="O25" s="4">
        <v>7.67</v>
      </c>
      <c r="P25" s="4">
        <v>0</v>
      </c>
      <c r="Q25" s="4">
        <v>0</v>
      </c>
      <c r="R25" s="4">
        <v>10.56</v>
      </c>
      <c r="S25" s="4">
        <v>1.78</v>
      </c>
      <c r="T25" s="4"/>
      <c r="U25" s="4" t="s">
        <v>3045</v>
      </c>
      <c r="V25" s="4" t="s">
        <v>3046</v>
      </c>
      <c r="W25" s="4" t="s">
        <v>795</v>
      </c>
      <c r="X25" s="4" t="s">
        <v>3136</v>
      </c>
      <c r="Y25" s="4" t="s">
        <v>2962</v>
      </c>
      <c r="Z25" s="4" t="s">
        <v>3067</v>
      </c>
      <c r="AA25" s="4" t="s">
        <v>2945</v>
      </c>
    </row>
    <row r="26" spans="1:27" x14ac:dyDescent="0.25">
      <c r="A26" s="53" t="s">
        <v>3972</v>
      </c>
      <c r="B26" s="4">
        <v>300</v>
      </c>
      <c r="C26" s="53" t="s">
        <v>3180</v>
      </c>
      <c r="D26" s="4">
        <v>5.875</v>
      </c>
      <c r="E26" s="49">
        <v>43903</v>
      </c>
      <c r="F26" s="4">
        <v>8.39</v>
      </c>
      <c r="G26" s="4">
        <v>8.39</v>
      </c>
      <c r="H26" s="4" t="s">
        <v>3181</v>
      </c>
      <c r="I26" s="4" t="s">
        <v>3116</v>
      </c>
      <c r="J26" s="4">
        <v>111.38</v>
      </c>
      <c r="K26" s="4">
        <v>336034</v>
      </c>
      <c r="L26" s="4">
        <v>6.48</v>
      </c>
      <c r="M26" s="4">
        <v>5.9494189999999998</v>
      </c>
      <c r="N26" s="4">
        <v>4.25</v>
      </c>
      <c r="O26" s="4">
        <v>4.25</v>
      </c>
      <c r="P26" s="4">
        <v>0</v>
      </c>
      <c r="Q26" s="4">
        <v>0</v>
      </c>
      <c r="R26" s="4">
        <v>6.67</v>
      </c>
      <c r="S26" s="4">
        <v>0.54</v>
      </c>
      <c r="T26" s="4"/>
      <c r="U26" s="4" t="s">
        <v>3045</v>
      </c>
      <c r="V26" s="4" t="s">
        <v>3046</v>
      </c>
      <c r="W26" s="4" t="s">
        <v>3973</v>
      </c>
      <c r="X26" s="4" t="s">
        <v>2994</v>
      </c>
      <c r="Y26" s="4" t="s">
        <v>2962</v>
      </c>
      <c r="Z26" s="4" t="s">
        <v>3041</v>
      </c>
      <c r="AA26" s="4" t="s">
        <v>3033</v>
      </c>
    </row>
    <row r="27" spans="1:27" x14ac:dyDescent="0.25">
      <c r="A27" s="53" t="s">
        <v>4225</v>
      </c>
      <c r="B27" s="4">
        <v>300</v>
      </c>
      <c r="C27" s="53" t="s">
        <v>3265</v>
      </c>
      <c r="D27" s="4">
        <v>6.5</v>
      </c>
      <c r="E27" s="49">
        <v>43850</v>
      </c>
      <c r="F27" s="4">
        <v>8.25</v>
      </c>
      <c r="G27" s="4">
        <v>8.25</v>
      </c>
      <c r="H27" s="4" t="s">
        <v>133</v>
      </c>
      <c r="I27" s="4" t="s">
        <v>3134</v>
      </c>
      <c r="J27" s="4">
        <v>117.25</v>
      </c>
      <c r="K27" s="4">
        <v>356733</v>
      </c>
      <c r="L27" s="4">
        <v>6.48</v>
      </c>
      <c r="M27" s="4">
        <v>6.3158899999999996</v>
      </c>
      <c r="N27" s="4">
        <v>4.0199999999999996</v>
      </c>
      <c r="O27" s="4">
        <v>4.0199999999999996</v>
      </c>
      <c r="P27" s="4">
        <v>0</v>
      </c>
      <c r="Q27" s="4">
        <v>0</v>
      </c>
      <c r="R27" s="4">
        <v>6.45</v>
      </c>
      <c r="S27" s="4">
        <v>0.51</v>
      </c>
      <c r="T27" s="4"/>
      <c r="U27" s="4" t="s">
        <v>3045</v>
      </c>
      <c r="V27" s="4" t="s">
        <v>3046</v>
      </c>
      <c r="W27" s="4" t="s">
        <v>675</v>
      </c>
      <c r="X27" s="4" t="s">
        <v>3266</v>
      </c>
      <c r="Y27" s="4" t="s">
        <v>2962</v>
      </c>
      <c r="Z27" s="4" t="s">
        <v>2945</v>
      </c>
      <c r="AA27" s="4" t="s">
        <v>2945</v>
      </c>
    </row>
    <row r="28" spans="1:27" x14ac:dyDescent="0.25">
      <c r="A28" s="53" t="s">
        <v>3287</v>
      </c>
      <c r="B28" s="4">
        <v>300</v>
      </c>
      <c r="C28" s="53" t="s">
        <v>3288</v>
      </c>
      <c r="D28" s="4">
        <v>5.5</v>
      </c>
      <c r="E28" s="49">
        <v>43899</v>
      </c>
      <c r="F28" s="4">
        <v>8.3800000000000008</v>
      </c>
      <c r="G28" s="4">
        <v>8.3800000000000008</v>
      </c>
      <c r="H28" s="4" t="s">
        <v>3059</v>
      </c>
      <c r="I28" s="4" t="s">
        <v>3060</v>
      </c>
      <c r="J28" s="4">
        <v>111.5</v>
      </c>
      <c r="K28" s="4">
        <v>336471</v>
      </c>
      <c r="L28" s="4">
        <v>6.48</v>
      </c>
      <c r="M28" s="4">
        <v>5.957147</v>
      </c>
      <c r="N28" s="4">
        <v>3.88</v>
      </c>
      <c r="O28" s="4">
        <v>3.88</v>
      </c>
      <c r="P28" s="4">
        <v>0</v>
      </c>
      <c r="Q28" s="4">
        <v>0</v>
      </c>
      <c r="R28" s="4">
        <v>6.76</v>
      </c>
      <c r="S28" s="4">
        <v>0.55000000000000004</v>
      </c>
      <c r="T28" s="4"/>
      <c r="U28" s="4" t="s">
        <v>3045</v>
      </c>
      <c r="V28" s="4" t="s">
        <v>3046</v>
      </c>
      <c r="W28" s="4" t="s">
        <v>969</v>
      </c>
      <c r="X28" s="4" t="s">
        <v>3147</v>
      </c>
      <c r="Y28" s="4" t="s">
        <v>2962</v>
      </c>
      <c r="Z28" s="4" t="s">
        <v>2945</v>
      </c>
      <c r="AA28" s="4" t="s">
        <v>2945</v>
      </c>
    </row>
    <row r="29" spans="1:27" x14ac:dyDescent="0.25">
      <c r="A29" s="53" t="s">
        <v>3297</v>
      </c>
      <c r="B29" s="4">
        <v>200</v>
      </c>
      <c r="C29" s="53" t="s">
        <v>3298</v>
      </c>
      <c r="D29" s="4">
        <v>5.125</v>
      </c>
      <c r="E29" s="49">
        <v>44645</v>
      </c>
      <c r="F29" s="4">
        <v>10.43</v>
      </c>
      <c r="G29" s="4">
        <v>10.43</v>
      </c>
      <c r="H29" s="4" t="s">
        <v>2940</v>
      </c>
      <c r="I29" s="4" t="s">
        <v>2940</v>
      </c>
      <c r="J29" s="4">
        <v>97.65</v>
      </c>
      <c r="K29" s="4">
        <v>195300</v>
      </c>
      <c r="L29" s="4">
        <v>4.32</v>
      </c>
      <c r="M29" s="4">
        <v>3.4577460000000002</v>
      </c>
      <c r="N29" s="4">
        <v>5.42</v>
      </c>
      <c r="O29" s="4">
        <v>5.42</v>
      </c>
      <c r="P29" s="4">
        <v>0</v>
      </c>
      <c r="Q29" s="4">
        <v>0</v>
      </c>
      <c r="R29" s="4">
        <v>7.96</v>
      </c>
      <c r="S29" s="4">
        <v>0.78</v>
      </c>
      <c r="T29" s="4"/>
      <c r="U29" s="4" t="s">
        <v>3045</v>
      </c>
      <c r="V29" s="4" t="s">
        <v>3046</v>
      </c>
      <c r="W29" s="4" t="s">
        <v>3299</v>
      </c>
      <c r="X29" s="4" t="s">
        <v>3016</v>
      </c>
      <c r="Y29" s="4" t="s">
        <v>2962</v>
      </c>
      <c r="Z29" s="4" t="s">
        <v>3024</v>
      </c>
      <c r="AA29" s="4" t="s">
        <v>2945</v>
      </c>
    </row>
    <row r="30" spans="1:27" x14ac:dyDescent="0.25">
      <c r="A30" s="53" t="s">
        <v>3309</v>
      </c>
      <c r="B30" s="4">
        <v>400</v>
      </c>
      <c r="C30" s="53" t="s">
        <v>3310</v>
      </c>
      <c r="D30" s="4">
        <v>7.65</v>
      </c>
      <c r="E30" s="49">
        <v>41436</v>
      </c>
      <c r="F30" s="4">
        <v>1.64</v>
      </c>
      <c r="G30" s="4">
        <v>1.64</v>
      </c>
      <c r="H30" s="4" t="s">
        <v>3120</v>
      </c>
      <c r="I30" s="4" t="s">
        <v>3311</v>
      </c>
      <c r="J30" s="4">
        <v>96.75</v>
      </c>
      <c r="K30" s="4">
        <v>398135</v>
      </c>
      <c r="L30" s="4">
        <v>8.64</v>
      </c>
      <c r="M30" s="4">
        <v>7.0488980000000003</v>
      </c>
      <c r="N30" s="4">
        <v>9.83</v>
      </c>
      <c r="O30" s="4">
        <v>9.83</v>
      </c>
      <c r="P30" s="4">
        <v>0</v>
      </c>
      <c r="Q30" s="4">
        <v>0</v>
      </c>
      <c r="R30" s="4">
        <v>1.46</v>
      </c>
      <c r="S30" s="4">
        <v>0.03</v>
      </c>
      <c r="T30" s="4"/>
      <c r="U30" s="4" t="s">
        <v>3045</v>
      </c>
      <c r="V30" s="4" t="s">
        <v>3046</v>
      </c>
      <c r="W30" s="4" t="s">
        <v>3312</v>
      </c>
      <c r="X30" s="4" t="s">
        <v>3313</v>
      </c>
      <c r="Y30" s="4" t="s">
        <v>2962</v>
      </c>
      <c r="Z30" s="4" t="s">
        <v>3041</v>
      </c>
      <c r="AA30" s="4" t="s">
        <v>3033</v>
      </c>
    </row>
    <row r="31" spans="1:27" x14ac:dyDescent="0.25">
      <c r="A31" s="53" t="s">
        <v>3840</v>
      </c>
      <c r="B31" s="4">
        <v>500</v>
      </c>
      <c r="C31" s="53" t="s">
        <v>3841</v>
      </c>
      <c r="D31" s="4">
        <v>8.875</v>
      </c>
      <c r="E31" s="49">
        <v>41907</v>
      </c>
      <c r="F31" s="4">
        <v>2.93</v>
      </c>
      <c r="G31" s="4">
        <v>2.93</v>
      </c>
      <c r="H31" s="4" t="s">
        <v>3019</v>
      </c>
      <c r="I31" s="4" t="s">
        <v>3036</v>
      </c>
      <c r="J31" s="4">
        <v>98.5</v>
      </c>
      <c r="K31" s="4">
        <v>495828</v>
      </c>
      <c r="L31" s="4">
        <v>10.79</v>
      </c>
      <c r="M31" s="4">
        <v>8.7785349999999998</v>
      </c>
      <c r="N31" s="4">
        <v>9.4700000000000006</v>
      </c>
      <c r="O31" s="4">
        <v>9.4700000000000006</v>
      </c>
      <c r="P31" s="4">
        <v>0</v>
      </c>
      <c r="Q31" s="4">
        <v>0</v>
      </c>
      <c r="R31" s="4">
        <v>2.5099999999999998</v>
      </c>
      <c r="S31" s="4">
        <v>0.08</v>
      </c>
      <c r="T31" s="4"/>
      <c r="U31" s="4" t="s">
        <v>3209</v>
      </c>
      <c r="V31" s="4" t="s">
        <v>3244</v>
      </c>
      <c r="W31" s="4" t="s">
        <v>3842</v>
      </c>
      <c r="X31" s="4" t="s">
        <v>3004</v>
      </c>
      <c r="Y31" s="4" t="s">
        <v>2962</v>
      </c>
      <c r="Z31" s="4" t="s">
        <v>3041</v>
      </c>
      <c r="AA31" s="4" t="s">
        <v>3033</v>
      </c>
    </row>
    <row r="32" spans="1:27" x14ac:dyDescent="0.25">
      <c r="A32" s="53" t="s">
        <v>3759</v>
      </c>
      <c r="B32" s="4">
        <v>400</v>
      </c>
      <c r="C32" s="53" t="s">
        <v>3760</v>
      </c>
      <c r="D32" s="4">
        <v>6.875</v>
      </c>
      <c r="E32" s="49">
        <v>43676</v>
      </c>
      <c r="F32" s="4">
        <v>7.78</v>
      </c>
      <c r="G32" s="4">
        <v>7.78</v>
      </c>
      <c r="H32" s="4" t="s">
        <v>3054</v>
      </c>
      <c r="I32" s="4" t="s">
        <v>3028</v>
      </c>
      <c r="J32" s="4">
        <v>111</v>
      </c>
      <c r="K32" s="4">
        <v>450264</v>
      </c>
      <c r="L32" s="4">
        <v>8.64</v>
      </c>
      <c r="M32" s="4">
        <v>7.9718289999999996</v>
      </c>
      <c r="N32" s="4">
        <v>5.14</v>
      </c>
      <c r="O32" s="4">
        <v>5.14</v>
      </c>
      <c r="P32" s="4">
        <v>0</v>
      </c>
      <c r="Q32" s="4">
        <v>0</v>
      </c>
      <c r="R32" s="4">
        <v>6.01</v>
      </c>
      <c r="S32" s="4">
        <v>0.45</v>
      </c>
      <c r="T32" s="4"/>
      <c r="U32" s="4" t="s">
        <v>3021</v>
      </c>
      <c r="V32" s="4" t="s">
        <v>3022</v>
      </c>
      <c r="W32" s="4" t="s">
        <v>3761</v>
      </c>
      <c r="X32" s="4" t="s">
        <v>2953</v>
      </c>
      <c r="Y32" s="4" t="s">
        <v>2962</v>
      </c>
      <c r="Z32" s="4" t="s">
        <v>3041</v>
      </c>
      <c r="AA32" s="4" t="s">
        <v>3033</v>
      </c>
    </row>
    <row r="33" spans="1:27" x14ac:dyDescent="0.25">
      <c r="A33" s="53" t="s">
        <v>3273</v>
      </c>
      <c r="B33" s="4">
        <v>200</v>
      </c>
      <c r="C33" s="53" t="s">
        <v>3274</v>
      </c>
      <c r="D33" s="4">
        <v>8</v>
      </c>
      <c r="E33" s="49">
        <v>43684</v>
      </c>
      <c r="F33" s="4">
        <v>7.79</v>
      </c>
      <c r="G33" s="4">
        <v>7.79</v>
      </c>
      <c r="H33" s="4" t="s">
        <v>133</v>
      </c>
      <c r="I33" s="4" t="s">
        <v>3116</v>
      </c>
      <c r="J33" s="4">
        <v>114</v>
      </c>
      <c r="K33" s="4">
        <v>231333</v>
      </c>
      <c r="L33" s="4">
        <v>4.32</v>
      </c>
      <c r="M33" s="4">
        <v>4.0957090000000003</v>
      </c>
      <c r="N33" s="4">
        <v>5.74</v>
      </c>
      <c r="O33" s="4">
        <v>5.74</v>
      </c>
      <c r="P33" s="4">
        <v>0</v>
      </c>
      <c r="Q33" s="4">
        <v>0</v>
      </c>
      <c r="R33" s="4">
        <v>5.83</v>
      </c>
      <c r="S33" s="4">
        <v>0.43</v>
      </c>
      <c r="T33" s="4"/>
      <c r="U33" s="4" t="s">
        <v>3021</v>
      </c>
      <c r="V33" s="4" t="s">
        <v>3275</v>
      </c>
      <c r="W33" s="4" t="s">
        <v>3276</v>
      </c>
      <c r="X33" s="4" t="s">
        <v>3176</v>
      </c>
      <c r="Y33" s="4" t="s">
        <v>2962</v>
      </c>
      <c r="Z33" s="4" t="s">
        <v>3041</v>
      </c>
      <c r="AA33" s="4" t="s">
        <v>3033</v>
      </c>
    </row>
    <row r="34" spans="1:27" s="53" customFormat="1" x14ac:dyDescent="0.25">
      <c r="B34" s="4"/>
      <c r="D34" s="4"/>
      <c r="E34" s="49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x14ac:dyDescent="0.25">
      <c r="A35" s="53" t="s">
        <v>4544</v>
      </c>
      <c r="B35" s="4">
        <v>0</v>
      </c>
      <c r="C35" s="53"/>
      <c r="D35" s="4">
        <v>6.2770000000000001</v>
      </c>
      <c r="E35" s="49">
        <v>39272</v>
      </c>
      <c r="F35" s="4">
        <v>6.35</v>
      </c>
      <c r="G35" s="4">
        <v>6.35</v>
      </c>
      <c r="H35" s="4" t="s">
        <v>133</v>
      </c>
      <c r="I35" s="4" t="s">
        <v>3036</v>
      </c>
      <c r="J35" s="4">
        <v>104.78</v>
      </c>
      <c r="K35" s="4">
        <v>5648188</v>
      </c>
      <c r="L35" s="4">
        <v>100</v>
      </c>
      <c r="M35" s="4">
        <v>100</v>
      </c>
      <c r="N35" s="4">
        <v>5.47</v>
      </c>
      <c r="O35" s="4">
        <v>5.51</v>
      </c>
      <c r="P35" s="4">
        <v>0</v>
      </c>
      <c r="Q35" s="4">
        <v>0</v>
      </c>
      <c r="R35" s="4">
        <v>4.6100000000000003</v>
      </c>
      <c r="S35" s="4">
        <v>0.38</v>
      </c>
      <c r="T35" s="4"/>
      <c r="U35" s="4"/>
      <c r="V35" s="4"/>
      <c r="W35" s="4"/>
      <c r="X35" s="4"/>
      <c r="Y35" s="4"/>
      <c r="Z35" s="4"/>
      <c r="AA35" s="4"/>
    </row>
  </sheetData>
  <sortState ref="A4:AA33">
    <sortCondition ref="U4:U3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71"/>
  <sheetViews>
    <sheetView workbookViewId="0">
      <pane xSplit="1" ySplit="3" topLeftCell="G431" activePane="bottomRight" state="frozen"/>
      <selection pane="topRight" activeCell="B1" sqref="B1"/>
      <selection pane="bottomLeft" activeCell="A4" sqref="A4"/>
      <selection pane="bottomRight" activeCell="P465" sqref="P465"/>
    </sheetView>
  </sheetViews>
  <sheetFormatPr defaultRowHeight="15" x14ac:dyDescent="0.25"/>
  <cols>
    <col min="1" max="1" width="17.85546875" customWidth="1"/>
    <col min="2" max="2" width="10.7109375" bestFit="1" customWidth="1"/>
    <col min="3" max="3" width="35" bestFit="1" customWidth="1"/>
    <col min="4" max="4" width="7" bestFit="1" customWidth="1"/>
    <col min="5" max="5" width="10.7109375" bestFit="1" customWidth="1"/>
    <col min="6" max="6" width="10" bestFit="1" customWidth="1"/>
    <col min="7" max="7" width="8.140625" bestFit="1" customWidth="1"/>
    <col min="8" max="8" width="6.28515625" customWidth="1"/>
    <col min="9" max="9" width="6.7109375" customWidth="1"/>
    <col min="10" max="10" width="15.28515625" style="53" bestFit="1" customWidth="1"/>
    <col min="11" max="11" width="8.28515625" bestFit="1" customWidth="1"/>
    <col min="12" max="12" width="15.28515625" bestFit="1" customWidth="1"/>
    <col min="13" max="13" width="5.7109375" bestFit="1" customWidth="1"/>
    <col min="14" max="14" width="10.7109375" bestFit="1" customWidth="1"/>
    <col min="15" max="15" width="6.7109375" bestFit="1" customWidth="1"/>
    <col min="16" max="16" width="31.42578125" bestFit="1" customWidth="1"/>
    <col min="17" max="17" width="8" bestFit="1" customWidth="1"/>
    <col min="18" max="18" width="6.5703125" bestFit="1" customWidth="1"/>
    <col min="19" max="19" width="6" bestFit="1" customWidth="1"/>
    <col min="20" max="20" width="8" bestFit="1" customWidth="1"/>
    <col min="21" max="21" width="2" bestFit="1" customWidth="1"/>
    <col min="22" max="22" width="31.7109375" bestFit="1" customWidth="1"/>
    <col min="23" max="23" width="35.140625" bestFit="1" customWidth="1"/>
    <col min="24" max="24" width="16.28515625" bestFit="1" customWidth="1"/>
    <col min="25" max="25" width="17" bestFit="1" customWidth="1"/>
    <col min="26" max="26" width="10.28515625" bestFit="1" customWidth="1"/>
    <col min="27" max="27" width="11.42578125" hidden="1" customWidth="1"/>
    <col min="28" max="28" width="11.140625" hidden="1" customWidth="1"/>
    <col min="30" max="30" width="26.85546875" bestFit="1" customWidth="1"/>
    <col min="31" max="31" width="14.5703125" bestFit="1" customWidth="1"/>
    <col min="32" max="32" width="14.140625" bestFit="1" customWidth="1"/>
    <col min="33" max="33" width="22" bestFit="1" customWidth="1"/>
  </cols>
  <sheetData>
    <row r="1" spans="1:33" x14ac:dyDescent="0.25">
      <c r="A1" s="52" t="s">
        <v>3326</v>
      </c>
      <c r="B1" s="52"/>
      <c r="C1" s="52"/>
      <c r="D1" s="52"/>
      <c r="E1" s="52"/>
      <c r="F1" s="52"/>
      <c r="G1" s="52"/>
      <c r="H1" s="52"/>
      <c r="I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</row>
    <row r="2" spans="1:33" x14ac:dyDescent="0.25">
      <c r="A2" s="52"/>
      <c r="B2" s="4" t="s">
        <v>2904</v>
      </c>
      <c r="C2" s="52" t="s">
        <v>2905</v>
      </c>
      <c r="D2" s="4" t="s">
        <v>2906</v>
      </c>
      <c r="E2" s="4" t="s">
        <v>2907</v>
      </c>
      <c r="F2" s="4" t="s">
        <v>2908</v>
      </c>
      <c r="G2" s="4" t="s">
        <v>2909</v>
      </c>
      <c r="H2" s="4" t="s">
        <v>2910</v>
      </c>
      <c r="I2" s="4" t="s">
        <v>2911</v>
      </c>
      <c r="J2" s="12" t="s">
        <v>2912</v>
      </c>
      <c r="K2" s="4" t="s">
        <v>2912</v>
      </c>
      <c r="L2" s="4" t="s">
        <v>2912</v>
      </c>
      <c r="M2" s="4" t="s">
        <v>2913</v>
      </c>
      <c r="N2" s="4" t="s">
        <v>2914</v>
      </c>
      <c r="O2" s="4" t="s">
        <v>2915</v>
      </c>
      <c r="P2" s="4" t="s">
        <v>2916</v>
      </c>
      <c r="Q2" s="4" t="s">
        <v>2917</v>
      </c>
      <c r="R2" s="4" t="s">
        <v>2918</v>
      </c>
      <c r="S2" s="4" t="s">
        <v>2919</v>
      </c>
      <c r="T2" s="4" t="s">
        <v>2920</v>
      </c>
      <c r="U2" s="4"/>
      <c r="V2" s="4" t="s">
        <v>2921</v>
      </c>
      <c r="W2" s="4" t="s">
        <v>2922</v>
      </c>
      <c r="X2" s="4" t="s">
        <v>2923</v>
      </c>
      <c r="Y2" s="4" t="s">
        <v>2924</v>
      </c>
      <c r="Z2" s="4" t="s">
        <v>2925</v>
      </c>
      <c r="AA2" s="4" t="s">
        <v>2926</v>
      </c>
      <c r="AB2" s="4" t="s">
        <v>2927</v>
      </c>
    </row>
    <row r="3" spans="1:33" x14ac:dyDescent="0.25">
      <c r="A3" s="52" t="s">
        <v>2928</v>
      </c>
      <c r="B3" s="4" t="s">
        <v>2929</v>
      </c>
      <c r="C3" s="52" t="s">
        <v>2930</v>
      </c>
      <c r="D3" s="4"/>
      <c r="E3" s="4" t="s">
        <v>2931</v>
      </c>
      <c r="F3" s="4" t="s">
        <v>2907</v>
      </c>
      <c r="G3" s="4" t="s">
        <v>2932</v>
      </c>
      <c r="H3" s="4"/>
      <c r="I3" s="4"/>
      <c r="J3" s="12" t="s">
        <v>2933</v>
      </c>
      <c r="K3" s="4" t="s">
        <v>2933</v>
      </c>
      <c r="L3" s="4" t="s">
        <v>2934</v>
      </c>
      <c r="M3" s="4" t="s">
        <v>2935</v>
      </c>
      <c r="N3" s="4"/>
      <c r="O3" s="4"/>
      <c r="P3" s="4"/>
      <c r="Q3" s="4" t="s">
        <v>2936</v>
      </c>
      <c r="R3" s="4"/>
      <c r="S3" s="4" t="s">
        <v>2937</v>
      </c>
      <c r="T3" s="4"/>
      <c r="U3" s="4"/>
      <c r="V3" s="4"/>
      <c r="W3" s="4"/>
      <c r="X3" s="4"/>
      <c r="Y3" s="4"/>
      <c r="Z3" s="4"/>
      <c r="AA3" s="4"/>
      <c r="AB3" s="4"/>
      <c r="AD3" s="12" t="s">
        <v>4568</v>
      </c>
      <c r="AE3" s="12" t="s">
        <v>4566</v>
      </c>
      <c r="AF3" s="12" t="s">
        <v>4569</v>
      </c>
      <c r="AG3" s="12" t="s">
        <v>4567</v>
      </c>
    </row>
    <row r="4" spans="1:33" x14ac:dyDescent="0.25">
      <c r="A4" s="50" t="s">
        <v>2938</v>
      </c>
      <c r="B4" s="4">
        <v>0</v>
      </c>
      <c r="C4" s="53" t="s">
        <v>2939</v>
      </c>
      <c r="D4" s="4">
        <v>0</v>
      </c>
      <c r="E4" s="4"/>
      <c r="F4" s="4">
        <v>0</v>
      </c>
      <c r="G4" s="4">
        <v>0</v>
      </c>
      <c r="H4" s="4" t="s">
        <v>2940</v>
      </c>
      <c r="I4" s="4" t="s">
        <v>2940</v>
      </c>
      <c r="J4" s="4" t="e">
        <f ca="1">IF(Z4="US",K4,VLOOKUP(Z4,'3032'!$AL$4:$AM$20,2,FALSE)*K4)</f>
        <v>#NAME?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/>
      <c r="V4" s="4" t="s">
        <v>2941</v>
      </c>
      <c r="W4" s="4" t="s">
        <v>2942</v>
      </c>
      <c r="X4" s="4" t="s">
        <v>2943</v>
      </c>
      <c r="Y4" s="4" t="s">
        <v>2944</v>
      </c>
      <c r="Z4" s="4" t="s">
        <v>2943</v>
      </c>
      <c r="AA4" s="4" t="s">
        <v>2945</v>
      </c>
      <c r="AB4" s="4" t="s">
        <v>2945</v>
      </c>
      <c r="AD4" s="10">
        <f>ABS(IF(S4&lt;1.99,($L4/$L$457)*S4,IF(AND(S4&gt;1.99,S4&lt;3.99),($L4/$L$458)*S4,IF(AND(S4&gt;3.99,S4&lt;5.99),($L4/$L$459)*S4,IF(AND(S4&gt;5.999,S4&lt;7.9999),($L4/$L$460)*S4,IF(AND(S4&gt;7.999,S4&lt;9.999),($L4/$L$461)*S4,IF(S4&gt;9.99,($L4/$L$462)*S4)))))))</f>
        <v>0</v>
      </c>
      <c r="AE4" s="10">
        <f>IF(P4&lt;1.99,($L4/$L$441)*P4,IF(AND(P4&gt;1.99,P4&lt;3.99),($L4/$L$442)*P4,IF(AND(P4&gt;3.99,P4&lt;5.99),($L4/$L$443)*P4,IF(AND(P4&gt;5.99,P4&lt;7.99),($L4/$L$444)*P4,IF(AND(P4&gt;7.99,P4&lt;9.99),($L4/$L$445)*P4,IF(P4&gt;9.99,($L4/$L$446)*P4))))))</f>
        <v>0</v>
      </c>
      <c r="AF4" s="10">
        <f t="shared" ref="AF4:AF67" si="0">IF(R4&lt;199.99,($L4/$L$449)*R4,IF(AND(R4&gt;199.99,R4&lt;399.99),($L4/$L$450)*R4,IF(AND(R4&gt;399.99,R4&lt;599.99),($L4/$L$451)*R4,IF(AND(R4&gt;599.99,R4&lt;799.99),($L4/$L$452)*R4,IF(AND(R4&gt;799.99,R4&lt;999.99),($L4/$L$453)*R4,IF(R4&gt;999.99,($L4/$L$454)*R4))))))</f>
        <v>0</v>
      </c>
      <c r="AG4" s="10" t="e">
        <f t="shared" ref="AG4:AG67" ca="1" si="1">IF(J4&lt;49.999,($L4/$L$465)*J4,IF(AND(J4&gt;49.999,J4&lt;79.999),($L4/$L$466)*J4,IF(AND(J4&gt;79.999,J4&lt;99.999),($L4/$L$467)*J4,IF(AND(J4&gt;99.999,J4&lt;119.999),($L4/$L$468)*J4,IF(AND(J4&gt;119.999,J4&lt;139.999),($L4/$L$469)*J4,IF(J4&gt;139.999,($L4/$L$470)*J4))))))</f>
        <v>#NAME?</v>
      </c>
    </row>
    <row r="5" spans="1:33" x14ac:dyDescent="0.25">
      <c r="A5" s="50" t="s">
        <v>2946</v>
      </c>
      <c r="B5" s="4">
        <v>0</v>
      </c>
      <c r="C5" s="53" t="s">
        <v>2947</v>
      </c>
      <c r="D5" s="4">
        <v>0.25</v>
      </c>
      <c r="E5" s="4"/>
      <c r="F5" s="4">
        <v>0</v>
      </c>
      <c r="G5" s="4">
        <v>0</v>
      </c>
      <c r="H5" s="4" t="s">
        <v>2940</v>
      </c>
      <c r="I5" s="4" t="s">
        <v>2940</v>
      </c>
      <c r="J5" s="4" t="e">
        <f ca="1">IF(Z5="US",K5,VLOOKUP(Z5,'3032'!$AL$4:$AM$20,2,FALSE)*K5)</f>
        <v>#NAME?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/>
      <c r="V5" s="4" t="s">
        <v>2941</v>
      </c>
      <c r="W5" s="4" t="s">
        <v>2942</v>
      </c>
      <c r="X5" s="4" t="s">
        <v>2948</v>
      </c>
      <c r="Y5" s="4" t="s">
        <v>2949</v>
      </c>
      <c r="Z5" s="4" t="s">
        <v>2948</v>
      </c>
      <c r="AA5" s="4" t="s">
        <v>2945</v>
      </c>
      <c r="AB5" s="4" t="s">
        <v>3033</v>
      </c>
      <c r="AD5" s="10">
        <f t="shared" ref="AD5:AD68" si="2">ABS(IF(S5&lt;1.99,($L5/$L$457)*S5,IF(AND(S5&gt;1.99,S5&lt;3.99),($L5/$L$458)*S5,IF(AND(S5&gt;3.99,S5&lt;5.99),($L5/$L$459)*S5,IF(AND(S5&gt;5.999,S5&lt;7.9999),($L5/$L$460)*S5,IF(AND(S5&gt;7.999,S5&lt;9.999),($L5/$L$461)*S5,IF(S5&gt;9.99,($L5/$L$462)*S5)))))))</f>
        <v>0</v>
      </c>
      <c r="AE5" s="10">
        <f t="shared" ref="AE5:AE67" si="3">IF(P5&lt;1.99,($L5/$L$441)*P5,IF(AND(P5&gt;1.99,P5&lt;3.99),($L5/$L$442)*P5,IF(AND(P5&gt;3.99,P5&lt;5.99),($L5/$L$443)*P5,IF(AND(P5&gt;5.99,P5&lt;7.99),($L5/$L$444)*P5,IF(AND(P5&gt;7.99,P5&lt;9.99),($L5/$L$445)*P5,IF(P5&gt;9.99,($L5/$L$446)*P5))))))</f>
        <v>0</v>
      </c>
      <c r="AF5" s="10">
        <f t="shared" si="0"/>
        <v>0</v>
      </c>
      <c r="AG5" s="10" t="e">
        <f t="shared" ca="1" si="1"/>
        <v>#NAME?</v>
      </c>
    </row>
    <row r="6" spans="1:33" x14ac:dyDescent="0.25">
      <c r="A6" s="50" t="s">
        <v>3327</v>
      </c>
      <c r="B6" s="4">
        <v>0</v>
      </c>
      <c r="C6" s="53" t="s">
        <v>3328</v>
      </c>
      <c r="D6" s="4">
        <v>0</v>
      </c>
      <c r="E6" s="4"/>
      <c r="F6" s="4">
        <v>0</v>
      </c>
      <c r="G6" s="4">
        <v>0</v>
      </c>
      <c r="H6" s="4" t="s">
        <v>2940</v>
      </c>
      <c r="I6" s="4" t="s">
        <v>2940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/>
      <c r="V6" s="4" t="s">
        <v>2941</v>
      </c>
      <c r="W6" s="4" t="s">
        <v>2942</v>
      </c>
      <c r="X6" s="4" t="s">
        <v>3329</v>
      </c>
      <c r="Y6" s="4" t="s">
        <v>3330</v>
      </c>
      <c r="Z6" s="4" t="s">
        <v>3329</v>
      </c>
      <c r="AA6" s="4" t="s">
        <v>2945</v>
      </c>
      <c r="AB6" s="4" t="s">
        <v>2945</v>
      </c>
      <c r="AD6" s="10">
        <f t="shared" si="2"/>
        <v>0</v>
      </c>
      <c r="AE6" s="10">
        <f t="shared" si="3"/>
        <v>0</v>
      </c>
      <c r="AF6" s="10">
        <f t="shared" si="0"/>
        <v>0</v>
      </c>
      <c r="AG6" s="10">
        <f t="shared" ca="1" si="1"/>
        <v>0</v>
      </c>
    </row>
    <row r="7" spans="1:33" x14ac:dyDescent="0.25">
      <c r="A7" s="50" t="s">
        <v>2950</v>
      </c>
      <c r="B7" s="4">
        <v>63452</v>
      </c>
      <c r="C7" s="53" t="s">
        <v>2951</v>
      </c>
      <c r="D7" s="4">
        <v>0.25</v>
      </c>
      <c r="E7" s="4"/>
      <c r="F7" s="4">
        <v>0</v>
      </c>
      <c r="G7" s="4">
        <v>0</v>
      </c>
      <c r="H7" s="4" t="s">
        <v>2940</v>
      </c>
      <c r="I7" s="4" t="s">
        <v>2940</v>
      </c>
      <c r="J7" s="4" t="e">
        <f ca="1">IF(Z7="US",K7,VLOOKUP(Z7,'3032'!$AL$4:$AM$20,2,FALSE)*K7)</f>
        <v>#NAME?</v>
      </c>
      <c r="K7" s="4">
        <v>0</v>
      </c>
      <c r="L7" s="4">
        <v>37459</v>
      </c>
      <c r="M7" s="4">
        <v>0</v>
      </c>
      <c r="N7" s="4">
        <v>8.9490000000000004E-3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/>
      <c r="V7" s="4" t="s">
        <v>2941</v>
      </c>
      <c r="W7" s="4" t="s">
        <v>2942</v>
      </c>
      <c r="X7" s="4" t="s">
        <v>2952</v>
      </c>
      <c r="Y7" s="4" t="s">
        <v>2953</v>
      </c>
      <c r="Z7" s="4" t="s">
        <v>2952</v>
      </c>
      <c r="AA7" s="4" t="s">
        <v>2945</v>
      </c>
      <c r="AB7" s="4" t="s">
        <v>2945</v>
      </c>
      <c r="AD7" s="10">
        <f t="shared" si="2"/>
        <v>0</v>
      </c>
      <c r="AE7" s="10">
        <f t="shared" si="3"/>
        <v>0</v>
      </c>
      <c r="AF7" s="10">
        <f t="shared" si="0"/>
        <v>0</v>
      </c>
      <c r="AG7" s="10" t="e">
        <f t="shared" ca="1" si="1"/>
        <v>#NAME?</v>
      </c>
    </row>
    <row r="8" spans="1:33" x14ac:dyDescent="0.25">
      <c r="A8" s="50" t="s">
        <v>2954</v>
      </c>
      <c r="B8" s="4">
        <v>2</v>
      </c>
      <c r="C8" s="53" t="s">
        <v>2955</v>
      </c>
      <c r="D8" s="4">
        <v>0.25</v>
      </c>
      <c r="E8" s="4"/>
      <c r="F8" s="4">
        <v>0</v>
      </c>
      <c r="G8" s="4">
        <v>0</v>
      </c>
      <c r="H8" s="4" t="s">
        <v>2940</v>
      </c>
      <c r="I8" s="4" t="s">
        <v>2940</v>
      </c>
      <c r="J8" s="4" t="e">
        <f ca="1">IF(Z8="US",K8,VLOOKUP(Z8,'3032'!$AL$4:$AM$20,2,FALSE)*K8)</f>
        <v>#NAME?</v>
      </c>
      <c r="K8" s="4">
        <v>0</v>
      </c>
      <c r="L8" s="4">
        <v>2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/>
      <c r="V8" s="4" t="s">
        <v>2941</v>
      </c>
      <c r="W8" s="4" t="s">
        <v>2942</v>
      </c>
      <c r="X8" s="4" t="s">
        <v>2956</v>
      </c>
      <c r="Y8" s="4" t="s">
        <v>2957</v>
      </c>
      <c r="Z8" s="4" t="s">
        <v>2956</v>
      </c>
      <c r="AA8" s="4" t="s">
        <v>2945</v>
      </c>
      <c r="AB8" s="4" t="s">
        <v>2945</v>
      </c>
      <c r="AD8" s="10">
        <f t="shared" si="2"/>
        <v>0</v>
      </c>
      <c r="AE8" s="10">
        <f t="shared" si="3"/>
        <v>0</v>
      </c>
      <c r="AF8" s="10">
        <f t="shared" si="0"/>
        <v>0</v>
      </c>
      <c r="AG8" s="10" t="e">
        <f t="shared" ca="1" si="1"/>
        <v>#NAME?</v>
      </c>
    </row>
    <row r="9" spans="1:33" x14ac:dyDescent="0.25">
      <c r="A9" s="50" t="s">
        <v>2958</v>
      </c>
      <c r="B9" s="4">
        <v>6636396</v>
      </c>
      <c r="C9" s="53" t="s">
        <v>2959</v>
      </c>
      <c r="D9" s="4">
        <v>0.09</v>
      </c>
      <c r="E9" s="4"/>
      <c r="F9" s="4">
        <v>0</v>
      </c>
      <c r="G9" s="4">
        <v>0</v>
      </c>
      <c r="H9" s="4" t="s">
        <v>2940</v>
      </c>
      <c r="I9" s="4" t="s">
        <v>2940</v>
      </c>
      <c r="J9" s="4">
        <f>IF(Z9="US",K9,VLOOKUP(Z9,'3032'!$AL$4:$AM$20,2,FALSE)*K9)</f>
        <v>0</v>
      </c>
      <c r="K9" s="4">
        <v>0</v>
      </c>
      <c r="L9" s="4">
        <v>6636396</v>
      </c>
      <c r="M9" s="4">
        <v>0</v>
      </c>
      <c r="N9" s="4">
        <v>1.5855170000000001</v>
      </c>
      <c r="O9" s="4">
        <v>0.25</v>
      </c>
      <c r="P9" s="4">
        <v>0.25</v>
      </c>
      <c r="Q9" s="4">
        <v>0</v>
      </c>
      <c r="R9" s="4">
        <v>0</v>
      </c>
      <c r="S9" s="4">
        <v>0</v>
      </c>
      <c r="T9" s="4">
        <v>0</v>
      </c>
      <c r="U9" s="4"/>
      <c r="V9" s="4" t="s">
        <v>2941</v>
      </c>
      <c r="W9" s="4" t="s">
        <v>2942</v>
      </c>
      <c r="X9" s="4" t="s">
        <v>2960</v>
      </c>
      <c r="Y9" s="4" t="s">
        <v>2961</v>
      </c>
      <c r="Z9" s="4" t="s">
        <v>2962</v>
      </c>
      <c r="AA9" s="4" t="s">
        <v>2945</v>
      </c>
      <c r="AB9" s="4" t="s">
        <v>2945</v>
      </c>
      <c r="AD9" s="10">
        <f t="shared" si="2"/>
        <v>0</v>
      </c>
      <c r="AE9" s="10">
        <f t="shared" si="3"/>
        <v>-1.7145191159024302</v>
      </c>
      <c r="AF9" s="10">
        <f t="shared" si="0"/>
        <v>0</v>
      </c>
      <c r="AG9" s="10">
        <f t="shared" ca="1" si="1"/>
        <v>0</v>
      </c>
    </row>
    <row r="10" spans="1:33" x14ac:dyDescent="0.25">
      <c r="A10" s="50" t="s">
        <v>3331</v>
      </c>
      <c r="B10" s="4">
        <v>0</v>
      </c>
      <c r="C10" s="53" t="s">
        <v>3332</v>
      </c>
      <c r="D10" s="4">
        <v>0.25</v>
      </c>
      <c r="E10" s="4"/>
      <c r="F10" s="4">
        <v>0</v>
      </c>
      <c r="G10" s="4">
        <v>0</v>
      </c>
      <c r="H10" s="4" t="s">
        <v>2940</v>
      </c>
      <c r="I10" s="4" t="s">
        <v>2940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/>
      <c r="V10" s="4" t="s">
        <v>2941</v>
      </c>
      <c r="W10" s="4" t="s">
        <v>2942</v>
      </c>
      <c r="X10" s="4" t="s">
        <v>3333</v>
      </c>
      <c r="Y10" s="4" t="s">
        <v>3334</v>
      </c>
      <c r="Z10" s="4" t="s">
        <v>3333</v>
      </c>
      <c r="AA10" s="4" t="s">
        <v>2945</v>
      </c>
      <c r="AB10" s="4" t="s">
        <v>3033</v>
      </c>
      <c r="AD10" s="10">
        <f t="shared" si="2"/>
        <v>0</v>
      </c>
      <c r="AE10" s="10">
        <f t="shared" si="3"/>
        <v>0</v>
      </c>
      <c r="AF10" s="10">
        <f t="shared" si="0"/>
        <v>0</v>
      </c>
      <c r="AG10" s="10">
        <f t="shared" ca="1" si="1"/>
        <v>0</v>
      </c>
    </row>
    <row r="11" spans="1:33" x14ac:dyDescent="0.25">
      <c r="A11" s="50" t="s">
        <v>2963</v>
      </c>
      <c r="B11" s="4">
        <v>0</v>
      </c>
      <c r="C11" s="53" t="s">
        <v>2964</v>
      </c>
      <c r="D11" s="4">
        <v>0.25</v>
      </c>
      <c r="E11" s="4"/>
      <c r="F11" s="4">
        <v>0</v>
      </c>
      <c r="G11" s="4">
        <v>0</v>
      </c>
      <c r="H11" s="4" t="s">
        <v>2940</v>
      </c>
      <c r="I11" s="4" t="s">
        <v>2940</v>
      </c>
      <c r="J11" s="4" t="e">
        <f ca="1">IF(Z11="US",K11,VLOOKUP(Z11,'3032'!$AL$4:$AM$20,2,FALSE)*K11)</f>
        <v>#NAME?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/>
      <c r="V11" s="4" t="s">
        <v>2941</v>
      </c>
      <c r="W11" s="4" t="s">
        <v>2942</v>
      </c>
      <c r="X11" s="4" t="s">
        <v>2965</v>
      </c>
      <c r="Y11" s="4" t="s">
        <v>2966</v>
      </c>
      <c r="Z11" s="4" t="s">
        <v>2965</v>
      </c>
      <c r="AA11" s="4" t="s">
        <v>2945</v>
      </c>
      <c r="AB11" s="4" t="s">
        <v>2945</v>
      </c>
      <c r="AD11" s="10">
        <f t="shared" si="2"/>
        <v>0</v>
      </c>
      <c r="AE11" s="10">
        <f t="shared" si="3"/>
        <v>0</v>
      </c>
      <c r="AF11" s="10">
        <f t="shared" si="0"/>
        <v>0</v>
      </c>
      <c r="AG11" s="10" t="e">
        <f t="shared" ca="1" si="1"/>
        <v>#NAME?</v>
      </c>
    </row>
    <row r="12" spans="1:33" x14ac:dyDescent="0.25">
      <c r="A12" s="50" t="s">
        <v>2971</v>
      </c>
      <c r="B12" s="4">
        <v>0</v>
      </c>
      <c r="C12" s="53" t="s">
        <v>2972</v>
      </c>
      <c r="D12" s="4">
        <v>0.25</v>
      </c>
      <c r="E12" s="4"/>
      <c r="F12" s="4">
        <v>0</v>
      </c>
      <c r="G12" s="4">
        <v>0</v>
      </c>
      <c r="H12" s="4" t="s">
        <v>2940</v>
      </c>
      <c r="I12" s="4" t="s">
        <v>2940</v>
      </c>
      <c r="J12" s="4" t="e">
        <f ca="1">IF(Z12="US",K12,VLOOKUP(Z12,'3032'!$AL$4:$AM$20,2,FALSE)*K12)</f>
        <v>#NAME?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/>
      <c r="V12" s="4" t="s">
        <v>2941</v>
      </c>
      <c r="W12" s="4" t="s">
        <v>2942</v>
      </c>
      <c r="X12" s="4" t="s">
        <v>2973</v>
      </c>
      <c r="Y12" s="4" t="s">
        <v>2974</v>
      </c>
      <c r="Z12" s="4" t="s">
        <v>2973</v>
      </c>
      <c r="AA12" s="4" t="s">
        <v>2945</v>
      </c>
      <c r="AB12" s="4" t="s">
        <v>2945</v>
      </c>
      <c r="AD12" s="10">
        <f t="shared" si="2"/>
        <v>0</v>
      </c>
      <c r="AE12" s="10">
        <f t="shared" si="3"/>
        <v>0</v>
      </c>
      <c r="AF12" s="10">
        <f t="shared" si="0"/>
        <v>0</v>
      </c>
      <c r="AG12" s="10" t="e">
        <f t="shared" ca="1" si="1"/>
        <v>#NAME?</v>
      </c>
    </row>
    <row r="13" spans="1:33" x14ac:dyDescent="0.25">
      <c r="A13" s="50" t="s">
        <v>2975</v>
      </c>
      <c r="B13" s="4">
        <v>0</v>
      </c>
      <c r="C13" s="53" t="s">
        <v>2976</v>
      </c>
      <c r="D13" s="4">
        <v>0.25</v>
      </c>
      <c r="E13" s="4"/>
      <c r="F13" s="4">
        <v>0</v>
      </c>
      <c r="G13" s="4">
        <v>0</v>
      </c>
      <c r="H13" s="4" t="s">
        <v>2940</v>
      </c>
      <c r="I13" s="4" t="s">
        <v>2940</v>
      </c>
      <c r="J13" s="4" t="e">
        <f ca="1">IF(Z13="US",K13,VLOOKUP(Z13,'3032'!$AL$4:$AM$20,2,FALSE)*K13)</f>
        <v>#NAME?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/>
      <c r="V13" s="4" t="s">
        <v>2941</v>
      </c>
      <c r="W13" s="4" t="s">
        <v>2942</v>
      </c>
      <c r="X13" s="4" t="s">
        <v>2977</v>
      </c>
      <c r="Y13" s="4" t="s">
        <v>2978</v>
      </c>
      <c r="Z13" s="4" t="s">
        <v>2985</v>
      </c>
      <c r="AA13" s="4" t="s">
        <v>2945</v>
      </c>
      <c r="AB13" s="4" t="s">
        <v>2945</v>
      </c>
      <c r="AD13" s="10">
        <f t="shared" si="2"/>
        <v>0</v>
      </c>
      <c r="AE13" s="10">
        <f t="shared" si="3"/>
        <v>0</v>
      </c>
      <c r="AF13" s="10">
        <f t="shared" si="0"/>
        <v>0</v>
      </c>
      <c r="AG13" s="10" t="e">
        <f t="shared" ca="1" si="1"/>
        <v>#NAME?</v>
      </c>
    </row>
    <row r="14" spans="1:33" x14ac:dyDescent="0.25">
      <c r="A14" s="50" t="s">
        <v>3335</v>
      </c>
      <c r="B14" s="4">
        <v>0</v>
      </c>
      <c r="C14" s="53" t="s">
        <v>3336</v>
      </c>
      <c r="D14" s="4">
        <v>0</v>
      </c>
      <c r="E14" s="4"/>
      <c r="F14" s="4">
        <v>0</v>
      </c>
      <c r="G14" s="4">
        <v>0</v>
      </c>
      <c r="H14" s="4" t="s">
        <v>2940</v>
      </c>
      <c r="I14" s="4" t="s">
        <v>2940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/>
      <c r="V14" s="4" t="s">
        <v>2941</v>
      </c>
      <c r="W14" s="4" t="s">
        <v>2942</v>
      </c>
      <c r="X14" s="4" t="s">
        <v>3337</v>
      </c>
      <c r="Y14" s="4" t="s">
        <v>3338</v>
      </c>
      <c r="Z14" s="4" t="s">
        <v>3337</v>
      </c>
      <c r="AA14" s="4" t="s">
        <v>2945</v>
      </c>
      <c r="AB14" s="4" t="s">
        <v>2945</v>
      </c>
      <c r="AD14" s="10">
        <f t="shared" si="2"/>
        <v>0</v>
      </c>
      <c r="AE14" s="10">
        <f t="shared" si="3"/>
        <v>0</v>
      </c>
      <c r="AF14" s="10">
        <f t="shared" si="0"/>
        <v>0</v>
      </c>
      <c r="AG14" s="10">
        <f t="shared" ca="1" si="1"/>
        <v>0</v>
      </c>
    </row>
    <row r="15" spans="1:33" x14ac:dyDescent="0.25">
      <c r="A15" s="50" t="s">
        <v>2979</v>
      </c>
      <c r="B15" s="4">
        <v>0</v>
      </c>
      <c r="C15" s="53" t="s">
        <v>2980</v>
      </c>
      <c r="D15" s="4">
        <v>0.25</v>
      </c>
      <c r="E15" s="4"/>
      <c r="F15" s="4">
        <v>0</v>
      </c>
      <c r="G15" s="4">
        <v>0</v>
      </c>
      <c r="H15" s="4" t="s">
        <v>2940</v>
      </c>
      <c r="I15" s="4" t="s">
        <v>2940</v>
      </c>
      <c r="J15" s="4" t="e">
        <f ca="1">IF(Z15="US",K15,VLOOKUP(Z15,'3032'!$AL$4:$AM$20,2,FALSE)*K15)</f>
        <v>#NAME?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/>
      <c r="V15" s="4" t="s">
        <v>2941</v>
      </c>
      <c r="W15" s="4" t="s">
        <v>2942</v>
      </c>
      <c r="X15" s="4" t="s">
        <v>2981</v>
      </c>
      <c r="Y15" s="4" t="s">
        <v>2982</v>
      </c>
      <c r="Z15" s="4" t="s">
        <v>2981</v>
      </c>
      <c r="AA15" s="4" t="s">
        <v>2945</v>
      </c>
      <c r="AB15" s="4" t="s">
        <v>2945</v>
      </c>
      <c r="AD15" s="10">
        <f t="shared" si="2"/>
        <v>0</v>
      </c>
      <c r="AE15" s="10">
        <f t="shared" si="3"/>
        <v>0</v>
      </c>
      <c r="AF15" s="10">
        <f t="shared" si="0"/>
        <v>0</v>
      </c>
      <c r="AG15" s="10" t="e">
        <f t="shared" ca="1" si="1"/>
        <v>#NAME?</v>
      </c>
    </row>
    <row r="16" spans="1:33" x14ac:dyDescent="0.25">
      <c r="A16" s="50" t="s">
        <v>3339</v>
      </c>
      <c r="B16" s="4">
        <v>0</v>
      </c>
      <c r="C16" s="53" t="s">
        <v>3340</v>
      </c>
      <c r="D16" s="4">
        <v>0</v>
      </c>
      <c r="E16" s="4"/>
      <c r="F16" s="4">
        <v>0</v>
      </c>
      <c r="G16" s="4">
        <v>0</v>
      </c>
      <c r="H16" s="4" t="s">
        <v>2940</v>
      </c>
      <c r="I16" s="4" t="s">
        <v>2940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/>
      <c r="V16" s="4" t="s">
        <v>2941</v>
      </c>
      <c r="W16" s="4" t="s">
        <v>2942</v>
      </c>
      <c r="X16" s="4" t="s">
        <v>2945</v>
      </c>
      <c r="Y16" s="4" t="s">
        <v>3341</v>
      </c>
      <c r="Z16" s="4" t="s">
        <v>3342</v>
      </c>
      <c r="AA16" s="4" t="s">
        <v>2945</v>
      </c>
      <c r="AB16" s="4" t="s">
        <v>2945</v>
      </c>
      <c r="AD16" s="10">
        <f t="shared" si="2"/>
        <v>0</v>
      </c>
      <c r="AE16" s="10">
        <f t="shared" si="3"/>
        <v>0</v>
      </c>
      <c r="AF16" s="10">
        <f t="shared" si="0"/>
        <v>0</v>
      </c>
      <c r="AG16" s="10">
        <f t="shared" ca="1" si="1"/>
        <v>0</v>
      </c>
    </row>
    <row r="17" spans="1:33" x14ac:dyDescent="0.25">
      <c r="A17" s="50" t="s">
        <v>2983</v>
      </c>
      <c r="B17" s="4">
        <v>108372</v>
      </c>
      <c r="C17" s="53" t="s">
        <v>2984</v>
      </c>
      <c r="D17" s="4">
        <v>0.25</v>
      </c>
      <c r="E17" s="4"/>
      <c r="F17" s="4">
        <v>0</v>
      </c>
      <c r="G17" s="4">
        <v>0</v>
      </c>
      <c r="H17" s="4" t="s">
        <v>2940</v>
      </c>
      <c r="I17" s="4" t="s">
        <v>2940</v>
      </c>
      <c r="J17" s="4" t="e">
        <f ca="1">IF(Z17="US",K17,VLOOKUP(Z17,'3032'!$AL$4:$AM$20,2,FALSE)*K17)</f>
        <v>#NAME?</v>
      </c>
      <c r="K17" s="4">
        <v>0</v>
      </c>
      <c r="L17" s="4">
        <v>151157</v>
      </c>
      <c r="M17" s="4">
        <v>0</v>
      </c>
      <c r="N17" s="4">
        <v>3.6112999999999999E-2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/>
      <c r="V17" s="4" t="s">
        <v>2941</v>
      </c>
      <c r="W17" s="4" t="s">
        <v>2942</v>
      </c>
      <c r="X17" s="4" t="s">
        <v>2985</v>
      </c>
      <c r="Y17" s="4" t="s">
        <v>2986</v>
      </c>
      <c r="Z17" s="4" t="s">
        <v>2985</v>
      </c>
      <c r="AA17" s="4" t="s">
        <v>2945</v>
      </c>
      <c r="AB17" s="4" t="s">
        <v>2945</v>
      </c>
      <c r="AD17" s="10">
        <f t="shared" si="2"/>
        <v>0</v>
      </c>
      <c r="AE17" s="10">
        <f t="shared" si="3"/>
        <v>0</v>
      </c>
      <c r="AF17" s="10">
        <f t="shared" si="0"/>
        <v>0</v>
      </c>
      <c r="AG17" s="10" t="e">
        <f t="shared" ca="1" si="1"/>
        <v>#NAME?</v>
      </c>
    </row>
    <row r="18" spans="1:33" x14ac:dyDescent="0.25">
      <c r="A18" s="50" t="s">
        <v>3343</v>
      </c>
      <c r="B18" s="4">
        <v>0</v>
      </c>
      <c r="C18" s="53" t="s">
        <v>3344</v>
      </c>
      <c r="D18" s="4">
        <v>0.25</v>
      </c>
      <c r="E18" s="4"/>
      <c r="F18" s="4">
        <v>0</v>
      </c>
      <c r="G18" s="4">
        <v>0</v>
      </c>
      <c r="H18" s="4" t="s">
        <v>2940</v>
      </c>
      <c r="I18" s="4" t="s">
        <v>2940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/>
      <c r="V18" s="4" t="s">
        <v>2941</v>
      </c>
      <c r="W18" s="4" t="s">
        <v>2942</v>
      </c>
      <c r="X18" s="4" t="s">
        <v>3345</v>
      </c>
      <c r="Y18" s="4" t="s">
        <v>3346</v>
      </c>
      <c r="Z18" s="4" t="s">
        <v>3345</v>
      </c>
      <c r="AA18" s="4" t="s">
        <v>2945</v>
      </c>
      <c r="AB18" s="4" t="s">
        <v>2945</v>
      </c>
      <c r="AD18" s="10">
        <f t="shared" si="2"/>
        <v>0</v>
      </c>
      <c r="AE18" s="10">
        <f t="shared" si="3"/>
        <v>0</v>
      </c>
      <c r="AF18" s="10">
        <f t="shared" si="0"/>
        <v>0</v>
      </c>
      <c r="AG18" s="10">
        <f t="shared" ca="1" si="1"/>
        <v>0</v>
      </c>
    </row>
    <row r="19" spans="1:33" x14ac:dyDescent="0.25">
      <c r="A19" s="50" t="s">
        <v>3347</v>
      </c>
      <c r="B19" s="4">
        <v>0</v>
      </c>
      <c r="C19" s="53" t="s">
        <v>3348</v>
      </c>
      <c r="D19" s="4">
        <v>0.25</v>
      </c>
      <c r="E19" s="4"/>
      <c r="F19" s="4">
        <v>0</v>
      </c>
      <c r="G19" s="4">
        <v>0</v>
      </c>
      <c r="H19" s="4" t="s">
        <v>2940</v>
      </c>
      <c r="I19" s="4" t="s">
        <v>2940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/>
      <c r="V19" s="4" t="s">
        <v>2941</v>
      </c>
      <c r="W19" s="4" t="s">
        <v>2942</v>
      </c>
      <c r="X19" s="4" t="s">
        <v>3349</v>
      </c>
      <c r="Y19" s="4" t="s">
        <v>3150</v>
      </c>
      <c r="Z19" s="4" t="s">
        <v>3349</v>
      </c>
      <c r="AA19" s="4" t="s">
        <v>2945</v>
      </c>
      <c r="AB19" s="4" t="s">
        <v>2945</v>
      </c>
      <c r="AD19" s="10">
        <f t="shared" si="2"/>
        <v>0</v>
      </c>
      <c r="AE19" s="10">
        <f t="shared" si="3"/>
        <v>0</v>
      </c>
      <c r="AF19" s="10">
        <f t="shared" si="0"/>
        <v>0</v>
      </c>
      <c r="AG19" s="10">
        <f t="shared" ca="1" si="1"/>
        <v>0</v>
      </c>
    </row>
    <row r="20" spans="1:33" x14ac:dyDescent="0.25">
      <c r="A20" s="50" t="s">
        <v>2987</v>
      </c>
      <c r="B20" s="4">
        <v>47272</v>
      </c>
      <c r="C20" s="53" t="s">
        <v>2988</v>
      </c>
      <c r="D20" s="4">
        <v>0.25</v>
      </c>
      <c r="E20" s="4"/>
      <c r="F20" s="4">
        <v>0</v>
      </c>
      <c r="G20" s="4">
        <v>0</v>
      </c>
      <c r="H20" s="4" t="s">
        <v>2940</v>
      </c>
      <c r="I20" s="4" t="s">
        <v>2940</v>
      </c>
      <c r="J20" s="4" t="e">
        <f ca="1">IF(Z20="US",K20,VLOOKUP(Z20,'3032'!$AL$4:$AM$20,2,FALSE)*K20)</f>
        <v>#NAME?</v>
      </c>
      <c r="K20" s="4">
        <v>0</v>
      </c>
      <c r="L20" s="4">
        <v>76302</v>
      </c>
      <c r="M20" s="4">
        <v>0</v>
      </c>
      <c r="N20" s="4">
        <v>1.8228999999999999E-2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/>
      <c r="V20" s="4" t="s">
        <v>2941</v>
      </c>
      <c r="W20" s="4" t="s">
        <v>2942</v>
      </c>
      <c r="X20" s="4" t="s">
        <v>2989</v>
      </c>
      <c r="Y20" s="4" t="s">
        <v>2990</v>
      </c>
      <c r="Z20" s="4" t="s">
        <v>2989</v>
      </c>
      <c r="AA20" s="4" t="s">
        <v>2945</v>
      </c>
      <c r="AB20" s="4" t="s">
        <v>2945</v>
      </c>
      <c r="AD20" s="10">
        <f t="shared" si="2"/>
        <v>0</v>
      </c>
      <c r="AE20" s="10">
        <f t="shared" si="3"/>
        <v>0</v>
      </c>
      <c r="AF20" s="10">
        <f t="shared" si="0"/>
        <v>0</v>
      </c>
      <c r="AG20" s="10" t="e">
        <f t="shared" ca="1" si="1"/>
        <v>#NAME?</v>
      </c>
    </row>
    <row r="21" spans="1:33" x14ac:dyDescent="0.25">
      <c r="A21" s="50" t="s">
        <v>3350</v>
      </c>
      <c r="B21" s="4">
        <v>0</v>
      </c>
      <c r="C21" s="53" t="s">
        <v>3351</v>
      </c>
      <c r="D21" s="4">
        <v>0</v>
      </c>
      <c r="E21" s="4"/>
      <c r="F21" s="4">
        <v>0</v>
      </c>
      <c r="G21" s="4">
        <v>0</v>
      </c>
      <c r="H21" s="4" t="s">
        <v>2940</v>
      </c>
      <c r="I21" s="4" t="s">
        <v>2940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/>
      <c r="V21" s="4" t="s">
        <v>2941</v>
      </c>
      <c r="W21" s="4" t="s">
        <v>2942</v>
      </c>
      <c r="X21" s="4" t="s">
        <v>3352</v>
      </c>
      <c r="Y21" s="4" t="s">
        <v>3353</v>
      </c>
      <c r="Z21" s="4" t="s">
        <v>3352</v>
      </c>
      <c r="AA21" s="4" t="s">
        <v>2945</v>
      </c>
      <c r="AB21" s="4" t="s">
        <v>2945</v>
      </c>
      <c r="AD21" s="10">
        <f t="shared" si="2"/>
        <v>0</v>
      </c>
      <c r="AE21" s="10">
        <f t="shared" si="3"/>
        <v>0</v>
      </c>
      <c r="AF21" s="10">
        <f t="shared" si="0"/>
        <v>0</v>
      </c>
      <c r="AG21" s="10">
        <f t="shared" ca="1" si="1"/>
        <v>0</v>
      </c>
    </row>
    <row r="22" spans="1:33" x14ac:dyDescent="0.25">
      <c r="A22" s="50" t="s">
        <v>3354</v>
      </c>
      <c r="B22" s="4">
        <v>0</v>
      </c>
      <c r="C22" s="53" t="s">
        <v>3355</v>
      </c>
      <c r="D22" s="4">
        <v>0.25</v>
      </c>
      <c r="E22" s="4"/>
      <c r="F22" s="4">
        <v>0</v>
      </c>
      <c r="G22" s="4">
        <v>0</v>
      </c>
      <c r="H22" s="4" t="s">
        <v>2940</v>
      </c>
      <c r="I22" s="4" t="s">
        <v>2940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/>
      <c r="V22" s="4" t="s">
        <v>2941</v>
      </c>
      <c r="W22" s="4" t="s">
        <v>2942</v>
      </c>
      <c r="X22" s="4" t="s">
        <v>3356</v>
      </c>
      <c r="Y22" s="4" t="s">
        <v>3357</v>
      </c>
      <c r="Z22" s="4" t="s">
        <v>3356</v>
      </c>
      <c r="AA22" s="4" t="s">
        <v>2945</v>
      </c>
      <c r="AB22" s="4" t="s">
        <v>2945</v>
      </c>
      <c r="AD22" s="10">
        <f t="shared" si="2"/>
        <v>0</v>
      </c>
      <c r="AE22" s="10">
        <f t="shared" si="3"/>
        <v>0</v>
      </c>
      <c r="AF22" s="10">
        <f t="shared" si="0"/>
        <v>0</v>
      </c>
      <c r="AG22" s="10">
        <f t="shared" ca="1" si="1"/>
        <v>0</v>
      </c>
    </row>
    <row r="23" spans="1:33" x14ac:dyDescent="0.25">
      <c r="A23" s="50" t="s">
        <v>2991</v>
      </c>
      <c r="B23" s="4">
        <v>0</v>
      </c>
      <c r="C23" s="53" t="s">
        <v>2992</v>
      </c>
      <c r="D23" s="4">
        <v>0.25</v>
      </c>
      <c r="E23" s="4"/>
      <c r="F23" s="4">
        <v>0</v>
      </c>
      <c r="G23" s="4">
        <v>0</v>
      </c>
      <c r="H23" s="4" t="s">
        <v>2940</v>
      </c>
      <c r="I23" s="4" t="s">
        <v>2940</v>
      </c>
      <c r="J23" s="4" t="e">
        <f ca="1">IF(Z23="US",K23,VLOOKUP(Z23,'3032'!$AL$4:$AM$20,2,FALSE)*K23)</f>
        <v>#NAME?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/>
      <c r="V23" s="4" t="s">
        <v>2941</v>
      </c>
      <c r="W23" s="4" t="s">
        <v>2942</v>
      </c>
      <c r="X23" s="4" t="s">
        <v>2993</v>
      </c>
      <c r="Y23" s="4" t="s">
        <v>2994</v>
      </c>
      <c r="Z23" s="4" t="s">
        <v>2993</v>
      </c>
      <c r="AA23" s="4" t="s">
        <v>2945</v>
      </c>
      <c r="AB23" s="4" t="s">
        <v>2945</v>
      </c>
      <c r="AD23" s="10">
        <f t="shared" si="2"/>
        <v>0</v>
      </c>
      <c r="AE23" s="10">
        <f t="shared" si="3"/>
        <v>0</v>
      </c>
      <c r="AF23" s="10">
        <f t="shared" si="0"/>
        <v>0</v>
      </c>
      <c r="AG23" s="10" t="e">
        <f t="shared" ca="1" si="1"/>
        <v>#NAME?</v>
      </c>
    </row>
    <row r="24" spans="1:33" x14ac:dyDescent="0.25">
      <c r="A24" s="50" t="s">
        <v>3358</v>
      </c>
      <c r="B24" s="4">
        <v>0</v>
      </c>
      <c r="C24" s="53" t="s">
        <v>3359</v>
      </c>
      <c r="D24" s="4">
        <v>0.25</v>
      </c>
      <c r="E24" s="4"/>
      <c r="F24" s="4">
        <v>0</v>
      </c>
      <c r="G24" s="4">
        <v>0</v>
      </c>
      <c r="H24" s="4" t="s">
        <v>2940</v>
      </c>
      <c r="I24" s="4" t="s">
        <v>2940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/>
      <c r="V24" s="4" t="s">
        <v>2941</v>
      </c>
      <c r="W24" s="4" t="s">
        <v>2942</v>
      </c>
      <c r="X24" s="4" t="s">
        <v>3360</v>
      </c>
      <c r="Y24" s="4" t="s">
        <v>3241</v>
      </c>
      <c r="Z24" s="4" t="s">
        <v>3360</v>
      </c>
      <c r="AA24" s="4" t="s">
        <v>2945</v>
      </c>
      <c r="AB24" s="4" t="s">
        <v>2945</v>
      </c>
      <c r="AD24" s="10">
        <f t="shared" si="2"/>
        <v>0</v>
      </c>
      <c r="AE24" s="10">
        <f t="shared" si="3"/>
        <v>0</v>
      </c>
      <c r="AF24" s="10">
        <f t="shared" si="0"/>
        <v>0</v>
      </c>
      <c r="AG24" s="10">
        <f t="shared" ca="1" si="1"/>
        <v>0</v>
      </c>
    </row>
    <row r="25" spans="1:33" x14ac:dyDescent="0.25">
      <c r="A25" s="50" t="s">
        <v>3361</v>
      </c>
      <c r="B25" s="4">
        <v>0</v>
      </c>
      <c r="C25" s="53" t="s">
        <v>3362</v>
      </c>
      <c r="D25" s="4">
        <v>0</v>
      </c>
      <c r="E25" s="4"/>
      <c r="F25" s="4">
        <v>0</v>
      </c>
      <c r="G25" s="4">
        <v>0</v>
      </c>
      <c r="H25" s="4" t="s">
        <v>2940</v>
      </c>
      <c r="I25" s="4" t="s">
        <v>2940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/>
      <c r="V25" s="4" t="s">
        <v>2941</v>
      </c>
      <c r="W25" s="4" t="s">
        <v>2942</v>
      </c>
      <c r="X25" s="4" t="s">
        <v>3363</v>
      </c>
      <c r="Y25" s="4" t="s">
        <v>3191</v>
      </c>
      <c r="Z25" s="4" t="s">
        <v>3363</v>
      </c>
      <c r="AA25" s="4" t="s">
        <v>2945</v>
      </c>
      <c r="AB25" s="4" t="s">
        <v>2945</v>
      </c>
      <c r="AD25" s="10">
        <f t="shared" si="2"/>
        <v>0</v>
      </c>
      <c r="AE25" s="10">
        <f t="shared" si="3"/>
        <v>0</v>
      </c>
      <c r="AF25" s="10">
        <f t="shared" si="0"/>
        <v>0</v>
      </c>
      <c r="AG25" s="10">
        <f t="shared" ca="1" si="1"/>
        <v>0</v>
      </c>
    </row>
    <row r="26" spans="1:33" x14ac:dyDescent="0.25">
      <c r="A26" s="50" t="s">
        <v>2995</v>
      </c>
      <c r="B26" s="4">
        <v>0</v>
      </c>
      <c r="C26" s="53" t="s">
        <v>2996</v>
      </c>
      <c r="D26" s="4">
        <v>0</v>
      </c>
      <c r="E26" s="4"/>
      <c r="F26" s="4">
        <v>0</v>
      </c>
      <c r="G26" s="4">
        <v>0</v>
      </c>
      <c r="H26" s="4" t="s">
        <v>2940</v>
      </c>
      <c r="I26" s="4" t="s">
        <v>2940</v>
      </c>
      <c r="J26" s="4" t="e">
        <f ca="1">IF(Z26="US",K26,VLOOKUP(Z26,'3032'!$AL$4:$AM$20,2,FALSE)*K26)</f>
        <v>#NAME?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/>
      <c r="V26" s="4" t="s">
        <v>2941</v>
      </c>
      <c r="W26" s="4" t="s">
        <v>2942</v>
      </c>
      <c r="X26" s="4" t="s">
        <v>2997</v>
      </c>
      <c r="Y26" s="4" t="s">
        <v>2998</v>
      </c>
      <c r="Z26" s="4" t="s">
        <v>2997</v>
      </c>
      <c r="AA26" s="4" t="s">
        <v>2945</v>
      </c>
      <c r="AB26" s="4" t="s">
        <v>3042</v>
      </c>
      <c r="AD26" s="10">
        <f t="shared" si="2"/>
        <v>0</v>
      </c>
      <c r="AE26" s="10">
        <f t="shared" si="3"/>
        <v>0</v>
      </c>
      <c r="AF26" s="10">
        <f t="shared" si="0"/>
        <v>0</v>
      </c>
      <c r="AG26" s="10" t="e">
        <f t="shared" ca="1" si="1"/>
        <v>#NAME?</v>
      </c>
    </row>
    <row r="27" spans="1:33" x14ac:dyDescent="0.25">
      <c r="A27" s="50" t="s">
        <v>2999</v>
      </c>
      <c r="B27" s="4">
        <v>-144117</v>
      </c>
      <c r="C27" s="53" t="s">
        <v>3000</v>
      </c>
      <c r="D27" s="4">
        <v>0.09</v>
      </c>
      <c r="E27" s="4"/>
      <c r="F27" s="4">
        <v>0</v>
      </c>
      <c r="G27" s="4">
        <v>0</v>
      </c>
      <c r="H27" s="4" t="s">
        <v>2940</v>
      </c>
      <c r="I27" s="4" t="s">
        <v>2940</v>
      </c>
      <c r="J27" s="4">
        <f>IF(Z27="US",K27,VLOOKUP(Z27,'3032'!$AL$4:$AM$20,2,FALSE)*K27)</f>
        <v>0</v>
      </c>
      <c r="K27" s="4">
        <v>0</v>
      </c>
      <c r="L27" s="4">
        <v>-144117</v>
      </c>
      <c r="M27" s="4">
        <v>0</v>
      </c>
      <c r="N27" s="4">
        <v>-3.4431000000000003E-2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/>
      <c r="V27" s="4" t="s">
        <v>2941</v>
      </c>
      <c r="W27" s="4" t="s">
        <v>2942</v>
      </c>
      <c r="X27" s="4" t="s">
        <v>2960</v>
      </c>
      <c r="Y27" s="4" t="s">
        <v>2961</v>
      </c>
      <c r="Z27" s="4" t="s">
        <v>2962</v>
      </c>
      <c r="AA27" s="4" t="s">
        <v>2945</v>
      </c>
      <c r="AB27" s="4" t="s">
        <v>2945</v>
      </c>
      <c r="AD27" s="10">
        <f t="shared" si="2"/>
        <v>0</v>
      </c>
      <c r="AE27" s="10">
        <f t="shared" si="3"/>
        <v>0</v>
      </c>
      <c r="AF27" s="10">
        <f t="shared" si="0"/>
        <v>0</v>
      </c>
      <c r="AG27" s="10">
        <f t="shared" ca="1" si="1"/>
        <v>0</v>
      </c>
    </row>
    <row r="28" spans="1:33" x14ac:dyDescent="0.25">
      <c r="A28" s="50" t="s">
        <v>3001</v>
      </c>
      <c r="B28" s="4">
        <v>0</v>
      </c>
      <c r="C28" s="53" t="s">
        <v>3002</v>
      </c>
      <c r="D28" s="4">
        <v>0.25</v>
      </c>
      <c r="E28" s="4"/>
      <c r="F28" s="4">
        <v>0</v>
      </c>
      <c r="G28" s="4">
        <v>0</v>
      </c>
      <c r="H28" s="4" t="s">
        <v>2940</v>
      </c>
      <c r="I28" s="4" t="s">
        <v>2940</v>
      </c>
      <c r="J28" s="4" t="e">
        <f ca="1">IF(Z28="US",K28,VLOOKUP(Z28,'3032'!$AL$4:$AM$20,2,FALSE)*K28)</f>
        <v>#NAME?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/>
      <c r="V28" s="4" t="s">
        <v>2941</v>
      </c>
      <c r="W28" s="4" t="s">
        <v>2942</v>
      </c>
      <c r="X28" s="4" t="s">
        <v>3003</v>
      </c>
      <c r="Y28" s="4" t="s">
        <v>3004</v>
      </c>
      <c r="Z28" s="4" t="s">
        <v>3003</v>
      </c>
      <c r="AA28" s="4" t="s">
        <v>2945</v>
      </c>
      <c r="AB28" s="4" t="s">
        <v>2945</v>
      </c>
      <c r="AD28" s="10">
        <f t="shared" si="2"/>
        <v>0</v>
      </c>
      <c r="AE28" s="10">
        <f t="shared" si="3"/>
        <v>0</v>
      </c>
      <c r="AF28" s="10">
        <f t="shared" si="0"/>
        <v>0</v>
      </c>
      <c r="AG28" s="10" t="e">
        <f t="shared" ca="1" si="1"/>
        <v>#NAME?</v>
      </c>
    </row>
    <row r="29" spans="1:33" x14ac:dyDescent="0.25">
      <c r="A29" s="50" t="s">
        <v>3364</v>
      </c>
      <c r="B29" s="4">
        <v>0</v>
      </c>
      <c r="C29" s="53" t="s">
        <v>3365</v>
      </c>
      <c r="D29" s="4">
        <v>0.25</v>
      </c>
      <c r="E29" s="4"/>
      <c r="F29" s="4">
        <v>0</v>
      </c>
      <c r="G29" s="4">
        <v>0</v>
      </c>
      <c r="H29" s="4" t="s">
        <v>2940</v>
      </c>
      <c r="I29" s="4" t="s">
        <v>2940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/>
      <c r="V29" s="4" t="s">
        <v>2941</v>
      </c>
      <c r="W29" s="4" t="s">
        <v>2942</v>
      </c>
      <c r="X29" s="4" t="s">
        <v>3366</v>
      </c>
      <c r="Y29" s="4" t="s">
        <v>3367</v>
      </c>
      <c r="Z29" s="4" t="s">
        <v>3366</v>
      </c>
      <c r="AA29" s="4" t="s">
        <v>2945</v>
      </c>
      <c r="AB29" s="4" t="s">
        <v>2945</v>
      </c>
      <c r="AD29" s="10">
        <f t="shared" si="2"/>
        <v>0</v>
      </c>
      <c r="AE29" s="10">
        <f t="shared" si="3"/>
        <v>0</v>
      </c>
      <c r="AF29" s="10">
        <f t="shared" si="0"/>
        <v>0</v>
      </c>
      <c r="AG29" s="10">
        <f t="shared" ca="1" si="1"/>
        <v>0</v>
      </c>
    </row>
    <row r="30" spans="1:33" x14ac:dyDescent="0.25">
      <c r="A30" s="50" t="s">
        <v>3368</v>
      </c>
      <c r="B30" s="4">
        <v>0</v>
      </c>
      <c r="C30" s="53" t="s">
        <v>3369</v>
      </c>
      <c r="D30" s="4">
        <v>0</v>
      </c>
      <c r="E30" s="4"/>
      <c r="F30" s="4">
        <v>0</v>
      </c>
      <c r="G30" s="4">
        <v>0</v>
      </c>
      <c r="H30" s="4" t="s">
        <v>2940</v>
      </c>
      <c r="I30" s="4" t="s">
        <v>2940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/>
      <c r="V30" s="4" t="s">
        <v>2941</v>
      </c>
      <c r="W30" s="4" t="s">
        <v>2942</v>
      </c>
      <c r="X30" s="4" t="s">
        <v>3370</v>
      </c>
      <c r="Y30" s="4" t="s">
        <v>3371</v>
      </c>
      <c r="Z30" s="4" t="s">
        <v>3370</v>
      </c>
      <c r="AA30" s="4" t="s">
        <v>2945</v>
      </c>
      <c r="AB30" s="4" t="s">
        <v>2945</v>
      </c>
      <c r="AD30" s="10">
        <f t="shared" si="2"/>
        <v>0</v>
      </c>
      <c r="AE30" s="10">
        <f t="shared" si="3"/>
        <v>0</v>
      </c>
      <c r="AF30" s="10">
        <f t="shared" si="0"/>
        <v>0</v>
      </c>
      <c r="AG30" s="10">
        <f t="shared" ca="1" si="1"/>
        <v>0</v>
      </c>
    </row>
    <row r="31" spans="1:33" x14ac:dyDescent="0.25">
      <c r="A31" s="50" t="s">
        <v>3009</v>
      </c>
      <c r="B31" s="4">
        <v>0</v>
      </c>
      <c r="C31" s="53" t="s">
        <v>3010</v>
      </c>
      <c r="D31" s="4">
        <v>0</v>
      </c>
      <c r="E31" s="4"/>
      <c r="F31" s="4">
        <v>0</v>
      </c>
      <c r="G31" s="4">
        <v>0</v>
      </c>
      <c r="H31" s="4" t="s">
        <v>2940</v>
      </c>
      <c r="I31" s="4" t="s">
        <v>2940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/>
      <c r="V31" s="4" t="s">
        <v>2941</v>
      </c>
      <c r="W31" s="4" t="s">
        <v>2942</v>
      </c>
      <c r="X31" s="4" t="s">
        <v>3011</v>
      </c>
      <c r="Y31" s="4" t="s">
        <v>3012</v>
      </c>
      <c r="Z31" s="4" t="s">
        <v>3011</v>
      </c>
      <c r="AA31" s="4" t="s">
        <v>2945</v>
      </c>
      <c r="AB31" s="4" t="s">
        <v>2945</v>
      </c>
      <c r="AD31" s="10">
        <f t="shared" si="2"/>
        <v>0</v>
      </c>
      <c r="AE31" s="10">
        <f t="shared" si="3"/>
        <v>0</v>
      </c>
      <c r="AF31" s="10">
        <f t="shared" si="0"/>
        <v>0</v>
      </c>
      <c r="AG31" s="10">
        <f t="shared" ca="1" si="1"/>
        <v>0</v>
      </c>
    </row>
    <row r="32" spans="1:33" x14ac:dyDescent="0.25">
      <c r="A32" s="50" t="s">
        <v>3372</v>
      </c>
      <c r="B32" s="4">
        <v>0</v>
      </c>
      <c r="C32" s="53" t="s">
        <v>3373</v>
      </c>
      <c r="D32" s="4">
        <v>0</v>
      </c>
      <c r="E32" s="4"/>
      <c r="F32" s="4">
        <v>0</v>
      </c>
      <c r="G32" s="4">
        <v>0</v>
      </c>
      <c r="H32" s="4" t="s">
        <v>2940</v>
      </c>
      <c r="I32" s="4" t="s">
        <v>2940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/>
      <c r="V32" s="4" t="s">
        <v>2941</v>
      </c>
      <c r="W32" s="4" t="s">
        <v>2942</v>
      </c>
      <c r="X32" s="4" t="s">
        <v>3374</v>
      </c>
      <c r="Y32" s="4" t="s">
        <v>3375</v>
      </c>
      <c r="Z32" s="4" t="s">
        <v>3374</v>
      </c>
      <c r="AA32" s="4" t="s">
        <v>2945</v>
      </c>
      <c r="AB32" s="4" t="s">
        <v>2945</v>
      </c>
      <c r="AD32" s="10">
        <f t="shared" si="2"/>
        <v>0</v>
      </c>
      <c r="AE32" s="10">
        <f t="shared" si="3"/>
        <v>0</v>
      </c>
      <c r="AF32" s="10">
        <f t="shared" si="0"/>
        <v>0</v>
      </c>
      <c r="AG32" s="10">
        <f t="shared" ca="1" si="1"/>
        <v>0</v>
      </c>
    </row>
    <row r="33" spans="1:33" x14ac:dyDescent="0.25">
      <c r="A33" s="50" t="s">
        <v>3376</v>
      </c>
      <c r="B33" s="4">
        <v>0</v>
      </c>
      <c r="C33" s="53" t="s">
        <v>3377</v>
      </c>
      <c r="D33" s="4">
        <v>0</v>
      </c>
      <c r="E33" s="4"/>
      <c r="F33" s="4">
        <v>0</v>
      </c>
      <c r="G33" s="4">
        <v>0</v>
      </c>
      <c r="H33" s="4" t="s">
        <v>2940</v>
      </c>
      <c r="I33" s="4" t="s">
        <v>2940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/>
      <c r="V33" s="4" t="s">
        <v>2941</v>
      </c>
      <c r="W33" s="4" t="s">
        <v>2942</v>
      </c>
      <c r="X33" s="4" t="s">
        <v>3378</v>
      </c>
      <c r="Y33" s="4" t="s">
        <v>2986</v>
      </c>
      <c r="Z33" s="4" t="s">
        <v>3378</v>
      </c>
      <c r="AA33" s="4" t="s">
        <v>2945</v>
      </c>
      <c r="AB33" s="4" t="s">
        <v>2945</v>
      </c>
      <c r="AD33" s="10">
        <f t="shared" si="2"/>
        <v>0</v>
      </c>
      <c r="AE33" s="10">
        <f t="shared" si="3"/>
        <v>0</v>
      </c>
      <c r="AF33" s="10">
        <f t="shared" si="0"/>
        <v>0</v>
      </c>
      <c r="AG33" s="10">
        <f t="shared" ca="1" si="1"/>
        <v>0</v>
      </c>
    </row>
    <row r="34" spans="1:33" x14ac:dyDescent="0.25">
      <c r="A34" s="50" t="s">
        <v>3379</v>
      </c>
      <c r="B34" s="4">
        <v>0</v>
      </c>
      <c r="C34" s="53" t="s">
        <v>3380</v>
      </c>
      <c r="D34" s="4">
        <v>0</v>
      </c>
      <c r="E34" s="4"/>
      <c r="F34" s="4">
        <v>0</v>
      </c>
      <c r="G34" s="4">
        <v>0</v>
      </c>
      <c r="H34" s="4" t="s">
        <v>2940</v>
      </c>
      <c r="I34" s="4" t="s">
        <v>2940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/>
      <c r="V34" s="4" t="s">
        <v>2941</v>
      </c>
      <c r="W34" s="4" t="s">
        <v>2942</v>
      </c>
      <c r="X34" s="4" t="s">
        <v>3381</v>
      </c>
      <c r="Y34" s="4" t="s">
        <v>3147</v>
      </c>
      <c r="Z34" s="4" t="s">
        <v>3381</v>
      </c>
      <c r="AA34" s="4" t="s">
        <v>2945</v>
      </c>
      <c r="AB34" s="4" t="s">
        <v>2945</v>
      </c>
      <c r="AD34" s="10">
        <f t="shared" si="2"/>
        <v>0</v>
      </c>
      <c r="AE34" s="10">
        <f t="shared" si="3"/>
        <v>0</v>
      </c>
      <c r="AF34" s="10">
        <f t="shared" si="0"/>
        <v>0</v>
      </c>
      <c r="AG34" s="10">
        <f t="shared" ca="1" si="1"/>
        <v>0</v>
      </c>
    </row>
    <row r="35" spans="1:33" x14ac:dyDescent="0.25">
      <c r="A35" s="50" t="s">
        <v>3382</v>
      </c>
      <c r="B35" s="4">
        <v>76</v>
      </c>
      <c r="C35" s="53" t="s">
        <v>3383</v>
      </c>
      <c r="D35" s="4">
        <v>5.25</v>
      </c>
      <c r="E35" s="49">
        <v>41713</v>
      </c>
      <c r="F35" s="4">
        <v>2.38</v>
      </c>
      <c r="G35" s="4">
        <v>2.38</v>
      </c>
      <c r="H35" s="4" t="s">
        <v>3054</v>
      </c>
      <c r="I35" s="4" t="s">
        <v>3083</v>
      </c>
      <c r="J35" s="4">
        <f>IF(Z35="US",K35,VLOOKUP(Z35,'3032'!$AL$4:$AM$20,2,FALSE)*K35)</f>
        <v>179.75</v>
      </c>
      <c r="K35" s="4">
        <v>179.75</v>
      </c>
      <c r="L35" s="4">
        <v>137120</v>
      </c>
      <c r="M35" s="4">
        <v>0.02</v>
      </c>
      <c r="N35" s="4">
        <v>3.2759999999999997E-2</v>
      </c>
      <c r="O35" s="4">
        <v>2.92</v>
      </c>
      <c r="P35" s="4">
        <v>2.92</v>
      </c>
      <c r="Q35" s="4">
        <v>0</v>
      </c>
      <c r="R35" s="4">
        <v>0</v>
      </c>
      <c r="S35" s="4">
        <v>2.5299999999999998</v>
      </c>
      <c r="T35" s="4">
        <v>0.08</v>
      </c>
      <c r="U35" s="4"/>
      <c r="V35" s="4" t="s">
        <v>3037</v>
      </c>
      <c r="W35" s="4" t="s">
        <v>3038</v>
      </c>
      <c r="X35" s="4" t="s">
        <v>3384</v>
      </c>
      <c r="Y35" s="4" t="s">
        <v>2961</v>
      </c>
      <c r="Z35" s="4" t="s">
        <v>2962</v>
      </c>
      <c r="AA35" s="4" t="s">
        <v>3024</v>
      </c>
      <c r="AB35" s="4" t="s">
        <v>2945</v>
      </c>
      <c r="AD35" s="10">
        <f t="shared" si="2"/>
        <v>3.4712992095284017E-3</v>
      </c>
      <c r="AE35" s="10">
        <f t="shared" si="3"/>
        <v>4.8988637508046336E-3</v>
      </c>
      <c r="AF35" s="10">
        <f t="shared" si="0"/>
        <v>0</v>
      </c>
      <c r="AG35" s="10">
        <f t="shared" ca="1" si="1"/>
        <v>5.6166409199804841</v>
      </c>
    </row>
    <row r="36" spans="1:33" x14ac:dyDescent="0.25">
      <c r="A36" s="50" t="s">
        <v>3385</v>
      </c>
      <c r="B36" s="4">
        <v>1426</v>
      </c>
      <c r="C36" s="53" t="s">
        <v>3386</v>
      </c>
      <c r="D36" s="4">
        <v>6.15</v>
      </c>
      <c r="E36" s="49">
        <v>44058</v>
      </c>
      <c r="F36" s="4">
        <v>8.7899999999999991</v>
      </c>
      <c r="G36" s="4">
        <v>8.7899999999999991</v>
      </c>
      <c r="H36" s="4" t="s">
        <v>3054</v>
      </c>
      <c r="I36" s="4" t="s">
        <v>3083</v>
      </c>
      <c r="J36" s="4">
        <f>IF(Z36="US",K36,VLOOKUP(Z36,'3032'!$AL$4:$AM$20,2,FALSE)*K36)</f>
        <v>103.24</v>
      </c>
      <c r="K36" s="4">
        <v>103.24</v>
      </c>
      <c r="L36" s="4">
        <v>1490710</v>
      </c>
      <c r="M36" s="4">
        <v>0.37</v>
      </c>
      <c r="N36" s="4">
        <v>0.35614899999999999</v>
      </c>
      <c r="O36" s="4">
        <v>5.68</v>
      </c>
      <c r="P36" s="4">
        <v>5.68</v>
      </c>
      <c r="Q36" s="4">
        <v>354</v>
      </c>
      <c r="R36" s="4">
        <v>398</v>
      </c>
      <c r="S36" s="4">
        <v>6.68</v>
      </c>
      <c r="T36" s="4">
        <v>0.57999999999999996</v>
      </c>
      <c r="U36" s="4"/>
      <c r="V36" s="4" t="s">
        <v>3037</v>
      </c>
      <c r="W36" s="4" t="s">
        <v>3038</v>
      </c>
      <c r="X36" s="4" t="s">
        <v>3387</v>
      </c>
      <c r="Y36" s="4" t="s">
        <v>2961</v>
      </c>
      <c r="Z36" s="4" t="s">
        <v>2962</v>
      </c>
      <c r="AA36" s="4" t="s">
        <v>3024</v>
      </c>
      <c r="AB36" s="4" t="s">
        <v>2945</v>
      </c>
      <c r="AD36" s="10">
        <f t="shared" si="2"/>
        <v>0.15232350590211086</v>
      </c>
      <c r="AE36" s="10">
        <f t="shared" si="3"/>
        <v>7.4611289569970402E-2</v>
      </c>
      <c r="AF36" s="10">
        <f t="shared" si="0"/>
        <v>6.7897168268958863</v>
      </c>
      <c r="AG36" s="10">
        <f t="shared" ca="1" si="1"/>
        <v>0.69557532076681794</v>
      </c>
    </row>
    <row r="37" spans="1:33" x14ac:dyDescent="0.25">
      <c r="A37" s="50" t="s">
        <v>3388</v>
      </c>
      <c r="B37" s="4">
        <v>2880</v>
      </c>
      <c r="C37" s="53" t="s">
        <v>3389</v>
      </c>
      <c r="D37" s="4">
        <v>7.25</v>
      </c>
      <c r="E37" s="49">
        <v>44105</v>
      </c>
      <c r="F37" s="4">
        <v>8.92</v>
      </c>
      <c r="G37" s="4">
        <v>3.92</v>
      </c>
      <c r="H37" s="4" t="s">
        <v>3120</v>
      </c>
      <c r="I37" s="4" t="s">
        <v>3020</v>
      </c>
      <c r="J37" s="4">
        <f>IF(Z37="US",K37,VLOOKUP(Z37,'3032'!$AL$4:$AM$20,2,FALSE)*K37)</f>
        <v>103.75</v>
      </c>
      <c r="K37" s="4">
        <v>103.75</v>
      </c>
      <c r="L37" s="4">
        <v>3005400</v>
      </c>
      <c r="M37" s="4">
        <v>0.74</v>
      </c>
      <c r="N37" s="4">
        <v>0.71802699999999997</v>
      </c>
      <c r="O37" s="4">
        <v>6.68</v>
      </c>
      <c r="P37" s="4">
        <v>6.57</v>
      </c>
      <c r="Q37" s="4">
        <v>472</v>
      </c>
      <c r="R37" s="4">
        <v>487</v>
      </c>
      <c r="S37" s="4">
        <v>5.38</v>
      </c>
      <c r="T37" s="4">
        <v>0.21</v>
      </c>
      <c r="U37" s="4"/>
      <c r="V37" s="4" t="s">
        <v>3037</v>
      </c>
      <c r="W37" s="4" t="s">
        <v>3038</v>
      </c>
      <c r="X37" s="4" t="s">
        <v>3390</v>
      </c>
      <c r="Y37" s="4" t="s">
        <v>2961</v>
      </c>
      <c r="Z37" s="4" t="s">
        <v>2962</v>
      </c>
      <c r="AA37" s="4" t="s">
        <v>3024</v>
      </c>
      <c r="AB37" s="4" t="s">
        <v>2945</v>
      </c>
      <c r="AD37" s="10">
        <f t="shared" si="2"/>
        <v>0.29064790132362017</v>
      </c>
      <c r="AE37" s="10">
        <f t="shared" si="3"/>
        <v>0.16159768801658858</v>
      </c>
      <c r="AF37" s="10">
        <f t="shared" si="0"/>
        <v>12.325937884685587</v>
      </c>
      <c r="AG37" s="10">
        <f t="shared" ca="1" si="1"/>
        <v>1.4092673538518927</v>
      </c>
    </row>
    <row r="38" spans="1:33" x14ac:dyDescent="0.25">
      <c r="A38" s="50" t="s">
        <v>3391</v>
      </c>
      <c r="B38" s="4">
        <v>100</v>
      </c>
      <c r="C38" s="53" t="s">
        <v>3392</v>
      </c>
      <c r="D38" s="4">
        <v>0</v>
      </c>
      <c r="E38" s="4"/>
      <c r="F38" s="4">
        <v>0</v>
      </c>
      <c r="G38" s="4">
        <v>0</v>
      </c>
      <c r="H38" s="4" t="s">
        <v>3028</v>
      </c>
      <c r="I38" s="4" t="s">
        <v>3028</v>
      </c>
      <c r="J38" s="4">
        <f>IF(Z38="US",K38,VLOOKUP(Z38,'3032'!$AL$4:$AM$20,2,FALSE)*K38)</f>
        <v>0.01</v>
      </c>
      <c r="K38" s="4">
        <v>0.01</v>
      </c>
      <c r="L38" s="4">
        <v>1003</v>
      </c>
      <c r="M38" s="4">
        <v>0.03</v>
      </c>
      <c r="N38" s="4">
        <v>2.4000000000000001E-4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/>
      <c r="V38" s="4" t="s">
        <v>3393</v>
      </c>
      <c r="W38" s="4" t="s">
        <v>3394</v>
      </c>
      <c r="X38" s="4" t="s">
        <v>3395</v>
      </c>
      <c r="Y38" s="4" t="s">
        <v>2961</v>
      </c>
      <c r="Z38" s="4" t="s">
        <v>2962</v>
      </c>
      <c r="AA38" s="4" t="s">
        <v>3032</v>
      </c>
      <c r="AB38" s="4" t="s">
        <v>2945</v>
      </c>
      <c r="AD38" s="10">
        <f t="shared" si="2"/>
        <v>0</v>
      </c>
      <c r="AE38" s="10">
        <f t="shared" si="3"/>
        <v>0</v>
      </c>
      <c r="AF38" s="10">
        <f t="shared" si="0"/>
        <v>0</v>
      </c>
      <c r="AG38" s="10">
        <f t="shared" ca="1" si="1"/>
        <v>2.7171647905181082E-7</v>
      </c>
    </row>
    <row r="39" spans="1:33" x14ac:dyDescent="0.25">
      <c r="A39" s="50" t="s">
        <v>3025</v>
      </c>
      <c r="B39" s="4">
        <v>1600</v>
      </c>
      <c r="C39" s="53" t="s">
        <v>3026</v>
      </c>
      <c r="D39" s="4">
        <v>9.125</v>
      </c>
      <c r="E39" s="49">
        <v>43661</v>
      </c>
      <c r="F39" s="4">
        <v>7.71</v>
      </c>
      <c r="G39" s="4">
        <v>7.71</v>
      </c>
      <c r="H39" s="4" t="s">
        <v>3027</v>
      </c>
      <c r="I39" s="4" t="s">
        <v>3028</v>
      </c>
      <c r="J39" s="4">
        <f>IF(Z39="US",K39,VLOOKUP(Z39,'3032'!$AL$4:$AM$20,2,FALSE)*K39)</f>
        <v>129.58000000000001</v>
      </c>
      <c r="K39" s="4">
        <v>129.58000000000001</v>
      </c>
      <c r="L39" s="4">
        <v>2116245</v>
      </c>
      <c r="M39" s="4">
        <v>0.41</v>
      </c>
      <c r="N39" s="4">
        <v>0.50559699999999996</v>
      </c>
      <c r="O39" s="4">
        <v>4.53</v>
      </c>
      <c r="P39" s="4">
        <v>4.53</v>
      </c>
      <c r="Q39" s="4">
        <v>274</v>
      </c>
      <c r="R39" s="4">
        <v>307</v>
      </c>
      <c r="S39" s="4">
        <v>5.72</v>
      </c>
      <c r="T39" s="4">
        <v>0.43</v>
      </c>
      <c r="U39" s="4"/>
      <c r="V39" s="4" t="s">
        <v>3029</v>
      </c>
      <c r="W39" s="4" t="s">
        <v>3030</v>
      </c>
      <c r="X39" s="4" t="s">
        <v>3031</v>
      </c>
      <c r="Y39" s="4" t="s">
        <v>2961</v>
      </c>
      <c r="Z39" s="4" t="s">
        <v>2962</v>
      </c>
      <c r="AA39" s="4" t="s">
        <v>3032</v>
      </c>
      <c r="AB39" s="4" t="s">
        <v>3033</v>
      </c>
      <c r="AD39" s="10">
        <f t="shared" si="2"/>
        <v>0.21759284345163704</v>
      </c>
      <c r="AE39" s="10">
        <f t="shared" si="3"/>
        <v>8.4474804009981766E-2</v>
      </c>
      <c r="AF39" s="10">
        <f t="shared" si="0"/>
        <v>7.4349789881322028</v>
      </c>
      <c r="AG39" s="10">
        <f t="shared" ca="1" si="1"/>
        <v>14.497156749953293</v>
      </c>
    </row>
    <row r="40" spans="1:33" x14ac:dyDescent="0.25">
      <c r="A40" s="50" t="s">
        <v>3396</v>
      </c>
      <c r="B40" s="4">
        <v>1250</v>
      </c>
      <c r="C40" s="53" t="s">
        <v>3397</v>
      </c>
      <c r="D40" s="4">
        <v>4.875</v>
      </c>
      <c r="E40" s="49">
        <v>24546</v>
      </c>
      <c r="F40" s="4">
        <v>55.38</v>
      </c>
      <c r="G40" s="4">
        <v>5.38</v>
      </c>
      <c r="H40" s="4" t="s">
        <v>3161</v>
      </c>
      <c r="I40" s="4" t="s">
        <v>3076</v>
      </c>
      <c r="J40" s="4" t="e">
        <f ca="1">IF(Z40="US",K40,VLOOKUP(Z40,'3032'!$AL$4:$AM$20,2,FALSE)*K40)</f>
        <v>#NAME?</v>
      </c>
      <c r="K40" s="4">
        <v>71.13</v>
      </c>
      <c r="L40" s="4">
        <v>1293709</v>
      </c>
      <c r="M40" s="4">
        <v>0.32</v>
      </c>
      <c r="N40" s="4">
        <v>0.309083</v>
      </c>
      <c r="O40" s="4">
        <v>6.92</v>
      </c>
      <c r="P40" s="4">
        <v>12.6</v>
      </c>
      <c r="Q40" s="4">
        <v>1063</v>
      </c>
      <c r="R40" s="4">
        <v>1069</v>
      </c>
      <c r="S40" s="4">
        <v>4</v>
      </c>
      <c r="T40" s="4">
        <v>0.22</v>
      </c>
      <c r="U40" s="4" t="s">
        <v>3049</v>
      </c>
      <c r="V40" s="4" t="s">
        <v>3398</v>
      </c>
      <c r="W40" s="4" t="s">
        <v>3399</v>
      </c>
      <c r="X40" s="4" t="s">
        <v>3396</v>
      </c>
      <c r="Y40" s="4" t="s">
        <v>2961</v>
      </c>
      <c r="Z40" s="4" t="s">
        <v>2985</v>
      </c>
      <c r="AA40" s="4" t="s">
        <v>3024</v>
      </c>
      <c r="AB40" s="4" t="s">
        <v>2945</v>
      </c>
      <c r="AD40" s="10">
        <f t="shared" si="2"/>
        <v>9.3020618839862568E-2</v>
      </c>
      <c r="AE40" s="10">
        <f t="shared" si="3"/>
        <v>0.38362635419893804</v>
      </c>
      <c r="AF40" s="10">
        <f t="shared" si="0"/>
        <v>66.67847523859804</v>
      </c>
      <c r="AG40" s="10" t="e">
        <f t="shared" ca="1" si="1"/>
        <v>#NAME?</v>
      </c>
    </row>
    <row r="41" spans="1:33" x14ac:dyDescent="0.25">
      <c r="A41" s="50" t="s">
        <v>3400</v>
      </c>
      <c r="B41" s="4">
        <v>450</v>
      </c>
      <c r="C41" s="53" t="s">
        <v>3401</v>
      </c>
      <c r="D41" s="4">
        <v>5.75</v>
      </c>
      <c r="E41" s="49">
        <v>24546</v>
      </c>
      <c r="F41" s="4">
        <v>55.38</v>
      </c>
      <c r="G41" s="4">
        <v>5.38</v>
      </c>
      <c r="H41" s="4" t="s">
        <v>3161</v>
      </c>
      <c r="I41" s="4" t="s">
        <v>3076</v>
      </c>
      <c r="J41" s="4" t="e">
        <f ca="1">IF(Z41="US",K41,VLOOKUP(Z41,'3032'!$AL$4:$AM$20,2,FALSE)*K41)</f>
        <v>#NAME?</v>
      </c>
      <c r="K41" s="4">
        <v>72.5</v>
      </c>
      <c r="L41" s="4">
        <v>531993</v>
      </c>
      <c r="M41" s="4">
        <v>0.12</v>
      </c>
      <c r="N41" s="4">
        <v>0.12709999999999999</v>
      </c>
      <c r="O41" s="4">
        <v>7.97</v>
      </c>
      <c r="P41" s="4">
        <v>13</v>
      </c>
      <c r="Q41" s="4">
        <v>1140</v>
      </c>
      <c r="R41" s="4">
        <v>1147</v>
      </c>
      <c r="S41" s="4">
        <v>4.2</v>
      </c>
      <c r="T41" s="4">
        <v>0.22</v>
      </c>
      <c r="U41" s="4" t="s">
        <v>3049</v>
      </c>
      <c r="V41" s="4" t="s">
        <v>3398</v>
      </c>
      <c r="W41" s="4" t="s">
        <v>3399</v>
      </c>
      <c r="X41" s="4" t="s">
        <v>3400</v>
      </c>
      <c r="Y41" s="4" t="s">
        <v>2961</v>
      </c>
      <c r="Z41" s="4" t="s">
        <v>2989</v>
      </c>
      <c r="AA41" s="4" t="s">
        <v>3024</v>
      </c>
      <c r="AB41" s="4" t="s">
        <v>2945</v>
      </c>
      <c r="AD41" s="10">
        <f t="shared" si="2"/>
        <v>4.0164081708018384E-2</v>
      </c>
      <c r="AE41" s="10">
        <f t="shared" si="3"/>
        <v>0.16276107893658476</v>
      </c>
      <c r="AF41" s="10">
        <f t="shared" si="0"/>
        <v>29.419866062065623</v>
      </c>
      <c r="AG41" s="10" t="e">
        <f t="shared" ca="1" si="1"/>
        <v>#NAME?</v>
      </c>
    </row>
    <row r="42" spans="1:33" x14ac:dyDescent="0.25">
      <c r="A42" s="50" t="s">
        <v>3402</v>
      </c>
      <c r="B42" s="4">
        <v>1426</v>
      </c>
      <c r="C42" s="53" t="s">
        <v>3403</v>
      </c>
      <c r="D42" s="4">
        <v>7.625</v>
      </c>
      <c r="E42" s="49">
        <v>43146</v>
      </c>
      <c r="F42" s="4">
        <v>6.29</v>
      </c>
      <c r="G42" s="4">
        <v>2.29</v>
      </c>
      <c r="H42" s="4" t="s">
        <v>3120</v>
      </c>
      <c r="I42" s="4" t="s">
        <v>3020</v>
      </c>
      <c r="J42" s="4">
        <f>IF(Z42="US",K42,VLOOKUP(Z42,'3032'!$AL$4:$AM$20,2,FALSE)*K42)</f>
        <v>96.25</v>
      </c>
      <c r="K42" s="4">
        <v>96.25</v>
      </c>
      <c r="L42" s="4">
        <v>1395480</v>
      </c>
      <c r="M42" s="4">
        <v>0.37</v>
      </c>
      <c r="N42" s="4">
        <v>0.333397</v>
      </c>
      <c r="O42" s="4">
        <v>8.4</v>
      </c>
      <c r="P42" s="4">
        <v>8.4</v>
      </c>
      <c r="Q42" s="4">
        <v>686</v>
      </c>
      <c r="R42" s="4">
        <v>699</v>
      </c>
      <c r="S42" s="4">
        <v>4.8</v>
      </c>
      <c r="T42" s="4">
        <v>-0.2</v>
      </c>
      <c r="U42" s="4"/>
      <c r="V42" s="4" t="s">
        <v>3037</v>
      </c>
      <c r="W42" s="4" t="s">
        <v>3038</v>
      </c>
      <c r="X42" s="4" t="s">
        <v>3404</v>
      </c>
      <c r="Y42" s="4" t="s">
        <v>2961</v>
      </c>
      <c r="Z42" s="4" t="s">
        <v>2962</v>
      </c>
      <c r="AA42" s="4" t="s">
        <v>3024</v>
      </c>
      <c r="AB42" s="4" t="s">
        <v>3042</v>
      </c>
      <c r="AD42" s="10">
        <f t="shared" si="2"/>
        <v>0.1204058221859643</v>
      </c>
      <c r="AE42" s="10">
        <f t="shared" si="3"/>
        <v>0.19656305687753345</v>
      </c>
      <c r="AF42" s="10">
        <f t="shared" si="0"/>
        <v>16.918520898439862</v>
      </c>
      <c r="AG42" s="10">
        <f t="shared" ca="1" si="1"/>
        <v>1.3246183541491245</v>
      </c>
    </row>
    <row r="43" spans="1:33" x14ac:dyDescent="0.25">
      <c r="A43" s="50" t="s">
        <v>3405</v>
      </c>
      <c r="B43" s="4">
        <v>713</v>
      </c>
      <c r="C43" s="53" t="s">
        <v>3406</v>
      </c>
      <c r="D43" s="4">
        <v>6.5</v>
      </c>
      <c r="E43" s="49">
        <v>20955</v>
      </c>
      <c r="F43" s="4">
        <v>45.54</v>
      </c>
      <c r="G43" s="4">
        <v>25.54</v>
      </c>
      <c r="H43" s="4" t="s">
        <v>3161</v>
      </c>
      <c r="I43" s="4" t="s">
        <v>3079</v>
      </c>
      <c r="J43" s="4">
        <f>IF(Z43="US",K43,VLOOKUP(Z43,'3032'!$AL$4:$AM$20,2,FALSE)*K43)</f>
        <v>93.13</v>
      </c>
      <c r="K43" s="4">
        <v>93.13</v>
      </c>
      <c r="L43" s="4">
        <v>685351</v>
      </c>
      <c r="M43" s="4">
        <v>0.18</v>
      </c>
      <c r="N43" s="4">
        <v>0.163739</v>
      </c>
      <c r="O43" s="4">
        <v>7</v>
      </c>
      <c r="P43" s="4">
        <v>7.09</v>
      </c>
      <c r="Q43" s="4">
        <v>373</v>
      </c>
      <c r="R43" s="4">
        <v>403</v>
      </c>
      <c r="S43" s="4">
        <v>11.7</v>
      </c>
      <c r="T43" s="4">
        <v>2.2000000000000002</v>
      </c>
      <c r="U43" s="4" t="s">
        <v>3049</v>
      </c>
      <c r="V43" s="4" t="s">
        <v>3398</v>
      </c>
      <c r="W43" s="4" t="s">
        <v>3407</v>
      </c>
      <c r="X43" s="4" t="s">
        <v>3408</v>
      </c>
      <c r="Y43" s="4" t="s">
        <v>2961</v>
      </c>
      <c r="Z43" s="4" t="s">
        <v>2962</v>
      </c>
      <c r="AA43" s="4" t="s">
        <v>3024</v>
      </c>
      <c r="AB43" s="4" t="s">
        <v>3033</v>
      </c>
      <c r="AD43" s="10">
        <f t="shared" si="2"/>
        <v>0.19634293289808474</v>
      </c>
      <c r="AE43" s="10">
        <f t="shared" si="3"/>
        <v>3.976736151417485E-2</v>
      </c>
      <c r="AF43" s="10">
        <f t="shared" si="0"/>
        <v>2.3259845649825399</v>
      </c>
      <c r="AG43" s="10">
        <f t="shared" ca="1" si="1"/>
        <v>0.62946134793466357</v>
      </c>
    </row>
    <row r="44" spans="1:33" x14ac:dyDescent="0.25">
      <c r="A44" s="50" t="s">
        <v>3409</v>
      </c>
      <c r="B44" s="4">
        <v>2525</v>
      </c>
      <c r="C44" s="53" t="s">
        <v>3410</v>
      </c>
      <c r="D44" s="4">
        <v>7.5</v>
      </c>
      <c r="E44" s="49">
        <v>44089</v>
      </c>
      <c r="F44" s="4">
        <v>8.8800000000000008</v>
      </c>
      <c r="G44" s="4">
        <v>8.8800000000000008</v>
      </c>
      <c r="H44" s="4" t="s">
        <v>3120</v>
      </c>
      <c r="I44" s="4" t="s">
        <v>3020</v>
      </c>
      <c r="J44" s="4">
        <f>IF(Z44="US",K44,VLOOKUP(Z44,'3032'!$AL$4:$AM$20,2,FALSE)*K44)</f>
        <v>101</v>
      </c>
      <c r="K44" s="4">
        <v>101</v>
      </c>
      <c r="L44" s="4">
        <v>2574448</v>
      </c>
      <c r="M44" s="4">
        <v>0.65</v>
      </c>
      <c r="N44" s="4">
        <v>0.61506799999999995</v>
      </c>
      <c r="O44" s="4">
        <v>7.34</v>
      </c>
      <c r="P44" s="4">
        <v>7.34</v>
      </c>
      <c r="Q44" s="4">
        <v>501</v>
      </c>
      <c r="R44" s="4">
        <v>519</v>
      </c>
      <c r="S44" s="4">
        <v>6.35</v>
      </c>
      <c r="T44" s="4">
        <v>0.54</v>
      </c>
      <c r="U44" s="4"/>
      <c r="V44" s="4" t="s">
        <v>3029</v>
      </c>
      <c r="W44" s="4" t="s">
        <v>3030</v>
      </c>
      <c r="X44" s="4" t="s">
        <v>3411</v>
      </c>
      <c r="Y44" s="4" t="s">
        <v>2961</v>
      </c>
      <c r="Z44" s="4" t="s">
        <v>2962</v>
      </c>
      <c r="AA44" s="4" t="s">
        <v>3024</v>
      </c>
      <c r="AB44" s="4" t="s">
        <v>2945</v>
      </c>
      <c r="AD44" s="10">
        <f t="shared" si="2"/>
        <v>0.2500662889456447</v>
      </c>
      <c r="AE44" s="10">
        <f t="shared" si="3"/>
        <v>0.15464919918560338</v>
      </c>
      <c r="AF44" s="10">
        <f t="shared" si="0"/>
        <v>11.252271786382202</v>
      </c>
      <c r="AG44" s="10">
        <f t="shared" ca="1" si="1"/>
        <v>1.1751911220991582</v>
      </c>
    </row>
    <row r="45" spans="1:33" x14ac:dyDescent="0.25">
      <c r="A45" s="50" t="s">
        <v>3412</v>
      </c>
      <c r="B45" s="4">
        <v>571</v>
      </c>
      <c r="C45" s="53" t="s">
        <v>3410</v>
      </c>
      <c r="D45" s="4">
        <v>8.3000000000000007</v>
      </c>
      <c r="E45" s="49">
        <v>42047</v>
      </c>
      <c r="F45" s="4">
        <v>3.28</v>
      </c>
      <c r="G45" s="4">
        <v>3.28</v>
      </c>
      <c r="H45" s="4" t="s">
        <v>3120</v>
      </c>
      <c r="I45" s="4" t="s">
        <v>3020</v>
      </c>
      <c r="J45" s="4">
        <f>IF(Z45="US",K45,VLOOKUP(Z45,'3032'!$AL$4:$AM$20,2,FALSE)*K45)</f>
        <v>105</v>
      </c>
      <c r="K45" s="4">
        <v>105</v>
      </c>
      <c r="L45" s="4">
        <v>609950</v>
      </c>
      <c r="M45" s="4">
        <v>0.15</v>
      </c>
      <c r="N45" s="4">
        <v>0.14572499999999999</v>
      </c>
      <c r="O45" s="4">
        <v>6.58</v>
      </c>
      <c r="P45" s="4">
        <v>6.58</v>
      </c>
      <c r="Q45" s="4">
        <v>574</v>
      </c>
      <c r="R45" s="4">
        <v>574</v>
      </c>
      <c r="S45" s="4">
        <v>2.81</v>
      </c>
      <c r="T45" s="4">
        <v>0.1</v>
      </c>
      <c r="U45" s="4"/>
      <c r="V45" s="4" t="s">
        <v>3029</v>
      </c>
      <c r="W45" s="4" t="s">
        <v>3030</v>
      </c>
      <c r="X45" s="4" t="s">
        <v>3413</v>
      </c>
      <c r="Y45" s="4" t="s">
        <v>2961</v>
      </c>
      <c r="Z45" s="4" t="s">
        <v>2962</v>
      </c>
      <c r="AA45" s="4" t="s">
        <v>3024</v>
      </c>
      <c r="AB45" s="4" t="s">
        <v>2945</v>
      </c>
      <c r="AD45" s="10">
        <f t="shared" si="2"/>
        <v>1.7150282541571433E-2</v>
      </c>
      <c r="AE45" s="10">
        <f t="shared" si="3"/>
        <v>3.2846388146269528E-2</v>
      </c>
      <c r="AF45" s="10">
        <f t="shared" si="0"/>
        <v>2.9484574149327383</v>
      </c>
      <c r="AG45" s="10">
        <f t="shared" ca="1" si="1"/>
        <v>0.28945865429570072</v>
      </c>
    </row>
    <row r="46" spans="1:33" x14ac:dyDescent="0.25">
      <c r="A46" s="50" t="s">
        <v>3414</v>
      </c>
      <c r="B46" s="4">
        <v>1323</v>
      </c>
      <c r="C46" s="53" t="s">
        <v>3415</v>
      </c>
      <c r="D46" s="4">
        <v>8.625</v>
      </c>
      <c r="E46" s="49">
        <v>43374</v>
      </c>
      <c r="F46" s="4">
        <v>6.92</v>
      </c>
      <c r="G46" s="4">
        <v>2.92</v>
      </c>
      <c r="H46" s="4" t="s">
        <v>3064</v>
      </c>
      <c r="I46" s="4" t="s">
        <v>3065</v>
      </c>
      <c r="J46" s="4">
        <f>IF(Z46="US",K46,VLOOKUP(Z46,'3032'!$AL$4:$AM$20,2,FALSE)*K46)</f>
        <v>99.88</v>
      </c>
      <c r="K46" s="4">
        <v>99.88</v>
      </c>
      <c r="L46" s="4">
        <v>1330855</v>
      </c>
      <c r="M46" s="4">
        <v>0.34</v>
      </c>
      <c r="N46" s="4">
        <v>0.31795800000000002</v>
      </c>
      <c r="O46" s="4">
        <v>8.65</v>
      </c>
      <c r="P46" s="4">
        <v>8.65</v>
      </c>
      <c r="Q46" s="4">
        <v>703</v>
      </c>
      <c r="R46" s="4">
        <v>714</v>
      </c>
      <c r="S46" s="4">
        <v>5.09</v>
      </c>
      <c r="T46" s="4">
        <v>0.27</v>
      </c>
      <c r="U46" s="4"/>
      <c r="V46" s="4" t="s">
        <v>3416</v>
      </c>
      <c r="W46" s="4" t="s">
        <v>3417</v>
      </c>
      <c r="X46" s="4" t="s">
        <v>3418</v>
      </c>
      <c r="Y46" s="4" t="s">
        <v>2961</v>
      </c>
      <c r="Z46" s="4" t="s">
        <v>2962</v>
      </c>
      <c r="AA46" s="4" t="s">
        <v>3024</v>
      </c>
      <c r="AB46" s="4" t="s">
        <v>2945</v>
      </c>
      <c r="AD46" s="10">
        <f t="shared" si="2"/>
        <v>0.12176743464766376</v>
      </c>
      <c r="AE46" s="10">
        <f t="shared" si="3"/>
        <v>0.19303934838904085</v>
      </c>
      <c r="AF46" s="10">
        <f t="shared" si="0"/>
        <v>16.481265372315406</v>
      </c>
      <c r="AG46" s="10">
        <f t="shared" ca="1" si="1"/>
        <v>1.310918486556768</v>
      </c>
    </row>
    <row r="47" spans="1:33" x14ac:dyDescent="0.25">
      <c r="A47" s="50" t="s">
        <v>3419</v>
      </c>
      <c r="B47" s="4">
        <v>966</v>
      </c>
      <c r="C47" s="53" t="s">
        <v>3420</v>
      </c>
      <c r="D47" s="4">
        <v>2.75</v>
      </c>
      <c r="E47" s="49">
        <v>41858</v>
      </c>
      <c r="F47" s="4">
        <v>2.77</v>
      </c>
      <c r="G47" s="4">
        <v>2.77</v>
      </c>
      <c r="H47" s="4" t="s">
        <v>3120</v>
      </c>
      <c r="I47" s="4" t="s">
        <v>3020</v>
      </c>
      <c r="J47" s="4">
        <f>IF(Z47="US",K47,VLOOKUP(Z47,'3032'!$AL$4:$AM$20,2,FALSE)*K47)</f>
        <v>96.58</v>
      </c>
      <c r="K47" s="4">
        <v>96.58</v>
      </c>
      <c r="L47" s="4">
        <v>934988</v>
      </c>
      <c r="M47" s="4">
        <v>0.25</v>
      </c>
      <c r="N47" s="4">
        <v>0.22338</v>
      </c>
      <c r="O47" s="4">
        <v>4.1100000000000003</v>
      </c>
      <c r="P47" s="4">
        <v>4.1100000000000003</v>
      </c>
      <c r="Q47" s="4">
        <v>250</v>
      </c>
      <c r="R47" s="4">
        <v>0</v>
      </c>
      <c r="S47" s="4">
        <v>0.25</v>
      </c>
      <c r="T47" s="4">
        <v>0.13</v>
      </c>
      <c r="U47" s="4" t="s">
        <v>3049</v>
      </c>
      <c r="V47" s="4" t="s">
        <v>3421</v>
      </c>
      <c r="W47" s="4" t="s">
        <v>3422</v>
      </c>
      <c r="X47" s="4" t="s">
        <v>3423</v>
      </c>
      <c r="Y47" s="4" t="s">
        <v>2961</v>
      </c>
      <c r="Z47" s="4" t="s">
        <v>2962</v>
      </c>
      <c r="AA47" s="4" t="s">
        <v>3032</v>
      </c>
      <c r="AB47" s="4" t="s">
        <v>2945</v>
      </c>
      <c r="AD47" s="10">
        <f t="shared" si="2"/>
        <v>1.6408928638418977E-3</v>
      </c>
      <c r="AE47" s="10">
        <f t="shared" si="3"/>
        <v>3.3861867397239766E-2</v>
      </c>
      <c r="AF47" s="10">
        <f t="shared" si="0"/>
        <v>0</v>
      </c>
      <c r="AG47" s="10">
        <f t="shared" ca="1" si="1"/>
        <v>0.8905527554616427</v>
      </c>
    </row>
    <row r="48" spans="1:33" x14ac:dyDescent="0.25">
      <c r="A48" s="50" t="s">
        <v>3424</v>
      </c>
      <c r="B48" s="4">
        <v>430</v>
      </c>
      <c r="C48" s="53" t="s">
        <v>3425</v>
      </c>
      <c r="D48" s="4">
        <v>2.875</v>
      </c>
      <c r="E48" s="49">
        <v>45823</v>
      </c>
      <c r="F48" s="4">
        <v>13.63</v>
      </c>
      <c r="G48" s="4">
        <v>1.63</v>
      </c>
      <c r="H48" s="4" t="s">
        <v>135</v>
      </c>
      <c r="I48" s="4" t="s">
        <v>3020</v>
      </c>
      <c r="J48" s="4">
        <f>IF(Z48="US",K48,VLOOKUP(Z48,'3032'!$AL$4:$AM$20,2,FALSE)*K48)</f>
        <v>95</v>
      </c>
      <c r="K48" s="4">
        <v>95</v>
      </c>
      <c r="L48" s="4">
        <v>413170</v>
      </c>
      <c r="M48" s="4">
        <v>0.11</v>
      </c>
      <c r="N48" s="4">
        <v>9.8711999999999994E-2</v>
      </c>
      <c r="O48" s="4">
        <v>8.01</v>
      </c>
      <c r="P48" s="4">
        <v>8.01</v>
      </c>
      <c r="Q48" s="4">
        <v>0</v>
      </c>
      <c r="R48" s="4">
        <v>0</v>
      </c>
      <c r="S48" s="4">
        <v>1.53</v>
      </c>
      <c r="T48" s="4">
        <v>1.43</v>
      </c>
      <c r="U48" s="4"/>
      <c r="V48" s="4" t="s">
        <v>3426</v>
      </c>
      <c r="W48" s="4" t="s">
        <v>3427</v>
      </c>
      <c r="X48" s="4" t="s">
        <v>3428</v>
      </c>
      <c r="Y48" s="4" t="s">
        <v>2961</v>
      </c>
      <c r="Z48" s="4" t="s">
        <v>2962</v>
      </c>
      <c r="AA48" s="4" t="s">
        <v>3024</v>
      </c>
      <c r="AB48" s="4" t="s">
        <v>2945</v>
      </c>
      <c r="AD48" s="10">
        <f t="shared" si="2"/>
        <v>4.4376637474146923E-3</v>
      </c>
      <c r="AE48" s="10">
        <f t="shared" si="3"/>
        <v>5.5495822333774966E-2</v>
      </c>
      <c r="AF48" s="10">
        <f t="shared" si="0"/>
        <v>0</v>
      </c>
      <c r="AG48" s="10">
        <f t="shared" ca="1" si="1"/>
        <v>0.38709610293910252</v>
      </c>
    </row>
    <row r="49" spans="1:33" x14ac:dyDescent="0.25">
      <c r="A49" s="50" t="s">
        <v>3429</v>
      </c>
      <c r="B49" s="4">
        <v>-3175</v>
      </c>
      <c r="C49" s="53" t="s">
        <v>3430</v>
      </c>
      <c r="D49" s="4">
        <v>9.75</v>
      </c>
      <c r="E49" s="49">
        <v>44166</v>
      </c>
      <c r="F49" s="4">
        <v>9.09</v>
      </c>
      <c r="G49" s="4">
        <v>4.09</v>
      </c>
      <c r="H49" s="4" t="s">
        <v>3431</v>
      </c>
      <c r="I49" s="4" t="s">
        <v>3432</v>
      </c>
      <c r="J49" s="4">
        <f>IF(Z49="US",K49,VLOOKUP(Z49,'3032'!$AL$4:$AM$20,2,FALSE)*K49)</f>
        <v>97</v>
      </c>
      <c r="K49" s="4">
        <v>97</v>
      </c>
      <c r="L49" s="4">
        <v>-3208734</v>
      </c>
      <c r="M49" s="4">
        <v>-0.82</v>
      </c>
      <c r="N49" s="4">
        <v>-0.76660600000000001</v>
      </c>
      <c r="O49" s="4">
        <v>10.26</v>
      </c>
      <c r="P49" s="4">
        <v>10.26</v>
      </c>
      <c r="Q49" s="4">
        <v>830</v>
      </c>
      <c r="R49" s="4">
        <v>857</v>
      </c>
      <c r="S49" s="4">
        <v>5.64</v>
      </c>
      <c r="T49" s="4">
        <v>0.41</v>
      </c>
      <c r="U49" s="4"/>
      <c r="V49" s="4" t="s">
        <v>3209</v>
      </c>
      <c r="W49" s="4" t="s">
        <v>3433</v>
      </c>
      <c r="X49" s="4" t="s">
        <v>3434</v>
      </c>
      <c r="Y49" s="4" t="s">
        <v>2961</v>
      </c>
      <c r="Z49" s="4" t="s">
        <v>2962</v>
      </c>
      <c r="AA49" s="4" t="s">
        <v>3024</v>
      </c>
      <c r="AB49" s="4" t="s">
        <v>2945</v>
      </c>
      <c r="AD49" s="10">
        <f t="shared" si="2"/>
        <v>0.32530853193819909</v>
      </c>
      <c r="AE49" s="10">
        <f t="shared" si="3"/>
        <v>-0.7747870743598223</v>
      </c>
      <c r="AF49" s="10">
        <f t="shared" si="0"/>
        <v>-103.76323236509764</v>
      </c>
      <c r="AG49" s="10">
        <f t="shared" ca="1" si="1"/>
        <v>-3.0695298710105372</v>
      </c>
    </row>
    <row r="50" spans="1:33" x14ac:dyDescent="0.25">
      <c r="A50" s="50" t="s">
        <v>3435</v>
      </c>
      <c r="B50" s="4">
        <v>612</v>
      </c>
      <c r="C50" s="53" t="s">
        <v>3436</v>
      </c>
      <c r="D50" s="4">
        <v>3.25</v>
      </c>
      <c r="E50" s="49">
        <v>41290</v>
      </c>
      <c r="F50" s="4">
        <v>1.21</v>
      </c>
      <c r="G50" s="4">
        <v>1.21</v>
      </c>
      <c r="H50" s="4" t="s">
        <v>135</v>
      </c>
      <c r="I50" s="4" t="s">
        <v>3065</v>
      </c>
      <c r="J50" s="12" t="e">
        <f ca="1">IF(Z50="US",K50,VLOOKUP(Z50,'3032'!$AL$4:$AM$20,2,FALSE)*K50)</f>
        <v>#NAME?</v>
      </c>
      <c r="K50" s="12">
        <v>87.29</v>
      </c>
      <c r="L50" s="4">
        <v>767103</v>
      </c>
      <c r="M50" s="4">
        <v>0.16</v>
      </c>
      <c r="N50" s="4">
        <v>0.18326999999999999</v>
      </c>
      <c r="O50" s="4">
        <v>15.52</v>
      </c>
      <c r="P50" s="4">
        <v>15.52</v>
      </c>
      <c r="Q50" s="4">
        <v>1528</v>
      </c>
      <c r="R50" s="4">
        <v>1524</v>
      </c>
      <c r="S50" s="4">
        <v>1.02</v>
      </c>
      <c r="T50" s="4">
        <v>0.02</v>
      </c>
      <c r="U50" s="4"/>
      <c r="V50" s="4" t="s">
        <v>3437</v>
      </c>
      <c r="W50" s="4" t="s">
        <v>3438</v>
      </c>
      <c r="X50" s="4" t="s">
        <v>3435</v>
      </c>
      <c r="Y50" s="4" t="s">
        <v>2961</v>
      </c>
      <c r="Z50" s="4" t="s">
        <v>2985</v>
      </c>
      <c r="AA50" s="4" t="s">
        <v>3024</v>
      </c>
      <c r="AB50" s="4" t="s">
        <v>2945</v>
      </c>
      <c r="AD50" s="10">
        <f t="shared" si="2"/>
        <v>5.4927272448516791E-3</v>
      </c>
      <c r="AE50" s="10">
        <f t="shared" si="3"/>
        <v>0.28018616572873067</v>
      </c>
      <c r="AF50" s="10">
        <f t="shared" si="0"/>
        <v>56.365063895337485</v>
      </c>
      <c r="AG50" s="10" t="e">
        <f t="shared" ca="1" si="1"/>
        <v>#NAME?</v>
      </c>
    </row>
    <row r="51" spans="1:33" x14ac:dyDescent="0.25">
      <c r="A51" s="50" t="s">
        <v>3439</v>
      </c>
      <c r="B51" s="4">
        <v>2727</v>
      </c>
      <c r="C51" s="53" t="s">
        <v>3436</v>
      </c>
      <c r="D51" s="4">
        <v>6.9</v>
      </c>
      <c r="E51" s="49">
        <v>43084</v>
      </c>
      <c r="F51" s="4">
        <v>6.13</v>
      </c>
      <c r="G51" s="4">
        <v>6.13</v>
      </c>
      <c r="H51" s="4" t="s">
        <v>135</v>
      </c>
      <c r="I51" s="4" t="s">
        <v>3065</v>
      </c>
      <c r="J51" s="4">
        <f>IF(Z51="US",K51,VLOOKUP(Z51,'3032'!$AL$4:$AM$20,2,FALSE)*K51)</f>
        <v>76.25</v>
      </c>
      <c r="K51" s="4">
        <v>76.25</v>
      </c>
      <c r="L51" s="4">
        <v>2150421</v>
      </c>
      <c r="M51" s="4">
        <v>0.7</v>
      </c>
      <c r="N51" s="4">
        <v>0.51376200000000005</v>
      </c>
      <c r="O51" s="4">
        <v>12.57</v>
      </c>
      <c r="P51" s="4">
        <v>12.57</v>
      </c>
      <c r="Q51" s="4">
        <v>1103</v>
      </c>
      <c r="R51" s="4">
        <v>1113</v>
      </c>
      <c r="S51" s="4">
        <v>4.4800000000000004</v>
      </c>
      <c r="T51" s="4">
        <v>0.26</v>
      </c>
      <c r="U51" s="4"/>
      <c r="V51" s="4" t="s">
        <v>3437</v>
      </c>
      <c r="W51" s="4" t="s">
        <v>3438</v>
      </c>
      <c r="X51" s="4" t="s">
        <v>3440</v>
      </c>
      <c r="Y51" s="4" t="s">
        <v>2961</v>
      </c>
      <c r="Z51" s="4" t="s">
        <v>2962</v>
      </c>
      <c r="AA51" s="4" t="s">
        <v>3024</v>
      </c>
      <c r="AB51" s="4" t="s">
        <v>3033</v>
      </c>
      <c r="AD51" s="10">
        <f t="shared" si="2"/>
        <v>0.17317457886478679</v>
      </c>
      <c r="AE51" s="10">
        <f t="shared" si="3"/>
        <v>0.6361507743302538</v>
      </c>
      <c r="AF51" s="10">
        <f t="shared" si="0"/>
        <v>115.39580265127681</v>
      </c>
      <c r="AG51" s="10">
        <f t="shared" ca="1" si="1"/>
        <v>8.7607835051094725</v>
      </c>
    </row>
    <row r="52" spans="1:33" x14ac:dyDescent="0.25">
      <c r="A52" s="50" t="s">
        <v>3441</v>
      </c>
      <c r="B52" s="4">
        <v>2000</v>
      </c>
      <c r="C52" s="53" t="s">
        <v>3442</v>
      </c>
      <c r="D52" s="4">
        <v>5.5</v>
      </c>
      <c r="E52" s="49">
        <v>42865</v>
      </c>
      <c r="F52" s="4">
        <v>5.53</v>
      </c>
      <c r="G52" s="4">
        <v>5.53</v>
      </c>
      <c r="H52" s="4" t="s">
        <v>135</v>
      </c>
      <c r="I52" s="4" t="s">
        <v>3065</v>
      </c>
      <c r="J52" s="4">
        <f>IF(Z52="US",K52,VLOOKUP(Z52,'3032'!$AL$4:$AM$20,2,FALSE)*K52)</f>
        <v>91.46</v>
      </c>
      <c r="K52" s="4">
        <v>91.46</v>
      </c>
      <c r="L52" s="4">
        <v>1835277</v>
      </c>
      <c r="M52" s="4">
        <v>0.52</v>
      </c>
      <c r="N52" s="4">
        <v>0.43847000000000003</v>
      </c>
      <c r="O52" s="4">
        <v>7.67</v>
      </c>
      <c r="P52" s="4">
        <v>5.45</v>
      </c>
      <c r="Q52" s="4">
        <v>425</v>
      </c>
      <c r="R52" s="4">
        <v>0</v>
      </c>
      <c r="S52" s="4">
        <v>0.25</v>
      </c>
      <c r="T52" s="4">
        <v>0.31</v>
      </c>
      <c r="U52" s="4" t="s">
        <v>3049</v>
      </c>
      <c r="V52" s="4" t="s">
        <v>3437</v>
      </c>
      <c r="W52" s="4" t="s">
        <v>3438</v>
      </c>
      <c r="X52" s="4" t="s">
        <v>3443</v>
      </c>
      <c r="Y52" s="4" t="s">
        <v>2961</v>
      </c>
      <c r="Z52" s="4" t="s">
        <v>2962</v>
      </c>
      <c r="AA52" s="4" t="s">
        <v>3032</v>
      </c>
      <c r="AB52" s="4" t="s">
        <v>2945</v>
      </c>
      <c r="AD52" s="10">
        <f t="shared" si="2"/>
        <v>3.220889393738921E-3</v>
      </c>
      <c r="AE52" s="10">
        <f t="shared" si="3"/>
        <v>8.813758978023857E-2</v>
      </c>
      <c r="AF52" s="10">
        <f t="shared" si="0"/>
        <v>0</v>
      </c>
      <c r="AG52" s="10">
        <f t="shared" ca="1" si="1"/>
        <v>1.6553858275497444</v>
      </c>
    </row>
    <row r="53" spans="1:33" x14ac:dyDescent="0.25">
      <c r="A53" s="50" t="s">
        <v>3444</v>
      </c>
      <c r="B53" s="4">
        <v>182</v>
      </c>
      <c r="C53" s="53" t="s">
        <v>3445</v>
      </c>
      <c r="D53" s="4">
        <v>0.375</v>
      </c>
      <c r="E53" s="49">
        <v>41306</v>
      </c>
      <c r="F53" s="4">
        <v>1.25</v>
      </c>
      <c r="G53" s="4">
        <v>1.25</v>
      </c>
      <c r="H53" s="4" t="s">
        <v>3446</v>
      </c>
      <c r="I53" s="4" t="s">
        <v>3060</v>
      </c>
      <c r="J53" s="58">
        <f>IF(Z53="US",K53,VLOOKUP(Z53,'3032'!$AL$4:$AM$20,2,FALSE)*K53)</f>
        <v>99.38</v>
      </c>
      <c r="K53" s="67">
        <v>99.38</v>
      </c>
      <c r="L53" s="4">
        <v>181033</v>
      </c>
      <c r="M53" s="4">
        <v>0.05</v>
      </c>
      <c r="N53" s="4">
        <v>4.3250999999999998E-2</v>
      </c>
      <c r="O53" s="4">
        <v>1.68</v>
      </c>
      <c r="P53" s="4">
        <v>1.68</v>
      </c>
      <c r="Q53" s="4">
        <v>0</v>
      </c>
      <c r="R53" s="4">
        <v>0</v>
      </c>
      <c r="S53" s="4">
        <v>1.24</v>
      </c>
      <c r="T53" s="4">
        <v>0.02</v>
      </c>
      <c r="U53" s="4"/>
      <c r="V53" s="4" t="s">
        <v>3416</v>
      </c>
      <c r="W53" s="4" t="s">
        <v>3447</v>
      </c>
      <c r="X53" s="4" t="s">
        <v>3448</v>
      </c>
      <c r="Y53" s="4" t="s">
        <v>2961</v>
      </c>
      <c r="Z53" s="4" t="s">
        <v>2962</v>
      </c>
      <c r="AA53" s="4" t="s">
        <v>3024</v>
      </c>
      <c r="AB53" s="4" t="s">
        <v>2945</v>
      </c>
      <c r="AD53" s="10">
        <f t="shared" si="2"/>
        <v>1.5758454213173384E-3</v>
      </c>
      <c r="AE53" s="10">
        <f t="shared" si="3"/>
        <v>-0.31429470194569253</v>
      </c>
      <c r="AF53" s="10">
        <f t="shared" si="0"/>
        <v>0</v>
      </c>
      <c r="AG53" s="10">
        <f t="shared" ca="1" si="1"/>
        <v>0.17742840746524274</v>
      </c>
    </row>
    <row r="54" spans="1:33" x14ac:dyDescent="0.25">
      <c r="A54" s="50" t="s">
        <v>3449</v>
      </c>
      <c r="B54" s="4">
        <v>176</v>
      </c>
      <c r="C54" s="53" t="s">
        <v>3450</v>
      </c>
      <c r="D54" s="4">
        <v>6.25</v>
      </c>
      <c r="E54" s="49">
        <v>41927</v>
      </c>
      <c r="F54" s="4">
        <v>2.96</v>
      </c>
      <c r="G54" s="4">
        <v>2.96</v>
      </c>
      <c r="H54" s="4" t="s">
        <v>3431</v>
      </c>
      <c r="I54" s="4" t="s">
        <v>3028</v>
      </c>
      <c r="J54" s="4">
        <f>IF(Z54="US",K54,VLOOKUP(Z54,'3032'!$AL$4:$AM$20,2,FALSE)*K54)</f>
        <v>56.13</v>
      </c>
      <c r="K54" s="4">
        <v>56.13</v>
      </c>
      <c r="L54" s="4">
        <v>99269</v>
      </c>
      <c r="M54" s="4">
        <v>0.05</v>
      </c>
      <c r="N54" s="4">
        <v>2.3716999999999998E-2</v>
      </c>
      <c r="O54" s="4">
        <v>26.88</v>
      </c>
      <c r="P54" s="4">
        <v>26.88</v>
      </c>
      <c r="Q54" s="4">
        <v>0</v>
      </c>
      <c r="R54" s="4">
        <v>0</v>
      </c>
      <c r="S54" s="4">
        <v>2.31</v>
      </c>
      <c r="T54" s="4">
        <v>7.0000000000000007E-2</v>
      </c>
      <c r="U54" s="4"/>
      <c r="V54" s="4" t="s">
        <v>3209</v>
      </c>
      <c r="W54" s="4" t="s">
        <v>3451</v>
      </c>
      <c r="X54" s="4" t="s">
        <v>3452</v>
      </c>
      <c r="Y54" s="4" t="s">
        <v>2961</v>
      </c>
      <c r="Z54" s="4" t="s">
        <v>2962</v>
      </c>
      <c r="AA54" s="4" t="s">
        <v>3024</v>
      </c>
      <c r="AB54" s="4" t="s">
        <v>2945</v>
      </c>
      <c r="AD54" s="10">
        <f t="shared" si="2"/>
        <v>2.2945437908541465E-3</v>
      </c>
      <c r="AE54" s="10">
        <f t="shared" si="3"/>
        <v>6.2797767027937004E-2</v>
      </c>
      <c r="AF54" s="10">
        <f t="shared" si="0"/>
        <v>0</v>
      </c>
      <c r="AG54" s="10">
        <f t="shared" ca="1" si="1"/>
        <v>0.2977064862707765</v>
      </c>
    </row>
    <row r="55" spans="1:33" x14ac:dyDescent="0.25">
      <c r="A55" s="50" t="s">
        <v>3453</v>
      </c>
      <c r="B55" s="4">
        <v>826</v>
      </c>
      <c r="C55" s="53" t="s">
        <v>3454</v>
      </c>
      <c r="D55" s="4">
        <v>6.9770000000000003</v>
      </c>
      <c r="E55" s="49">
        <v>44339</v>
      </c>
      <c r="F55" s="4">
        <v>9.56</v>
      </c>
      <c r="G55" s="4">
        <v>9.56</v>
      </c>
      <c r="H55" s="4" t="s">
        <v>3431</v>
      </c>
      <c r="I55" s="4" t="s">
        <v>3432</v>
      </c>
      <c r="J55" s="58">
        <f>IF(Z55="US",K55,VLOOKUP(Z55,'3032'!$AL$4:$AM$20,2,FALSE)*K55)</f>
        <v>69</v>
      </c>
      <c r="K55" s="67">
        <v>69</v>
      </c>
      <c r="L55" s="4">
        <v>594962</v>
      </c>
      <c r="M55" s="4">
        <v>0.21</v>
      </c>
      <c r="N55" s="4">
        <v>0.14214399999999999</v>
      </c>
      <c r="O55" s="4">
        <v>15.79</v>
      </c>
      <c r="P55" s="4">
        <v>15.79</v>
      </c>
      <c r="Q55" s="4">
        <v>1033</v>
      </c>
      <c r="R55" s="4">
        <v>1445</v>
      </c>
      <c r="S55" s="4">
        <v>3.7</v>
      </c>
      <c r="T55" s="4">
        <v>0.21</v>
      </c>
      <c r="U55" s="4" t="s">
        <v>3049</v>
      </c>
      <c r="V55" s="4" t="s">
        <v>3209</v>
      </c>
      <c r="W55" s="4" t="s">
        <v>3451</v>
      </c>
      <c r="X55" s="4" t="s">
        <v>3455</v>
      </c>
      <c r="Y55" s="4" t="s">
        <v>2961</v>
      </c>
      <c r="Z55" s="4" t="s">
        <v>2962</v>
      </c>
      <c r="AA55" s="4" t="s">
        <v>3024</v>
      </c>
      <c r="AB55" s="4" t="s">
        <v>2945</v>
      </c>
      <c r="AD55" s="10">
        <f t="shared" si="2"/>
        <v>2.2027320765481428E-2</v>
      </c>
      <c r="AE55" s="10">
        <f t="shared" si="3"/>
        <v>0.22109180655219393</v>
      </c>
      <c r="AF55" s="10">
        <f t="shared" si="0"/>
        <v>41.450371848926878</v>
      </c>
      <c r="AG55" s="10">
        <f t="shared" ca="1" si="1"/>
        <v>2.1934004430465674</v>
      </c>
    </row>
    <row r="56" spans="1:33" x14ac:dyDescent="0.25">
      <c r="A56" s="50" t="s">
        <v>3456</v>
      </c>
      <c r="B56" s="4">
        <v>1560</v>
      </c>
      <c r="C56" s="53" t="s">
        <v>3457</v>
      </c>
      <c r="D56" s="4">
        <v>6</v>
      </c>
      <c r="E56" s="49">
        <v>43617</v>
      </c>
      <c r="F56" s="4">
        <v>7.59</v>
      </c>
      <c r="G56" s="4">
        <v>2.59</v>
      </c>
      <c r="H56" s="4" t="s">
        <v>133</v>
      </c>
      <c r="I56" s="4" t="s">
        <v>3036</v>
      </c>
      <c r="J56" s="4">
        <f>IF(Z56="US",K56,VLOOKUP(Z56,'3032'!$AL$4:$AM$20,2,FALSE)*K56)</f>
        <v>99.25</v>
      </c>
      <c r="K56" s="4">
        <v>99.25</v>
      </c>
      <c r="L56" s="4">
        <v>1587300</v>
      </c>
      <c r="M56" s="4">
        <v>0.4</v>
      </c>
      <c r="N56" s="4">
        <v>0.37922600000000001</v>
      </c>
      <c r="O56" s="4">
        <v>6.12</v>
      </c>
      <c r="P56" s="4">
        <v>6.12</v>
      </c>
      <c r="Q56" s="4">
        <v>417</v>
      </c>
      <c r="R56" s="4">
        <v>420</v>
      </c>
      <c r="S56" s="4">
        <v>5.87</v>
      </c>
      <c r="T56" s="4">
        <v>0.23</v>
      </c>
      <c r="U56" s="4"/>
      <c r="V56" s="4" t="s">
        <v>3037</v>
      </c>
      <c r="W56" s="4" t="s">
        <v>3038</v>
      </c>
      <c r="X56" s="4" t="s">
        <v>3458</v>
      </c>
      <c r="Y56" s="4" t="s">
        <v>2961</v>
      </c>
      <c r="Z56" s="4" t="s">
        <v>2962</v>
      </c>
      <c r="AA56" s="4" t="s">
        <v>3024</v>
      </c>
      <c r="AB56" s="4" t="s">
        <v>2945</v>
      </c>
      <c r="AD56" s="10">
        <f t="shared" si="2"/>
        <v>0.16748647841788536</v>
      </c>
      <c r="AE56" s="10">
        <f t="shared" si="3"/>
        <v>7.9501977230180695E-2</v>
      </c>
      <c r="AF56" s="10">
        <f t="shared" si="0"/>
        <v>5.6143183924184932</v>
      </c>
      <c r="AG56" s="10">
        <f t="shared" ca="1" si="1"/>
        <v>1.5536598593003599</v>
      </c>
    </row>
    <row r="57" spans="1:33" x14ac:dyDescent="0.25">
      <c r="A57" s="50">
        <v>37411808</v>
      </c>
      <c r="B57" s="4">
        <v>22</v>
      </c>
      <c r="C57" s="53" t="s">
        <v>3459</v>
      </c>
      <c r="D57" s="4">
        <v>0</v>
      </c>
      <c r="E57" s="4"/>
      <c r="F57" s="4">
        <v>0</v>
      </c>
      <c r="G57" s="4">
        <v>0</v>
      </c>
      <c r="H57" s="4" t="s">
        <v>3028</v>
      </c>
      <c r="I57" s="4" t="s">
        <v>3028</v>
      </c>
      <c r="J57" s="4">
        <f>IF(Z57="US",K57,VLOOKUP(Z57,'3032'!$AL$4:$AM$20,2,FALSE)*K57)</f>
        <v>56.3</v>
      </c>
      <c r="K57" s="4">
        <v>56.3</v>
      </c>
      <c r="L57" s="4">
        <v>1216080</v>
      </c>
      <c r="M57" s="4">
        <v>0.01</v>
      </c>
      <c r="N57" s="4">
        <v>0.29053699999999999</v>
      </c>
      <c r="O57" s="4">
        <v>5.86</v>
      </c>
      <c r="P57" s="4">
        <v>5.86</v>
      </c>
      <c r="Q57" s="4">
        <v>0</v>
      </c>
      <c r="R57" s="4">
        <v>0</v>
      </c>
      <c r="S57" s="4">
        <v>0</v>
      </c>
      <c r="T57" s="4">
        <v>0</v>
      </c>
      <c r="U57" s="4"/>
      <c r="V57" s="4" t="s">
        <v>3124</v>
      </c>
      <c r="W57" s="4" t="s">
        <v>3142</v>
      </c>
      <c r="X57" s="4" t="s">
        <v>3460</v>
      </c>
      <c r="Y57" s="4" t="s">
        <v>2961</v>
      </c>
      <c r="Z57" s="4" t="s">
        <v>2962</v>
      </c>
      <c r="AA57" s="4" t="s">
        <v>3024</v>
      </c>
      <c r="AB57" s="4" t="s">
        <v>2945</v>
      </c>
      <c r="AD57" s="10">
        <f t="shared" si="2"/>
        <v>0</v>
      </c>
      <c r="AE57" s="10">
        <f t="shared" si="3"/>
        <v>6.2794673667017006E-2</v>
      </c>
      <c r="AF57" s="10">
        <f t="shared" si="0"/>
        <v>0</v>
      </c>
      <c r="AG57" s="10">
        <f t="shared" ca="1" si="1"/>
        <v>3.6580543063039594</v>
      </c>
    </row>
    <row r="58" spans="1:33" x14ac:dyDescent="0.25">
      <c r="A58" s="50" t="s">
        <v>3461</v>
      </c>
      <c r="B58" s="4">
        <v>3260</v>
      </c>
      <c r="C58" s="53" t="s">
        <v>3462</v>
      </c>
      <c r="D58" s="4">
        <v>7.375</v>
      </c>
      <c r="E58" s="49">
        <v>42461</v>
      </c>
      <c r="F58" s="4">
        <v>4.42</v>
      </c>
      <c r="G58" s="4">
        <v>1.92</v>
      </c>
      <c r="H58" s="4" t="s">
        <v>133</v>
      </c>
      <c r="I58" s="4" t="s">
        <v>3020</v>
      </c>
      <c r="J58" s="58">
        <f>IF(Z58="US",K58,VLOOKUP(Z58,'3032'!$AL$4:$AM$20,2,FALSE)*K58)</f>
        <v>90.5</v>
      </c>
      <c r="K58" s="67">
        <v>90.5</v>
      </c>
      <c r="L58" s="4">
        <v>2970335</v>
      </c>
      <c r="M58" s="4">
        <v>0.84</v>
      </c>
      <c r="N58" s="4">
        <v>0.70965</v>
      </c>
      <c r="O58" s="4">
        <v>10.09</v>
      </c>
      <c r="P58" s="4">
        <v>10.09</v>
      </c>
      <c r="Q58" s="4">
        <v>915</v>
      </c>
      <c r="R58" s="4">
        <v>939</v>
      </c>
      <c r="S58" s="4">
        <v>3.61</v>
      </c>
      <c r="T58" s="4">
        <v>0.21</v>
      </c>
      <c r="U58" s="4"/>
      <c r="V58" s="4" t="s">
        <v>3037</v>
      </c>
      <c r="W58" s="4" t="s">
        <v>3117</v>
      </c>
      <c r="X58" s="4" t="s">
        <v>3463</v>
      </c>
      <c r="Y58" s="4" t="s">
        <v>3040</v>
      </c>
      <c r="Z58" s="4" t="s">
        <v>2962</v>
      </c>
      <c r="AA58" s="4" t="s">
        <v>3041</v>
      </c>
      <c r="AB58" s="4" t="s">
        <v>2945</v>
      </c>
      <c r="AD58" s="10">
        <f t="shared" si="2"/>
        <v>0.10729595712159946</v>
      </c>
      <c r="AE58" s="10">
        <f t="shared" si="3"/>
        <v>0.70533898547208818</v>
      </c>
      <c r="AF58" s="10">
        <f t="shared" si="0"/>
        <v>105.24463808437368</v>
      </c>
      <c r="AG58" s="10">
        <f t="shared" ca="1" si="1"/>
        <v>2.6510653016430736</v>
      </c>
    </row>
    <row r="59" spans="1:33" x14ac:dyDescent="0.25">
      <c r="A59" s="50" t="s">
        <v>3464</v>
      </c>
      <c r="B59" s="4">
        <v>1553</v>
      </c>
      <c r="C59" s="53" t="s">
        <v>3465</v>
      </c>
      <c r="D59" s="4">
        <v>6.5</v>
      </c>
      <c r="E59" s="49">
        <v>44336</v>
      </c>
      <c r="F59" s="4">
        <v>9.56</v>
      </c>
      <c r="G59" s="4">
        <v>4.5599999999999996</v>
      </c>
      <c r="H59" s="4" t="s">
        <v>3028</v>
      </c>
      <c r="I59" s="4" t="s">
        <v>3036</v>
      </c>
      <c r="J59" s="58">
        <f>IF(Z59="US",K59,VLOOKUP(Z59,'3032'!$AL$4:$AM$20,2,FALSE)*K59)</f>
        <v>99</v>
      </c>
      <c r="K59" s="67">
        <v>99</v>
      </c>
      <c r="L59" s="4">
        <v>1582615</v>
      </c>
      <c r="M59" s="4">
        <v>0.4</v>
      </c>
      <c r="N59" s="4">
        <v>0.378106</v>
      </c>
      <c r="O59" s="4">
        <v>6.64</v>
      </c>
      <c r="P59" s="4">
        <v>6.64</v>
      </c>
      <c r="Q59" s="4">
        <v>432</v>
      </c>
      <c r="R59" s="4">
        <v>445</v>
      </c>
      <c r="S59" s="4">
        <v>6.82</v>
      </c>
      <c r="T59" s="4">
        <v>0.51</v>
      </c>
      <c r="U59" s="4"/>
      <c r="V59" s="4" t="s">
        <v>3124</v>
      </c>
      <c r="W59" s="4" t="s">
        <v>3466</v>
      </c>
      <c r="X59" s="4" t="s">
        <v>3467</v>
      </c>
      <c r="Y59" s="4" t="s">
        <v>2961</v>
      </c>
      <c r="Z59" s="4" t="s">
        <v>2962</v>
      </c>
      <c r="AA59" s="4" t="s">
        <v>3024</v>
      </c>
      <c r="AB59" s="4" t="s">
        <v>2945</v>
      </c>
      <c r="AD59" s="10">
        <f t="shared" si="2"/>
        <v>0.16510375549657666</v>
      </c>
      <c r="AE59" s="10">
        <f t="shared" si="3"/>
        <v>8.6002454948686427E-2</v>
      </c>
      <c r="AF59" s="10">
        <f t="shared" si="0"/>
        <v>5.9309466864437965</v>
      </c>
      <c r="AG59" s="10">
        <f t="shared" ca="1" si="1"/>
        <v>1.5451721999570409</v>
      </c>
    </row>
    <row r="60" spans="1:33" x14ac:dyDescent="0.25">
      <c r="A60" s="50" t="s">
        <v>3468</v>
      </c>
      <c r="B60" s="4">
        <v>1000</v>
      </c>
      <c r="C60" s="53" t="s">
        <v>3469</v>
      </c>
      <c r="D60" s="4">
        <v>9.125</v>
      </c>
      <c r="E60" s="49">
        <v>44119</v>
      </c>
      <c r="F60" s="4">
        <v>8.9600000000000009</v>
      </c>
      <c r="G60" s="4">
        <v>3.96</v>
      </c>
      <c r="H60" s="4" t="s">
        <v>3064</v>
      </c>
      <c r="I60" s="4" t="s">
        <v>3065</v>
      </c>
      <c r="J60" s="4">
        <f>IF(Z60="US",K60,VLOOKUP(Z60,'3032'!$AL$4:$AM$20,2,FALSE)*K60)</f>
        <v>99.5</v>
      </c>
      <c r="K60" s="4">
        <v>99.5</v>
      </c>
      <c r="L60" s="4">
        <v>999056</v>
      </c>
      <c r="M60" s="4">
        <v>0.26</v>
      </c>
      <c r="N60" s="4">
        <v>0.23868700000000001</v>
      </c>
      <c r="O60" s="4">
        <v>9.2100000000000009</v>
      </c>
      <c r="P60" s="4">
        <v>9.2100000000000009</v>
      </c>
      <c r="Q60" s="4">
        <v>742</v>
      </c>
      <c r="R60" s="4">
        <v>713</v>
      </c>
      <c r="S60" s="4">
        <v>6</v>
      </c>
      <c r="T60" s="4">
        <v>0.41</v>
      </c>
      <c r="U60" s="4"/>
      <c r="V60" s="4" t="s">
        <v>3173</v>
      </c>
      <c r="W60" s="4" t="s">
        <v>3470</v>
      </c>
      <c r="X60" s="4" t="s">
        <v>3471</v>
      </c>
      <c r="Y60" s="4" t="s">
        <v>3241</v>
      </c>
      <c r="Z60" s="4" t="s">
        <v>2962</v>
      </c>
      <c r="AA60" s="4" t="s">
        <v>3041</v>
      </c>
      <c r="AB60" s="4" t="s">
        <v>2945</v>
      </c>
      <c r="AD60" s="10">
        <f t="shared" si="2"/>
        <v>9.1693464545230724E-2</v>
      </c>
      <c r="AE60" s="10">
        <f t="shared" si="3"/>
        <v>0.15429379372539301</v>
      </c>
      <c r="AF60" s="10">
        <f t="shared" si="0"/>
        <v>12.354949144299917</v>
      </c>
      <c r="AG60" s="10">
        <f t="shared" ca="1" si="1"/>
        <v>0.98034587724649691</v>
      </c>
    </row>
    <row r="61" spans="1:33" x14ac:dyDescent="0.25">
      <c r="A61" s="50" t="s">
        <v>3472</v>
      </c>
      <c r="B61" s="4">
        <v>1145</v>
      </c>
      <c r="C61" s="53" t="s">
        <v>3473</v>
      </c>
      <c r="D61" s="4">
        <v>7.5</v>
      </c>
      <c r="E61" s="49">
        <v>41699</v>
      </c>
      <c r="F61" s="4">
        <v>2.34</v>
      </c>
      <c r="G61" s="4">
        <v>0.34</v>
      </c>
      <c r="H61" s="4" t="s">
        <v>3120</v>
      </c>
      <c r="I61" s="4" t="s">
        <v>3432</v>
      </c>
      <c r="J61" s="4">
        <f>IF(Z61="US",K61,VLOOKUP(Z61,'3032'!$AL$4:$AM$20,2,FALSE)*K61)</f>
        <v>100.5</v>
      </c>
      <c r="K61" s="4">
        <v>100.5</v>
      </c>
      <c r="L61" s="4">
        <v>1165038</v>
      </c>
      <c r="M61" s="4">
        <v>0.3</v>
      </c>
      <c r="N61" s="4">
        <v>0.27834199999999998</v>
      </c>
      <c r="O61" s="4">
        <v>7.26</v>
      </c>
      <c r="P61" s="4">
        <v>7.09</v>
      </c>
      <c r="Q61" s="4">
        <v>631</v>
      </c>
      <c r="R61" s="4">
        <v>685</v>
      </c>
      <c r="S61" s="4">
        <v>1.24</v>
      </c>
      <c r="T61" s="4">
        <v>-0.6</v>
      </c>
      <c r="U61" s="4"/>
      <c r="V61" s="4" t="s">
        <v>3173</v>
      </c>
      <c r="W61" s="4" t="s">
        <v>3174</v>
      </c>
      <c r="X61" s="4" t="s">
        <v>3474</v>
      </c>
      <c r="Y61" s="4" t="s">
        <v>2961</v>
      </c>
      <c r="Z61" s="4" t="s">
        <v>2962</v>
      </c>
      <c r="AA61" s="4" t="s">
        <v>3024</v>
      </c>
      <c r="AB61" s="4" t="s">
        <v>3033</v>
      </c>
      <c r="AD61" s="10">
        <f t="shared" si="2"/>
        <v>1.0141354327446981E-2</v>
      </c>
      <c r="AE61" s="10">
        <f t="shared" si="3"/>
        <v>6.7601108517754027E-2</v>
      </c>
      <c r="AF61" s="10">
        <f t="shared" si="0"/>
        <v>13.841790198623752</v>
      </c>
      <c r="AG61" s="10">
        <f t="shared" ca="1" si="1"/>
        <v>0.52918698775742168</v>
      </c>
    </row>
    <row r="62" spans="1:33" x14ac:dyDescent="0.25">
      <c r="A62" s="50" t="s">
        <v>3475</v>
      </c>
      <c r="B62" s="4">
        <v>504</v>
      </c>
      <c r="C62" s="53" t="s">
        <v>3476</v>
      </c>
      <c r="D62" s="4">
        <v>0</v>
      </c>
      <c r="E62" s="49">
        <v>40892</v>
      </c>
      <c r="F62" s="4">
        <v>0.13</v>
      </c>
      <c r="G62" s="4">
        <v>0.13</v>
      </c>
      <c r="H62" s="4" t="s">
        <v>3028</v>
      </c>
      <c r="I62" s="4" t="s">
        <v>3028</v>
      </c>
      <c r="J62" s="58">
        <f>IF(Z62="US",K62,VLOOKUP(Z62,'3032'!$AL$4:$AM$20,2,FALSE)*K62)</f>
        <v>0.01</v>
      </c>
      <c r="K62" s="67">
        <v>0.01</v>
      </c>
      <c r="L62" s="4">
        <v>50</v>
      </c>
      <c r="M62" s="4">
        <v>0.13</v>
      </c>
      <c r="N62" s="4">
        <v>1.2E-5</v>
      </c>
      <c r="O62" s="4">
        <v>0</v>
      </c>
      <c r="P62" s="4">
        <v>0</v>
      </c>
      <c r="Q62" s="4">
        <v>0</v>
      </c>
      <c r="R62" s="4">
        <v>0</v>
      </c>
      <c r="S62" s="4">
        <v>0.12</v>
      </c>
      <c r="T62" s="4">
        <v>0</v>
      </c>
      <c r="U62" s="4"/>
      <c r="V62" s="4" t="s">
        <v>3153</v>
      </c>
      <c r="W62" s="4" t="s">
        <v>3477</v>
      </c>
      <c r="X62" s="4" t="s">
        <v>3478</v>
      </c>
      <c r="Y62" s="4" t="s">
        <v>2961</v>
      </c>
      <c r="Z62" s="4" t="s">
        <v>2962</v>
      </c>
      <c r="AA62" s="4" t="s">
        <v>3024</v>
      </c>
      <c r="AB62" s="4" t="s">
        <v>2945</v>
      </c>
      <c r="AD62" s="10">
        <f t="shared" si="2"/>
        <v>4.2119715688549524E-8</v>
      </c>
      <c r="AE62" s="10">
        <f t="shared" si="3"/>
        <v>0</v>
      </c>
      <c r="AF62" s="10">
        <f t="shared" si="0"/>
        <v>0</v>
      </c>
      <c r="AG62" s="10">
        <f t="shared" ca="1" si="1"/>
        <v>1.3545188387428255E-8</v>
      </c>
    </row>
    <row r="63" spans="1:33" x14ac:dyDescent="0.25">
      <c r="A63" s="50" t="s">
        <v>3479</v>
      </c>
      <c r="B63" s="4">
        <v>730</v>
      </c>
      <c r="C63" s="53" t="s">
        <v>3480</v>
      </c>
      <c r="D63" s="4">
        <v>4.25</v>
      </c>
      <c r="E63" s="49">
        <v>41791</v>
      </c>
      <c r="F63" s="4">
        <v>2.59</v>
      </c>
      <c r="G63" s="4">
        <v>2.59</v>
      </c>
      <c r="H63" s="4" t="s">
        <v>3054</v>
      </c>
      <c r="I63" s="4" t="s">
        <v>3028</v>
      </c>
      <c r="J63" s="4">
        <f>IF(Z63="US",K63,VLOOKUP(Z63,'3032'!$AL$4:$AM$20,2,FALSE)*K63)</f>
        <v>136.25</v>
      </c>
      <c r="K63" s="4">
        <v>136.25</v>
      </c>
      <c r="L63" s="4">
        <v>1007552</v>
      </c>
      <c r="M63" s="4">
        <v>0.19</v>
      </c>
      <c r="N63" s="4">
        <v>0.24071699999999999</v>
      </c>
      <c r="O63" s="4">
        <v>3.12</v>
      </c>
      <c r="P63" s="4">
        <v>3.12</v>
      </c>
      <c r="Q63" s="4">
        <v>0</v>
      </c>
      <c r="R63" s="4">
        <v>0</v>
      </c>
      <c r="S63" s="4">
        <v>2.56</v>
      </c>
      <c r="T63" s="4">
        <v>0.08</v>
      </c>
      <c r="U63" s="4"/>
      <c r="V63" s="4" t="s">
        <v>3037</v>
      </c>
      <c r="W63" s="4" t="s">
        <v>3117</v>
      </c>
      <c r="X63" s="4" t="s">
        <v>3481</v>
      </c>
      <c r="Y63" s="4" t="s">
        <v>2961</v>
      </c>
      <c r="Z63" s="4" t="s">
        <v>2962</v>
      </c>
      <c r="AA63" s="4" t="s">
        <v>3024</v>
      </c>
      <c r="AB63" s="4" t="s">
        <v>2945</v>
      </c>
      <c r="AD63" s="10">
        <f t="shared" si="2"/>
        <v>2.5809414853053977E-2</v>
      </c>
      <c r="AE63" s="10">
        <f t="shared" si="3"/>
        <v>3.8462168688195859E-2</v>
      </c>
      <c r="AF63" s="10">
        <f t="shared" si="0"/>
        <v>0</v>
      </c>
      <c r="AG63" s="10">
        <f t="shared" ca="1" si="1"/>
        <v>7.2574306491949887</v>
      </c>
    </row>
    <row r="64" spans="1:33" x14ac:dyDescent="0.25">
      <c r="A64" s="50" t="s">
        <v>3482</v>
      </c>
      <c r="B64" s="4">
        <v>693</v>
      </c>
      <c r="C64" s="53" t="s">
        <v>3483</v>
      </c>
      <c r="D64" s="4">
        <v>6.95</v>
      </c>
      <c r="E64" s="49">
        <v>46006</v>
      </c>
      <c r="F64" s="4">
        <v>14.13</v>
      </c>
      <c r="G64" s="4">
        <v>14.13</v>
      </c>
      <c r="H64" s="4" t="s">
        <v>3054</v>
      </c>
      <c r="I64" s="4" t="s">
        <v>3083</v>
      </c>
      <c r="J64" s="4">
        <f>IF(Z64="US",K64,VLOOKUP(Z64,'3032'!$AL$4:$AM$20,2,FALSE)*K64)</f>
        <v>110.21</v>
      </c>
      <c r="K64" s="4">
        <v>110.21</v>
      </c>
      <c r="L64" s="4">
        <v>781943</v>
      </c>
      <c r="M64" s="4">
        <v>0.18</v>
      </c>
      <c r="N64" s="4">
        <v>0.18681600000000001</v>
      </c>
      <c r="O64" s="4">
        <v>5.88</v>
      </c>
      <c r="P64" s="4">
        <v>5.88</v>
      </c>
      <c r="Q64" s="4">
        <v>306</v>
      </c>
      <c r="R64" s="4">
        <v>330</v>
      </c>
      <c r="S64" s="4">
        <v>8.99</v>
      </c>
      <c r="T64" s="4">
        <v>1.1499999999999999</v>
      </c>
      <c r="U64" s="4"/>
      <c r="V64" s="4" t="s">
        <v>3037</v>
      </c>
      <c r="W64" s="4" t="s">
        <v>3117</v>
      </c>
      <c r="X64" s="4" t="s">
        <v>3484</v>
      </c>
      <c r="Y64" s="4" t="s">
        <v>2961</v>
      </c>
      <c r="Z64" s="4" t="s">
        <v>2962</v>
      </c>
      <c r="AA64" s="4" t="s">
        <v>3024</v>
      </c>
      <c r="AB64" s="4" t="s">
        <v>2945</v>
      </c>
      <c r="AD64" s="10">
        <f t="shared" si="2"/>
        <v>0.490550392165784</v>
      </c>
      <c r="AE64" s="10">
        <f t="shared" si="3"/>
        <v>4.051496499886513E-2</v>
      </c>
      <c r="AF64" s="10">
        <f t="shared" si="0"/>
        <v>2.9530068953606077</v>
      </c>
      <c r="AG64" s="10">
        <f t="shared" ca="1" si="1"/>
        <v>0.38949250285374037</v>
      </c>
    </row>
    <row r="65" spans="1:33" x14ac:dyDescent="0.25">
      <c r="A65" s="50" t="s">
        <v>3485</v>
      </c>
      <c r="B65" s="4">
        <v>509</v>
      </c>
      <c r="C65" s="53" t="s">
        <v>3486</v>
      </c>
      <c r="D65" s="4">
        <v>1</v>
      </c>
      <c r="E65" s="49">
        <v>41320</v>
      </c>
      <c r="F65" s="4">
        <v>1.29</v>
      </c>
      <c r="G65" s="4">
        <v>1.29</v>
      </c>
      <c r="H65" s="4" t="s">
        <v>3120</v>
      </c>
      <c r="I65" s="4" t="s">
        <v>3028</v>
      </c>
      <c r="J65" s="4">
        <f>IF(Z65="US",K65,VLOOKUP(Z65,'3032'!$AL$4:$AM$20,2,FALSE)*K65)</f>
        <v>111.88</v>
      </c>
      <c r="K65" s="4">
        <v>111.88</v>
      </c>
      <c r="L65" s="4">
        <v>570518</v>
      </c>
      <c r="M65" s="4">
        <v>0.13</v>
      </c>
      <c r="N65" s="4">
        <v>0.13630400000000001</v>
      </c>
      <c r="O65" s="4">
        <v>1</v>
      </c>
      <c r="P65" s="4">
        <v>1</v>
      </c>
      <c r="Q65" s="4">
        <v>0</v>
      </c>
      <c r="R65" s="4">
        <v>0</v>
      </c>
      <c r="S65" s="4">
        <v>1.33</v>
      </c>
      <c r="T65" s="4">
        <v>0.02</v>
      </c>
      <c r="U65" s="4"/>
      <c r="V65" s="4" t="s">
        <v>3173</v>
      </c>
      <c r="W65" s="4" t="s">
        <v>3174</v>
      </c>
      <c r="X65" s="4" t="s">
        <v>3487</v>
      </c>
      <c r="Y65" s="4" t="s">
        <v>2961</v>
      </c>
      <c r="Z65" s="4" t="s">
        <v>2962</v>
      </c>
      <c r="AA65" s="4" t="s">
        <v>3024</v>
      </c>
      <c r="AB65" s="4" t="s">
        <v>2945</v>
      </c>
      <c r="AD65" s="10">
        <f t="shared" si="2"/>
        <v>5.3266624034026449E-3</v>
      </c>
      <c r="AE65" s="10">
        <f t="shared" si="3"/>
        <v>-0.58957543640640053</v>
      </c>
      <c r="AF65" s="10">
        <f t="shared" si="0"/>
        <v>0</v>
      </c>
      <c r="AG65" s="10">
        <f t="shared" ca="1" si="1"/>
        <v>0.2884860470034058</v>
      </c>
    </row>
    <row r="66" spans="1:33" x14ac:dyDescent="0.25">
      <c r="A66" s="50" t="s">
        <v>3488</v>
      </c>
      <c r="B66" s="4">
        <v>2139</v>
      </c>
      <c r="C66" s="53" t="s">
        <v>3489</v>
      </c>
      <c r="D66" s="4">
        <v>6.8</v>
      </c>
      <c r="E66" s="49">
        <v>24351</v>
      </c>
      <c r="F66" s="4">
        <v>54.84</v>
      </c>
      <c r="G66" s="4">
        <v>4.8</v>
      </c>
      <c r="H66" s="4" t="s">
        <v>133</v>
      </c>
      <c r="I66" s="4" t="s">
        <v>3076</v>
      </c>
      <c r="J66" s="4">
        <f>IF(Z66="US",K66,VLOOKUP(Z66,'3032'!$AL$4:$AM$20,2,FALSE)*K66)</f>
        <v>99</v>
      </c>
      <c r="K66" s="4">
        <v>99</v>
      </c>
      <c r="L66" s="4">
        <v>2141852</v>
      </c>
      <c r="M66" s="4">
        <v>0.55000000000000004</v>
      </c>
      <c r="N66" s="4">
        <v>0.51171500000000003</v>
      </c>
      <c r="O66" s="4">
        <v>6.87</v>
      </c>
      <c r="P66" s="4">
        <v>7.04</v>
      </c>
      <c r="Q66" s="4">
        <v>584</v>
      </c>
      <c r="R66" s="4">
        <v>587</v>
      </c>
      <c r="S66" s="4">
        <v>4</v>
      </c>
      <c r="T66" s="4">
        <v>0.2</v>
      </c>
      <c r="U66" s="4" t="s">
        <v>3049</v>
      </c>
      <c r="V66" s="4" t="s">
        <v>3029</v>
      </c>
      <c r="W66" s="4" t="s">
        <v>3030</v>
      </c>
      <c r="X66" s="4" t="s">
        <v>3490</v>
      </c>
      <c r="Y66" s="4" t="s">
        <v>2961</v>
      </c>
      <c r="Z66" s="4" t="s">
        <v>2962</v>
      </c>
      <c r="AA66" s="4" t="s">
        <v>3024</v>
      </c>
      <c r="AB66" s="4" t="s">
        <v>3033</v>
      </c>
      <c r="AD66" s="10">
        <f t="shared" si="2"/>
        <v>0.15400402911581917</v>
      </c>
      <c r="AE66" s="10">
        <f t="shared" si="3"/>
        <v>0.1234041055965772</v>
      </c>
      <c r="AF66" s="10">
        <f t="shared" si="0"/>
        <v>10.58805749574195</v>
      </c>
      <c r="AG66" s="10">
        <f t="shared" ca="1" si="1"/>
        <v>2.0911783136280069</v>
      </c>
    </row>
    <row r="67" spans="1:33" x14ac:dyDescent="0.25">
      <c r="A67" s="50" t="s">
        <v>3491</v>
      </c>
      <c r="B67" s="4">
        <v>2575</v>
      </c>
      <c r="C67" s="53" t="s">
        <v>3492</v>
      </c>
      <c r="D67" s="4">
        <v>4.875</v>
      </c>
      <c r="E67" s="49">
        <v>44392</v>
      </c>
      <c r="F67" s="4">
        <v>9.7100000000000009</v>
      </c>
      <c r="G67" s="4">
        <v>3.1</v>
      </c>
      <c r="H67" s="4" t="s">
        <v>3232</v>
      </c>
      <c r="I67" s="4" t="s">
        <v>3028</v>
      </c>
      <c r="J67" s="4">
        <f>IF(Z67="US",K67,VLOOKUP(Z67,'3032'!$AL$4:$AM$20,2,FALSE)*K67)</f>
        <v>101.78</v>
      </c>
      <c r="K67" s="4">
        <v>101.78</v>
      </c>
      <c r="L67" s="4">
        <v>2663668</v>
      </c>
      <c r="M67" s="4">
        <v>0.66</v>
      </c>
      <c r="N67" s="4">
        <v>0.63638300000000003</v>
      </c>
      <c r="O67" s="4">
        <v>4.6399999999999997</v>
      </c>
      <c r="P67" s="4">
        <v>2.15</v>
      </c>
      <c r="Q67" s="4">
        <v>244</v>
      </c>
      <c r="R67" s="4">
        <v>275</v>
      </c>
      <c r="S67" s="4">
        <v>7.57</v>
      </c>
      <c r="T67" s="4">
        <v>0.73</v>
      </c>
      <c r="U67" s="4"/>
      <c r="V67" s="4" t="s">
        <v>3209</v>
      </c>
      <c r="W67" s="4" t="s">
        <v>3493</v>
      </c>
      <c r="X67" s="4" t="s">
        <v>3494</v>
      </c>
      <c r="Y67" s="4" t="s">
        <v>2990</v>
      </c>
      <c r="Z67" s="4" t="s">
        <v>2962</v>
      </c>
      <c r="AA67" s="4" t="s">
        <v>3041</v>
      </c>
      <c r="AB67" s="4" t="s">
        <v>3033</v>
      </c>
      <c r="AD67" s="10">
        <f t="shared" si="2"/>
        <v>0.30844183095496669</v>
      </c>
      <c r="AE67" s="10">
        <f t="shared" si="3"/>
        <v>7.0069699998209986E-2</v>
      </c>
      <c r="AF67" s="10">
        <f t="shared" si="0"/>
        <v>8.382782772051371</v>
      </c>
      <c r="AG67" s="10">
        <f t="shared" ca="1" si="1"/>
        <v>1.2253087755131151</v>
      </c>
    </row>
    <row r="68" spans="1:33" x14ac:dyDescent="0.25">
      <c r="A68" s="50" t="s">
        <v>3495</v>
      </c>
      <c r="B68" s="4">
        <v>3590</v>
      </c>
      <c r="C68" s="53" t="s">
        <v>3496</v>
      </c>
      <c r="D68" s="4">
        <v>5.625</v>
      </c>
      <c r="E68" s="49">
        <v>44013</v>
      </c>
      <c r="F68" s="4">
        <v>8.67</v>
      </c>
      <c r="G68" s="4">
        <v>8.67</v>
      </c>
      <c r="H68" s="4" t="s">
        <v>3027</v>
      </c>
      <c r="I68" s="4" t="s">
        <v>3079</v>
      </c>
      <c r="J68" s="4">
        <f>IF(Z68="US",K68,VLOOKUP(Z68,'3032'!$AL$4:$AM$20,2,FALSE)*K68)</f>
        <v>96.34</v>
      </c>
      <c r="K68" s="4">
        <v>96.34</v>
      </c>
      <c r="L68" s="4">
        <v>3526048</v>
      </c>
      <c r="M68" s="4">
        <v>0.93</v>
      </c>
      <c r="N68" s="4">
        <v>0.84241699999999997</v>
      </c>
      <c r="O68" s="4">
        <v>6.17</v>
      </c>
      <c r="P68" s="4">
        <v>6.17</v>
      </c>
      <c r="Q68" s="4">
        <v>402</v>
      </c>
      <c r="R68" s="4">
        <v>449</v>
      </c>
      <c r="S68" s="4">
        <v>6.6</v>
      </c>
      <c r="T68" s="4">
        <v>0.56999999999999995</v>
      </c>
      <c r="U68" s="4"/>
      <c r="V68" s="4" t="s">
        <v>3029</v>
      </c>
      <c r="W68" s="4" t="s">
        <v>3030</v>
      </c>
      <c r="X68" s="4" t="s">
        <v>3497</v>
      </c>
      <c r="Y68" s="4" t="s">
        <v>2961</v>
      </c>
      <c r="Z68" s="4" t="s">
        <v>2962</v>
      </c>
      <c r="AA68" s="4" t="s">
        <v>3024</v>
      </c>
      <c r="AB68" s="4" t="s">
        <v>2945</v>
      </c>
      <c r="AD68" s="10">
        <f t="shared" si="2"/>
        <v>0.35598316110414213</v>
      </c>
      <c r="AE68" s="10">
        <f t="shared" ref="AE68:AE131" si="4">IF(P68&lt;1.99,($L68/$L$441)*P68,IF(AND(P68&gt;1.99,P68&lt;3.99),($L68/$L$442)*P68,IF(AND(P68&gt;3.99,P68&lt;5.99),($L68/$L$443)*P68,IF(AND(P68&gt;5.99,P68&lt;7.99),($L68/$L$444)*P68,IF(AND(P68&gt;7.99,P68&lt;9.99),($L68/$L$445)*P68,IF(P68&gt;9.99,($L68/$L$446)*P68))))))</f>
        <v>0.17804954798263858</v>
      </c>
      <c r="AF68" s="10">
        <f t="shared" ref="AF68:AF131" si="5">IF(R68&lt;199.99,($L68/$L$449)*R68,IF(AND(R68&gt;199.99,R68&lt;399.99),($L68/$L$450)*R68,IF(AND(R68&gt;399.99,R68&lt;599.99),($L68/$L$451)*R68,IF(AND(R68&gt;599.99,R68&lt;799.99),($L68/$L$452)*R68,IF(AND(R68&gt;799.99,R68&lt;999.99),($L68/$L$453)*R68,IF(R68&gt;999.99,($L68/$L$454)*R68))))))</f>
        <v>13.332859192442317</v>
      </c>
      <c r="AG68" s="10">
        <f t="shared" ref="AG68:AG131" ca="1" si="6">IF(J68&lt;49.999,($L68/$L$465)*J68,IF(AND(J68&gt;49.999,J68&lt;79.999),($L68/$L$466)*J68,IF(AND(J68&gt;79.999,J68&lt;99.999),($L68/$L$467)*J68,IF(AND(J68&gt;99.999,J68&lt;119.999),($L68/$L$468)*J68,IF(AND(J68&gt;119.999,J68&lt;139.999),($L68/$L$469)*J68,IF(J68&gt;139.999,($L68/$L$470)*J68))))))</f>
        <v>3.3501270359918807</v>
      </c>
    </row>
    <row r="69" spans="1:33" x14ac:dyDescent="0.25">
      <c r="A69" s="50" t="s">
        <v>3498</v>
      </c>
      <c r="B69" s="4">
        <v>652</v>
      </c>
      <c r="C69" s="53" t="s">
        <v>3499</v>
      </c>
      <c r="D69" s="4">
        <v>5.63</v>
      </c>
      <c r="E69" s="49">
        <v>18263</v>
      </c>
      <c r="F69" s="4">
        <v>38.17</v>
      </c>
      <c r="G69" s="4">
        <v>0.4</v>
      </c>
      <c r="H69" s="4" t="s">
        <v>3181</v>
      </c>
      <c r="I69" s="4" t="s">
        <v>3036</v>
      </c>
      <c r="J69" s="4">
        <f>IF(Z69="US",K69,VLOOKUP(Z69,'3032'!$AL$4:$AM$20,2,FALSE)*K69)</f>
        <v>61</v>
      </c>
      <c r="K69" s="4">
        <v>61</v>
      </c>
      <c r="L69" s="4">
        <v>402410</v>
      </c>
      <c r="M69" s="4">
        <v>0.17</v>
      </c>
      <c r="N69" s="4">
        <v>9.6141000000000004E-2</v>
      </c>
      <c r="O69" s="4">
        <v>9.41</v>
      </c>
      <c r="P69" s="4">
        <v>12</v>
      </c>
      <c r="Q69" s="4">
        <v>17676</v>
      </c>
      <c r="R69" s="4">
        <v>19531</v>
      </c>
      <c r="S69" s="4">
        <v>0.2</v>
      </c>
      <c r="T69" s="4">
        <v>0</v>
      </c>
      <c r="U69" s="4" t="s">
        <v>3049</v>
      </c>
      <c r="V69" s="4" t="s">
        <v>3029</v>
      </c>
      <c r="W69" s="4" t="s">
        <v>3030</v>
      </c>
      <c r="X69" s="4" t="s">
        <v>3500</v>
      </c>
      <c r="Y69" s="4" t="s">
        <v>2961</v>
      </c>
      <c r="Z69" s="4" t="s">
        <v>2962</v>
      </c>
      <c r="AA69" s="4" t="s">
        <v>3024</v>
      </c>
      <c r="AB69" s="4" t="s">
        <v>2945</v>
      </c>
      <c r="AD69" s="10">
        <f t="shared" ref="AD69:AD132" si="7">ABS(IF(S69&lt;1.99,($L69/$L$457)*S69,IF(AND(S69&gt;1.99,S69&lt;3.99),($L69/$L$458)*S69,IF(AND(S69&gt;3.99,S69&lt;5.99),($L69/$L$459)*S69,IF(AND(S69&gt;5.999,S69&lt;7.9999),($L69/$L$460)*S69,IF(AND(S69&gt;7.999,S69&lt;9.999),($L69/$L$461)*S69,IF(S69&gt;9.99,($L69/$L$462)*S69)))))))</f>
        <v>5.649798263409738E-4</v>
      </c>
      <c r="AE69" s="10">
        <f t="shared" si="4"/>
        <v>0.1136452531834142</v>
      </c>
      <c r="AF69" s="10">
        <f t="shared" si="5"/>
        <v>378.93489497829171</v>
      </c>
      <c r="AG69" s="10">
        <f t="shared" ca="1" si="6"/>
        <v>1.3115299340142614</v>
      </c>
    </row>
    <row r="70" spans="1:33" x14ac:dyDescent="0.25">
      <c r="A70" s="50">
        <v>60505682</v>
      </c>
      <c r="B70" s="4">
        <v>1</v>
      </c>
      <c r="C70" s="53" t="s">
        <v>3501</v>
      </c>
      <c r="D70" s="4">
        <v>0</v>
      </c>
      <c r="E70" s="4"/>
      <c r="F70" s="4">
        <v>0</v>
      </c>
      <c r="G70" s="4">
        <v>0</v>
      </c>
      <c r="H70" s="4" t="s">
        <v>3181</v>
      </c>
      <c r="I70" s="4" t="s">
        <v>3036</v>
      </c>
      <c r="J70" s="4">
        <f>IF(Z70="US",K70,VLOOKUP(Z70,'3032'!$AL$4:$AM$20,2,FALSE)*K70)</f>
        <v>85.6</v>
      </c>
      <c r="K70" s="4">
        <v>85.6</v>
      </c>
      <c r="L70" s="4">
        <v>668536</v>
      </c>
      <c r="M70" s="4">
        <v>0</v>
      </c>
      <c r="N70" s="4">
        <v>0.159722</v>
      </c>
      <c r="O70" s="4">
        <v>9.48</v>
      </c>
      <c r="P70" s="4">
        <v>9.48</v>
      </c>
      <c r="Q70" s="4">
        <v>0</v>
      </c>
      <c r="R70" s="4">
        <v>0</v>
      </c>
      <c r="S70" s="4">
        <v>0</v>
      </c>
      <c r="T70" s="4">
        <v>0</v>
      </c>
      <c r="U70" s="4"/>
      <c r="V70" s="4" t="s">
        <v>3029</v>
      </c>
      <c r="W70" s="4" t="s">
        <v>3030</v>
      </c>
      <c r="X70" s="4" t="s">
        <v>3502</v>
      </c>
      <c r="Y70" s="4" t="s">
        <v>2961</v>
      </c>
      <c r="Z70" s="4" t="s">
        <v>2962</v>
      </c>
      <c r="AA70" s="4" t="s">
        <v>3024</v>
      </c>
      <c r="AB70" s="4" t="s">
        <v>2945</v>
      </c>
      <c r="AD70" s="10">
        <f t="shared" si="7"/>
        <v>0</v>
      </c>
      <c r="AE70" s="10">
        <f t="shared" si="4"/>
        <v>0.10627524890177693</v>
      </c>
      <c r="AF70" s="10">
        <f t="shared" si="5"/>
        <v>0</v>
      </c>
      <c r="AG70" s="10">
        <f t="shared" ca="1" si="6"/>
        <v>0.56437137336095489</v>
      </c>
    </row>
    <row r="71" spans="1:33" x14ac:dyDescent="0.25">
      <c r="A71" s="50" t="s">
        <v>3503</v>
      </c>
      <c r="B71" s="4">
        <v>13</v>
      </c>
      <c r="C71" s="53" t="s">
        <v>3504</v>
      </c>
      <c r="D71" s="4">
        <v>5.0010000000000003</v>
      </c>
      <c r="E71" s="49">
        <v>16720</v>
      </c>
      <c r="F71" s="4">
        <v>33.94</v>
      </c>
      <c r="G71" s="4">
        <v>2</v>
      </c>
      <c r="H71" s="4" t="s">
        <v>3050</v>
      </c>
      <c r="I71" s="4" t="s">
        <v>3051</v>
      </c>
      <c r="J71" s="4">
        <f>IF(Z71="US",K71,VLOOKUP(Z71,'3032'!$AL$4:$AM$20,2,FALSE)*K71)</f>
        <v>100.02</v>
      </c>
      <c r="K71" s="4">
        <v>100.02</v>
      </c>
      <c r="L71" s="4">
        <v>13312</v>
      </c>
      <c r="M71" s="4">
        <v>0</v>
      </c>
      <c r="N71" s="4">
        <v>3.1800000000000001E-3</v>
      </c>
      <c r="O71" s="4">
        <v>2</v>
      </c>
      <c r="P71" s="4">
        <v>2</v>
      </c>
      <c r="Q71" s="4">
        <v>177</v>
      </c>
      <c r="R71" s="4">
        <v>177</v>
      </c>
      <c r="S71" s="4">
        <v>0.13</v>
      </c>
      <c r="T71" s="4">
        <v>0</v>
      </c>
      <c r="U71" s="4" t="s">
        <v>3049</v>
      </c>
      <c r="V71" s="4" t="s">
        <v>3505</v>
      </c>
      <c r="W71" s="4" t="s">
        <v>3506</v>
      </c>
      <c r="X71" s="4" t="s">
        <v>3507</v>
      </c>
      <c r="Y71" s="4" t="s">
        <v>2961</v>
      </c>
      <c r="Z71" s="4" t="s">
        <v>2962</v>
      </c>
      <c r="AA71" s="4" t="s">
        <v>3024</v>
      </c>
      <c r="AB71" s="4" t="s">
        <v>2945</v>
      </c>
      <c r="AD71" s="10">
        <f t="shared" si="7"/>
        <v>1.2148449196996044E-5</v>
      </c>
      <c r="AE71" s="10">
        <f t="shared" si="4"/>
        <v>3.25750438825263E-4</v>
      </c>
      <c r="AF71" s="10">
        <f t="shared" si="5"/>
        <v>2.1910337085177645E-2</v>
      </c>
      <c r="AG71" s="10">
        <f t="shared" ca="1" si="6"/>
        <v>6.0177364431988015E-3</v>
      </c>
    </row>
    <row r="72" spans="1:33" x14ac:dyDescent="0.25">
      <c r="A72" s="50" t="s">
        <v>3508</v>
      </c>
      <c r="B72" s="4">
        <v>2037</v>
      </c>
      <c r="C72" s="53" t="s">
        <v>3509</v>
      </c>
      <c r="D72" s="4">
        <v>5.14</v>
      </c>
      <c r="E72" s="49">
        <v>44118</v>
      </c>
      <c r="F72" s="4">
        <v>8.9600000000000009</v>
      </c>
      <c r="G72" s="4">
        <v>8.9600000000000009</v>
      </c>
      <c r="H72" s="4" t="s">
        <v>3027</v>
      </c>
      <c r="I72" s="4" t="s">
        <v>3079</v>
      </c>
      <c r="J72" s="4">
        <f>IF(Z72="US",K72,VLOOKUP(Z72,'3032'!$AL$4:$AM$20,2,FALSE)*K72)</f>
        <v>90.8</v>
      </c>
      <c r="K72" s="4">
        <v>90.8</v>
      </c>
      <c r="L72" s="4">
        <v>1854583</v>
      </c>
      <c r="M72" s="4">
        <v>0.53</v>
      </c>
      <c r="N72" s="4">
        <v>0.443083</v>
      </c>
      <c r="O72" s="4">
        <v>6.51</v>
      </c>
      <c r="P72" s="4">
        <v>6.51</v>
      </c>
      <c r="Q72" s="4">
        <v>432</v>
      </c>
      <c r="R72" s="4">
        <v>443</v>
      </c>
      <c r="S72" s="4">
        <v>6.94</v>
      </c>
      <c r="T72" s="4">
        <v>0.62</v>
      </c>
      <c r="U72" s="4"/>
      <c r="V72" s="4" t="s">
        <v>3029</v>
      </c>
      <c r="W72" s="4" t="s">
        <v>3030</v>
      </c>
      <c r="X72" s="4" t="s">
        <v>3510</v>
      </c>
      <c r="Y72" s="4" t="s">
        <v>2990</v>
      </c>
      <c r="Z72" s="4" t="s">
        <v>2962</v>
      </c>
      <c r="AA72" s="4" t="s">
        <v>3024</v>
      </c>
      <c r="AB72" s="4" t="s">
        <v>2945</v>
      </c>
      <c r="AD72" s="10">
        <f t="shared" si="7"/>
        <v>0.1968806545818273</v>
      </c>
      <c r="AE72" s="10">
        <f t="shared" si="4"/>
        <v>9.8808601948101552E-2</v>
      </c>
      <c r="AF72" s="10">
        <f t="shared" si="5"/>
        <v>6.918926741568991</v>
      </c>
      <c r="AG72" s="10">
        <f t="shared" ca="1" si="6"/>
        <v>1.6607281098882847</v>
      </c>
    </row>
    <row r="73" spans="1:33" x14ac:dyDescent="0.25">
      <c r="A73" s="50" t="s">
        <v>3511</v>
      </c>
      <c r="B73" s="4">
        <v>800</v>
      </c>
      <c r="C73" s="53" t="s">
        <v>3512</v>
      </c>
      <c r="D73" s="4">
        <v>7.125</v>
      </c>
      <c r="E73" s="49">
        <v>42475</v>
      </c>
      <c r="F73" s="4">
        <v>4.46</v>
      </c>
      <c r="G73" s="4">
        <v>0.46</v>
      </c>
      <c r="H73" s="4" t="s">
        <v>135</v>
      </c>
      <c r="I73" s="4" t="s">
        <v>3065</v>
      </c>
      <c r="J73" s="4">
        <f>IF(Z73="US",K73,VLOOKUP(Z73,'3032'!$AL$4:$AM$20,2,FALSE)*K73)</f>
        <v>101.5</v>
      </c>
      <c r="K73" s="4">
        <v>101.5</v>
      </c>
      <c r="L73" s="4">
        <v>814533</v>
      </c>
      <c r="M73" s="4">
        <v>0.21</v>
      </c>
      <c r="N73" s="4">
        <v>0.194602</v>
      </c>
      <c r="O73" s="4">
        <v>6.73</v>
      </c>
      <c r="P73" s="4">
        <v>6.45</v>
      </c>
      <c r="Q73" s="4">
        <v>609</v>
      </c>
      <c r="R73" s="4">
        <v>573</v>
      </c>
      <c r="S73" s="4">
        <v>2.2200000000000002</v>
      </c>
      <c r="T73" s="4">
        <v>-0.61</v>
      </c>
      <c r="U73" s="4"/>
      <c r="V73" s="4" t="s">
        <v>3124</v>
      </c>
      <c r="W73" s="4" t="s">
        <v>3513</v>
      </c>
      <c r="X73" s="4" t="s">
        <v>3514</v>
      </c>
      <c r="Y73" s="4" t="s">
        <v>2961</v>
      </c>
      <c r="Z73" s="4" t="s">
        <v>2962</v>
      </c>
      <c r="AA73" s="4" t="s">
        <v>3024</v>
      </c>
      <c r="AB73" s="4" t="s">
        <v>2945</v>
      </c>
      <c r="AD73" s="10">
        <f t="shared" si="7"/>
        <v>1.8093908180761006E-2</v>
      </c>
      <c r="AE73" s="10">
        <f t="shared" si="4"/>
        <v>4.2996775768367967E-2</v>
      </c>
      <c r="AF73" s="10">
        <f t="shared" si="5"/>
        <v>3.9305383454301381</v>
      </c>
      <c r="AG73" s="10">
        <f t="shared" ca="1" si="6"/>
        <v>0.37366096432624313</v>
      </c>
    </row>
    <row r="74" spans="1:33" x14ac:dyDescent="0.25">
      <c r="A74" s="50" t="s">
        <v>3515</v>
      </c>
      <c r="B74" s="4">
        <v>1600</v>
      </c>
      <c r="C74" s="53" t="s">
        <v>3516</v>
      </c>
      <c r="D74" s="4">
        <v>7.75</v>
      </c>
      <c r="E74" s="49">
        <v>43511</v>
      </c>
      <c r="F74" s="4">
        <v>7.29</v>
      </c>
      <c r="G74" s="4">
        <v>3.29</v>
      </c>
      <c r="H74" s="4" t="s">
        <v>135</v>
      </c>
      <c r="I74" s="4" t="s">
        <v>3065</v>
      </c>
      <c r="J74" s="4">
        <f>IF(Z74="US",K74,VLOOKUP(Z74,'3032'!$AL$4:$AM$20,2,FALSE)*K74)</f>
        <v>100</v>
      </c>
      <c r="K74" s="4">
        <v>100</v>
      </c>
      <c r="L74" s="4">
        <v>1626178</v>
      </c>
      <c r="M74" s="4">
        <v>0.41</v>
      </c>
      <c r="N74" s="4">
        <v>0.38851400000000003</v>
      </c>
      <c r="O74" s="4">
        <v>7.75</v>
      </c>
      <c r="P74" s="4">
        <v>7.75</v>
      </c>
      <c r="Q74" s="4">
        <v>540</v>
      </c>
      <c r="R74" s="4">
        <v>506</v>
      </c>
      <c r="S74" s="4">
        <v>4.21</v>
      </c>
      <c r="T74" s="4">
        <v>0.16</v>
      </c>
      <c r="U74" s="4"/>
      <c r="V74" s="4" t="s">
        <v>3124</v>
      </c>
      <c r="W74" s="4" t="s">
        <v>3513</v>
      </c>
      <c r="X74" s="4" t="s">
        <v>3517</v>
      </c>
      <c r="Y74" s="4" t="s">
        <v>2961</v>
      </c>
      <c r="Z74" s="4" t="s">
        <v>2962</v>
      </c>
      <c r="AA74" s="4" t="s">
        <v>3041</v>
      </c>
      <c r="AB74" s="4" t="s">
        <v>2945</v>
      </c>
      <c r="AD74" s="10">
        <f t="shared" si="7"/>
        <v>0.12306450547125973</v>
      </c>
      <c r="AE74" s="10">
        <f t="shared" si="4"/>
        <v>0.10314241010279214</v>
      </c>
      <c r="AF74" s="10">
        <f t="shared" si="5"/>
        <v>6.9295866501391075</v>
      </c>
      <c r="AG74" s="10">
        <f t="shared" ca="1" si="6"/>
        <v>0.73497249271060305</v>
      </c>
    </row>
    <row r="75" spans="1:33" x14ac:dyDescent="0.25">
      <c r="A75" s="50" t="s">
        <v>3518</v>
      </c>
      <c r="B75" s="4">
        <v>67</v>
      </c>
      <c r="C75" s="53" t="s">
        <v>3519</v>
      </c>
      <c r="D75" s="4">
        <v>0.47499999999999998</v>
      </c>
      <c r="E75" s="49">
        <v>13509</v>
      </c>
      <c r="F75" s="4">
        <v>25.15</v>
      </c>
      <c r="G75" s="4">
        <v>4.9000000000000004</v>
      </c>
      <c r="H75" s="4" t="s">
        <v>3050</v>
      </c>
      <c r="I75" s="4" t="s">
        <v>3051</v>
      </c>
      <c r="J75" s="4">
        <f>IF(Z75="US",K75,VLOOKUP(Z75,'3032'!$AL$4:$AM$20,2,FALSE)*K75)</f>
        <v>70.010000000000005</v>
      </c>
      <c r="K75" s="4">
        <v>70.010000000000005</v>
      </c>
      <c r="L75" s="4">
        <v>46822</v>
      </c>
      <c r="M75" s="4">
        <v>0.02</v>
      </c>
      <c r="N75" s="4">
        <v>1.1186E-2</v>
      </c>
      <c r="O75" s="4">
        <v>9</v>
      </c>
      <c r="P75" s="4">
        <v>9</v>
      </c>
      <c r="Q75" s="4">
        <v>0</v>
      </c>
      <c r="R75" s="4">
        <v>0</v>
      </c>
      <c r="S75" s="4">
        <v>0.1</v>
      </c>
      <c r="T75" s="4">
        <v>5.73</v>
      </c>
      <c r="U75" s="4" t="s">
        <v>3049</v>
      </c>
      <c r="V75" s="4" t="s">
        <v>3520</v>
      </c>
      <c r="W75" s="4" t="s">
        <v>3521</v>
      </c>
      <c r="X75" s="4" t="s">
        <v>3522</v>
      </c>
      <c r="Y75" s="4" t="s">
        <v>2961</v>
      </c>
      <c r="Z75" s="4" t="s">
        <v>2962</v>
      </c>
      <c r="AA75" s="4" t="s">
        <v>3041</v>
      </c>
      <c r="AB75" s="4" t="s">
        <v>3033</v>
      </c>
      <c r="AD75" s="10">
        <f t="shared" si="7"/>
        <v>3.2868822132821095E-5</v>
      </c>
      <c r="AE75" s="10">
        <f t="shared" si="4"/>
        <v>7.066290131444687E-3</v>
      </c>
      <c r="AF75" s="10">
        <f t="shared" si="5"/>
        <v>0</v>
      </c>
      <c r="AG75" s="10">
        <f t="shared" ca="1" si="6"/>
        <v>0.17514173434869693</v>
      </c>
    </row>
    <row r="76" spans="1:33" x14ac:dyDescent="0.25">
      <c r="A76" s="50" t="s">
        <v>3057</v>
      </c>
      <c r="B76" s="4">
        <v>250</v>
      </c>
      <c r="C76" s="53" t="s">
        <v>3058</v>
      </c>
      <c r="D76" s="4">
        <v>4.8</v>
      </c>
      <c r="E76" s="49">
        <v>44122</v>
      </c>
      <c r="F76" s="4">
        <v>8.9700000000000006</v>
      </c>
      <c r="G76" s="4">
        <v>8.9700000000000006</v>
      </c>
      <c r="H76" s="4" t="s">
        <v>3059</v>
      </c>
      <c r="I76" s="4" t="s">
        <v>3060</v>
      </c>
      <c r="J76" s="4">
        <f>IF(Z76="US",K76,VLOOKUP(Z76,'3032'!$AL$4:$AM$20,2,FALSE)*K76)</f>
        <v>97.69</v>
      </c>
      <c r="K76" s="4">
        <v>97.69</v>
      </c>
      <c r="L76" s="4">
        <v>244649</v>
      </c>
      <c r="M76" s="4">
        <v>0.06</v>
      </c>
      <c r="N76" s="4">
        <v>5.8450000000000002E-2</v>
      </c>
      <c r="O76" s="4">
        <v>5.12</v>
      </c>
      <c r="P76" s="4">
        <v>5.12</v>
      </c>
      <c r="Q76" s="4">
        <v>0</v>
      </c>
      <c r="R76" s="4">
        <v>0</v>
      </c>
      <c r="S76" s="4">
        <v>7.17</v>
      </c>
      <c r="T76" s="4">
        <v>0.62</v>
      </c>
      <c r="U76" s="4"/>
      <c r="V76" s="4" t="s">
        <v>3029</v>
      </c>
      <c r="W76" s="4" t="s">
        <v>3030</v>
      </c>
      <c r="X76" s="4" t="s">
        <v>3061</v>
      </c>
      <c r="Y76" s="4" t="s">
        <v>3062</v>
      </c>
      <c r="Z76" s="4" t="s">
        <v>2962</v>
      </c>
      <c r="AA76" s="4" t="s">
        <v>3041</v>
      </c>
      <c r="AB76" s="4" t="s">
        <v>2945</v>
      </c>
      <c r="AD76" s="10">
        <f t="shared" si="7"/>
        <v>2.6832423524801165E-2</v>
      </c>
      <c r="AE76" s="10">
        <f t="shared" si="4"/>
        <v>1.1037645757874861E-2</v>
      </c>
      <c r="AF76" s="10">
        <f t="shared" si="5"/>
        <v>0</v>
      </c>
      <c r="AG76" s="10">
        <f t="shared" ca="1" si="6"/>
        <v>0.23570020931177019</v>
      </c>
    </row>
    <row r="77" spans="1:33" x14ac:dyDescent="0.25">
      <c r="A77" s="50" t="s">
        <v>3523</v>
      </c>
      <c r="B77" s="4">
        <v>1630</v>
      </c>
      <c r="C77" s="53" t="s">
        <v>3524</v>
      </c>
      <c r="D77" s="4">
        <v>6.875</v>
      </c>
      <c r="E77" s="49">
        <v>44105</v>
      </c>
      <c r="F77" s="4">
        <v>8.92</v>
      </c>
      <c r="G77" s="4">
        <v>3.92</v>
      </c>
      <c r="H77" s="4" t="s">
        <v>133</v>
      </c>
      <c r="I77" s="4" t="s">
        <v>3036</v>
      </c>
      <c r="J77" s="4">
        <f>IF(Z77="US",K77,VLOOKUP(Z77,'3032'!$AL$4:$AM$20,2,FALSE)*K77)</f>
        <v>107.75</v>
      </c>
      <c r="K77" s="4">
        <v>107.75</v>
      </c>
      <c r="L77" s="4">
        <v>1765664</v>
      </c>
      <c r="M77" s="4">
        <v>0.42</v>
      </c>
      <c r="N77" s="4">
        <v>0.42183900000000002</v>
      </c>
      <c r="O77" s="4">
        <v>5.75</v>
      </c>
      <c r="P77" s="4">
        <v>5.45</v>
      </c>
      <c r="Q77" s="4">
        <v>461</v>
      </c>
      <c r="R77" s="4">
        <v>340</v>
      </c>
      <c r="S77" s="4">
        <v>3.41</v>
      </c>
      <c r="T77" s="4">
        <v>0.06</v>
      </c>
      <c r="U77" s="4"/>
      <c r="V77" s="4" t="s">
        <v>3173</v>
      </c>
      <c r="W77" s="4" t="s">
        <v>3525</v>
      </c>
      <c r="X77" s="4" t="s">
        <v>3526</v>
      </c>
      <c r="Y77" s="4" t="s">
        <v>2961</v>
      </c>
      <c r="Z77" s="4" t="s">
        <v>2962</v>
      </c>
      <c r="AA77" s="4" t="s">
        <v>3024</v>
      </c>
      <c r="AB77" s="4" t="s">
        <v>2945</v>
      </c>
      <c r="AD77" s="10">
        <f t="shared" si="7"/>
        <v>6.0246686327518714E-2</v>
      </c>
      <c r="AE77" s="10">
        <f t="shared" si="4"/>
        <v>8.4794485694385718E-2</v>
      </c>
      <c r="AF77" s="10">
        <f t="shared" si="5"/>
        <v>6.8700896501934334</v>
      </c>
      <c r="AG77" s="10">
        <f t="shared" ca="1" si="6"/>
        <v>0.85986118549168711</v>
      </c>
    </row>
    <row r="78" spans="1:33" x14ac:dyDescent="0.25">
      <c r="A78" s="50" t="s">
        <v>3527</v>
      </c>
      <c r="B78" s="4">
        <v>78</v>
      </c>
      <c r="C78" s="53" t="s">
        <v>3528</v>
      </c>
      <c r="D78" s="4">
        <v>0</v>
      </c>
      <c r="E78" s="49">
        <v>41604</v>
      </c>
      <c r="F78" s="4">
        <v>2.0699999999999998</v>
      </c>
      <c r="G78" s="4">
        <v>2.0699999999999998</v>
      </c>
      <c r="H78" s="4" t="s">
        <v>3028</v>
      </c>
      <c r="I78" s="4" t="s">
        <v>3028</v>
      </c>
      <c r="J78" s="4">
        <f>IF(Z78="US",K78,VLOOKUP(Z78,'3032'!$AL$4:$AM$20,2,FALSE)*K78)</f>
        <v>0.67</v>
      </c>
      <c r="K78" s="4">
        <v>0.67</v>
      </c>
      <c r="L78" s="4">
        <v>521</v>
      </c>
      <c r="M78" s="4">
        <v>0.02</v>
      </c>
      <c r="N78" s="4">
        <v>1.2400000000000001E-4</v>
      </c>
      <c r="O78" s="4">
        <v>0</v>
      </c>
      <c r="P78" s="4">
        <v>0</v>
      </c>
      <c r="Q78" s="4">
        <v>0</v>
      </c>
      <c r="R78" s="4">
        <v>0</v>
      </c>
      <c r="S78" s="4">
        <v>0.25</v>
      </c>
      <c r="T78" s="4">
        <v>0</v>
      </c>
      <c r="U78" s="4" t="s">
        <v>3049</v>
      </c>
      <c r="V78" s="4" t="s">
        <v>3209</v>
      </c>
      <c r="W78" s="4" t="s">
        <v>3493</v>
      </c>
      <c r="X78" s="4" t="s">
        <v>3529</v>
      </c>
      <c r="Y78" s="4" t="s">
        <v>2961</v>
      </c>
      <c r="Z78" s="4" t="s">
        <v>2962</v>
      </c>
      <c r="AA78" s="4" t="s">
        <v>3032</v>
      </c>
      <c r="AB78" s="4" t="s">
        <v>3033</v>
      </c>
      <c r="AD78" s="10">
        <f t="shared" si="7"/>
        <v>9.1434882807226257E-7</v>
      </c>
      <c r="AE78" s="10">
        <f t="shared" si="4"/>
        <v>0</v>
      </c>
      <c r="AF78" s="10">
        <f t="shared" si="5"/>
        <v>0</v>
      </c>
      <c r="AG78" s="10">
        <f t="shared" ca="1" si="6"/>
        <v>9.4564378207991639E-6</v>
      </c>
    </row>
    <row r="79" spans="1:33" x14ac:dyDescent="0.25">
      <c r="A79" s="50" t="s">
        <v>3530</v>
      </c>
      <c r="B79" s="4">
        <v>2648</v>
      </c>
      <c r="C79" s="53" t="s">
        <v>3531</v>
      </c>
      <c r="D79" s="4">
        <v>6.75</v>
      </c>
      <c r="E79" s="49">
        <v>44089</v>
      </c>
      <c r="F79" s="4">
        <v>8.8800000000000008</v>
      </c>
      <c r="G79" s="4">
        <v>3.38</v>
      </c>
      <c r="H79" s="4" t="s">
        <v>3181</v>
      </c>
      <c r="I79" s="4" t="s">
        <v>3116</v>
      </c>
      <c r="J79" s="4">
        <f>IF(Z79="US",K79,VLOOKUP(Z79,'3032'!$AL$4:$AM$20,2,FALSE)*K79)</f>
        <v>107.75</v>
      </c>
      <c r="K79" s="4">
        <v>107.75</v>
      </c>
      <c r="L79" s="4">
        <v>2876059</v>
      </c>
      <c r="M79" s="4">
        <v>0.68</v>
      </c>
      <c r="N79" s="4">
        <v>0.68712600000000001</v>
      </c>
      <c r="O79" s="4">
        <v>5.63</v>
      </c>
      <c r="P79" s="4">
        <v>5.14</v>
      </c>
      <c r="Q79" s="4">
        <v>430</v>
      </c>
      <c r="R79" s="4">
        <v>306</v>
      </c>
      <c r="S79" s="4">
        <v>2.99</v>
      </c>
      <c r="T79" s="4">
        <v>-0.16</v>
      </c>
      <c r="U79" s="4"/>
      <c r="V79" s="4" t="s">
        <v>3173</v>
      </c>
      <c r="W79" s="4" t="s">
        <v>3470</v>
      </c>
      <c r="X79" s="4" t="s">
        <v>3532</v>
      </c>
      <c r="Y79" s="4" t="s">
        <v>2961</v>
      </c>
      <c r="Z79" s="4" t="s">
        <v>2962</v>
      </c>
      <c r="AA79" s="4" t="s">
        <v>3024</v>
      </c>
      <c r="AB79" s="4" t="s">
        <v>2945</v>
      </c>
      <c r="AD79" s="10">
        <f t="shared" si="7"/>
        <v>8.6047786499112655E-2</v>
      </c>
      <c r="AE79" s="10">
        <f t="shared" si="4"/>
        <v>0.13026386380545743</v>
      </c>
      <c r="AF79" s="10">
        <f t="shared" si="5"/>
        <v>10.071511257136752</v>
      </c>
      <c r="AG79" s="10">
        <f t="shared" ca="1" si="6"/>
        <v>1.4006127447147567</v>
      </c>
    </row>
    <row r="80" spans="1:33" x14ac:dyDescent="0.25">
      <c r="A80" s="50" t="s">
        <v>3533</v>
      </c>
      <c r="B80" s="4">
        <v>1606</v>
      </c>
      <c r="C80" s="53" t="s">
        <v>3534</v>
      </c>
      <c r="D80" s="4">
        <v>7</v>
      </c>
      <c r="E80" s="49">
        <v>44287</v>
      </c>
      <c r="F80" s="4">
        <v>9.42</v>
      </c>
      <c r="G80" s="4">
        <v>4.42</v>
      </c>
      <c r="H80" s="4" t="s">
        <v>3019</v>
      </c>
      <c r="I80" s="4" t="s">
        <v>3134</v>
      </c>
      <c r="J80" s="4">
        <f>IF(Z80="US",K80,VLOOKUP(Z80,'3032'!$AL$4:$AM$20,2,FALSE)*K80)</f>
        <v>98.75</v>
      </c>
      <c r="K80" s="4">
        <v>98.75</v>
      </c>
      <c r="L80" s="4">
        <v>1595293</v>
      </c>
      <c r="M80" s="4">
        <v>0.41</v>
      </c>
      <c r="N80" s="4">
        <v>0.381135</v>
      </c>
      <c r="O80" s="4">
        <v>7.18</v>
      </c>
      <c r="P80" s="4">
        <v>7.18</v>
      </c>
      <c r="Q80" s="4">
        <v>489</v>
      </c>
      <c r="R80" s="4">
        <v>504</v>
      </c>
      <c r="S80" s="4">
        <v>6.75</v>
      </c>
      <c r="T80" s="4">
        <v>0.47</v>
      </c>
      <c r="U80" s="4"/>
      <c r="V80" s="4" t="s">
        <v>3037</v>
      </c>
      <c r="W80" s="4" t="s">
        <v>3038</v>
      </c>
      <c r="X80" s="4" t="s">
        <v>3535</v>
      </c>
      <c r="Y80" s="4" t="s">
        <v>2949</v>
      </c>
      <c r="Z80" s="4" t="s">
        <v>2962</v>
      </c>
      <c r="AA80" s="4" t="s">
        <v>3041</v>
      </c>
      <c r="AB80" s="4" t="s">
        <v>2945</v>
      </c>
      <c r="AD80" s="10">
        <f t="shared" si="7"/>
        <v>0.16471817886244527</v>
      </c>
      <c r="AE80" s="10">
        <f t="shared" si="4"/>
        <v>9.3741607190008874E-2</v>
      </c>
      <c r="AF80" s="10">
        <f t="shared" si="5"/>
        <v>6.7711077914923274</v>
      </c>
      <c r="AG80" s="10">
        <f t="shared" ca="1" si="6"/>
        <v>1.5536170457533203</v>
      </c>
    </row>
    <row r="81" spans="1:33" x14ac:dyDescent="0.25">
      <c r="A81" s="50" t="s">
        <v>3536</v>
      </c>
      <c r="B81" s="4">
        <v>576</v>
      </c>
      <c r="C81" s="53" t="s">
        <v>3537</v>
      </c>
      <c r="D81" s="4">
        <v>2.78</v>
      </c>
      <c r="E81" s="49">
        <v>13113</v>
      </c>
      <c r="F81" s="4">
        <v>24.07</v>
      </c>
      <c r="G81" s="4">
        <v>9.1999999999999993</v>
      </c>
      <c r="H81" s="4" t="s">
        <v>3028</v>
      </c>
      <c r="I81" s="4" t="s">
        <v>3538</v>
      </c>
      <c r="J81" s="4">
        <f>IF(Z81="US",K81,VLOOKUP(Z81,'3032'!$AL$4:$AM$20,2,FALSE)*K81)</f>
        <v>72.8</v>
      </c>
      <c r="K81" s="4">
        <v>72.8</v>
      </c>
      <c r="L81" s="4">
        <v>421040</v>
      </c>
      <c r="M81" s="4">
        <v>0.15</v>
      </c>
      <c r="N81" s="4">
        <v>0.100592</v>
      </c>
      <c r="O81" s="4">
        <v>5.2</v>
      </c>
      <c r="P81" s="4">
        <v>5.2</v>
      </c>
      <c r="Q81" s="4">
        <v>300</v>
      </c>
      <c r="R81" s="4">
        <v>300</v>
      </c>
      <c r="S81" s="4">
        <v>6.6</v>
      </c>
      <c r="T81" s="4">
        <v>-0.01</v>
      </c>
      <c r="U81" s="4" t="s">
        <v>3049</v>
      </c>
      <c r="V81" s="4" t="s">
        <v>3539</v>
      </c>
      <c r="W81" s="4" t="s">
        <v>3540</v>
      </c>
      <c r="X81" s="4" t="s">
        <v>3541</v>
      </c>
      <c r="Y81" s="4" t="s">
        <v>2961</v>
      </c>
      <c r="Z81" s="4" t="s">
        <v>2962</v>
      </c>
      <c r="AA81" s="4" t="s">
        <v>3024</v>
      </c>
      <c r="AB81" s="4" t="s">
        <v>2945</v>
      </c>
      <c r="AD81" s="10">
        <f t="shared" si="7"/>
        <v>4.2507404933593652E-2</v>
      </c>
      <c r="AE81" s="10">
        <f t="shared" si="4"/>
        <v>1.9292554974372472E-2</v>
      </c>
      <c r="AF81" s="10">
        <f t="shared" si="5"/>
        <v>1.4455064595183005</v>
      </c>
      <c r="AG81" s="10">
        <f t="shared" ca="1" si="6"/>
        <v>1.6376999812516533</v>
      </c>
    </row>
    <row r="82" spans="1:33" x14ac:dyDescent="0.25">
      <c r="A82" s="50" t="s">
        <v>3542</v>
      </c>
      <c r="B82" s="4">
        <v>1304</v>
      </c>
      <c r="C82" s="53" t="s">
        <v>3543</v>
      </c>
      <c r="D82" s="4">
        <v>7.125</v>
      </c>
      <c r="E82" s="49">
        <v>41927</v>
      </c>
      <c r="F82" s="4">
        <v>2.96</v>
      </c>
      <c r="G82" s="4">
        <v>0.96</v>
      </c>
      <c r="H82" s="4" t="s">
        <v>3120</v>
      </c>
      <c r="I82" s="4" t="s">
        <v>3432</v>
      </c>
      <c r="J82" s="4">
        <f>IF(Z82="US",K82,VLOOKUP(Z82,'3032'!$AL$4:$AM$20,2,FALSE)*K82)</f>
        <v>97.75</v>
      </c>
      <c r="K82" s="4">
        <v>97.75</v>
      </c>
      <c r="L82" s="4">
        <v>1278789</v>
      </c>
      <c r="M82" s="4">
        <v>0.34</v>
      </c>
      <c r="N82" s="4">
        <v>0.30551899999999999</v>
      </c>
      <c r="O82" s="4">
        <v>7.99</v>
      </c>
      <c r="P82" s="4">
        <v>7.99</v>
      </c>
      <c r="Q82" s="4">
        <v>740</v>
      </c>
      <c r="R82" s="4">
        <v>764</v>
      </c>
      <c r="S82" s="4">
        <v>2.6</v>
      </c>
      <c r="T82" s="4">
        <v>0.17</v>
      </c>
      <c r="U82" s="4"/>
      <c r="V82" s="4" t="s">
        <v>3037</v>
      </c>
      <c r="W82" s="4" t="s">
        <v>3188</v>
      </c>
      <c r="X82" s="4" t="s">
        <v>3544</v>
      </c>
      <c r="Y82" s="4" t="s">
        <v>2961</v>
      </c>
      <c r="Z82" s="4" t="s">
        <v>2962</v>
      </c>
      <c r="AA82" s="4" t="s">
        <v>3024</v>
      </c>
      <c r="AB82" s="4" t="s">
        <v>2945</v>
      </c>
      <c r="AD82" s="10">
        <f t="shared" si="7"/>
        <v>3.3269246396276771E-2</v>
      </c>
      <c r="AE82" s="10" t="b">
        <f>IF(P82&lt;1.99,($L82/$L$441)*P82,IF(AND(P82&gt;1.99,P82&lt;3.99),($L82/$L$442)*P82,IF(AND(P82&gt;3.99,P82&lt;5.99),($L82/$L$443)*P82,IF(AND(P82&gt;5.99,P82&lt;7.99),($L82/$L$444)*P82,IF(AND(P82&gt;7.99,P82&lt;9.99),($L82/$L$445)*P82,IF(P82&gt;9.99,($L82/$L$446)*P82))))))</f>
        <v>0</v>
      </c>
      <c r="AF82" s="10">
        <f t="shared" si="5"/>
        <v>16.945479027048197</v>
      </c>
      <c r="AG82" s="10">
        <f t="shared" ca="1" si="6"/>
        <v>1.232770041177929</v>
      </c>
    </row>
    <row r="83" spans="1:33" x14ac:dyDescent="0.25">
      <c r="A83" s="50" t="s">
        <v>3545</v>
      </c>
      <c r="B83" s="4">
        <v>1223</v>
      </c>
      <c r="C83" s="53" t="s">
        <v>3546</v>
      </c>
      <c r="D83" s="4">
        <v>6.75</v>
      </c>
      <c r="E83" s="49">
        <v>44136</v>
      </c>
      <c r="F83" s="4">
        <v>9</v>
      </c>
      <c r="G83" s="4">
        <v>4</v>
      </c>
      <c r="H83" s="4" t="s">
        <v>3019</v>
      </c>
      <c r="I83" s="4" t="s">
        <v>3311</v>
      </c>
      <c r="J83" s="4">
        <f>IF(Z83="US",K83,VLOOKUP(Z83,'3032'!$AL$4:$AM$20,2,FALSE)*K83)</f>
        <v>100.88</v>
      </c>
      <c r="K83" s="4">
        <v>100.88</v>
      </c>
      <c r="L83" s="4">
        <v>1274978</v>
      </c>
      <c r="M83" s="4">
        <v>0.32</v>
      </c>
      <c r="N83" s="4">
        <v>0.30460799999999999</v>
      </c>
      <c r="O83" s="4">
        <v>6.62</v>
      </c>
      <c r="P83" s="4">
        <v>6.62</v>
      </c>
      <c r="Q83" s="4">
        <v>490</v>
      </c>
      <c r="R83" s="4">
        <v>453</v>
      </c>
      <c r="S83" s="4">
        <v>6.46</v>
      </c>
      <c r="T83" s="4">
        <v>0.35</v>
      </c>
      <c r="U83" s="4"/>
      <c r="V83" s="4" t="s">
        <v>3124</v>
      </c>
      <c r="W83" s="4" t="s">
        <v>3142</v>
      </c>
      <c r="X83" s="4" t="s">
        <v>3547</v>
      </c>
      <c r="Y83" s="4" t="s">
        <v>2961</v>
      </c>
      <c r="Z83" s="4" t="s">
        <v>2962</v>
      </c>
      <c r="AA83" s="4" t="s">
        <v>3024</v>
      </c>
      <c r="AB83" s="4" t="s">
        <v>3033</v>
      </c>
      <c r="AD83" s="10">
        <f t="shared" si="7"/>
        <v>0.12598896512501331</v>
      </c>
      <c r="AE83" s="10">
        <f t="shared" si="4"/>
        <v>6.9076157620328718E-2</v>
      </c>
      <c r="AF83" s="10">
        <f t="shared" si="5"/>
        <v>4.8639558537618726</v>
      </c>
      <c r="AG83" s="10">
        <f t="shared" ca="1" si="6"/>
        <v>0.58131398154981662</v>
      </c>
    </row>
    <row r="84" spans="1:33" x14ac:dyDescent="0.25">
      <c r="A84" s="50" t="s">
        <v>3548</v>
      </c>
      <c r="B84" s="4">
        <v>565</v>
      </c>
      <c r="C84" s="53" t="s">
        <v>3549</v>
      </c>
      <c r="D84" s="4">
        <v>4.75</v>
      </c>
      <c r="E84" s="49">
        <v>15325</v>
      </c>
      <c r="F84" s="4">
        <v>30.13</v>
      </c>
      <c r="G84" s="4">
        <v>25.14</v>
      </c>
      <c r="H84" s="4" t="s">
        <v>3120</v>
      </c>
      <c r="I84" s="4" t="s">
        <v>3036</v>
      </c>
      <c r="J84" s="4">
        <f>IF(Z84="US",K84,VLOOKUP(Z84,'3032'!$AL$4:$AM$20,2,FALSE)*K84)</f>
        <v>109.5</v>
      </c>
      <c r="K84" s="4">
        <v>109.5</v>
      </c>
      <c r="L84" s="4">
        <v>628814</v>
      </c>
      <c r="M84" s="4">
        <v>0.15</v>
      </c>
      <c r="N84" s="4">
        <v>0.150231</v>
      </c>
      <c r="O84" s="4">
        <v>4.57</v>
      </c>
      <c r="P84" s="4">
        <v>4.57</v>
      </c>
      <c r="Q84" s="4">
        <v>0</v>
      </c>
      <c r="R84" s="4">
        <v>0</v>
      </c>
      <c r="S84" s="4">
        <v>14.85</v>
      </c>
      <c r="T84" s="4">
        <v>3.86</v>
      </c>
      <c r="U84" s="4"/>
      <c r="V84" s="4" t="s">
        <v>3037</v>
      </c>
      <c r="W84" s="4" t="s">
        <v>3038</v>
      </c>
      <c r="X84" s="4" t="s">
        <v>3550</v>
      </c>
      <c r="Y84" s="4" t="s">
        <v>2961</v>
      </c>
      <c r="Z84" s="4" t="s">
        <v>2962</v>
      </c>
      <c r="AA84" s="4" t="s">
        <v>3024</v>
      </c>
      <c r="AB84" s="4" t="s">
        <v>3033</v>
      </c>
      <c r="AD84" s="10">
        <f t="shared" si="7"/>
        <v>0.22864674200313845</v>
      </c>
      <c r="AE84" s="10">
        <f t="shared" si="4"/>
        <v>2.5322200792590319E-2</v>
      </c>
      <c r="AF84" s="10">
        <f t="shared" si="5"/>
        <v>0</v>
      </c>
      <c r="AG84" s="10">
        <f t="shared" ca="1" si="6"/>
        <v>0.31119981168685168</v>
      </c>
    </row>
    <row r="85" spans="1:33" x14ac:dyDescent="0.25">
      <c r="A85" s="50" t="s">
        <v>3551</v>
      </c>
      <c r="B85" s="4">
        <v>1025</v>
      </c>
      <c r="C85" s="53" t="s">
        <v>3552</v>
      </c>
      <c r="D85" s="4">
        <v>7.375</v>
      </c>
      <c r="E85" s="49">
        <v>42675</v>
      </c>
      <c r="F85" s="4">
        <v>5</v>
      </c>
      <c r="G85" s="4">
        <v>5</v>
      </c>
      <c r="H85" s="4" t="s">
        <v>3181</v>
      </c>
      <c r="I85" s="4" t="s">
        <v>3116</v>
      </c>
      <c r="J85" s="4">
        <f>IF(Z85="US",K85,VLOOKUP(Z85,'3032'!$AL$4:$AM$20,2,FALSE)*K85)</f>
        <v>109.5</v>
      </c>
      <c r="K85" s="4">
        <v>109.5</v>
      </c>
      <c r="L85" s="4">
        <v>1160172</v>
      </c>
      <c r="M85" s="4">
        <v>0.26</v>
      </c>
      <c r="N85" s="4">
        <v>0.27717900000000001</v>
      </c>
      <c r="O85" s="4">
        <v>5.19</v>
      </c>
      <c r="P85" s="4">
        <v>5.19</v>
      </c>
      <c r="Q85" s="4">
        <v>365</v>
      </c>
      <c r="R85" s="4">
        <v>369</v>
      </c>
      <c r="S85" s="4">
        <v>4.0599999999999996</v>
      </c>
      <c r="T85" s="4">
        <v>0.21</v>
      </c>
      <c r="U85" s="4"/>
      <c r="V85" s="4" t="s">
        <v>3037</v>
      </c>
      <c r="W85" s="4" t="s">
        <v>3038</v>
      </c>
      <c r="X85" s="4" t="s">
        <v>3553</v>
      </c>
      <c r="Y85" s="4" t="s">
        <v>2961</v>
      </c>
      <c r="Z85" s="4" t="s">
        <v>2962</v>
      </c>
      <c r="AA85" s="4" t="s">
        <v>3024</v>
      </c>
      <c r="AB85" s="4" t="s">
        <v>2945</v>
      </c>
      <c r="AD85" s="10">
        <f t="shared" si="7"/>
        <v>8.4670289966052054E-2</v>
      </c>
      <c r="AE85" s="10">
        <f t="shared" si="4"/>
        <v>5.3058233114013725E-2</v>
      </c>
      <c r="AF85" s="10">
        <f t="shared" si="5"/>
        <v>4.8991887416570554</v>
      </c>
      <c r="AG85" s="10">
        <f t="shared" ca="1" si="6"/>
        <v>0.57416868569140966</v>
      </c>
    </row>
    <row r="86" spans="1:33" x14ac:dyDescent="0.25">
      <c r="A86" s="50" t="s">
        <v>3554</v>
      </c>
      <c r="B86" s="4">
        <v>1306</v>
      </c>
      <c r="C86" s="53" t="s">
        <v>3555</v>
      </c>
      <c r="D86" s="4">
        <v>9</v>
      </c>
      <c r="E86" s="49">
        <v>43040</v>
      </c>
      <c r="F86" s="4">
        <v>6</v>
      </c>
      <c r="G86" s="4">
        <v>2</v>
      </c>
      <c r="H86" s="4" t="s">
        <v>133</v>
      </c>
      <c r="I86" s="4" t="s">
        <v>3036</v>
      </c>
      <c r="J86" s="4">
        <f>IF(Z86="US",K86,VLOOKUP(Z86,'3032'!$AL$4:$AM$20,2,FALSE)*K86)</f>
        <v>107</v>
      </c>
      <c r="K86" s="4">
        <v>107</v>
      </c>
      <c r="L86" s="4">
        <v>1456190</v>
      </c>
      <c r="M86" s="4">
        <v>0.34</v>
      </c>
      <c r="N86" s="4">
        <v>0.34790199999999999</v>
      </c>
      <c r="O86" s="4">
        <v>7.53</v>
      </c>
      <c r="P86" s="4">
        <v>6.96</v>
      </c>
      <c r="Q86" s="4">
        <v>589</v>
      </c>
      <c r="R86" s="4">
        <v>555</v>
      </c>
      <c r="S86" s="4">
        <v>3.22</v>
      </c>
      <c r="T86" s="4">
        <v>-0.33</v>
      </c>
      <c r="U86" s="4"/>
      <c r="V86" s="4" t="s">
        <v>3037</v>
      </c>
      <c r="W86" s="4" t="s">
        <v>3188</v>
      </c>
      <c r="X86" s="4" t="s">
        <v>3556</v>
      </c>
      <c r="Y86" s="4" t="s">
        <v>2961</v>
      </c>
      <c r="Z86" s="4" t="s">
        <v>2962</v>
      </c>
      <c r="AA86" s="4" t="s">
        <v>3024</v>
      </c>
      <c r="AB86" s="4" t="s">
        <v>2945</v>
      </c>
      <c r="AD86" s="10">
        <f t="shared" si="7"/>
        <v>4.6918556236690022E-2</v>
      </c>
      <c r="AE86" s="10">
        <f t="shared" si="4"/>
        <v>8.2945871641983943E-2</v>
      </c>
      <c r="AF86" s="10">
        <f t="shared" si="5"/>
        <v>6.8061224607524862</v>
      </c>
      <c r="AG86" s="10">
        <f t="shared" ca="1" si="6"/>
        <v>0.70421427774294743</v>
      </c>
    </row>
    <row r="87" spans="1:33" x14ac:dyDescent="0.25">
      <c r="A87" s="50" t="s">
        <v>3557</v>
      </c>
      <c r="B87" s="4">
        <v>819</v>
      </c>
      <c r="C87" s="53" t="s">
        <v>3558</v>
      </c>
      <c r="D87" s="4">
        <v>8.125</v>
      </c>
      <c r="E87" s="49">
        <v>42536</v>
      </c>
      <c r="F87" s="4">
        <v>4.63</v>
      </c>
      <c r="G87" s="4">
        <v>4.63</v>
      </c>
      <c r="H87" s="4" t="s">
        <v>3559</v>
      </c>
      <c r="I87" s="4" t="s">
        <v>3538</v>
      </c>
      <c r="J87" s="4">
        <f>IF(Z87="US",K87,VLOOKUP(Z87,'3032'!$AL$4:$AM$20,2,FALSE)*K87)</f>
        <v>81</v>
      </c>
      <c r="K87" s="4">
        <v>81</v>
      </c>
      <c r="L87" s="4">
        <v>688529</v>
      </c>
      <c r="M87" s="4">
        <v>0.21</v>
      </c>
      <c r="N87" s="4">
        <v>0.16449800000000001</v>
      </c>
      <c r="O87" s="4">
        <v>13.82</v>
      </c>
      <c r="P87" s="4">
        <v>13.82</v>
      </c>
      <c r="Q87" s="4">
        <v>1459</v>
      </c>
      <c r="R87" s="4">
        <v>1464</v>
      </c>
      <c r="S87" s="4">
        <v>3.48</v>
      </c>
      <c r="T87" s="4">
        <v>0.15</v>
      </c>
      <c r="U87" s="4"/>
      <c r="V87" s="4" t="s">
        <v>3209</v>
      </c>
      <c r="W87" s="4" t="s">
        <v>3244</v>
      </c>
      <c r="X87" s="4" t="s">
        <v>3560</v>
      </c>
      <c r="Y87" s="4" t="s">
        <v>2961</v>
      </c>
      <c r="Z87" s="4" t="s">
        <v>2962</v>
      </c>
      <c r="AA87" s="4" t="s">
        <v>3024</v>
      </c>
      <c r="AB87" s="4" t="s">
        <v>2945</v>
      </c>
      <c r="AD87" s="10">
        <f t="shared" si="7"/>
        <v>2.3975750168232338E-2</v>
      </c>
      <c r="AE87" s="10">
        <f t="shared" si="4"/>
        <v>0.22393994639639503</v>
      </c>
      <c r="AF87" s="10">
        <f t="shared" si="5"/>
        <v>48.599820933949509</v>
      </c>
      <c r="AG87" s="10">
        <f t="shared" ca="1" si="6"/>
        <v>0.55001390546532125</v>
      </c>
    </row>
    <row r="88" spans="1:33" x14ac:dyDescent="0.25">
      <c r="A88" s="50">
        <v>172967424</v>
      </c>
      <c r="B88" s="4">
        <v>41</v>
      </c>
      <c r="C88" s="53" t="s">
        <v>3561</v>
      </c>
      <c r="D88" s="4">
        <v>0</v>
      </c>
      <c r="E88" s="4"/>
      <c r="F88" s="4">
        <v>0</v>
      </c>
      <c r="G88" s="4">
        <v>0</v>
      </c>
      <c r="H88" s="4" t="s">
        <v>3028</v>
      </c>
      <c r="I88" s="4" t="s">
        <v>3028</v>
      </c>
      <c r="J88" s="4">
        <f>IF(Z88="US",K88,VLOOKUP(Z88,'3032'!$AL$4:$AM$20,2,FALSE)*K88)</f>
        <v>31.59</v>
      </c>
      <c r="K88" s="4">
        <v>31.59</v>
      </c>
      <c r="L88" s="4">
        <v>1307826</v>
      </c>
      <c r="M88" s="4">
        <v>0.01</v>
      </c>
      <c r="N88" s="4">
        <v>0.31245600000000001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/>
      <c r="V88" s="4" t="s">
        <v>3029</v>
      </c>
      <c r="W88" s="4" t="s">
        <v>3030</v>
      </c>
      <c r="X88" s="4" t="s">
        <v>3562</v>
      </c>
      <c r="Y88" s="4" t="s">
        <v>2961</v>
      </c>
      <c r="Z88" s="4" t="s">
        <v>2962</v>
      </c>
      <c r="AA88" s="4" t="s">
        <v>3024</v>
      </c>
      <c r="AB88" s="4" t="s">
        <v>3033</v>
      </c>
      <c r="AD88" s="10">
        <f t="shared" si="7"/>
        <v>0</v>
      </c>
      <c r="AE88" s="10">
        <f t="shared" si="4"/>
        <v>0</v>
      </c>
      <c r="AF88" s="10">
        <f t="shared" si="5"/>
        <v>0</v>
      </c>
      <c r="AG88" s="10">
        <f t="shared" ca="1" si="6"/>
        <v>1.1192178764411709</v>
      </c>
    </row>
    <row r="89" spans="1:33" x14ac:dyDescent="0.25">
      <c r="A89" s="50" t="s">
        <v>3563</v>
      </c>
      <c r="B89" s="4">
        <v>530</v>
      </c>
      <c r="C89" s="53" t="s">
        <v>3564</v>
      </c>
      <c r="D89" s="4">
        <v>6.875</v>
      </c>
      <c r="E89" s="49">
        <v>44559</v>
      </c>
      <c r="F89" s="4">
        <v>10.16</v>
      </c>
      <c r="G89" s="4">
        <v>5.16</v>
      </c>
      <c r="H89" s="4" t="s">
        <v>3028</v>
      </c>
      <c r="I89" s="4" t="s">
        <v>3079</v>
      </c>
      <c r="J89" s="12" t="e">
        <f ca="1">IF(Z89="US",K89,VLOOKUP(Z89,'3032'!$AL$4:$AM$20,2,FALSE)*K89)</f>
        <v>#NAME?</v>
      </c>
      <c r="K89" s="12">
        <v>89.53</v>
      </c>
      <c r="L89" s="4">
        <v>815403</v>
      </c>
      <c r="M89" s="4">
        <v>0.14000000000000001</v>
      </c>
      <c r="N89" s="4">
        <v>0.19481000000000001</v>
      </c>
      <c r="O89" s="4">
        <v>8.44</v>
      </c>
      <c r="P89" s="4">
        <v>8.27</v>
      </c>
      <c r="Q89" s="4">
        <v>555</v>
      </c>
      <c r="R89" s="4">
        <v>573</v>
      </c>
      <c r="S89" s="4">
        <v>6.9</v>
      </c>
      <c r="T89" s="4">
        <v>0.6</v>
      </c>
      <c r="U89" s="4" t="s">
        <v>3049</v>
      </c>
      <c r="V89" s="4" t="s">
        <v>3029</v>
      </c>
      <c r="W89" s="4" t="s">
        <v>3030</v>
      </c>
      <c r="X89" s="4" t="s">
        <v>3563</v>
      </c>
      <c r="Y89" s="4" t="s">
        <v>2990</v>
      </c>
      <c r="Z89" s="4" t="s">
        <v>2989</v>
      </c>
      <c r="AA89" s="4" t="s">
        <v>2945</v>
      </c>
      <c r="AB89" s="4" t="s">
        <v>2945</v>
      </c>
      <c r="AD89" s="10">
        <f t="shared" si="7"/>
        <v>8.6063438867451866E-2</v>
      </c>
      <c r="AE89" s="10">
        <f t="shared" si="4"/>
        <v>0.11307765913188184</v>
      </c>
      <c r="AF89" s="10">
        <f t="shared" si="5"/>
        <v>3.9347365404210399</v>
      </c>
      <c r="AG89" s="10" t="e">
        <f t="shared" ca="1" si="6"/>
        <v>#NAME?</v>
      </c>
    </row>
    <row r="90" spans="1:33" x14ac:dyDescent="0.25">
      <c r="A90" s="50">
        <v>172967416</v>
      </c>
      <c r="B90" s="4">
        <v>9</v>
      </c>
      <c r="C90" s="53" t="s">
        <v>3565</v>
      </c>
      <c r="D90" s="4">
        <v>0</v>
      </c>
      <c r="E90" s="4"/>
      <c r="F90" s="4">
        <v>0</v>
      </c>
      <c r="G90" s="4">
        <v>0</v>
      </c>
      <c r="H90" s="4" t="s">
        <v>3028</v>
      </c>
      <c r="I90" s="4" t="s">
        <v>3028</v>
      </c>
      <c r="J90" s="4">
        <f>IF(Z90="US",K90,VLOOKUP(Z90,'3032'!$AL$4:$AM$20,2,FALSE)*K90)</f>
        <v>95</v>
      </c>
      <c r="K90" s="4">
        <v>95</v>
      </c>
      <c r="L90" s="4">
        <v>826500</v>
      </c>
      <c r="M90" s="4">
        <v>0</v>
      </c>
      <c r="N90" s="4">
        <v>0.197461</v>
      </c>
      <c r="O90" s="4">
        <v>9.42</v>
      </c>
      <c r="P90" s="4">
        <v>9.42</v>
      </c>
      <c r="Q90" s="4">
        <v>0</v>
      </c>
      <c r="R90" s="4">
        <v>0</v>
      </c>
      <c r="S90" s="4">
        <v>0</v>
      </c>
      <c r="T90" s="4">
        <v>0</v>
      </c>
      <c r="U90" s="4"/>
      <c r="V90" s="4" t="s">
        <v>3029</v>
      </c>
      <c r="W90" s="4" t="s">
        <v>3030</v>
      </c>
      <c r="X90" s="4" t="s">
        <v>3566</v>
      </c>
      <c r="Y90" s="4" t="s">
        <v>2961</v>
      </c>
      <c r="Z90" s="4" t="s">
        <v>2962</v>
      </c>
      <c r="AA90" s="4" t="s">
        <v>3024</v>
      </c>
      <c r="AB90" s="4" t="s">
        <v>2945</v>
      </c>
      <c r="AD90" s="10">
        <f t="shared" si="7"/>
        <v>0</v>
      </c>
      <c r="AE90" s="10">
        <f t="shared" si="4"/>
        <v>0.13055477348274008</v>
      </c>
      <c r="AF90" s="10">
        <f t="shared" si="5"/>
        <v>0</v>
      </c>
      <c r="AG90" s="10">
        <f t="shared" ca="1" si="6"/>
        <v>0.77434210876677456</v>
      </c>
    </row>
    <row r="91" spans="1:33" x14ac:dyDescent="0.25">
      <c r="A91" s="50" t="s">
        <v>3567</v>
      </c>
      <c r="B91" s="4">
        <v>1997</v>
      </c>
      <c r="C91" s="53" t="s">
        <v>3564</v>
      </c>
      <c r="D91" s="4">
        <v>7.5</v>
      </c>
      <c r="E91" s="49">
        <v>18047</v>
      </c>
      <c r="F91" s="4">
        <v>37.58</v>
      </c>
      <c r="G91" s="4">
        <v>2.11</v>
      </c>
      <c r="H91" s="4" t="s">
        <v>3028</v>
      </c>
      <c r="I91" s="4" t="s">
        <v>3116</v>
      </c>
      <c r="J91" s="12" t="e">
        <f ca="1">IF(Z91="US",K91,VLOOKUP(Z91,'3032'!$AL$4:$AM$20,2,FALSE)*K91)</f>
        <v>#NAME?</v>
      </c>
      <c r="K91" s="12">
        <v>90.23</v>
      </c>
      <c r="L91" s="4">
        <v>3125143</v>
      </c>
      <c r="M91" s="4">
        <v>0.51</v>
      </c>
      <c r="N91" s="4">
        <v>0.74663500000000005</v>
      </c>
      <c r="O91" s="4">
        <v>8.35</v>
      </c>
      <c r="P91" s="4">
        <v>12.7</v>
      </c>
      <c r="Q91" s="4">
        <v>1205</v>
      </c>
      <c r="R91" s="4">
        <v>1205</v>
      </c>
      <c r="S91" s="4">
        <v>1.8</v>
      </c>
      <c r="T91" s="4">
        <v>0.04</v>
      </c>
      <c r="U91" s="4" t="s">
        <v>3049</v>
      </c>
      <c r="V91" s="4" t="s">
        <v>3029</v>
      </c>
      <c r="W91" s="4" t="s">
        <v>3030</v>
      </c>
      <c r="X91" s="4" t="s">
        <v>3567</v>
      </c>
      <c r="Y91" s="4" t="s">
        <v>2990</v>
      </c>
      <c r="Z91" s="4" t="s">
        <v>2989</v>
      </c>
      <c r="AA91" s="4" t="s">
        <v>2945</v>
      </c>
      <c r="AB91" s="4" t="s">
        <v>2945</v>
      </c>
      <c r="AD91" s="10">
        <f t="shared" si="7"/>
        <v>3.9489040393818217E-2</v>
      </c>
      <c r="AE91" s="10">
        <f t="shared" si="4"/>
        <v>0.93406028198045454</v>
      </c>
      <c r="AF91" s="10">
        <f t="shared" si="5"/>
        <v>181.5633958425241</v>
      </c>
      <c r="AG91" s="10" t="e">
        <f t="shared" ca="1" si="6"/>
        <v>#NAME?</v>
      </c>
    </row>
    <row r="92" spans="1:33" x14ac:dyDescent="0.25">
      <c r="A92" s="50" t="s">
        <v>3568</v>
      </c>
      <c r="B92" s="4">
        <v>3500</v>
      </c>
      <c r="C92" s="53" t="s">
        <v>3569</v>
      </c>
      <c r="D92" s="4">
        <v>4.6680000000000001</v>
      </c>
      <c r="E92" s="49">
        <v>43128</v>
      </c>
      <c r="F92" s="4">
        <v>6.24</v>
      </c>
      <c r="G92" s="4">
        <v>6.24</v>
      </c>
      <c r="H92" s="4" t="s">
        <v>135</v>
      </c>
      <c r="I92" s="4" t="s">
        <v>3065</v>
      </c>
      <c r="J92" s="4">
        <f>IF(Z92="US",K92,VLOOKUP(Z92,'3032'!$AL$4:$AM$20,2,FALSE)*K92)</f>
        <v>83.17</v>
      </c>
      <c r="K92" s="4">
        <v>83.17</v>
      </c>
      <c r="L92" s="4">
        <v>2914012</v>
      </c>
      <c r="M92" s="4">
        <v>0.9</v>
      </c>
      <c r="N92" s="4">
        <v>0.69619399999999998</v>
      </c>
      <c r="O92" s="4">
        <v>8.74</v>
      </c>
      <c r="P92" s="4">
        <v>8.74</v>
      </c>
      <c r="Q92" s="4">
        <v>425</v>
      </c>
      <c r="R92" s="4">
        <v>0</v>
      </c>
      <c r="S92" s="4">
        <v>0.25</v>
      </c>
      <c r="T92" s="4">
        <v>0.33</v>
      </c>
      <c r="U92" s="4" t="s">
        <v>3049</v>
      </c>
      <c r="V92" s="4" t="s">
        <v>3209</v>
      </c>
      <c r="W92" s="4" t="s">
        <v>3570</v>
      </c>
      <c r="X92" s="4" t="s">
        <v>3571</v>
      </c>
      <c r="Y92" s="4" t="s">
        <v>2961</v>
      </c>
      <c r="Z92" s="4" t="s">
        <v>2962</v>
      </c>
      <c r="AA92" s="4" t="s">
        <v>3032</v>
      </c>
      <c r="AB92" s="4" t="s">
        <v>3033</v>
      </c>
      <c r="AD92" s="10">
        <f t="shared" si="7"/>
        <v>5.1140565397092327E-3</v>
      </c>
      <c r="AE92" s="10">
        <f t="shared" si="4"/>
        <v>0.42707265351185725</v>
      </c>
      <c r="AF92" s="10">
        <f t="shared" si="5"/>
        <v>0</v>
      </c>
      <c r="AG92" s="10">
        <f t="shared" ca="1" si="6"/>
        <v>2.3901461142903018</v>
      </c>
    </row>
    <row r="93" spans="1:33" x14ac:dyDescent="0.25">
      <c r="A93" s="50" t="s">
        <v>3572</v>
      </c>
      <c r="B93" s="4">
        <v>617</v>
      </c>
      <c r="C93" s="53" t="s">
        <v>3573</v>
      </c>
      <c r="D93" s="4">
        <v>7.875</v>
      </c>
      <c r="E93" s="49">
        <v>43283</v>
      </c>
      <c r="F93" s="4">
        <v>6.67</v>
      </c>
      <c r="G93" s="4">
        <v>6.67</v>
      </c>
      <c r="H93" s="4" t="s">
        <v>135</v>
      </c>
      <c r="I93" s="4" t="s">
        <v>3036</v>
      </c>
      <c r="J93" s="4">
        <f>IF(Z93="US",K93,VLOOKUP(Z93,'3032'!$AL$4:$AM$20,2,FALSE)*K93)</f>
        <v>98</v>
      </c>
      <c r="K93" s="4">
        <v>98</v>
      </c>
      <c r="L93" s="4">
        <v>620322</v>
      </c>
      <c r="M93" s="4">
        <v>0.16</v>
      </c>
      <c r="N93" s="4">
        <v>0.148203</v>
      </c>
      <c r="O93" s="4">
        <v>8.57</v>
      </c>
      <c r="P93" s="4">
        <v>8.57</v>
      </c>
      <c r="Q93" s="4">
        <v>664</v>
      </c>
      <c r="R93" s="4">
        <v>785</v>
      </c>
      <c r="S93" s="4">
        <v>2.7</v>
      </c>
      <c r="T93" s="4">
        <v>0.12</v>
      </c>
      <c r="U93" s="4" t="s">
        <v>3049</v>
      </c>
      <c r="V93" s="4" t="s">
        <v>3209</v>
      </c>
      <c r="W93" s="4" t="s">
        <v>3451</v>
      </c>
      <c r="X93" s="4" t="s">
        <v>3574</v>
      </c>
      <c r="Y93" s="4" t="s">
        <v>2961</v>
      </c>
      <c r="Z93" s="4" t="s">
        <v>2962</v>
      </c>
      <c r="AA93" s="4" t="s">
        <v>3024</v>
      </c>
      <c r="AB93" s="4" t="s">
        <v>2945</v>
      </c>
      <c r="AD93" s="10">
        <f t="shared" si="7"/>
        <v>1.675913779189778E-2</v>
      </c>
      <c r="AE93" s="10">
        <f t="shared" si="4"/>
        <v>8.9145002336716198E-2</v>
      </c>
      <c r="AF93" s="10">
        <f t="shared" si="5"/>
        <v>8.4459487245805391</v>
      </c>
      <c r="AG93" s="10">
        <f t="shared" ca="1" si="6"/>
        <v>0.5995282792785489</v>
      </c>
    </row>
    <row r="94" spans="1:33" x14ac:dyDescent="0.25">
      <c r="A94" s="50" t="s">
        <v>3575</v>
      </c>
      <c r="B94" s="4">
        <v>116</v>
      </c>
      <c r="C94" s="53" t="s">
        <v>3573</v>
      </c>
      <c r="D94" s="4">
        <v>9.5579999999999998</v>
      </c>
      <c r="E94" s="49">
        <v>43709</v>
      </c>
      <c r="F94" s="4">
        <v>7.84</v>
      </c>
      <c r="G94" s="4">
        <v>7.84</v>
      </c>
      <c r="H94" s="4" t="s">
        <v>3064</v>
      </c>
      <c r="I94" s="4" t="s">
        <v>3036</v>
      </c>
      <c r="J94" s="4">
        <f>IF(Z94="US",K94,VLOOKUP(Z94,'3032'!$AL$4:$AM$20,2,FALSE)*K94)</f>
        <v>103.25</v>
      </c>
      <c r="K94" s="4">
        <v>103.25</v>
      </c>
      <c r="L94" s="4">
        <v>120724</v>
      </c>
      <c r="M94" s="4">
        <v>0.03</v>
      </c>
      <c r="N94" s="4">
        <v>2.8842E-2</v>
      </c>
      <c r="O94" s="4">
        <v>8.76</v>
      </c>
      <c r="P94" s="4">
        <v>8.76</v>
      </c>
      <c r="Q94" s="4">
        <v>721</v>
      </c>
      <c r="R94" s="4">
        <v>766</v>
      </c>
      <c r="S94" s="4">
        <v>3.2</v>
      </c>
      <c r="T94" s="4">
        <v>0.16</v>
      </c>
      <c r="U94" s="4" t="s">
        <v>3049</v>
      </c>
      <c r="V94" s="4" t="s">
        <v>3209</v>
      </c>
      <c r="W94" s="4" t="s">
        <v>3451</v>
      </c>
      <c r="X94" s="4" t="s">
        <v>3576</v>
      </c>
      <c r="Y94" s="4" t="s">
        <v>2961</v>
      </c>
      <c r="Z94" s="4" t="s">
        <v>2962</v>
      </c>
      <c r="AA94" s="4" t="s">
        <v>2945</v>
      </c>
      <c r="AB94" s="4" t="s">
        <v>2945</v>
      </c>
      <c r="AD94" s="10">
        <f t="shared" si="7"/>
        <v>3.8655769115639796E-3</v>
      </c>
      <c r="AE94" s="10">
        <f t="shared" si="4"/>
        <v>1.7733592219464519E-2</v>
      </c>
      <c r="AF94" s="10">
        <f t="shared" si="5"/>
        <v>1.6039247395407896</v>
      </c>
      <c r="AG94" s="10">
        <f t="shared" ca="1" si="6"/>
        <v>5.6336087337499147E-2</v>
      </c>
    </row>
    <row r="95" spans="1:33" x14ac:dyDescent="0.25">
      <c r="A95" s="50" t="s">
        <v>3577</v>
      </c>
      <c r="B95" s="4">
        <v>758</v>
      </c>
      <c r="C95" s="53" t="s">
        <v>3578</v>
      </c>
      <c r="D95" s="4">
        <v>9.798</v>
      </c>
      <c r="E95" s="49">
        <v>44287</v>
      </c>
      <c r="F95" s="4">
        <v>9.42</v>
      </c>
      <c r="G95" s="4">
        <v>9.42</v>
      </c>
      <c r="H95" s="4" t="s">
        <v>135</v>
      </c>
      <c r="I95" s="4" t="s">
        <v>3036</v>
      </c>
      <c r="J95" s="4">
        <f>IF(Z95="US",K95,VLOOKUP(Z95,'3032'!$AL$4:$AM$20,2,FALSE)*K95)</f>
        <v>103</v>
      </c>
      <c r="K95" s="4">
        <v>103</v>
      </c>
      <c r="L95" s="4">
        <v>787222</v>
      </c>
      <c r="M95" s="4">
        <v>0.2</v>
      </c>
      <c r="N95" s="4">
        <v>0.18807699999999999</v>
      </c>
      <c r="O95" s="4">
        <v>9.19</v>
      </c>
      <c r="P95" s="4">
        <v>9.19</v>
      </c>
      <c r="Q95" s="4">
        <v>805</v>
      </c>
      <c r="R95" s="4">
        <v>791</v>
      </c>
      <c r="S95" s="4">
        <v>3.7</v>
      </c>
      <c r="T95" s="4">
        <v>7.0000000000000007E-2</v>
      </c>
      <c r="U95" s="4" t="s">
        <v>3049</v>
      </c>
      <c r="V95" s="4" t="s">
        <v>3209</v>
      </c>
      <c r="W95" s="4" t="s">
        <v>3451</v>
      </c>
      <c r="X95" s="4" t="s">
        <v>3579</v>
      </c>
      <c r="Y95" s="4" t="s">
        <v>2961</v>
      </c>
      <c r="Z95" s="4" t="s">
        <v>2962</v>
      </c>
      <c r="AA95" s="4" t="s">
        <v>3024</v>
      </c>
      <c r="AB95" s="4" t="s">
        <v>2945</v>
      </c>
      <c r="AD95" s="10">
        <f t="shared" si="7"/>
        <v>2.9145376524288641E-2</v>
      </c>
      <c r="AE95" s="10">
        <f t="shared" si="4"/>
        <v>0.12131422519370764</v>
      </c>
      <c r="AF95" s="10">
        <f t="shared" si="5"/>
        <v>10.800287238673349</v>
      </c>
      <c r="AG95" s="10">
        <f t="shared" ca="1" si="6"/>
        <v>0.36646917565378773</v>
      </c>
    </row>
    <row r="96" spans="1:33" x14ac:dyDescent="0.25">
      <c r="A96" s="50" t="s">
        <v>3580</v>
      </c>
      <c r="B96" s="4">
        <v>1223</v>
      </c>
      <c r="C96" s="53" t="s">
        <v>3581</v>
      </c>
      <c r="D96" s="4">
        <v>8.25</v>
      </c>
      <c r="E96" s="49">
        <v>43480</v>
      </c>
      <c r="F96" s="4">
        <v>7.21</v>
      </c>
      <c r="G96" s="4">
        <v>2.96</v>
      </c>
      <c r="H96" s="4" t="s">
        <v>135</v>
      </c>
      <c r="I96" s="4" t="s">
        <v>3311</v>
      </c>
      <c r="J96" s="4">
        <f>IF(Z96="US",K96,VLOOKUP(Z96,'3032'!$AL$4:$AM$20,2,FALSE)*K96)</f>
        <v>99.75</v>
      </c>
      <c r="K96" s="4">
        <v>99.75</v>
      </c>
      <c r="L96" s="4">
        <v>1249651</v>
      </c>
      <c r="M96" s="4">
        <v>0.32</v>
      </c>
      <c r="N96" s="4">
        <v>0.29855700000000002</v>
      </c>
      <c r="O96" s="4">
        <v>8.2899999999999991</v>
      </c>
      <c r="P96" s="4">
        <v>8.2899999999999991</v>
      </c>
      <c r="Q96" s="4">
        <v>652</v>
      </c>
      <c r="R96" s="4">
        <v>663</v>
      </c>
      <c r="S96" s="4">
        <v>5.22</v>
      </c>
      <c r="T96" s="4">
        <v>0.27</v>
      </c>
      <c r="U96" s="4"/>
      <c r="V96" s="4" t="s">
        <v>3209</v>
      </c>
      <c r="W96" s="4" t="s">
        <v>3582</v>
      </c>
      <c r="X96" s="4" t="s">
        <v>3583</v>
      </c>
      <c r="Y96" s="4" t="s">
        <v>2961</v>
      </c>
      <c r="Z96" s="4" t="s">
        <v>2962</v>
      </c>
      <c r="AA96" s="4" t="s">
        <v>3024</v>
      </c>
      <c r="AB96" s="4" t="s">
        <v>2945</v>
      </c>
      <c r="AD96" s="10">
        <f t="shared" si="7"/>
        <v>0.11725783673668366</v>
      </c>
      <c r="AE96" s="10">
        <f t="shared" si="4"/>
        <v>0.1737169783098742</v>
      </c>
      <c r="AF96" s="10">
        <f t="shared" si="5"/>
        <v>14.370234967055611</v>
      </c>
      <c r="AG96" s="10">
        <f t="shared" ca="1" si="6"/>
        <v>1.2293288083371252</v>
      </c>
    </row>
    <row r="97" spans="1:33" x14ac:dyDescent="0.25">
      <c r="A97" s="50" t="s">
        <v>3584</v>
      </c>
      <c r="B97" s="4">
        <v>2375</v>
      </c>
      <c r="C97" s="53" t="s">
        <v>3585</v>
      </c>
      <c r="D97" s="4">
        <v>9.625</v>
      </c>
      <c r="E97" s="49">
        <v>43174</v>
      </c>
      <c r="F97" s="4">
        <v>6.38</v>
      </c>
      <c r="G97" s="4">
        <v>2.38</v>
      </c>
      <c r="H97" s="4" t="s">
        <v>135</v>
      </c>
      <c r="I97" s="4" t="s">
        <v>3311</v>
      </c>
      <c r="J97" s="4">
        <f>IF(Z97="US",K97,VLOOKUP(Z97,'3032'!$AL$4:$AM$20,2,FALSE)*K97)</f>
        <v>104.5</v>
      </c>
      <c r="K97" s="4">
        <v>104.5</v>
      </c>
      <c r="L97" s="4">
        <v>2511084</v>
      </c>
      <c r="M97" s="4">
        <v>0.61</v>
      </c>
      <c r="N97" s="4">
        <v>0.59992900000000005</v>
      </c>
      <c r="O97" s="4">
        <v>8.69</v>
      </c>
      <c r="P97" s="4">
        <v>8.3699999999999992</v>
      </c>
      <c r="Q97" s="4">
        <v>745</v>
      </c>
      <c r="R97" s="4">
        <v>733</v>
      </c>
      <c r="S97" s="4">
        <v>3.5</v>
      </c>
      <c r="T97" s="4">
        <v>0.09</v>
      </c>
      <c r="U97" s="4"/>
      <c r="V97" s="4" t="s">
        <v>3209</v>
      </c>
      <c r="W97" s="4" t="s">
        <v>3582</v>
      </c>
      <c r="X97" s="4" t="s">
        <v>3586</v>
      </c>
      <c r="Y97" s="4" t="s">
        <v>2961</v>
      </c>
      <c r="Z97" s="4" t="s">
        <v>2962</v>
      </c>
      <c r="AA97" s="4" t="s">
        <v>3024</v>
      </c>
      <c r="AB97" s="4" t="s">
        <v>2945</v>
      </c>
      <c r="AD97" s="10">
        <f t="shared" si="7"/>
        <v>8.7942743279329383E-2</v>
      </c>
      <c r="AE97" s="10">
        <f t="shared" si="4"/>
        <v>0.35244040669426008</v>
      </c>
      <c r="AF97" s="10">
        <f t="shared" si="5"/>
        <v>31.924699301566772</v>
      </c>
      <c r="AG97" s="10">
        <f t="shared" ca="1" si="6"/>
        <v>1.1859886567740856</v>
      </c>
    </row>
    <row r="98" spans="1:33" x14ac:dyDescent="0.25">
      <c r="A98" s="50" t="s">
        <v>3587</v>
      </c>
      <c r="B98" s="4">
        <v>831</v>
      </c>
      <c r="C98" s="53" t="s">
        <v>3588</v>
      </c>
      <c r="D98" s="4">
        <v>0.30499999999999999</v>
      </c>
      <c r="E98" s="49">
        <v>13448</v>
      </c>
      <c r="F98" s="4">
        <v>24.99</v>
      </c>
      <c r="G98" s="4">
        <v>1.5</v>
      </c>
      <c r="H98" s="4" t="s">
        <v>3559</v>
      </c>
      <c r="I98" s="4" t="s">
        <v>3065</v>
      </c>
      <c r="J98" s="4">
        <f>IF(Z98="US",K98,VLOOKUP(Z98,'3032'!$AL$4:$AM$20,2,FALSE)*K98)</f>
        <v>77.44</v>
      </c>
      <c r="K98" s="4">
        <v>77.44</v>
      </c>
      <c r="L98" s="4">
        <v>643836</v>
      </c>
      <c r="M98" s="4">
        <v>0.21</v>
      </c>
      <c r="N98" s="4">
        <v>0.15382000000000001</v>
      </c>
      <c r="O98" s="4">
        <v>5</v>
      </c>
      <c r="P98" s="4">
        <v>5</v>
      </c>
      <c r="Q98" s="4">
        <v>900</v>
      </c>
      <c r="R98" s="4">
        <v>900</v>
      </c>
      <c r="S98" s="4">
        <v>0.1</v>
      </c>
      <c r="T98" s="4">
        <v>-0.01</v>
      </c>
      <c r="U98" s="4" t="s">
        <v>3049</v>
      </c>
      <c r="V98" s="4" t="s">
        <v>3520</v>
      </c>
      <c r="W98" s="4" t="s">
        <v>3589</v>
      </c>
      <c r="X98" s="4" t="s">
        <v>3590</v>
      </c>
      <c r="Y98" s="4" t="s">
        <v>2961</v>
      </c>
      <c r="Z98" s="4" t="s">
        <v>2962</v>
      </c>
      <c r="AA98" s="4" t="s">
        <v>3024</v>
      </c>
      <c r="AB98" s="4" t="s">
        <v>2945</v>
      </c>
      <c r="AD98" s="10">
        <f t="shared" si="7"/>
        <v>4.5196982116754958E-4</v>
      </c>
      <c r="AE98" s="10">
        <f t="shared" si="4"/>
        <v>2.8366666753021991E-2</v>
      </c>
      <c r="AF98" s="10">
        <f t="shared" si="5"/>
        <v>21.864860965039913</v>
      </c>
      <c r="AG98" s="10">
        <f t="shared" ca="1" si="6"/>
        <v>2.6639140510389945</v>
      </c>
    </row>
    <row r="99" spans="1:33" x14ac:dyDescent="0.25">
      <c r="A99" s="50" t="s">
        <v>3089</v>
      </c>
      <c r="B99" s="4">
        <v>200</v>
      </c>
      <c r="C99" s="53" t="s">
        <v>3090</v>
      </c>
      <c r="D99" s="4">
        <v>5.95</v>
      </c>
      <c r="E99" s="49">
        <v>43793</v>
      </c>
      <c r="F99" s="4">
        <v>8.07</v>
      </c>
      <c r="G99" s="4">
        <v>8.07</v>
      </c>
      <c r="H99" s="4" t="s">
        <v>3028</v>
      </c>
      <c r="I99" s="4" t="s">
        <v>3091</v>
      </c>
      <c r="J99" s="4">
        <f>IF(Z99="US",K99,VLOOKUP(Z99,'3032'!$AL$4:$AM$20,2,FALSE)*K99)</f>
        <v>104.55</v>
      </c>
      <c r="K99" s="4">
        <v>104.55</v>
      </c>
      <c r="L99" s="4">
        <v>214285</v>
      </c>
      <c r="M99" s="4">
        <v>0.05</v>
      </c>
      <c r="N99" s="4">
        <v>5.1194999999999997E-2</v>
      </c>
      <c r="O99" s="4">
        <v>5.25</v>
      </c>
      <c r="P99" s="4">
        <v>5.25</v>
      </c>
      <c r="Q99" s="4">
        <v>0</v>
      </c>
      <c r="R99" s="4">
        <v>0</v>
      </c>
      <c r="S99" s="4">
        <v>6.24</v>
      </c>
      <c r="T99" s="4">
        <v>0.48</v>
      </c>
      <c r="U99" s="4"/>
      <c r="V99" s="4" t="s">
        <v>3045</v>
      </c>
      <c r="W99" s="4" t="s">
        <v>3046</v>
      </c>
      <c r="X99" s="4" t="s">
        <v>3092</v>
      </c>
      <c r="Y99" s="4" t="s">
        <v>3086</v>
      </c>
      <c r="Z99" s="4" t="s">
        <v>2962</v>
      </c>
      <c r="AA99" s="4" t="s">
        <v>3041</v>
      </c>
      <c r="AB99" s="4" t="s">
        <v>2945</v>
      </c>
      <c r="AD99" s="10">
        <f t="shared" si="7"/>
        <v>2.0453783783969823E-2</v>
      </c>
      <c r="AE99" s="10">
        <f t="shared" si="4"/>
        <v>9.9132057611408548E-3</v>
      </c>
      <c r="AF99" s="10">
        <f t="shared" si="5"/>
        <v>0</v>
      </c>
      <c r="AG99" s="10">
        <f t="shared" ca="1" si="6"/>
        <v>0.10125554429946411</v>
      </c>
    </row>
    <row r="100" spans="1:33" x14ac:dyDescent="0.25">
      <c r="A100" s="50">
        <v>228227401</v>
      </c>
      <c r="B100" s="4">
        <v>14</v>
      </c>
      <c r="C100" s="53" t="s">
        <v>3591</v>
      </c>
      <c r="D100" s="4">
        <v>0</v>
      </c>
      <c r="E100" s="4"/>
      <c r="F100" s="4">
        <v>0</v>
      </c>
      <c r="G100" s="4">
        <v>0</v>
      </c>
      <c r="H100" s="4" t="s">
        <v>3028</v>
      </c>
      <c r="I100" s="4" t="s">
        <v>3028</v>
      </c>
      <c r="J100" s="4">
        <f>IF(Z100="US",K100,VLOOKUP(Z100,'3032'!$AL$4:$AM$20,2,FALSE)*K100)</f>
        <v>58</v>
      </c>
      <c r="K100" s="4">
        <v>58</v>
      </c>
      <c r="L100" s="4">
        <v>823600</v>
      </c>
      <c r="M100" s="4">
        <v>0</v>
      </c>
      <c r="N100" s="4">
        <v>0.196768</v>
      </c>
      <c r="O100" s="4">
        <v>5.28</v>
      </c>
      <c r="P100" s="4">
        <v>5.28</v>
      </c>
      <c r="Q100" s="4">
        <v>0</v>
      </c>
      <c r="R100" s="4">
        <v>0</v>
      </c>
      <c r="S100" s="4">
        <v>0</v>
      </c>
      <c r="T100" s="4">
        <v>0</v>
      </c>
      <c r="U100" s="4"/>
      <c r="V100" s="4" t="s">
        <v>3153</v>
      </c>
      <c r="W100" s="4" t="s">
        <v>3477</v>
      </c>
      <c r="X100" s="4" t="s">
        <v>3592</v>
      </c>
      <c r="Y100" s="4" t="s">
        <v>2961</v>
      </c>
      <c r="Z100" s="4" t="s">
        <v>2962</v>
      </c>
      <c r="AA100" s="4" t="s">
        <v>3024</v>
      </c>
      <c r="AB100" s="4" t="s">
        <v>2945</v>
      </c>
      <c r="AD100" s="10">
        <f t="shared" si="7"/>
        <v>0</v>
      </c>
      <c r="AE100" s="10">
        <f t="shared" si="4"/>
        <v>3.8318924066229741E-2</v>
      </c>
      <c r="AF100" s="10">
        <f t="shared" si="5"/>
        <v>0</v>
      </c>
      <c r="AG100" s="10">
        <f t="shared" ca="1" si="6"/>
        <v>2.5522542709658103</v>
      </c>
    </row>
    <row r="101" spans="1:33" x14ac:dyDescent="0.25">
      <c r="A101" s="50" t="s">
        <v>3593</v>
      </c>
      <c r="B101" s="4">
        <v>2445</v>
      </c>
      <c r="C101" s="53" t="s">
        <v>3594</v>
      </c>
      <c r="D101" s="4">
        <v>7.125</v>
      </c>
      <c r="E101" s="49">
        <v>43770</v>
      </c>
      <c r="F101" s="4">
        <v>8</v>
      </c>
      <c r="G101" s="4">
        <v>3</v>
      </c>
      <c r="H101" s="4" t="s">
        <v>3064</v>
      </c>
      <c r="I101" s="4" t="s">
        <v>3020</v>
      </c>
      <c r="J101" s="4">
        <f>IF(Z101="US",K101,VLOOKUP(Z101,'3032'!$AL$4:$AM$20,2,FALSE)*K101)</f>
        <v>108.25</v>
      </c>
      <c r="K101" s="4">
        <v>108.25</v>
      </c>
      <c r="L101" s="4">
        <v>2733816</v>
      </c>
      <c r="M101" s="4">
        <v>0.63</v>
      </c>
      <c r="N101" s="4">
        <v>0.653142</v>
      </c>
      <c r="O101" s="4">
        <v>5.82</v>
      </c>
      <c r="P101" s="4">
        <v>5.23</v>
      </c>
      <c r="Q101" s="4">
        <v>447</v>
      </c>
      <c r="R101" s="4">
        <v>341</v>
      </c>
      <c r="S101" s="4">
        <v>2.61</v>
      </c>
      <c r="T101" s="4">
        <v>-0.26</v>
      </c>
      <c r="U101" s="4"/>
      <c r="V101" s="4" t="s">
        <v>3153</v>
      </c>
      <c r="W101" s="4" t="s">
        <v>3477</v>
      </c>
      <c r="X101" s="4" t="s">
        <v>3595</v>
      </c>
      <c r="Y101" s="4" t="s">
        <v>2961</v>
      </c>
      <c r="Z101" s="4" t="s">
        <v>2962</v>
      </c>
      <c r="AA101" s="4" t="s">
        <v>3024</v>
      </c>
      <c r="AB101" s="4" t="s">
        <v>2945</v>
      </c>
      <c r="AD101" s="10">
        <f t="shared" si="7"/>
        <v>7.1397090124652979E-2</v>
      </c>
      <c r="AE101" s="10">
        <f t="shared" si="4"/>
        <v>0.12598940229831701</v>
      </c>
      <c r="AF101" s="10">
        <f t="shared" si="5"/>
        <v>10.668394945158482</v>
      </c>
      <c r="AG101" s="10">
        <f t="shared" ca="1" si="6"/>
        <v>1.3375197080781016</v>
      </c>
    </row>
    <row r="102" spans="1:33" x14ac:dyDescent="0.25">
      <c r="A102" s="50" t="s">
        <v>3596</v>
      </c>
      <c r="B102" s="4">
        <v>1630</v>
      </c>
      <c r="C102" s="53" t="s">
        <v>3597</v>
      </c>
      <c r="D102" s="4">
        <v>6.25</v>
      </c>
      <c r="E102" s="49">
        <v>44228</v>
      </c>
      <c r="F102" s="4">
        <v>9.25</v>
      </c>
      <c r="G102" s="4">
        <v>4.25</v>
      </c>
      <c r="H102" s="4" t="s">
        <v>133</v>
      </c>
      <c r="I102" s="4" t="s">
        <v>3036</v>
      </c>
      <c r="J102" s="4">
        <f>IF(Z102="US",K102,VLOOKUP(Z102,'3032'!$AL$4:$AM$20,2,FALSE)*K102)</f>
        <v>105</v>
      </c>
      <c r="K102" s="4">
        <v>105</v>
      </c>
      <c r="L102" s="4">
        <v>1736969</v>
      </c>
      <c r="M102" s="4">
        <v>0.42</v>
      </c>
      <c r="N102" s="4">
        <v>0.41498299999999999</v>
      </c>
      <c r="O102" s="4">
        <v>5.55</v>
      </c>
      <c r="P102" s="4">
        <v>5.41</v>
      </c>
      <c r="Q102" s="4">
        <v>362</v>
      </c>
      <c r="R102" s="4">
        <v>326</v>
      </c>
      <c r="S102" s="4">
        <v>5.74</v>
      </c>
      <c r="T102" s="4">
        <v>0.2</v>
      </c>
      <c r="U102" s="4"/>
      <c r="V102" s="4" t="s">
        <v>3173</v>
      </c>
      <c r="W102" s="4" t="s">
        <v>3470</v>
      </c>
      <c r="X102" s="4" t="s">
        <v>3598</v>
      </c>
      <c r="Y102" s="4" t="s">
        <v>2961</v>
      </c>
      <c r="Z102" s="4" t="s">
        <v>2962</v>
      </c>
      <c r="AA102" s="4" t="s">
        <v>3041</v>
      </c>
      <c r="AB102" s="4" t="s">
        <v>3042</v>
      </c>
      <c r="AD102" s="10">
        <f t="shared" si="7"/>
        <v>0.17922004979088663</v>
      </c>
      <c r="AE102" s="10">
        <f t="shared" si="4"/>
        <v>8.2804202448391998E-2</v>
      </c>
      <c r="AF102" s="10">
        <f t="shared" si="5"/>
        <v>6.4801505042392797</v>
      </c>
      <c r="AG102" s="10">
        <f t="shared" ca="1" si="6"/>
        <v>0.82429823640191646</v>
      </c>
    </row>
    <row r="103" spans="1:33" x14ac:dyDescent="0.25">
      <c r="A103" s="50" t="s">
        <v>3599</v>
      </c>
      <c r="B103" s="4">
        <v>3200</v>
      </c>
      <c r="C103" s="53" t="s">
        <v>3600</v>
      </c>
      <c r="D103" s="4">
        <v>9</v>
      </c>
      <c r="E103" s="49">
        <v>44256</v>
      </c>
      <c r="F103" s="4">
        <v>9.34</v>
      </c>
      <c r="G103" s="4">
        <v>4.34</v>
      </c>
      <c r="H103" s="4" t="s">
        <v>3431</v>
      </c>
      <c r="I103" s="4" t="s">
        <v>3432</v>
      </c>
      <c r="J103" s="4">
        <f>IF(Z103="US",K103,VLOOKUP(Z103,'3032'!$AL$4:$AM$20,2,FALSE)*K103)</f>
        <v>89</v>
      </c>
      <c r="K103" s="4">
        <v>89</v>
      </c>
      <c r="L103" s="4">
        <v>2896000</v>
      </c>
      <c r="M103" s="4">
        <v>0.82</v>
      </c>
      <c r="N103" s="4">
        <v>0.69189000000000001</v>
      </c>
      <c r="O103" s="4">
        <v>10.9</v>
      </c>
      <c r="P103" s="4">
        <v>10.9</v>
      </c>
      <c r="Q103" s="4">
        <v>863</v>
      </c>
      <c r="R103" s="4">
        <v>890</v>
      </c>
      <c r="S103" s="4">
        <v>5.9</v>
      </c>
      <c r="T103" s="4">
        <v>0.49</v>
      </c>
      <c r="U103" s="4"/>
      <c r="V103" s="4" t="s">
        <v>3393</v>
      </c>
      <c r="W103" s="4" t="s">
        <v>3601</v>
      </c>
      <c r="X103" s="4" t="s">
        <v>3602</v>
      </c>
      <c r="Y103" s="4" t="s">
        <v>2961</v>
      </c>
      <c r="Z103" s="4" t="s">
        <v>2962</v>
      </c>
      <c r="AA103" s="4" t="s">
        <v>3024</v>
      </c>
      <c r="AB103" s="4" t="s">
        <v>3033</v>
      </c>
      <c r="AD103" s="10">
        <f t="shared" si="7"/>
        <v>0.30713775310858699</v>
      </c>
      <c r="AE103" s="10">
        <f t="shared" si="4"/>
        <v>0.74289313554354308</v>
      </c>
      <c r="AF103" s="10">
        <f t="shared" si="5"/>
        <v>97.256249600023182</v>
      </c>
      <c r="AG103" s="10">
        <f t="shared" ca="1" si="6"/>
        <v>2.5418796125957086</v>
      </c>
    </row>
    <row r="104" spans="1:33" x14ac:dyDescent="0.25">
      <c r="A104" s="50" t="s">
        <v>3603</v>
      </c>
      <c r="B104" s="4">
        <v>964</v>
      </c>
      <c r="C104" s="53" t="s">
        <v>3604</v>
      </c>
      <c r="D104" s="4">
        <v>3.8959999999999999</v>
      </c>
      <c r="E104" s="49">
        <v>42321</v>
      </c>
      <c r="F104" s="4">
        <v>4.04</v>
      </c>
      <c r="G104" s="4">
        <v>4.04</v>
      </c>
      <c r="H104" s="4" t="s">
        <v>3431</v>
      </c>
      <c r="I104" s="4" t="s">
        <v>3432</v>
      </c>
      <c r="J104" s="4">
        <f>IF(Z104="US",K104,VLOOKUP(Z104,'3032'!$AL$4:$AM$20,2,FALSE)*K104)</f>
        <v>74.5</v>
      </c>
      <c r="K104" s="4">
        <v>74.5</v>
      </c>
      <c r="L104" s="4">
        <v>718303</v>
      </c>
      <c r="M104" s="4">
        <v>0.25</v>
      </c>
      <c r="N104" s="4">
        <v>0.17161199999999999</v>
      </c>
      <c r="O104" s="4">
        <v>12.94</v>
      </c>
      <c r="P104" s="4">
        <v>12.94</v>
      </c>
      <c r="Q104" s="4">
        <v>365</v>
      </c>
      <c r="R104" s="4">
        <v>0</v>
      </c>
      <c r="S104" s="4">
        <v>0.25</v>
      </c>
      <c r="T104" s="4">
        <v>0.15</v>
      </c>
      <c r="U104" s="4" t="s">
        <v>3049</v>
      </c>
      <c r="V104" s="4" t="s">
        <v>3393</v>
      </c>
      <c r="W104" s="4" t="s">
        <v>3601</v>
      </c>
      <c r="X104" s="4" t="s">
        <v>3605</v>
      </c>
      <c r="Y104" s="4" t="s">
        <v>2961</v>
      </c>
      <c r="Z104" s="4" t="s">
        <v>2962</v>
      </c>
      <c r="AA104" s="4" t="s">
        <v>3606</v>
      </c>
      <c r="AB104" s="4" t="s">
        <v>2945</v>
      </c>
      <c r="AD104" s="10">
        <f t="shared" si="7"/>
        <v>1.2606132557596746E-3</v>
      </c>
      <c r="AE104" s="10">
        <f t="shared" si="4"/>
        <v>0.21874757467268729</v>
      </c>
      <c r="AF104" s="10">
        <f t="shared" si="5"/>
        <v>0</v>
      </c>
      <c r="AG104" s="10">
        <f t="shared" ca="1" si="6"/>
        <v>2.8591935849344718</v>
      </c>
    </row>
    <row r="105" spans="1:33" x14ac:dyDescent="0.25">
      <c r="A105" s="50" t="s">
        <v>3093</v>
      </c>
      <c r="B105" s="4">
        <v>7700000</v>
      </c>
      <c r="C105" s="53" t="s">
        <v>3094</v>
      </c>
      <c r="D105" s="4">
        <v>2.2000000000000002</v>
      </c>
      <c r="E105" s="4"/>
      <c r="F105" s="4">
        <v>0</v>
      </c>
      <c r="G105" s="4">
        <v>0</v>
      </c>
      <c r="H105" s="4" t="s">
        <v>3050</v>
      </c>
      <c r="I105" s="4" t="s">
        <v>3051</v>
      </c>
      <c r="J105" s="4">
        <f>IF(Z105="US",K105,VLOOKUP(Z105,'3032'!$AL$4:$AM$20,2,FALSE)*K105)</f>
        <v>1</v>
      </c>
      <c r="K105" s="4">
        <v>1</v>
      </c>
      <c r="L105" s="4">
        <v>7700000</v>
      </c>
      <c r="M105" s="4">
        <v>0</v>
      </c>
      <c r="N105" s="4">
        <v>1.839626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/>
      <c r="V105" s="4" t="s">
        <v>2941</v>
      </c>
      <c r="W105" s="4" t="s">
        <v>2942</v>
      </c>
      <c r="X105" s="4" t="s">
        <v>3093</v>
      </c>
      <c r="Y105" s="4" t="s">
        <v>2961</v>
      </c>
      <c r="Z105" s="4" t="s">
        <v>2962</v>
      </c>
      <c r="AA105" s="4" t="s">
        <v>2945</v>
      </c>
      <c r="AB105" s="4" t="s">
        <v>2945</v>
      </c>
      <c r="AD105" s="10">
        <f t="shared" si="7"/>
        <v>0</v>
      </c>
      <c r="AE105" s="10">
        <f t="shared" si="4"/>
        <v>0</v>
      </c>
      <c r="AF105" s="10">
        <f t="shared" si="5"/>
        <v>0</v>
      </c>
      <c r="AG105" s="10">
        <f t="shared" ca="1" si="6"/>
        <v>0.20859590116639515</v>
      </c>
    </row>
    <row r="106" spans="1:33" x14ac:dyDescent="0.25">
      <c r="A106" s="50" t="s">
        <v>3607</v>
      </c>
      <c r="B106" s="4">
        <v>938</v>
      </c>
      <c r="C106" s="53" t="s">
        <v>3608</v>
      </c>
      <c r="D106" s="4">
        <v>8.625</v>
      </c>
      <c r="E106" s="49">
        <v>43054</v>
      </c>
      <c r="F106" s="4">
        <v>6.04</v>
      </c>
      <c r="G106" s="4">
        <v>1.04</v>
      </c>
      <c r="H106" s="4" t="s">
        <v>3064</v>
      </c>
      <c r="I106" s="4" t="s">
        <v>3065</v>
      </c>
      <c r="J106" s="4">
        <f>IF(Z106="US",K106,VLOOKUP(Z106,'3032'!$AL$4:$AM$20,2,FALSE)*K106)</f>
        <v>104.5</v>
      </c>
      <c r="K106" s="4">
        <v>104.5</v>
      </c>
      <c r="L106" s="4">
        <v>1017515</v>
      </c>
      <c r="M106" s="4">
        <v>0.24</v>
      </c>
      <c r="N106" s="4">
        <v>0.24309700000000001</v>
      </c>
      <c r="O106" s="4">
        <v>7.68</v>
      </c>
      <c r="P106" s="4">
        <v>7.32</v>
      </c>
      <c r="Q106" s="4">
        <v>622</v>
      </c>
      <c r="R106" s="4">
        <v>592</v>
      </c>
      <c r="S106" s="4">
        <v>3.26</v>
      </c>
      <c r="T106" s="4">
        <v>-0.13</v>
      </c>
      <c r="U106" s="4"/>
      <c r="V106" s="4" t="s">
        <v>3393</v>
      </c>
      <c r="W106" s="4" t="s">
        <v>3609</v>
      </c>
      <c r="X106" s="4" t="s">
        <v>3610</v>
      </c>
      <c r="Y106" s="4" t="s">
        <v>2961</v>
      </c>
      <c r="Z106" s="4" t="s">
        <v>2962</v>
      </c>
      <c r="AA106" s="4" t="s">
        <v>3041</v>
      </c>
      <c r="AB106" s="4" t="s">
        <v>2945</v>
      </c>
      <c r="AD106" s="10">
        <f t="shared" si="7"/>
        <v>3.3191673054897619E-2</v>
      </c>
      <c r="AE106" s="10">
        <f t="shared" si="4"/>
        <v>6.0956411566359531E-2</v>
      </c>
      <c r="AF106" s="10">
        <f t="shared" si="5"/>
        <v>5.0728410958478882</v>
      </c>
      <c r="AG106" s="10">
        <f t="shared" ca="1" si="6"/>
        <v>0.48057382711907837</v>
      </c>
    </row>
    <row r="107" spans="1:33" x14ac:dyDescent="0.25">
      <c r="A107" s="50" t="s">
        <v>3611</v>
      </c>
      <c r="B107" s="4">
        <v>250</v>
      </c>
      <c r="C107" s="53" t="s">
        <v>3612</v>
      </c>
      <c r="D107" s="4">
        <v>5</v>
      </c>
      <c r="E107" s="49">
        <v>42323</v>
      </c>
      <c r="F107" s="4">
        <v>4.04</v>
      </c>
      <c r="G107" s="4">
        <v>4.04</v>
      </c>
      <c r="H107" s="4" t="s">
        <v>3028</v>
      </c>
      <c r="I107" s="4" t="s">
        <v>3028</v>
      </c>
      <c r="J107" s="4">
        <f>IF(Z107="US",K107,VLOOKUP(Z107,'3032'!$AL$4:$AM$20,2,FALSE)*K107)</f>
        <v>76.38</v>
      </c>
      <c r="K107" s="4">
        <v>76.38</v>
      </c>
      <c r="L107" s="4">
        <v>196701</v>
      </c>
      <c r="M107" s="4">
        <v>0.06</v>
      </c>
      <c r="N107" s="4">
        <v>4.6994000000000001E-2</v>
      </c>
      <c r="O107" s="4">
        <v>0</v>
      </c>
      <c r="P107" s="4">
        <v>12.65</v>
      </c>
      <c r="Q107" s="4">
        <v>0</v>
      </c>
      <c r="R107" s="4">
        <v>0</v>
      </c>
      <c r="S107" s="4">
        <v>3.33</v>
      </c>
      <c r="T107" s="4">
        <v>0.14000000000000001</v>
      </c>
      <c r="U107" s="4"/>
      <c r="V107" s="4" t="s">
        <v>3393</v>
      </c>
      <c r="W107" s="4" t="s">
        <v>3601</v>
      </c>
      <c r="X107" s="4" t="s">
        <v>3613</v>
      </c>
      <c r="Y107" s="4" t="s">
        <v>3073</v>
      </c>
      <c r="Z107" s="4" t="s">
        <v>2962</v>
      </c>
      <c r="AA107" s="4" t="s">
        <v>3024</v>
      </c>
      <c r="AB107" s="4" t="s">
        <v>2945</v>
      </c>
      <c r="AD107" s="10">
        <f t="shared" si="7"/>
        <v>6.5542276980746095E-3</v>
      </c>
      <c r="AE107" s="10">
        <f t="shared" si="4"/>
        <v>5.8559637987862519E-2</v>
      </c>
      <c r="AF107" s="10">
        <f t="shared" si="5"/>
        <v>0</v>
      </c>
      <c r="AG107" s="10">
        <f t="shared" ca="1" si="6"/>
        <v>0.80272322701095511</v>
      </c>
    </row>
    <row r="108" spans="1:33" x14ac:dyDescent="0.25">
      <c r="A108" s="50" t="s">
        <v>3614</v>
      </c>
      <c r="B108" s="4">
        <v>600</v>
      </c>
      <c r="C108" s="53" t="s">
        <v>3615</v>
      </c>
      <c r="D108" s="4">
        <v>6.5</v>
      </c>
      <c r="E108" s="49">
        <v>44348</v>
      </c>
      <c r="F108" s="4">
        <v>9.59</v>
      </c>
      <c r="G108" s="4">
        <v>4.59</v>
      </c>
      <c r="H108" s="4" t="s">
        <v>3019</v>
      </c>
      <c r="I108" s="4" t="s">
        <v>3036</v>
      </c>
      <c r="J108" s="4">
        <f>IF(Z108="US",K108,VLOOKUP(Z108,'3032'!$AL$4:$AM$20,2,FALSE)*K108)</f>
        <v>99.5</v>
      </c>
      <c r="K108" s="4">
        <v>99.5</v>
      </c>
      <c r="L108" s="4">
        <v>613358</v>
      </c>
      <c r="M108" s="4">
        <v>0.15</v>
      </c>
      <c r="N108" s="4">
        <v>0.146539</v>
      </c>
      <c r="O108" s="4">
        <v>6.57</v>
      </c>
      <c r="P108" s="4">
        <v>6.57</v>
      </c>
      <c r="Q108" s="4">
        <v>432</v>
      </c>
      <c r="R108" s="4">
        <v>443</v>
      </c>
      <c r="S108" s="4">
        <v>6.86</v>
      </c>
      <c r="T108" s="4">
        <v>0.51</v>
      </c>
      <c r="U108" s="4"/>
      <c r="V108" s="4" t="s">
        <v>3124</v>
      </c>
      <c r="W108" s="4" t="s">
        <v>3513</v>
      </c>
      <c r="X108" s="4" t="s">
        <v>3616</v>
      </c>
      <c r="Y108" s="4" t="s">
        <v>3150</v>
      </c>
      <c r="Z108" s="4" t="s">
        <v>2962</v>
      </c>
      <c r="AA108" s="4" t="s">
        <v>3041</v>
      </c>
      <c r="AB108" s="4" t="s">
        <v>2945</v>
      </c>
      <c r="AD108" s="10">
        <f t="shared" si="7"/>
        <v>6.4362877119671077E-2</v>
      </c>
      <c r="AE108" s="10">
        <f t="shared" si="4"/>
        <v>3.29797147555995E-2</v>
      </c>
      <c r="AF108" s="10">
        <f t="shared" si="5"/>
        <v>2.2882659165727679</v>
      </c>
      <c r="AG108" s="10">
        <f t="shared" ca="1" si="6"/>
        <v>0.60187115294453652</v>
      </c>
    </row>
    <row r="109" spans="1:33" x14ac:dyDescent="0.25">
      <c r="A109" s="50" t="s">
        <v>3617</v>
      </c>
      <c r="B109" s="4">
        <v>1675</v>
      </c>
      <c r="C109" s="53" t="s">
        <v>3618</v>
      </c>
      <c r="D109" s="4">
        <v>9.5</v>
      </c>
      <c r="E109" s="49">
        <v>42505</v>
      </c>
      <c r="F109" s="4">
        <v>4.54</v>
      </c>
      <c r="G109" s="4">
        <v>1.54</v>
      </c>
      <c r="H109" s="4" t="s">
        <v>3019</v>
      </c>
      <c r="I109" s="4" t="s">
        <v>3036</v>
      </c>
      <c r="J109" s="4">
        <f>IF(Z109="US",K109,VLOOKUP(Z109,'3032'!$AL$4:$AM$20,2,FALSE)*K109)</f>
        <v>108.25</v>
      </c>
      <c r="K109" s="4">
        <v>108.25</v>
      </c>
      <c r="L109" s="4">
        <v>1886562</v>
      </c>
      <c r="M109" s="4">
        <v>0.43</v>
      </c>
      <c r="N109" s="4">
        <v>0.45072299999999998</v>
      </c>
      <c r="O109" s="4">
        <v>7.33</v>
      </c>
      <c r="P109" s="4">
        <v>6.74</v>
      </c>
      <c r="Q109" s="4">
        <v>641</v>
      </c>
      <c r="R109" s="4">
        <v>627</v>
      </c>
      <c r="S109" s="4">
        <v>1.37</v>
      </c>
      <c r="T109" s="4">
        <v>-0.41</v>
      </c>
      <c r="U109" s="4"/>
      <c r="V109" s="4" t="s">
        <v>3124</v>
      </c>
      <c r="W109" s="4" t="s">
        <v>3513</v>
      </c>
      <c r="X109" s="4" t="s">
        <v>3619</v>
      </c>
      <c r="Y109" s="4" t="s">
        <v>3150</v>
      </c>
      <c r="Z109" s="4" t="s">
        <v>2962</v>
      </c>
      <c r="AA109" s="4" t="s">
        <v>3024</v>
      </c>
      <c r="AB109" s="4" t="s">
        <v>2945</v>
      </c>
      <c r="AD109" s="10">
        <f t="shared" si="7"/>
        <v>1.8143698907380879E-2</v>
      </c>
      <c r="AE109" s="10">
        <f t="shared" si="4"/>
        <v>0.10406351001225053</v>
      </c>
      <c r="AF109" s="10">
        <f t="shared" si="5"/>
        <v>20.516355847866532</v>
      </c>
      <c r="AG109" s="10">
        <f t="shared" ca="1" si="6"/>
        <v>0.9230006172731593</v>
      </c>
    </row>
    <row r="110" spans="1:33" x14ac:dyDescent="0.25">
      <c r="A110" s="50" t="s">
        <v>3620</v>
      </c>
      <c r="B110" s="4">
        <v>87</v>
      </c>
      <c r="C110" s="53" t="s">
        <v>3621</v>
      </c>
      <c r="D110" s="4">
        <v>3.62</v>
      </c>
      <c r="E110" s="49">
        <v>42619</v>
      </c>
      <c r="F110" s="4">
        <v>4.8499999999999996</v>
      </c>
      <c r="G110" s="4">
        <v>4.8499999999999996</v>
      </c>
      <c r="H110" s="4" t="s">
        <v>3181</v>
      </c>
      <c r="I110" s="4" t="s">
        <v>3116</v>
      </c>
      <c r="J110" s="4">
        <f>IF(Z110="US",K110,VLOOKUP(Z110,'3032'!$AL$4:$AM$20,2,FALSE)*K110)</f>
        <v>99.13</v>
      </c>
      <c r="K110" s="4">
        <v>99.13</v>
      </c>
      <c r="L110" s="4">
        <v>86111</v>
      </c>
      <c r="M110" s="4">
        <v>0.02</v>
      </c>
      <c r="N110" s="4">
        <v>2.0573000000000001E-2</v>
      </c>
      <c r="O110" s="4">
        <v>3.83</v>
      </c>
      <c r="P110" s="4">
        <v>3.83</v>
      </c>
      <c r="Q110" s="4">
        <v>325</v>
      </c>
      <c r="R110" s="4">
        <v>0</v>
      </c>
      <c r="S110" s="4">
        <v>0.25</v>
      </c>
      <c r="T110" s="4">
        <v>0.33</v>
      </c>
      <c r="U110" s="4" t="s">
        <v>3049</v>
      </c>
      <c r="V110" s="4" t="s">
        <v>3393</v>
      </c>
      <c r="W110" s="4" t="s">
        <v>3609</v>
      </c>
      <c r="X110" s="4" t="s">
        <v>3622</v>
      </c>
      <c r="Y110" s="4" t="s">
        <v>2961</v>
      </c>
      <c r="Z110" s="4" t="s">
        <v>2962</v>
      </c>
      <c r="AA110" s="4" t="s">
        <v>3032</v>
      </c>
      <c r="AB110" s="4" t="s">
        <v>2945</v>
      </c>
      <c r="AD110" s="10">
        <f t="shared" si="7"/>
        <v>1.5112378490236201E-4</v>
      </c>
      <c r="AE110" s="10">
        <f t="shared" si="4"/>
        <v>4.0352375985698201E-3</v>
      </c>
      <c r="AF110" s="10">
        <f t="shared" si="5"/>
        <v>0</v>
      </c>
      <c r="AG110" s="10">
        <f t="shared" ca="1" si="6"/>
        <v>8.4184115362896147E-2</v>
      </c>
    </row>
    <row r="111" spans="1:33" x14ac:dyDescent="0.25">
      <c r="A111" s="50">
        <v>165167784</v>
      </c>
      <c r="B111" s="4">
        <v>1</v>
      </c>
      <c r="C111" s="53" t="s">
        <v>3623</v>
      </c>
      <c r="D111" s="4">
        <v>0</v>
      </c>
      <c r="E111" s="4"/>
      <c r="F111" s="4">
        <v>0</v>
      </c>
      <c r="G111" s="4">
        <v>0</v>
      </c>
      <c r="H111" s="4" t="s">
        <v>3120</v>
      </c>
      <c r="I111" s="4" t="s">
        <v>3028</v>
      </c>
      <c r="J111" s="4">
        <f>IF(Z111="US",K111,VLOOKUP(Z111,'3032'!$AL$4:$AM$20,2,FALSE)*K111)</f>
        <v>116</v>
      </c>
      <c r="K111" s="4">
        <v>116</v>
      </c>
      <c r="L111" s="4">
        <v>928000</v>
      </c>
      <c r="M111" s="4">
        <v>0</v>
      </c>
      <c r="N111" s="4">
        <v>0.22171099999999999</v>
      </c>
      <c r="O111" s="4">
        <v>5.25</v>
      </c>
      <c r="P111" s="4">
        <v>5.25</v>
      </c>
      <c r="Q111" s="4">
        <v>0</v>
      </c>
      <c r="R111" s="4">
        <v>0</v>
      </c>
      <c r="S111" s="4">
        <v>0</v>
      </c>
      <c r="T111" s="4">
        <v>0</v>
      </c>
      <c r="U111" s="4"/>
      <c r="V111" s="4" t="s">
        <v>3124</v>
      </c>
      <c r="W111" s="4" t="s">
        <v>3142</v>
      </c>
      <c r="X111" s="4" t="s">
        <v>3624</v>
      </c>
      <c r="Y111" s="4" t="s">
        <v>2961</v>
      </c>
      <c r="Z111" s="4" t="s">
        <v>2962</v>
      </c>
      <c r="AA111" s="4" t="s">
        <v>3041</v>
      </c>
      <c r="AB111" s="4" t="s">
        <v>2945</v>
      </c>
      <c r="AD111" s="10">
        <f t="shared" si="7"/>
        <v>0</v>
      </c>
      <c r="AE111" s="10">
        <f t="shared" si="4"/>
        <v>4.2930932852690167E-2</v>
      </c>
      <c r="AF111" s="10">
        <f t="shared" si="5"/>
        <v>0</v>
      </c>
      <c r="AG111" s="10">
        <f t="shared" ca="1" si="6"/>
        <v>0.4865292661400597</v>
      </c>
    </row>
    <row r="112" spans="1:33" x14ac:dyDescent="0.25">
      <c r="A112" s="50" t="s">
        <v>3625</v>
      </c>
      <c r="B112" s="4">
        <v>2445</v>
      </c>
      <c r="C112" s="53" t="s">
        <v>3626</v>
      </c>
      <c r="D112" s="4">
        <v>6.625</v>
      </c>
      <c r="E112" s="49">
        <v>44058</v>
      </c>
      <c r="F112" s="4">
        <v>8.7899999999999991</v>
      </c>
      <c r="G112" s="4">
        <v>1.79</v>
      </c>
      <c r="H112" s="4" t="s">
        <v>3181</v>
      </c>
      <c r="I112" s="4" t="s">
        <v>3036</v>
      </c>
      <c r="J112" s="4">
        <f>IF(Z112="US",K112,VLOOKUP(Z112,'3032'!$AL$4:$AM$20,2,FALSE)*K112)</f>
        <v>108.38</v>
      </c>
      <c r="K112" s="4">
        <v>108.38</v>
      </c>
      <c r="L112" s="4">
        <v>2683965</v>
      </c>
      <c r="M112" s="4">
        <v>0.63</v>
      </c>
      <c r="N112" s="4">
        <v>0.64123200000000002</v>
      </c>
      <c r="O112" s="4">
        <v>5.41</v>
      </c>
      <c r="P112" s="4">
        <v>5.41</v>
      </c>
      <c r="Q112" s="4">
        <v>324</v>
      </c>
      <c r="R112" s="4">
        <v>338</v>
      </c>
      <c r="S112" s="4">
        <v>6.8</v>
      </c>
      <c r="T112" s="4">
        <v>0.56999999999999995</v>
      </c>
      <c r="U112" s="4" t="s">
        <v>3049</v>
      </c>
      <c r="V112" s="4" t="s">
        <v>3124</v>
      </c>
      <c r="W112" s="4" t="s">
        <v>3142</v>
      </c>
      <c r="X112" s="4" t="s">
        <v>3627</v>
      </c>
      <c r="Y112" s="4" t="s">
        <v>2961</v>
      </c>
      <c r="Z112" s="4" t="s">
        <v>2962</v>
      </c>
      <c r="AA112" s="4" t="s">
        <v>3024</v>
      </c>
      <c r="AB112" s="4" t="s">
        <v>2945</v>
      </c>
      <c r="AD112" s="10">
        <f t="shared" si="7"/>
        <v>0.2791792013432936</v>
      </c>
      <c r="AE112" s="10">
        <f t="shared" si="4"/>
        <v>0.12794907751629328</v>
      </c>
      <c r="AF112" s="10">
        <f t="shared" si="5"/>
        <v>10.381711917172636</v>
      </c>
      <c r="AG112" s="10">
        <f t="shared" ca="1" si="6"/>
        <v>1.3147070713084099</v>
      </c>
    </row>
    <row r="113" spans="1:33" x14ac:dyDescent="0.25">
      <c r="A113" s="50" t="s">
        <v>3628</v>
      </c>
      <c r="B113" s="4">
        <v>57</v>
      </c>
      <c r="C113" s="53" t="s">
        <v>3629</v>
      </c>
      <c r="D113" s="4">
        <v>3.819</v>
      </c>
      <c r="E113" s="49">
        <v>42760</v>
      </c>
      <c r="F113" s="4">
        <v>5.24</v>
      </c>
      <c r="G113" s="4">
        <v>5.24</v>
      </c>
      <c r="H113" s="4" t="s">
        <v>3028</v>
      </c>
      <c r="I113" s="4" t="s">
        <v>3028</v>
      </c>
      <c r="J113" s="4">
        <f>IF(Z113="US",K113,VLOOKUP(Z113,'3032'!$AL$4:$AM$20,2,FALSE)*K113)</f>
        <v>96.75</v>
      </c>
      <c r="K113" s="4">
        <v>96.75</v>
      </c>
      <c r="L113" s="4">
        <v>55901</v>
      </c>
      <c r="M113" s="4">
        <v>0.01</v>
      </c>
      <c r="N113" s="4">
        <v>1.3355000000000001E-2</v>
      </c>
      <c r="O113" s="4">
        <v>4.58</v>
      </c>
      <c r="P113" s="4">
        <v>4.58</v>
      </c>
      <c r="Q113" s="4">
        <v>350</v>
      </c>
      <c r="R113" s="4">
        <v>0</v>
      </c>
      <c r="S113" s="4">
        <v>0.25</v>
      </c>
      <c r="T113" s="4">
        <v>0.36</v>
      </c>
      <c r="U113" s="4" t="s">
        <v>3049</v>
      </c>
      <c r="V113" s="4" t="s">
        <v>3416</v>
      </c>
      <c r="W113" s="4" t="s">
        <v>3630</v>
      </c>
      <c r="X113" s="4" t="s">
        <v>3631</v>
      </c>
      <c r="Y113" s="4" t="s">
        <v>2961</v>
      </c>
      <c r="Z113" s="4" t="s">
        <v>2962</v>
      </c>
      <c r="AA113" s="4" t="s">
        <v>3032</v>
      </c>
      <c r="AB113" s="4" t="s">
        <v>2945</v>
      </c>
      <c r="AD113" s="10">
        <f t="shared" si="7"/>
        <v>9.8105592779400297E-5</v>
      </c>
      <c r="AE113" s="10">
        <f t="shared" si="4"/>
        <v>2.2560467804769928E-3</v>
      </c>
      <c r="AF113" s="10">
        <f t="shared" si="5"/>
        <v>0</v>
      </c>
      <c r="AG113" s="10">
        <f t="shared" ca="1" si="6"/>
        <v>5.3338029139938091E-2</v>
      </c>
    </row>
    <row r="114" spans="1:33" x14ac:dyDescent="0.25">
      <c r="A114" s="50" t="s">
        <v>3632</v>
      </c>
      <c r="B114" s="4">
        <v>978</v>
      </c>
      <c r="C114" s="53" t="s">
        <v>3633</v>
      </c>
      <c r="D114" s="4">
        <v>7</v>
      </c>
      <c r="E114" s="49">
        <v>43480</v>
      </c>
      <c r="F114" s="4">
        <v>7.21</v>
      </c>
      <c r="G114" s="4">
        <v>2.21</v>
      </c>
      <c r="H114" s="4" t="s">
        <v>3019</v>
      </c>
      <c r="I114" s="4" t="s">
        <v>3020</v>
      </c>
      <c r="J114" s="4">
        <f>IF(Z114="US",K114,VLOOKUP(Z114,'3032'!$AL$4:$AM$20,2,FALSE)*K114)</f>
        <v>103.75</v>
      </c>
      <c r="K114" s="4">
        <v>103.75</v>
      </c>
      <c r="L114" s="4">
        <v>1034833</v>
      </c>
      <c r="M114" s="4">
        <v>0.25</v>
      </c>
      <c r="N114" s="4">
        <v>0.24723400000000001</v>
      </c>
      <c r="O114" s="4">
        <v>6.34</v>
      </c>
      <c r="P114" s="4">
        <v>6.14</v>
      </c>
      <c r="Q114" s="4">
        <v>480</v>
      </c>
      <c r="R114" s="4">
        <v>442</v>
      </c>
      <c r="S114" s="4">
        <v>4.25</v>
      </c>
      <c r="T114" s="4">
        <v>0.06</v>
      </c>
      <c r="U114" s="4"/>
      <c r="V114" s="4" t="s">
        <v>3393</v>
      </c>
      <c r="W114" s="4" t="s">
        <v>3609</v>
      </c>
      <c r="X114" s="4" t="s">
        <v>3634</v>
      </c>
      <c r="Y114" s="4" t="s">
        <v>2961</v>
      </c>
      <c r="Z114" s="4" t="s">
        <v>2962</v>
      </c>
      <c r="AA114" s="4" t="s">
        <v>3024</v>
      </c>
      <c r="AB114" s="4" t="s">
        <v>2945</v>
      </c>
      <c r="AD114" s="10">
        <f t="shared" si="7"/>
        <v>7.9057273648406229E-2</v>
      </c>
      <c r="AE114" s="10">
        <f t="shared" si="4"/>
        <v>5.2000333875902131E-2</v>
      </c>
      <c r="AF114" s="10">
        <f t="shared" si="5"/>
        <v>3.8519555814783866</v>
      </c>
      <c r="AG114" s="10">
        <f t="shared" ca="1" si="6"/>
        <v>0.48524534623964055</v>
      </c>
    </row>
    <row r="115" spans="1:33" x14ac:dyDescent="0.25">
      <c r="A115" s="50" t="s">
        <v>3635</v>
      </c>
      <c r="B115" s="4">
        <v>1426</v>
      </c>
      <c r="C115" s="53" t="s">
        <v>3636</v>
      </c>
      <c r="D115" s="4">
        <v>8.25</v>
      </c>
      <c r="E115" s="49">
        <v>43631</v>
      </c>
      <c r="F115" s="4">
        <v>7.63</v>
      </c>
      <c r="G115" s="4">
        <v>7.63</v>
      </c>
      <c r="H115" s="4" t="s">
        <v>3161</v>
      </c>
      <c r="I115" s="4" t="s">
        <v>3079</v>
      </c>
      <c r="J115" s="4">
        <f>IF(Z115="US",K115,VLOOKUP(Z115,'3032'!$AL$4:$AM$20,2,FALSE)*K115)</f>
        <v>124.86</v>
      </c>
      <c r="K115" s="4">
        <v>124.86</v>
      </c>
      <c r="L115" s="4">
        <v>1825007</v>
      </c>
      <c r="M115" s="4">
        <v>0.37</v>
      </c>
      <c r="N115" s="4">
        <v>0.43601699999999999</v>
      </c>
      <c r="O115" s="4">
        <v>4.38</v>
      </c>
      <c r="P115" s="4">
        <v>4.38</v>
      </c>
      <c r="Q115" s="4">
        <v>262</v>
      </c>
      <c r="R115" s="4">
        <v>277</v>
      </c>
      <c r="S115" s="4">
        <v>5.75</v>
      </c>
      <c r="T115" s="4">
        <v>0.43</v>
      </c>
      <c r="U115" s="4"/>
      <c r="V115" s="4" t="s">
        <v>3037</v>
      </c>
      <c r="W115" s="4" t="s">
        <v>3084</v>
      </c>
      <c r="X115" s="4" t="s">
        <v>3637</v>
      </c>
      <c r="Y115" s="4" t="s">
        <v>2961</v>
      </c>
      <c r="Z115" s="4" t="s">
        <v>2962</v>
      </c>
      <c r="AA115" s="4" t="s">
        <v>3041</v>
      </c>
      <c r="AB115" s="4" t="s">
        <v>2945</v>
      </c>
      <c r="AD115" s="10">
        <f t="shared" si="7"/>
        <v>0.18863184515040016</v>
      </c>
      <c r="AE115" s="10">
        <f t="shared" si="4"/>
        <v>7.0437136293181477E-2</v>
      </c>
      <c r="AF115" s="10">
        <f t="shared" si="5"/>
        <v>5.785217998171305</v>
      </c>
      <c r="AG115" s="10">
        <f t="shared" ca="1" si="6"/>
        <v>12.04666349786066</v>
      </c>
    </row>
    <row r="116" spans="1:33" x14ac:dyDescent="0.25">
      <c r="A116" s="50" t="s">
        <v>3638</v>
      </c>
      <c r="B116" s="4">
        <v>243</v>
      </c>
      <c r="C116" s="53" t="s">
        <v>3639</v>
      </c>
      <c r="D116" s="4">
        <v>4</v>
      </c>
      <c r="E116" s="49">
        <v>42078</v>
      </c>
      <c r="F116" s="4">
        <v>3.38</v>
      </c>
      <c r="G116" s="4">
        <v>3.38</v>
      </c>
      <c r="H116" s="4" t="s">
        <v>3028</v>
      </c>
      <c r="I116" s="4" t="s">
        <v>3028</v>
      </c>
      <c r="J116" s="4">
        <f>IF(Z116="US",K116,VLOOKUP(Z116,'3032'!$AL$4:$AM$20,2,FALSE)*K116)</f>
        <v>102.13</v>
      </c>
      <c r="K116" s="4">
        <v>102.13</v>
      </c>
      <c r="L116" s="4">
        <v>249406</v>
      </c>
      <c r="M116" s="4">
        <v>0.06</v>
      </c>
      <c r="N116" s="4">
        <v>5.9586E-2</v>
      </c>
      <c r="O116" s="4">
        <v>5.1100000000000003</v>
      </c>
      <c r="P116" s="4">
        <v>5.1100000000000003</v>
      </c>
      <c r="Q116" s="4">
        <v>0</v>
      </c>
      <c r="R116" s="4">
        <v>0</v>
      </c>
      <c r="S116" s="4">
        <v>3.12</v>
      </c>
      <c r="T116" s="4">
        <v>0.12</v>
      </c>
      <c r="U116" s="4"/>
      <c r="V116" s="4" t="s">
        <v>3426</v>
      </c>
      <c r="W116" s="4" t="s">
        <v>3427</v>
      </c>
      <c r="X116" s="4" t="s">
        <v>3640</v>
      </c>
      <c r="Y116" s="4" t="s">
        <v>2961</v>
      </c>
      <c r="Z116" s="4" t="s">
        <v>2962</v>
      </c>
      <c r="AA116" s="4" t="s">
        <v>3041</v>
      </c>
      <c r="AB116" s="4" t="s">
        <v>3033</v>
      </c>
      <c r="AD116" s="10">
        <f t="shared" si="7"/>
        <v>7.7863194006609106E-3</v>
      </c>
      <c r="AE116" s="10">
        <f t="shared" si="4"/>
        <v>1.1230286687517778E-2</v>
      </c>
      <c r="AF116" s="10">
        <f t="shared" si="5"/>
        <v>0</v>
      </c>
      <c r="AG116" s="10">
        <f t="shared" ca="1" si="6"/>
        <v>0.11512330078361187</v>
      </c>
    </row>
    <row r="117" spans="1:33" x14ac:dyDescent="0.25">
      <c r="A117" s="50">
        <v>125581801</v>
      </c>
      <c r="B117" s="4">
        <v>6</v>
      </c>
      <c r="C117" s="53" t="s">
        <v>3641</v>
      </c>
      <c r="D117" s="4">
        <v>0</v>
      </c>
      <c r="E117" s="4"/>
      <c r="F117" s="4">
        <v>0</v>
      </c>
      <c r="G117" s="4">
        <v>0</v>
      </c>
      <c r="H117" s="4" t="s">
        <v>3028</v>
      </c>
      <c r="I117" s="4" t="s">
        <v>3028</v>
      </c>
      <c r="J117" s="4">
        <f>IF(Z117="US",K117,VLOOKUP(Z117,'3032'!$AL$4:$AM$20,2,FALSE)*K117)</f>
        <v>34.85</v>
      </c>
      <c r="K117" s="4">
        <v>34.85</v>
      </c>
      <c r="L117" s="4">
        <v>225793</v>
      </c>
      <c r="M117" s="4">
        <v>0</v>
      </c>
      <c r="N117" s="4">
        <v>5.3945E-2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/>
      <c r="V117" s="4" t="s">
        <v>3437</v>
      </c>
      <c r="W117" s="4" t="s">
        <v>3438</v>
      </c>
      <c r="X117" s="4" t="s">
        <v>3642</v>
      </c>
      <c r="Y117" s="4" t="s">
        <v>2961</v>
      </c>
      <c r="Z117" s="4" t="s">
        <v>2962</v>
      </c>
      <c r="AA117" s="4" t="s">
        <v>3024</v>
      </c>
      <c r="AB117" s="4" t="s">
        <v>2945</v>
      </c>
      <c r="AD117" s="10">
        <f t="shared" si="7"/>
        <v>0</v>
      </c>
      <c r="AE117" s="10">
        <f t="shared" si="4"/>
        <v>0</v>
      </c>
      <c r="AF117" s="10">
        <f t="shared" si="5"/>
        <v>0</v>
      </c>
      <c r="AG117" s="10">
        <f t="shared" ca="1" si="6"/>
        <v>0.21317108789291242</v>
      </c>
    </row>
    <row r="118" spans="1:33" x14ac:dyDescent="0.25">
      <c r="A118" s="50" t="s">
        <v>3643</v>
      </c>
      <c r="B118" s="4">
        <v>1</v>
      </c>
      <c r="C118" s="53" t="s">
        <v>3644</v>
      </c>
      <c r="D118" s="4">
        <v>7</v>
      </c>
      <c r="E118" s="49">
        <v>42125</v>
      </c>
      <c r="F118" s="4">
        <v>3.5</v>
      </c>
      <c r="G118" s="4">
        <v>0.17</v>
      </c>
      <c r="H118" s="4" t="s">
        <v>3120</v>
      </c>
      <c r="I118" s="4" t="s">
        <v>3311</v>
      </c>
      <c r="J118" s="4">
        <f>IF(Z118="US",K118,VLOOKUP(Z118,'3032'!$AL$4:$AM$20,2,FALSE)*K118)</f>
        <v>100</v>
      </c>
      <c r="K118" s="4">
        <v>100</v>
      </c>
      <c r="L118" s="4">
        <v>508</v>
      </c>
      <c r="M118" s="4">
        <v>0</v>
      </c>
      <c r="N118" s="4">
        <v>1.21E-4</v>
      </c>
      <c r="O118" s="4">
        <v>6.99</v>
      </c>
      <c r="P118" s="4">
        <v>7.06</v>
      </c>
      <c r="Q118" s="4">
        <v>554</v>
      </c>
      <c r="R118" s="4">
        <v>626</v>
      </c>
      <c r="S118" s="4">
        <v>1.8</v>
      </c>
      <c r="T118" s="4">
        <v>-1.48</v>
      </c>
      <c r="U118" s="4" t="s">
        <v>3049</v>
      </c>
      <c r="V118" s="4" t="s">
        <v>3437</v>
      </c>
      <c r="W118" s="4" t="s">
        <v>3438</v>
      </c>
      <c r="X118" s="4" t="s">
        <v>3645</v>
      </c>
      <c r="Y118" s="4" t="s">
        <v>2961</v>
      </c>
      <c r="Z118" s="4" t="s">
        <v>2962</v>
      </c>
      <c r="AA118" s="4" t="s">
        <v>3024</v>
      </c>
      <c r="AB118" s="4" t="s">
        <v>3033</v>
      </c>
      <c r="AD118" s="10">
        <f t="shared" si="7"/>
        <v>6.4190446709349477E-6</v>
      </c>
      <c r="AE118" s="10">
        <f t="shared" si="4"/>
        <v>2.9351878750047711E-5</v>
      </c>
      <c r="AF118" s="10">
        <f t="shared" si="5"/>
        <v>5.5156874084655236E-3</v>
      </c>
      <c r="AG118" s="10">
        <f t="shared" ca="1" si="6"/>
        <v>2.2959726813238549E-4</v>
      </c>
    </row>
    <row r="119" spans="1:33" x14ac:dyDescent="0.25">
      <c r="A119" s="50" t="s">
        <v>3646</v>
      </c>
      <c r="B119" s="4">
        <v>1</v>
      </c>
      <c r="C119" s="53" t="s">
        <v>3644</v>
      </c>
      <c r="D119" s="4">
        <v>7</v>
      </c>
      <c r="E119" s="49">
        <v>42491</v>
      </c>
      <c r="F119" s="4">
        <v>4.5</v>
      </c>
      <c r="G119" s="4">
        <v>0.17</v>
      </c>
      <c r="H119" s="4" t="s">
        <v>3120</v>
      </c>
      <c r="I119" s="4" t="s">
        <v>3311</v>
      </c>
      <c r="J119" s="4">
        <f>IF(Z119="US",K119,VLOOKUP(Z119,'3032'!$AL$4:$AM$20,2,FALSE)*K119)</f>
        <v>100.13</v>
      </c>
      <c r="K119" s="4">
        <v>100.13</v>
      </c>
      <c r="L119" s="4">
        <v>954</v>
      </c>
      <c r="M119" s="4">
        <v>0</v>
      </c>
      <c r="N119" s="4">
        <v>2.2800000000000001E-4</v>
      </c>
      <c r="O119" s="4">
        <v>6.96</v>
      </c>
      <c r="P119" s="4">
        <v>6.26</v>
      </c>
      <c r="Q119" s="4">
        <v>370</v>
      </c>
      <c r="R119" s="4">
        <v>372</v>
      </c>
      <c r="S119" s="4">
        <v>2</v>
      </c>
      <c r="T119" s="4">
        <v>-0.18</v>
      </c>
      <c r="U119" s="4" t="s">
        <v>3049</v>
      </c>
      <c r="V119" s="4" t="s">
        <v>3437</v>
      </c>
      <c r="W119" s="4" t="s">
        <v>3438</v>
      </c>
      <c r="X119" s="4" t="s">
        <v>3647</v>
      </c>
      <c r="Y119" s="4" t="s">
        <v>2961</v>
      </c>
      <c r="Z119" s="4" t="s">
        <v>2962</v>
      </c>
      <c r="AA119" s="4" t="s">
        <v>3024</v>
      </c>
      <c r="AB119" s="4" t="s">
        <v>2945</v>
      </c>
      <c r="AD119" s="10">
        <f t="shared" si="7"/>
        <v>1.9091897497763683E-5</v>
      </c>
      <c r="AE119" s="10">
        <f t="shared" si="4"/>
        <v>4.8875385885446164E-5</v>
      </c>
      <c r="AF119" s="10">
        <f t="shared" si="5"/>
        <v>4.0613156026785315E-3</v>
      </c>
      <c r="AG119" s="10">
        <f t="shared" ca="1" si="6"/>
        <v>4.3173334710675893E-4</v>
      </c>
    </row>
    <row r="120" spans="1:33" x14ac:dyDescent="0.25">
      <c r="A120" s="50" t="s">
        <v>3648</v>
      </c>
      <c r="B120" s="4">
        <v>0</v>
      </c>
      <c r="C120" s="53" t="s">
        <v>3644</v>
      </c>
      <c r="D120" s="4">
        <v>7</v>
      </c>
      <c r="E120" s="49">
        <v>42856</v>
      </c>
      <c r="F120" s="4">
        <v>5.5</v>
      </c>
      <c r="G120" s="4">
        <v>0.17</v>
      </c>
      <c r="H120" s="4" t="s">
        <v>3120</v>
      </c>
      <c r="I120" s="4" t="s">
        <v>3311</v>
      </c>
      <c r="J120" s="4">
        <f>IF(Z120="US",K120,VLOOKUP(Z120,'3032'!$AL$4:$AM$20,2,FALSE)*K120)</f>
        <v>100</v>
      </c>
      <c r="K120" s="4">
        <v>100</v>
      </c>
      <c r="L120" s="4">
        <v>404</v>
      </c>
      <c r="M120" s="4">
        <v>0</v>
      </c>
      <c r="N120" s="4">
        <v>9.7E-5</v>
      </c>
      <c r="O120" s="4">
        <v>6.99</v>
      </c>
      <c r="P120" s="4">
        <v>7.06</v>
      </c>
      <c r="Q120" s="4">
        <v>553</v>
      </c>
      <c r="R120" s="4">
        <v>499</v>
      </c>
      <c r="S120" s="4">
        <v>2.6</v>
      </c>
      <c r="T120" s="4">
        <v>-3.05</v>
      </c>
      <c r="U120" s="4" t="s">
        <v>3049</v>
      </c>
      <c r="V120" s="4" t="s">
        <v>3437</v>
      </c>
      <c r="W120" s="4" t="s">
        <v>3438</v>
      </c>
      <c r="X120" s="4" t="s">
        <v>3649</v>
      </c>
      <c r="Y120" s="4" t="s">
        <v>2961</v>
      </c>
      <c r="Z120" s="4" t="s">
        <v>2962</v>
      </c>
      <c r="AA120" s="4" t="s">
        <v>3024</v>
      </c>
      <c r="AB120" s="4" t="s">
        <v>2945</v>
      </c>
      <c r="AD120" s="10">
        <f t="shared" si="7"/>
        <v>1.0510549859355856E-5</v>
      </c>
      <c r="AE120" s="10">
        <f t="shared" si="4"/>
        <v>2.3342832706730858E-5</v>
      </c>
      <c r="AF120" s="10">
        <f t="shared" si="5"/>
        <v>1.6977378936948917E-3</v>
      </c>
      <c r="AG120" s="10">
        <f t="shared" ca="1" si="6"/>
        <v>1.8259310300292075E-4</v>
      </c>
    </row>
    <row r="121" spans="1:33" x14ac:dyDescent="0.25">
      <c r="A121" s="50" t="s">
        <v>3650</v>
      </c>
      <c r="B121" s="4">
        <v>333</v>
      </c>
      <c r="C121" s="53" t="s">
        <v>3651</v>
      </c>
      <c r="D121" s="4">
        <v>7</v>
      </c>
      <c r="E121" s="49">
        <v>42492</v>
      </c>
      <c r="F121" s="4">
        <v>4.51</v>
      </c>
      <c r="G121" s="4">
        <v>0.17</v>
      </c>
      <c r="H121" s="4" t="s">
        <v>3120</v>
      </c>
      <c r="I121" s="4" t="s">
        <v>3311</v>
      </c>
      <c r="J121" s="4">
        <f>IF(Z121="US",K121,VLOOKUP(Z121,'3032'!$AL$4:$AM$20,2,FALSE)*K121)</f>
        <v>99.75</v>
      </c>
      <c r="K121" s="4">
        <v>99.75</v>
      </c>
      <c r="L121" s="4">
        <v>337412</v>
      </c>
      <c r="M121" s="4">
        <v>0.09</v>
      </c>
      <c r="N121" s="4">
        <v>8.0612000000000003E-2</v>
      </c>
      <c r="O121" s="4">
        <v>7.06</v>
      </c>
      <c r="P121" s="4">
        <v>7.13</v>
      </c>
      <c r="Q121" s="4">
        <v>629</v>
      </c>
      <c r="R121" s="4">
        <v>550</v>
      </c>
      <c r="S121" s="4">
        <v>2.8</v>
      </c>
      <c r="T121" s="4">
        <v>-3.11</v>
      </c>
      <c r="U121" s="4" t="s">
        <v>3049</v>
      </c>
      <c r="V121" s="4" t="s">
        <v>3437</v>
      </c>
      <c r="W121" s="4" t="s">
        <v>3438</v>
      </c>
      <c r="X121" s="4" t="s">
        <v>3652</v>
      </c>
      <c r="Y121" s="4" t="s">
        <v>2961</v>
      </c>
      <c r="Z121" s="4" t="s">
        <v>2962</v>
      </c>
      <c r="AA121" s="4" t="s">
        <v>3041</v>
      </c>
      <c r="AB121" s="4" t="s">
        <v>3033</v>
      </c>
      <c r="AD121" s="10">
        <f t="shared" si="7"/>
        <v>9.4534270921610222E-3</v>
      </c>
      <c r="AE121" s="10">
        <f t="shared" si="4"/>
        <v>1.9688722838087244E-2</v>
      </c>
      <c r="AF121" s="10">
        <f t="shared" si="5"/>
        <v>1.5628307407044755</v>
      </c>
      <c r="AG121" s="10">
        <f t="shared" ca="1" si="6"/>
        <v>0.33192490693693372</v>
      </c>
    </row>
    <row r="122" spans="1:33" x14ac:dyDescent="0.25">
      <c r="A122" s="50" t="s">
        <v>3653</v>
      </c>
      <c r="B122" s="4">
        <v>2022</v>
      </c>
      <c r="C122" s="53" t="s">
        <v>3651</v>
      </c>
      <c r="D122" s="4">
        <v>7</v>
      </c>
      <c r="E122" s="49">
        <v>42857</v>
      </c>
      <c r="F122" s="4">
        <v>5.51</v>
      </c>
      <c r="G122" s="4">
        <v>0.17</v>
      </c>
      <c r="H122" s="4" t="s">
        <v>3120</v>
      </c>
      <c r="I122" s="4" t="s">
        <v>3311</v>
      </c>
      <c r="J122" s="4">
        <f>IF(Z122="US",K122,VLOOKUP(Z122,'3032'!$AL$4:$AM$20,2,FALSE)*K122)</f>
        <v>99.75</v>
      </c>
      <c r="K122" s="4">
        <v>99.75</v>
      </c>
      <c r="L122" s="4">
        <v>2036997</v>
      </c>
      <c r="M122" s="4">
        <v>0.52</v>
      </c>
      <c r="N122" s="4">
        <v>0.48666399999999999</v>
      </c>
      <c r="O122" s="4">
        <v>7.05</v>
      </c>
      <c r="P122" s="4">
        <v>7.12</v>
      </c>
      <c r="Q122" s="4">
        <v>553</v>
      </c>
      <c r="R122" s="4">
        <v>567</v>
      </c>
      <c r="S122" s="4">
        <v>3.2</v>
      </c>
      <c r="T122" s="4">
        <v>-3.02</v>
      </c>
      <c r="U122" s="4" t="s">
        <v>3049</v>
      </c>
      <c r="V122" s="4" t="s">
        <v>3437</v>
      </c>
      <c r="W122" s="4" t="s">
        <v>3438</v>
      </c>
      <c r="X122" s="4" t="s">
        <v>3654</v>
      </c>
      <c r="Y122" s="4" t="s">
        <v>2961</v>
      </c>
      <c r="Z122" s="4" t="s">
        <v>2962</v>
      </c>
      <c r="AA122" s="4" t="s">
        <v>3041</v>
      </c>
      <c r="AB122" s="4" t="s">
        <v>3033</v>
      </c>
      <c r="AD122" s="10">
        <f t="shared" si="7"/>
        <v>6.5224549982812782E-2</v>
      </c>
      <c r="AE122" s="10">
        <f t="shared" si="4"/>
        <v>0.11869648942206898</v>
      </c>
      <c r="AF122" s="10">
        <f t="shared" si="5"/>
        <v>9.726625165527464</v>
      </c>
      <c r="AG122" s="10">
        <f t="shared" ca="1" si="6"/>
        <v>2.003870756392224</v>
      </c>
    </row>
    <row r="123" spans="1:33" x14ac:dyDescent="0.25">
      <c r="A123" s="50" t="s">
        <v>3095</v>
      </c>
      <c r="B123" s="4">
        <v>200</v>
      </c>
      <c r="C123" s="53" t="s">
        <v>3096</v>
      </c>
      <c r="D123" s="4">
        <v>6.75</v>
      </c>
      <c r="E123" s="49">
        <v>41774</v>
      </c>
      <c r="F123" s="4">
        <v>2.54</v>
      </c>
      <c r="G123" s="4">
        <v>2.54</v>
      </c>
      <c r="H123" s="4" t="s">
        <v>133</v>
      </c>
      <c r="I123" s="4" t="s">
        <v>3036</v>
      </c>
      <c r="J123" s="4">
        <f>IF(Z123="US",K123,VLOOKUP(Z123,'3032'!$AL$4:$AM$20,2,FALSE)*K123)</f>
        <v>99.5</v>
      </c>
      <c r="K123" s="4">
        <v>99.5</v>
      </c>
      <c r="L123" s="4">
        <v>205225</v>
      </c>
      <c r="M123" s="4">
        <v>0.05</v>
      </c>
      <c r="N123" s="4">
        <v>4.9030999999999998E-2</v>
      </c>
      <c r="O123" s="4">
        <v>6.97</v>
      </c>
      <c r="P123" s="4">
        <v>6.97</v>
      </c>
      <c r="Q123" s="4">
        <v>0</v>
      </c>
      <c r="R123" s="4">
        <v>0</v>
      </c>
      <c r="S123" s="4">
        <v>2.23</v>
      </c>
      <c r="T123" s="4">
        <v>0.06</v>
      </c>
      <c r="U123" s="4"/>
      <c r="V123" s="4" t="s">
        <v>3037</v>
      </c>
      <c r="W123" s="4" t="s">
        <v>3038</v>
      </c>
      <c r="X123" s="4" t="s">
        <v>3097</v>
      </c>
      <c r="Y123" s="4" t="s">
        <v>3098</v>
      </c>
      <c r="Z123" s="4" t="s">
        <v>2962</v>
      </c>
      <c r="AA123" s="4" t="s">
        <v>3041</v>
      </c>
      <c r="AB123" s="4" t="s">
        <v>2945</v>
      </c>
      <c r="AD123" s="10">
        <f t="shared" si="7"/>
        <v>4.579371226767384E-3</v>
      </c>
      <c r="AE123" s="10">
        <f t="shared" si="4"/>
        <v>1.1706593382886685E-2</v>
      </c>
      <c r="AF123" s="10">
        <f t="shared" si="5"/>
        <v>0</v>
      </c>
      <c r="AG123" s="10">
        <f t="shared" ca="1" si="6"/>
        <v>0.20138158687592322</v>
      </c>
    </row>
    <row r="124" spans="1:33" x14ac:dyDescent="0.25">
      <c r="A124" s="50" t="s">
        <v>3655</v>
      </c>
      <c r="B124" s="4">
        <v>480</v>
      </c>
      <c r="C124" s="53" t="s">
        <v>3656</v>
      </c>
      <c r="D124" s="4">
        <v>0.25</v>
      </c>
      <c r="E124" s="49">
        <v>40877</v>
      </c>
      <c r="F124" s="4">
        <v>0.08</v>
      </c>
      <c r="G124" s="4">
        <v>0.08</v>
      </c>
      <c r="H124" s="4" t="s">
        <v>3028</v>
      </c>
      <c r="I124" s="4" t="s">
        <v>3028</v>
      </c>
      <c r="J124" s="4">
        <f>IF(Z124="US",K124,VLOOKUP(Z124,'3032'!$AL$4:$AM$20,2,FALSE)*K124)</f>
        <v>239.03</v>
      </c>
      <c r="K124" s="4">
        <v>239.03</v>
      </c>
      <c r="L124" s="4">
        <v>1147371</v>
      </c>
      <c r="M124" s="4">
        <v>0.12</v>
      </c>
      <c r="N124" s="4">
        <v>0.274121</v>
      </c>
      <c r="O124" s="4">
        <v>1</v>
      </c>
      <c r="P124" s="4">
        <v>1</v>
      </c>
      <c r="Q124" s="4">
        <v>0</v>
      </c>
      <c r="R124" s="4">
        <v>0</v>
      </c>
      <c r="S124" s="4">
        <v>0.08</v>
      </c>
      <c r="T124" s="4">
        <v>0.01</v>
      </c>
      <c r="U124" s="4"/>
      <c r="V124" s="4" t="s">
        <v>3124</v>
      </c>
      <c r="W124" s="4" t="s">
        <v>3513</v>
      </c>
      <c r="X124" s="4" t="s">
        <v>3657</v>
      </c>
      <c r="Y124" s="4" t="s">
        <v>2961</v>
      </c>
      <c r="Z124" s="4" t="s">
        <v>2962</v>
      </c>
      <c r="AA124" s="4" t="s">
        <v>3024</v>
      </c>
      <c r="AB124" s="4" t="s">
        <v>2945</v>
      </c>
      <c r="AD124" s="10">
        <f t="shared" si="7"/>
        <v>6.4435920412382348E-4</v>
      </c>
      <c r="AE124" s="10">
        <f t="shared" si="4"/>
        <v>-1.1856974855220135</v>
      </c>
      <c r="AF124" s="10">
        <f t="shared" si="5"/>
        <v>0</v>
      </c>
      <c r="AG124" s="10">
        <f t="shared" ca="1" si="6"/>
        <v>62.497585067180282</v>
      </c>
    </row>
    <row r="125" spans="1:33" x14ac:dyDescent="0.25">
      <c r="A125" s="50" t="s">
        <v>3658</v>
      </c>
      <c r="B125" s="4">
        <v>2162</v>
      </c>
      <c r="C125" s="53" t="s">
        <v>3659</v>
      </c>
      <c r="D125" s="4">
        <v>8.25</v>
      </c>
      <c r="E125" s="49">
        <v>43084</v>
      </c>
      <c r="F125" s="4">
        <v>6.13</v>
      </c>
      <c r="G125" s="4">
        <v>2.13</v>
      </c>
      <c r="H125" s="4" t="s">
        <v>3019</v>
      </c>
      <c r="I125" s="4" t="s">
        <v>3020</v>
      </c>
      <c r="J125" s="4">
        <f>IF(Z125="US",K125,VLOOKUP(Z125,'3032'!$AL$4:$AM$20,2,FALSE)*K125)</f>
        <v>107</v>
      </c>
      <c r="K125" s="4">
        <v>107</v>
      </c>
      <c r="L125" s="4">
        <v>2380722</v>
      </c>
      <c r="M125" s="4">
        <v>0.56000000000000005</v>
      </c>
      <c r="N125" s="4">
        <v>0.56878399999999996</v>
      </c>
      <c r="O125" s="4">
        <v>6.83</v>
      </c>
      <c r="P125" s="4">
        <v>6.29</v>
      </c>
      <c r="Q125" s="4">
        <v>572</v>
      </c>
      <c r="R125" s="4">
        <v>532</v>
      </c>
      <c r="S125" s="4">
        <v>3.39</v>
      </c>
      <c r="T125" s="4">
        <v>-0.16</v>
      </c>
      <c r="U125" s="4"/>
      <c r="V125" s="4" t="s">
        <v>3037</v>
      </c>
      <c r="W125" s="4" t="s">
        <v>3038</v>
      </c>
      <c r="X125" s="4" t="s">
        <v>3660</v>
      </c>
      <c r="Y125" s="4" t="s">
        <v>2961</v>
      </c>
      <c r="Z125" s="4" t="s">
        <v>2962</v>
      </c>
      <c r="AA125" s="4" t="s">
        <v>3024</v>
      </c>
      <c r="AB125" s="4" t="s">
        <v>2945</v>
      </c>
      <c r="AD125" s="10">
        <f t="shared" si="7"/>
        <v>8.0756801015688953E-2</v>
      </c>
      <c r="AE125" s="10">
        <f t="shared" si="4"/>
        <v>0.12255381134122653</v>
      </c>
      <c r="AF125" s="10">
        <f t="shared" si="5"/>
        <v>10.666183453028054</v>
      </c>
      <c r="AG125" s="10">
        <f t="shared" ca="1" si="6"/>
        <v>1.1513184568886927</v>
      </c>
    </row>
    <row r="126" spans="1:33" x14ac:dyDescent="0.25">
      <c r="A126" s="50" t="s">
        <v>3661</v>
      </c>
      <c r="B126" s="4">
        <v>980</v>
      </c>
      <c r="C126" s="53" t="s">
        <v>3662</v>
      </c>
      <c r="D126" s="4">
        <v>3.8959999999999999</v>
      </c>
      <c r="E126" s="49">
        <v>42321</v>
      </c>
      <c r="F126" s="4">
        <v>4.04</v>
      </c>
      <c r="G126" s="4">
        <v>4.04</v>
      </c>
      <c r="H126" s="4" t="s">
        <v>3431</v>
      </c>
      <c r="I126" s="4" t="s">
        <v>3432</v>
      </c>
      <c r="J126" s="4">
        <f>IF(Z126="US",K126,VLOOKUP(Z126,'3032'!$AL$4:$AM$20,2,FALSE)*K126)</f>
        <v>78.73</v>
      </c>
      <c r="K126" s="4">
        <v>78.73</v>
      </c>
      <c r="L126" s="4">
        <v>771489</v>
      </c>
      <c r="M126" s="4">
        <v>0.25</v>
      </c>
      <c r="N126" s="4">
        <v>0.18431800000000001</v>
      </c>
      <c r="O126" s="4">
        <v>11.01</v>
      </c>
      <c r="P126" s="4">
        <v>11.01</v>
      </c>
      <c r="Q126" s="4">
        <v>365</v>
      </c>
      <c r="R126" s="4">
        <v>0</v>
      </c>
      <c r="S126" s="4">
        <v>0.25</v>
      </c>
      <c r="T126" s="4">
        <v>0.16</v>
      </c>
      <c r="U126" s="4" t="s">
        <v>3049</v>
      </c>
      <c r="V126" s="4" t="s">
        <v>3393</v>
      </c>
      <c r="W126" s="4" t="s">
        <v>3601</v>
      </c>
      <c r="X126" s="4" t="s">
        <v>3663</v>
      </c>
      <c r="Y126" s="4" t="s">
        <v>2961</v>
      </c>
      <c r="Z126" s="4" t="s">
        <v>2962</v>
      </c>
      <c r="AA126" s="4" t="s">
        <v>3032</v>
      </c>
      <c r="AB126" s="4" t="s">
        <v>2945</v>
      </c>
      <c r="AD126" s="10">
        <f t="shared" si="7"/>
        <v>1.3539540557018076E-3</v>
      </c>
      <c r="AE126" s="10">
        <f t="shared" si="4"/>
        <v>0.19990255599445456</v>
      </c>
      <c r="AF126" s="10">
        <f t="shared" si="5"/>
        <v>0</v>
      </c>
      <c r="AG126" s="10">
        <f t="shared" ca="1" si="6"/>
        <v>3.245260751354019</v>
      </c>
    </row>
    <row r="127" spans="1:33" x14ac:dyDescent="0.25">
      <c r="A127" s="50" t="s">
        <v>3664</v>
      </c>
      <c r="B127" s="4">
        <v>569</v>
      </c>
      <c r="C127" s="53" t="s">
        <v>3665</v>
      </c>
      <c r="D127" s="4">
        <v>0.315</v>
      </c>
      <c r="E127" s="49">
        <v>13660</v>
      </c>
      <c r="F127" s="4">
        <v>25.57</v>
      </c>
      <c r="G127" s="4">
        <v>1.3</v>
      </c>
      <c r="H127" s="4" t="s">
        <v>3559</v>
      </c>
      <c r="I127" s="4" t="s">
        <v>3432</v>
      </c>
      <c r="J127" s="4">
        <f>IF(Z127="US",K127,VLOOKUP(Z127,'3032'!$AL$4:$AM$20,2,FALSE)*K127)</f>
        <v>80.11</v>
      </c>
      <c r="K127" s="4">
        <v>80.11</v>
      </c>
      <c r="L127" s="4">
        <v>455708</v>
      </c>
      <c r="M127" s="4">
        <v>0.15</v>
      </c>
      <c r="N127" s="4">
        <v>0.108874</v>
      </c>
      <c r="O127" s="4">
        <v>5</v>
      </c>
      <c r="P127" s="4">
        <v>5</v>
      </c>
      <c r="Q127" s="4">
        <v>900</v>
      </c>
      <c r="R127" s="4">
        <v>900</v>
      </c>
      <c r="S127" s="4">
        <v>0.1</v>
      </c>
      <c r="T127" s="4">
        <v>-0.01</v>
      </c>
      <c r="U127" s="4" t="s">
        <v>3049</v>
      </c>
      <c r="V127" s="4" t="s">
        <v>3520</v>
      </c>
      <c r="W127" s="4" t="s">
        <v>3589</v>
      </c>
      <c r="X127" s="4" t="s">
        <v>3666</v>
      </c>
      <c r="Y127" s="4" t="s">
        <v>2961</v>
      </c>
      <c r="Z127" s="4" t="s">
        <v>2962</v>
      </c>
      <c r="AA127" s="4" t="s">
        <v>3024</v>
      </c>
      <c r="AB127" s="4" t="s">
        <v>3042</v>
      </c>
      <c r="AD127" s="10">
        <f t="shared" si="7"/>
        <v>3.1990485661662548E-4</v>
      </c>
      <c r="AE127" s="10">
        <f t="shared" si="4"/>
        <v>2.0077965464320335E-2</v>
      </c>
      <c r="AF127" s="10">
        <f t="shared" si="5"/>
        <v>15.475978448947259</v>
      </c>
      <c r="AG127" s="10">
        <f t="shared" ca="1" si="6"/>
        <v>0.36003091825972999</v>
      </c>
    </row>
    <row r="128" spans="1:33" x14ac:dyDescent="0.25">
      <c r="A128" s="50" t="s">
        <v>3667</v>
      </c>
      <c r="B128" s="4">
        <v>652</v>
      </c>
      <c r="C128" s="53" t="s">
        <v>3668</v>
      </c>
      <c r="D128" s="4">
        <v>7.25</v>
      </c>
      <c r="E128" s="49">
        <v>42384</v>
      </c>
      <c r="F128" s="4">
        <v>4.21</v>
      </c>
      <c r="G128" s="4">
        <v>4.21</v>
      </c>
      <c r="H128" s="4" t="s">
        <v>3181</v>
      </c>
      <c r="I128" s="4" t="s">
        <v>3134</v>
      </c>
      <c r="J128" s="4">
        <f>IF(Z128="US",K128,VLOOKUP(Z128,'3032'!$AL$4:$AM$20,2,FALSE)*K128)</f>
        <v>107.5</v>
      </c>
      <c r="K128" s="4">
        <v>107.5</v>
      </c>
      <c r="L128" s="4">
        <v>714818</v>
      </c>
      <c r="M128" s="4">
        <v>0.17</v>
      </c>
      <c r="N128" s="4">
        <v>0.17077899999999999</v>
      </c>
      <c r="O128" s="4">
        <v>5.24</v>
      </c>
      <c r="P128" s="4">
        <v>5.24</v>
      </c>
      <c r="Q128" s="4">
        <v>437</v>
      </c>
      <c r="R128" s="4">
        <v>439</v>
      </c>
      <c r="S128" s="4">
        <v>3.56</v>
      </c>
      <c r="T128" s="4">
        <v>0.16</v>
      </c>
      <c r="U128" s="4"/>
      <c r="V128" s="4" t="s">
        <v>3173</v>
      </c>
      <c r="W128" s="4" t="s">
        <v>3669</v>
      </c>
      <c r="X128" s="4" t="s">
        <v>3670</v>
      </c>
      <c r="Y128" s="4" t="s">
        <v>2961</v>
      </c>
      <c r="Z128" s="4" t="s">
        <v>2962</v>
      </c>
      <c r="AA128" s="4" t="s">
        <v>3024</v>
      </c>
      <c r="AB128" s="4" t="s">
        <v>2945</v>
      </c>
      <c r="AD128" s="10">
        <f t="shared" si="7"/>
        <v>2.5463388820010965E-2</v>
      </c>
      <c r="AE128" s="10">
        <f t="shared" si="4"/>
        <v>3.3005765733548041E-2</v>
      </c>
      <c r="AF128" s="10">
        <f t="shared" si="5"/>
        <v>2.642705276395318</v>
      </c>
      <c r="AG128" s="10">
        <f t="shared" ca="1" si="6"/>
        <v>0.34730173132430059</v>
      </c>
    </row>
    <row r="129" spans="1:33" x14ac:dyDescent="0.25">
      <c r="A129" s="50" t="s">
        <v>3671</v>
      </c>
      <c r="B129" s="4">
        <v>3097</v>
      </c>
      <c r="C129" s="53" t="s">
        <v>3672</v>
      </c>
      <c r="D129" s="4">
        <v>7.6859999999999999</v>
      </c>
      <c r="E129" s="49">
        <v>13377</v>
      </c>
      <c r="F129" s="4">
        <v>24.79</v>
      </c>
      <c r="G129" s="4">
        <v>24.79</v>
      </c>
      <c r="H129" s="4" t="s">
        <v>133</v>
      </c>
      <c r="I129" s="4" t="s">
        <v>3083</v>
      </c>
      <c r="J129" s="4">
        <f>IF(Z129="US",K129,VLOOKUP(Z129,'3032'!$AL$4:$AM$20,2,FALSE)*K129)</f>
        <v>99.25</v>
      </c>
      <c r="K129" s="4">
        <v>99.25</v>
      </c>
      <c r="L129" s="4">
        <v>3124024</v>
      </c>
      <c r="M129" s="4">
        <v>0.8</v>
      </c>
      <c r="N129" s="4">
        <v>0.74636800000000003</v>
      </c>
      <c r="O129" s="4">
        <v>7.75</v>
      </c>
      <c r="P129" s="4">
        <v>7.8</v>
      </c>
      <c r="Q129" s="4">
        <v>444</v>
      </c>
      <c r="R129" s="4">
        <v>533</v>
      </c>
      <c r="S129" s="4">
        <v>10.8</v>
      </c>
      <c r="T129" s="4">
        <v>1.91</v>
      </c>
      <c r="U129" s="4" t="s">
        <v>3049</v>
      </c>
      <c r="V129" s="4" t="s">
        <v>3029</v>
      </c>
      <c r="W129" s="4" t="s">
        <v>3030</v>
      </c>
      <c r="X129" s="4" t="s">
        <v>3673</v>
      </c>
      <c r="Y129" s="4" t="s">
        <v>2961</v>
      </c>
      <c r="Z129" s="4" t="s">
        <v>2962</v>
      </c>
      <c r="AA129" s="4" t="s">
        <v>3024</v>
      </c>
      <c r="AB129" s="4" t="s">
        <v>3042</v>
      </c>
      <c r="AD129" s="10">
        <f t="shared" si="7"/>
        <v>0.82614157565843305</v>
      </c>
      <c r="AE129" s="10">
        <f t="shared" si="4"/>
        <v>0.19942355584022903</v>
      </c>
      <c r="AF129" s="10">
        <f t="shared" si="5"/>
        <v>14.022656711201366</v>
      </c>
      <c r="AG129" s="10">
        <f t="shared" ca="1" si="6"/>
        <v>3.0578155914388883</v>
      </c>
    </row>
    <row r="130" spans="1:33" x14ac:dyDescent="0.25">
      <c r="A130" s="50" t="s">
        <v>3099</v>
      </c>
      <c r="B130" s="4">
        <v>174800</v>
      </c>
      <c r="C130" s="53" t="s">
        <v>3100</v>
      </c>
      <c r="D130" s="4">
        <v>0.25</v>
      </c>
      <c r="E130" s="4"/>
      <c r="F130" s="4">
        <v>0</v>
      </c>
      <c r="G130" s="4">
        <v>0</v>
      </c>
      <c r="H130" s="4" t="s">
        <v>2940</v>
      </c>
      <c r="I130" s="4" t="s">
        <v>2940</v>
      </c>
      <c r="J130" s="4">
        <f>IF(Z130="US",K130,VLOOKUP(Z130,'3032'!$AL$4:$AM$20,2,FALSE)*K130)</f>
        <v>1</v>
      </c>
      <c r="K130" s="4">
        <v>1</v>
      </c>
      <c r="L130" s="4">
        <v>174800</v>
      </c>
      <c r="M130" s="4">
        <v>0</v>
      </c>
      <c r="N130" s="4">
        <v>4.1762000000000001E-2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/>
      <c r="V130" s="4" t="s">
        <v>2941</v>
      </c>
      <c r="W130" s="4" t="s">
        <v>2942</v>
      </c>
      <c r="X130" s="4" t="s">
        <v>2960</v>
      </c>
      <c r="Y130" s="4" t="s">
        <v>2961</v>
      </c>
      <c r="Z130" s="4" t="s">
        <v>2962</v>
      </c>
      <c r="AA130" s="4" t="s">
        <v>2945</v>
      </c>
      <c r="AB130" s="4" t="s">
        <v>2945</v>
      </c>
      <c r="AD130" s="10">
        <f t="shared" si="7"/>
        <v>0</v>
      </c>
      <c r="AE130" s="10">
        <f t="shared" si="4"/>
        <v>0</v>
      </c>
      <c r="AF130" s="10">
        <f t="shared" si="5"/>
        <v>0</v>
      </c>
      <c r="AG130" s="10">
        <f t="shared" ca="1" si="6"/>
        <v>4.7353978602449184E-3</v>
      </c>
    </row>
    <row r="131" spans="1:33" x14ac:dyDescent="0.25">
      <c r="A131" s="50" t="s">
        <v>3674</v>
      </c>
      <c r="B131" s="4">
        <v>200</v>
      </c>
      <c r="C131" s="53" t="s">
        <v>3675</v>
      </c>
      <c r="D131" s="4">
        <v>7.375</v>
      </c>
      <c r="E131" s="49">
        <v>43542</v>
      </c>
      <c r="F131" s="4">
        <v>7.38</v>
      </c>
      <c r="G131" s="4">
        <v>7.38</v>
      </c>
      <c r="H131" s="4" t="s">
        <v>3054</v>
      </c>
      <c r="I131" s="4" t="s">
        <v>3083</v>
      </c>
      <c r="J131" s="4">
        <f>IF(Z131="US",K131,VLOOKUP(Z131,'3032'!$AL$4:$AM$20,2,FALSE)*K131)</f>
        <v>126</v>
      </c>
      <c r="K131" s="4">
        <v>126</v>
      </c>
      <c r="L131" s="4">
        <v>253762</v>
      </c>
      <c r="M131" s="4">
        <v>0.05</v>
      </c>
      <c r="N131" s="4">
        <v>6.0627E-2</v>
      </c>
      <c r="O131" s="4">
        <v>3.37</v>
      </c>
      <c r="P131" s="4">
        <v>3.37</v>
      </c>
      <c r="Q131" s="4">
        <v>0</v>
      </c>
      <c r="R131" s="4">
        <v>0</v>
      </c>
      <c r="S131" s="4">
        <v>5.88</v>
      </c>
      <c r="T131" s="4">
        <v>0.42</v>
      </c>
      <c r="U131" s="4"/>
      <c r="V131" s="4" t="s">
        <v>3045</v>
      </c>
      <c r="W131" s="4" t="s">
        <v>3046</v>
      </c>
      <c r="X131" s="4" t="s">
        <v>307</v>
      </c>
      <c r="Y131" s="4" t="s">
        <v>2974</v>
      </c>
      <c r="Z131" s="4" t="s">
        <v>2962</v>
      </c>
      <c r="AA131" s="4" t="s">
        <v>3024</v>
      </c>
      <c r="AB131" s="4" t="s">
        <v>2945</v>
      </c>
      <c r="AD131" s="10">
        <f t="shared" si="7"/>
        <v>2.6821715292017427E-2</v>
      </c>
      <c r="AE131" s="10">
        <f t="shared" si="4"/>
        <v>1.0463288357447581E-2</v>
      </c>
      <c r="AF131" s="10">
        <f t="shared" si="5"/>
        <v>0</v>
      </c>
      <c r="AG131" s="10">
        <f t="shared" ca="1" si="6"/>
        <v>1.690347702710804</v>
      </c>
    </row>
    <row r="132" spans="1:33" x14ac:dyDescent="0.25">
      <c r="A132" s="50" t="s">
        <v>3676</v>
      </c>
      <c r="B132" s="4">
        <v>120</v>
      </c>
      <c r="C132" s="53" t="s">
        <v>3677</v>
      </c>
      <c r="D132" s="4">
        <v>2.569</v>
      </c>
      <c r="E132" s="49">
        <v>41845</v>
      </c>
      <c r="F132" s="4">
        <v>2.74</v>
      </c>
      <c r="G132" s="4">
        <v>2.74</v>
      </c>
      <c r="H132" s="4" t="s">
        <v>133</v>
      </c>
      <c r="I132" s="4" t="s">
        <v>3036</v>
      </c>
      <c r="J132" s="4">
        <f>IF(Z132="US",K132,VLOOKUP(Z132,'3032'!$AL$4:$AM$20,2,FALSE)*K132)</f>
        <v>96.88</v>
      </c>
      <c r="K132" s="4">
        <v>96.88</v>
      </c>
      <c r="L132" s="4">
        <v>117005</v>
      </c>
      <c r="M132" s="4">
        <v>0.03</v>
      </c>
      <c r="N132" s="4">
        <v>2.7954E-2</v>
      </c>
      <c r="O132" s="4">
        <v>3.81</v>
      </c>
      <c r="P132" s="4">
        <v>3.81</v>
      </c>
      <c r="Q132" s="4">
        <v>225</v>
      </c>
      <c r="R132" s="4">
        <v>0</v>
      </c>
      <c r="S132" s="4">
        <v>0.25</v>
      </c>
      <c r="T132" s="4">
        <v>0.12</v>
      </c>
      <c r="U132" s="4" t="s">
        <v>3049</v>
      </c>
      <c r="V132" s="4" t="s">
        <v>3416</v>
      </c>
      <c r="W132" s="4" t="s">
        <v>3630</v>
      </c>
      <c r="X132" s="4" t="s">
        <v>3678</v>
      </c>
      <c r="Y132" s="4" t="s">
        <v>2961</v>
      </c>
      <c r="Z132" s="4" t="s">
        <v>2962</v>
      </c>
      <c r="AA132" s="4" t="s">
        <v>3032</v>
      </c>
      <c r="AB132" s="4" t="s">
        <v>2945</v>
      </c>
      <c r="AD132" s="10">
        <f t="shared" si="7"/>
        <v>2.0534238892244738E-4</v>
      </c>
      <c r="AE132" s="10">
        <f t="shared" ref="AE132:AE195" si="8">IF(P132&lt;1.99,($L132/$L$441)*P132,IF(AND(P132&gt;1.99,P132&lt;3.99),($L132/$L$442)*P132,IF(AND(P132&gt;3.99,P132&lt;5.99),($L132/$L$443)*P132,IF(AND(P132&gt;5.99,P132&lt;7.99),($L132/$L$444)*P132,IF(AND(P132&gt;7.99,P132&lt;9.99),($L132/$L$445)*P132,IF(P132&gt;9.99,($L132/$L$446)*P132))))))</f>
        <v>5.4543261215819223E-3</v>
      </c>
      <c r="AF132" s="10">
        <f t="shared" ref="AF132:AF195" si="9">IF(R132&lt;199.99,($L132/$L$449)*R132,IF(AND(R132&gt;199.99,R132&lt;399.99),($L132/$L$450)*R132,IF(AND(R132&gt;399.99,R132&lt;599.99),($L132/$L$451)*R132,IF(AND(R132&gt;599.99,R132&lt;799.99),($L132/$L$452)*R132,IF(AND(R132&gt;799.99,R132&lt;999.99),($L132/$L$453)*R132,IF(R132&gt;999.99,($L132/$L$454)*R132))))))</f>
        <v>0</v>
      </c>
      <c r="AG132" s="10">
        <f t="shared" ref="AG132:AG195" ca="1" si="10">IF(J132&lt;49.999,($L132/$L$465)*J132,IF(AND(J132&gt;49.999,J132&lt;79.999),($L132/$L$466)*J132,IF(AND(J132&gt;79.999,J132&lt;99.999),($L132/$L$467)*J132,IF(AND(J132&gt;99.999,J132&lt;119.999),($L132/$L$468)*J132,IF(AND(J132&gt;119.999,J132&lt;139.999),($L132/$L$469)*J132,IF(J132&gt;139.999,($L132/$L$470)*J132))))))</f>
        <v>0.11179051702492471</v>
      </c>
    </row>
    <row r="133" spans="1:33" x14ac:dyDescent="0.25">
      <c r="A133" s="50" t="s">
        <v>3679</v>
      </c>
      <c r="B133" s="4">
        <v>2241</v>
      </c>
      <c r="C133" s="53" t="s">
        <v>3680</v>
      </c>
      <c r="D133" s="4">
        <v>6.95</v>
      </c>
      <c r="E133" s="49">
        <v>14032</v>
      </c>
      <c r="F133" s="4">
        <v>26.59</v>
      </c>
      <c r="G133" s="4">
        <v>26.59</v>
      </c>
      <c r="H133" s="4" t="s">
        <v>3161</v>
      </c>
      <c r="I133" s="4" t="s">
        <v>3076</v>
      </c>
      <c r="J133" s="4">
        <f>IF(Z133="US",K133,VLOOKUP(Z133,'3032'!$AL$4:$AM$20,2,FALSE)*K133)</f>
        <v>118.84</v>
      </c>
      <c r="K133" s="4">
        <v>118.84</v>
      </c>
      <c r="L133" s="4">
        <v>2728183</v>
      </c>
      <c r="M133" s="4">
        <v>0.57999999999999996</v>
      </c>
      <c r="N133" s="4">
        <v>0.65179699999999996</v>
      </c>
      <c r="O133" s="4">
        <v>5.58</v>
      </c>
      <c r="P133" s="4">
        <v>5.58</v>
      </c>
      <c r="Q133" s="4">
        <v>239</v>
      </c>
      <c r="R133" s="4">
        <v>263</v>
      </c>
      <c r="S133" s="4">
        <v>12.88</v>
      </c>
      <c r="T133" s="4">
        <v>2.6</v>
      </c>
      <c r="U133" s="4"/>
      <c r="V133" s="4" t="s">
        <v>3393</v>
      </c>
      <c r="W133" s="4" t="s">
        <v>3609</v>
      </c>
      <c r="X133" s="4" t="s">
        <v>3681</v>
      </c>
      <c r="Y133" s="4" t="s">
        <v>2961</v>
      </c>
      <c r="Z133" s="4" t="s">
        <v>2962</v>
      </c>
      <c r="AA133" s="4" t="s">
        <v>3041</v>
      </c>
      <c r="AB133" s="4" t="s">
        <v>2945</v>
      </c>
      <c r="AD133" s="10">
        <f t="shared" ref="AD133:AD196" si="11">ABS(IF(S133&lt;1.99,($L133/$L$457)*S133,IF(AND(S133&gt;1.99,S133&lt;3.99),($L133/$L$458)*S133,IF(AND(S133&gt;3.99,S133&lt;5.99),($L133/$L$459)*S133,IF(AND(S133&gt;5.999,S133&lt;7.9999),($L133/$L$460)*S133,IF(AND(S133&gt;7.999,S133&lt;9.999),($L133/$L$461)*S133,IF(S133&gt;9.99,($L133/$L$462)*S133)))))))</f>
        <v>0.86041054213704216</v>
      </c>
      <c r="AE133" s="10">
        <f t="shared" si="8"/>
        <v>0.13414384273405328</v>
      </c>
      <c r="AF133" s="10">
        <f t="shared" si="9"/>
        <v>8.2111629714692835</v>
      </c>
      <c r="AG133" s="10">
        <f t="shared" ca="1" si="10"/>
        <v>1.4653424990129578</v>
      </c>
    </row>
    <row r="134" spans="1:33" x14ac:dyDescent="0.25">
      <c r="A134" s="50" t="s">
        <v>3682</v>
      </c>
      <c r="B134" s="4">
        <v>1095</v>
      </c>
      <c r="C134" s="53" t="s">
        <v>3683</v>
      </c>
      <c r="D134" s="4">
        <v>4.5</v>
      </c>
      <c r="E134" s="49">
        <v>43191</v>
      </c>
      <c r="F134" s="4">
        <v>6.42</v>
      </c>
      <c r="G134" s="4">
        <v>6.42</v>
      </c>
      <c r="H134" s="4" t="s">
        <v>3019</v>
      </c>
      <c r="I134" s="4" t="s">
        <v>3020</v>
      </c>
      <c r="J134" s="4">
        <f>IF(Z134="US",K134,VLOOKUP(Z134,'3032'!$AL$4:$AM$20,2,FALSE)*K134)</f>
        <v>98.8</v>
      </c>
      <c r="K134" s="4">
        <v>98.8</v>
      </c>
      <c r="L134" s="4">
        <v>1085710</v>
      </c>
      <c r="M134" s="4">
        <v>0.28000000000000003</v>
      </c>
      <c r="N134" s="4">
        <v>0.25939000000000001</v>
      </c>
      <c r="O134" s="4">
        <v>4.74</v>
      </c>
      <c r="P134" s="4">
        <v>4.74</v>
      </c>
      <c r="Q134" s="4">
        <v>325</v>
      </c>
      <c r="R134" s="4">
        <v>0</v>
      </c>
      <c r="S134" s="4">
        <v>0.25</v>
      </c>
      <c r="T134" s="4">
        <v>0.49</v>
      </c>
      <c r="U134" s="4" t="s">
        <v>3049</v>
      </c>
      <c r="V134" s="4" t="s">
        <v>3021</v>
      </c>
      <c r="W134" s="4" t="s">
        <v>3684</v>
      </c>
      <c r="X134" s="4" t="s">
        <v>3685</v>
      </c>
      <c r="Y134" s="4" t="s">
        <v>2961</v>
      </c>
      <c r="Z134" s="4" t="s">
        <v>2962</v>
      </c>
      <c r="AA134" s="4" t="s">
        <v>3032</v>
      </c>
      <c r="AB134" s="4" t="s">
        <v>2945</v>
      </c>
      <c r="AD134" s="10">
        <f t="shared" si="11"/>
        <v>1.9054081883422961E-3</v>
      </c>
      <c r="AE134" s="10">
        <f t="shared" si="8"/>
        <v>4.5347695880443906E-2</v>
      </c>
      <c r="AF134" s="10">
        <f t="shared" si="9"/>
        <v>0</v>
      </c>
      <c r="AG134" s="10">
        <f t="shared" ca="1" si="10"/>
        <v>1.0578819234670802</v>
      </c>
    </row>
    <row r="135" spans="1:33" x14ac:dyDescent="0.25">
      <c r="A135" s="50" t="s">
        <v>3686</v>
      </c>
      <c r="B135" s="4">
        <v>27</v>
      </c>
      <c r="C135" s="53" t="s">
        <v>3687</v>
      </c>
      <c r="D135" s="4">
        <v>5.7060000000000004</v>
      </c>
      <c r="E135" s="49">
        <v>13356</v>
      </c>
      <c r="F135" s="4">
        <v>24.74</v>
      </c>
      <c r="G135" s="4">
        <v>0.3</v>
      </c>
      <c r="H135" s="4" t="s">
        <v>3050</v>
      </c>
      <c r="I135" s="4" t="s">
        <v>3688</v>
      </c>
      <c r="J135" s="4">
        <f>IF(Z135="US",K135,VLOOKUP(Z135,'3032'!$AL$4:$AM$20,2,FALSE)*K135)</f>
        <v>100.22</v>
      </c>
      <c r="K135" s="4">
        <v>100.22</v>
      </c>
      <c r="L135" s="4">
        <v>27606</v>
      </c>
      <c r="M135" s="4">
        <v>0.01</v>
      </c>
      <c r="N135" s="4">
        <v>6.5950000000000002E-3</v>
      </c>
      <c r="O135" s="4">
        <v>3.4</v>
      </c>
      <c r="P135" s="4">
        <v>3.4</v>
      </c>
      <c r="Q135" s="4">
        <v>0</v>
      </c>
      <c r="R135" s="4">
        <v>0</v>
      </c>
      <c r="S135" s="4">
        <v>0.3</v>
      </c>
      <c r="T135" s="4">
        <v>1.38</v>
      </c>
      <c r="U135" s="4" t="s">
        <v>3049</v>
      </c>
      <c r="V135" s="4" t="s">
        <v>3520</v>
      </c>
      <c r="W135" s="4" t="s">
        <v>3589</v>
      </c>
      <c r="X135" s="4" t="s">
        <v>3689</v>
      </c>
      <c r="Y135" s="4" t="s">
        <v>2961</v>
      </c>
      <c r="Z135" s="4" t="s">
        <v>2962</v>
      </c>
      <c r="AA135" s="4" t="s">
        <v>3024</v>
      </c>
      <c r="AB135" s="4" t="s">
        <v>2945</v>
      </c>
      <c r="AD135" s="10">
        <f t="shared" si="11"/>
        <v>5.8137843564904902E-5</v>
      </c>
      <c r="AE135" s="10">
        <f t="shared" si="8"/>
        <v>1.1484024372113398E-3</v>
      </c>
      <c r="AF135" s="10">
        <f t="shared" si="9"/>
        <v>0</v>
      </c>
      <c r="AG135" s="10">
        <f t="shared" ca="1" si="10"/>
        <v>1.2504343230054275E-2</v>
      </c>
    </row>
    <row r="136" spans="1:33" x14ac:dyDescent="0.25">
      <c r="A136" s="50" t="s">
        <v>3690</v>
      </c>
      <c r="B136" s="4">
        <v>2930</v>
      </c>
      <c r="C136" s="53" t="s">
        <v>3691</v>
      </c>
      <c r="D136" s="4">
        <v>8.25</v>
      </c>
      <c r="E136" s="49">
        <v>43480</v>
      </c>
      <c r="F136" s="4">
        <v>7.21</v>
      </c>
      <c r="G136" s="4">
        <v>3.21</v>
      </c>
      <c r="H136" s="4" t="s">
        <v>135</v>
      </c>
      <c r="I136" s="4" t="s">
        <v>3065</v>
      </c>
      <c r="J136" s="4">
        <f>IF(Z136="US",K136,VLOOKUP(Z136,'3032'!$AL$4:$AM$20,2,FALSE)*K136)</f>
        <v>98.5</v>
      </c>
      <c r="K136" s="4">
        <v>98.5</v>
      </c>
      <c r="L136" s="4">
        <v>2957225</v>
      </c>
      <c r="M136" s="4">
        <v>0.76</v>
      </c>
      <c r="N136" s="4">
        <v>0.70651799999999998</v>
      </c>
      <c r="O136" s="4">
        <v>8.5299999999999994</v>
      </c>
      <c r="P136" s="4">
        <v>8.5299999999999994</v>
      </c>
      <c r="Q136" s="4">
        <v>666</v>
      </c>
      <c r="R136" s="4">
        <v>714</v>
      </c>
      <c r="S136" s="4">
        <v>5.21</v>
      </c>
      <c r="T136" s="4">
        <v>0.28999999999999998</v>
      </c>
      <c r="U136" s="4"/>
      <c r="V136" s="4" t="s">
        <v>3426</v>
      </c>
      <c r="W136" s="4" t="s">
        <v>3427</v>
      </c>
      <c r="X136" s="4" t="s">
        <v>3692</v>
      </c>
      <c r="Y136" s="4" t="s">
        <v>2961</v>
      </c>
      <c r="Z136" s="4" t="s">
        <v>2962</v>
      </c>
      <c r="AA136" s="4" t="s">
        <v>3041</v>
      </c>
      <c r="AB136" s="4" t="s">
        <v>2945</v>
      </c>
      <c r="AD136" s="10">
        <f t="shared" si="11"/>
        <v>0.27695214044441069</v>
      </c>
      <c r="AE136" s="10">
        <f t="shared" si="8"/>
        <v>0.42299223509293288</v>
      </c>
      <c r="AF136" s="10">
        <f t="shared" si="9"/>
        <v>36.6221789681411</v>
      </c>
      <c r="AG136" s="10">
        <f t="shared" ca="1" si="10"/>
        <v>2.8726784283234408</v>
      </c>
    </row>
    <row r="137" spans="1:33" x14ac:dyDescent="0.25">
      <c r="A137" s="50" t="s">
        <v>3693</v>
      </c>
      <c r="B137" s="4">
        <v>1080</v>
      </c>
      <c r="C137" s="53" t="s">
        <v>3694</v>
      </c>
      <c r="D137" s="4">
        <v>3.25</v>
      </c>
      <c r="E137" s="49">
        <v>41791</v>
      </c>
      <c r="F137" s="4">
        <v>2.59</v>
      </c>
      <c r="G137" s="4">
        <v>2.59</v>
      </c>
      <c r="H137" s="4" t="s">
        <v>135</v>
      </c>
      <c r="I137" s="4" t="s">
        <v>3036</v>
      </c>
      <c r="J137" s="60">
        <f>IF(Z137="US",K137,VLOOKUP(Z137,'3032'!$AL$4:$AM$20,2,FALSE)*K137)</f>
        <v>110.25</v>
      </c>
      <c r="K137" s="12">
        <v>110.25</v>
      </c>
      <c r="L137" s="4">
        <v>1205325</v>
      </c>
      <c r="M137" s="4">
        <v>0.28000000000000003</v>
      </c>
      <c r="N137" s="4">
        <v>0.28796699999999997</v>
      </c>
      <c r="O137" s="4">
        <v>2.95</v>
      </c>
      <c r="P137" s="4">
        <v>2.95</v>
      </c>
      <c r="Q137" s="4">
        <v>0</v>
      </c>
      <c r="R137" s="4">
        <v>0</v>
      </c>
      <c r="S137" s="4">
        <v>2.48</v>
      </c>
      <c r="T137" s="4">
        <v>0.08</v>
      </c>
      <c r="U137" s="4"/>
      <c r="V137" s="4" t="s">
        <v>3124</v>
      </c>
      <c r="W137" s="4" t="s">
        <v>3125</v>
      </c>
      <c r="X137" s="4" t="s">
        <v>3695</v>
      </c>
      <c r="Y137" s="4" t="s">
        <v>2961</v>
      </c>
      <c r="Z137" s="4" t="s">
        <v>2962</v>
      </c>
      <c r="AA137" s="4" t="s">
        <v>3024</v>
      </c>
      <c r="AB137" s="4" t="s">
        <v>2945</v>
      </c>
      <c r="AD137" s="10">
        <f t="shared" si="11"/>
        <v>2.9910699450576617E-2</v>
      </c>
      <c r="AE137" s="10">
        <f t="shared" si="8"/>
        <v>4.3504871005383389E-2</v>
      </c>
      <c r="AF137" s="10">
        <f t="shared" si="9"/>
        <v>0</v>
      </c>
      <c r="AG137" s="10">
        <f t="shared" ca="1" si="10"/>
        <v>0.60060060679303839</v>
      </c>
    </row>
    <row r="138" spans="1:33" x14ac:dyDescent="0.25">
      <c r="A138" s="50" t="s">
        <v>3696</v>
      </c>
      <c r="B138" s="4">
        <v>1000</v>
      </c>
      <c r="C138" s="53" t="s">
        <v>3697</v>
      </c>
      <c r="D138" s="4">
        <v>7.875</v>
      </c>
      <c r="E138" s="49">
        <v>43570</v>
      </c>
      <c r="F138" s="4">
        <v>7.46</v>
      </c>
      <c r="G138" s="4">
        <v>2.46</v>
      </c>
      <c r="H138" s="4" t="s">
        <v>3064</v>
      </c>
      <c r="I138" s="4" t="s">
        <v>3311</v>
      </c>
      <c r="J138" s="4">
        <f>IF(Z138="US",K138,VLOOKUP(Z138,'3032'!$AL$4:$AM$20,2,FALSE)*K138)</f>
        <v>97.5</v>
      </c>
      <c r="K138" s="4">
        <v>97.5</v>
      </c>
      <c r="L138" s="4">
        <v>978500</v>
      </c>
      <c r="M138" s="4">
        <v>0.26</v>
      </c>
      <c r="N138" s="4">
        <v>0.23377600000000001</v>
      </c>
      <c r="O138" s="4">
        <v>8.33</v>
      </c>
      <c r="P138" s="4">
        <v>8.33</v>
      </c>
      <c r="Q138" s="4">
        <v>649</v>
      </c>
      <c r="R138" s="4">
        <v>663</v>
      </c>
      <c r="S138" s="4">
        <v>5.5</v>
      </c>
      <c r="T138" s="4">
        <v>0.36</v>
      </c>
      <c r="U138" s="4"/>
      <c r="V138" s="4" t="s">
        <v>3421</v>
      </c>
      <c r="W138" s="4" t="s">
        <v>3422</v>
      </c>
      <c r="X138" s="4" t="s">
        <v>3698</v>
      </c>
      <c r="Y138" s="4" t="s">
        <v>2961</v>
      </c>
      <c r="Z138" s="4" t="s">
        <v>2962</v>
      </c>
      <c r="AA138" s="4" t="s">
        <v>3041</v>
      </c>
      <c r="AB138" s="4" t="s">
        <v>3042</v>
      </c>
      <c r="AD138" s="10">
        <f t="shared" si="11"/>
        <v>9.6740015614297792E-2</v>
      </c>
      <c r="AE138" s="10">
        <f t="shared" si="8"/>
        <v>0.13667995473125918</v>
      </c>
      <c r="AF138" s="10">
        <f t="shared" si="9"/>
        <v>11.252161535711904</v>
      </c>
      <c r="AG138" s="10">
        <f t="shared" ca="1" si="10"/>
        <v>0.94087484903694296</v>
      </c>
    </row>
    <row r="139" spans="1:33" x14ac:dyDescent="0.25">
      <c r="A139" s="50" t="s">
        <v>3699</v>
      </c>
      <c r="B139" s="4">
        <v>2445</v>
      </c>
      <c r="C139" s="53" t="s">
        <v>3700</v>
      </c>
      <c r="D139" s="4">
        <v>4.75</v>
      </c>
      <c r="E139" s="49">
        <v>43969</v>
      </c>
      <c r="F139" s="4">
        <v>8.5500000000000007</v>
      </c>
      <c r="G139" s="4">
        <v>8.5500000000000007</v>
      </c>
      <c r="H139" s="4" t="s">
        <v>3059</v>
      </c>
      <c r="I139" s="4" t="s">
        <v>3076</v>
      </c>
      <c r="J139" s="4">
        <f>IF(Z139="US",K139,VLOOKUP(Z139,'3032'!$AL$4:$AM$20,2,FALSE)*K139)</f>
        <v>110.99</v>
      </c>
      <c r="K139" s="4">
        <v>110.99</v>
      </c>
      <c r="L139" s="4">
        <v>2766292</v>
      </c>
      <c r="M139" s="4">
        <v>0.63</v>
      </c>
      <c r="N139" s="4">
        <v>0.66090199999999999</v>
      </c>
      <c r="O139" s="4">
        <v>3.27</v>
      </c>
      <c r="P139" s="4">
        <v>3.27</v>
      </c>
      <c r="Q139" s="4">
        <v>129</v>
      </c>
      <c r="R139" s="4">
        <v>137</v>
      </c>
      <c r="S139" s="4">
        <v>6.96</v>
      </c>
      <c r="T139" s="4">
        <v>0.61</v>
      </c>
      <c r="U139" s="4"/>
      <c r="V139" s="4" t="s">
        <v>3226</v>
      </c>
      <c r="W139" s="4" t="s">
        <v>3701</v>
      </c>
      <c r="X139" s="4" t="s">
        <v>3702</v>
      </c>
      <c r="Y139" s="4" t="s">
        <v>2961</v>
      </c>
      <c r="Z139" s="4" t="s">
        <v>2962</v>
      </c>
      <c r="AA139" s="4" t="s">
        <v>3024</v>
      </c>
      <c r="AB139" s="4" t="s">
        <v>3042</v>
      </c>
      <c r="AD139" s="10">
        <f t="shared" si="11"/>
        <v>0.2945130613414626</v>
      </c>
      <c r="AE139" s="10">
        <f t="shared" si="8"/>
        <v>0.11067702537727324</v>
      </c>
      <c r="AF139" s="10">
        <f t="shared" si="9"/>
        <v>3.5241231125971653</v>
      </c>
      <c r="AG139" s="10">
        <f t="shared" ca="1" si="10"/>
        <v>1.3876657720749592</v>
      </c>
    </row>
    <row r="140" spans="1:33" x14ac:dyDescent="0.25">
      <c r="A140" s="50" t="s">
        <v>3703</v>
      </c>
      <c r="B140" s="4">
        <v>85</v>
      </c>
      <c r="C140" s="53" t="s">
        <v>3704</v>
      </c>
      <c r="D140" s="4">
        <v>5.7889999999999997</v>
      </c>
      <c r="E140" s="49">
        <v>46032</v>
      </c>
      <c r="F140" s="4">
        <v>14.19</v>
      </c>
      <c r="G140" s="4">
        <v>14.19</v>
      </c>
      <c r="H140" s="4" t="s">
        <v>3059</v>
      </c>
      <c r="I140" s="4" t="s">
        <v>3076</v>
      </c>
      <c r="J140" s="4">
        <f>IF(Z140="US",K140,VLOOKUP(Z140,'3032'!$AL$4:$AM$20,2,FALSE)*K140)</f>
        <v>104.22</v>
      </c>
      <c r="K140" s="4">
        <v>104.22</v>
      </c>
      <c r="L140" s="4">
        <v>88964</v>
      </c>
      <c r="M140" s="4">
        <v>0.02</v>
      </c>
      <c r="N140" s="4">
        <v>2.1255E-2</v>
      </c>
      <c r="O140" s="4">
        <v>5.17</v>
      </c>
      <c r="P140" s="4">
        <v>5.17</v>
      </c>
      <c r="Q140" s="4">
        <v>345</v>
      </c>
      <c r="R140" s="4">
        <v>332</v>
      </c>
      <c r="S140" s="4">
        <v>6</v>
      </c>
      <c r="T140" s="4">
        <v>0.51</v>
      </c>
      <c r="U140" s="4" t="s">
        <v>3049</v>
      </c>
      <c r="V140" s="4" t="s">
        <v>3226</v>
      </c>
      <c r="W140" s="4" t="s">
        <v>3701</v>
      </c>
      <c r="X140" s="4" t="s">
        <v>3705</v>
      </c>
      <c r="Y140" s="4" t="s">
        <v>2961</v>
      </c>
      <c r="Z140" s="4" t="s">
        <v>2962</v>
      </c>
      <c r="AA140" s="4" t="s">
        <v>3041</v>
      </c>
      <c r="AB140" s="4" t="s">
        <v>3042</v>
      </c>
      <c r="AD140" s="10">
        <f t="shared" si="11"/>
        <v>8.1651252580455021E-3</v>
      </c>
      <c r="AE140" s="10">
        <f t="shared" si="8"/>
        <v>4.0529186839667044E-3</v>
      </c>
      <c r="AF140" s="10">
        <f t="shared" si="9"/>
        <v>0.33800864662615254</v>
      </c>
      <c r="AG140" s="10">
        <f t="shared" ca="1" si="10"/>
        <v>4.1905244050416159E-2</v>
      </c>
    </row>
    <row r="141" spans="1:33" x14ac:dyDescent="0.25">
      <c r="A141" s="50" t="s">
        <v>3706</v>
      </c>
      <c r="B141" s="4">
        <v>750</v>
      </c>
      <c r="C141" s="53" t="s">
        <v>3707</v>
      </c>
      <c r="D141" s="4">
        <v>6.5</v>
      </c>
      <c r="E141" s="49">
        <v>44576</v>
      </c>
      <c r="F141" s="4">
        <v>10.210000000000001</v>
      </c>
      <c r="G141" s="4">
        <v>5.21</v>
      </c>
      <c r="H141" s="4" t="s">
        <v>133</v>
      </c>
      <c r="I141" s="4" t="s">
        <v>3065</v>
      </c>
      <c r="J141" s="4">
        <f>IF(Z141="US",K141,VLOOKUP(Z141,'3032'!$AL$4:$AM$20,2,FALSE)*K141)</f>
        <v>105</v>
      </c>
      <c r="K141" s="4">
        <v>105</v>
      </c>
      <c r="L141" s="4">
        <v>808896</v>
      </c>
      <c r="M141" s="4">
        <v>0.19</v>
      </c>
      <c r="N141" s="4">
        <v>0.19325500000000001</v>
      </c>
      <c r="O141" s="4">
        <v>5.84</v>
      </c>
      <c r="P141" s="4">
        <v>5.72</v>
      </c>
      <c r="Q141" s="4">
        <v>362</v>
      </c>
      <c r="R141" s="4">
        <v>334</v>
      </c>
      <c r="S141" s="4">
        <v>6.19</v>
      </c>
      <c r="T141" s="4">
        <v>0.37</v>
      </c>
      <c r="U141" s="4"/>
      <c r="V141" s="4" t="s">
        <v>3124</v>
      </c>
      <c r="W141" s="4" t="s">
        <v>3142</v>
      </c>
      <c r="X141" s="4" t="s">
        <v>3708</v>
      </c>
      <c r="Y141" s="4" t="s">
        <v>2961</v>
      </c>
      <c r="Z141" s="4" t="s">
        <v>2962</v>
      </c>
      <c r="AA141" s="4" t="s">
        <v>3024</v>
      </c>
      <c r="AB141" s="4" t="s">
        <v>2945</v>
      </c>
      <c r="AD141" s="10">
        <f t="shared" si="11"/>
        <v>7.6591510845081381E-2</v>
      </c>
      <c r="AE141" s="10">
        <f t="shared" si="8"/>
        <v>4.0771037439210032E-2</v>
      </c>
      <c r="AF141" s="10">
        <f t="shared" si="9"/>
        <v>3.0918226873790617</v>
      </c>
      <c r="AG141" s="10">
        <f t="shared" ca="1" si="10"/>
        <v>0.38387072321530474</v>
      </c>
    </row>
    <row r="142" spans="1:33" x14ac:dyDescent="0.25">
      <c r="A142" s="50" t="s">
        <v>3709</v>
      </c>
      <c r="B142" s="4">
        <v>2002</v>
      </c>
      <c r="C142" s="53" t="s">
        <v>3707</v>
      </c>
      <c r="D142" s="4">
        <v>7</v>
      </c>
      <c r="E142" s="49">
        <v>44211</v>
      </c>
      <c r="F142" s="4">
        <v>9.2100000000000009</v>
      </c>
      <c r="G142" s="4">
        <v>4.21</v>
      </c>
      <c r="H142" s="4" t="s">
        <v>133</v>
      </c>
      <c r="I142" s="4" t="s">
        <v>3065</v>
      </c>
      <c r="J142" s="4">
        <f>IF(Z142="US",K142,VLOOKUP(Z142,'3032'!$AL$4:$AM$20,2,FALSE)*K142)</f>
        <v>108</v>
      </c>
      <c r="K142" s="4">
        <v>108</v>
      </c>
      <c r="L142" s="4">
        <v>2203423</v>
      </c>
      <c r="M142" s="4">
        <v>0.52</v>
      </c>
      <c r="N142" s="4">
        <v>0.52642500000000003</v>
      </c>
      <c r="O142" s="4">
        <v>5.86</v>
      </c>
      <c r="P142" s="4">
        <v>5.59</v>
      </c>
      <c r="Q142" s="4">
        <v>472</v>
      </c>
      <c r="R142" s="4">
        <v>352</v>
      </c>
      <c r="S142" s="4">
        <v>3.57</v>
      </c>
      <c r="T142" s="4">
        <v>0.13</v>
      </c>
      <c r="U142" s="4"/>
      <c r="V142" s="4" t="s">
        <v>3124</v>
      </c>
      <c r="W142" s="4" t="s">
        <v>3142</v>
      </c>
      <c r="X142" s="4" t="s">
        <v>3710</v>
      </c>
      <c r="Y142" s="4" t="s">
        <v>2961</v>
      </c>
      <c r="Z142" s="4" t="s">
        <v>2962</v>
      </c>
      <c r="AA142" s="4" t="s">
        <v>3024</v>
      </c>
      <c r="AB142" s="4" t="s">
        <v>2945</v>
      </c>
      <c r="AD142" s="10">
        <f t="shared" si="11"/>
        <v>7.8711251590653744E-2</v>
      </c>
      <c r="AE142" s="10">
        <f t="shared" si="8"/>
        <v>0.10853573012360812</v>
      </c>
      <c r="AF142" s="10">
        <f t="shared" si="9"/>
        <v>8.8759728862025753</v>
      </c>
      <c r="AG142" s="10">
        <f t="shared" ca="1" si="10"/>
        <v>1.0755352233213984</v>
      </c>
    </row>
    <row r="143" spans="1:33" x14ac:dyDescent="0.25">
      <c r="A143" s="50" t="s">
        <v>3711</v>
      </c>
      <c r="B143" s="4">
        <v>489</v>
      </c>
      <c r="C143" s="53" t="s">
        <v>3712</v>
      </c>
      <c r="D143" s="4">
        <v>12.25</v>
      </c>
      <c r="E143" s="49">
        <v>42078</v>
      </c>
      <c r="F143" s="4">
        <v>3.38</v>
      </c>
      <c r="G143" s="4">
        <v>0.38</v>
      </c>
      <c r="H143" s="4" t="s">
        <v>135</v>
      </c>
      <c r="I143" s="4" t="s">
        <v>3311</v>
      </c>
      <c r="J143" s="4">
        <f>IF(Z143="US",K143,VLOOKUP(Z143,'3032'!$AL$4:$AM$20,2,FALSE)*K143)</f>
        <v>108</v>
      </c>
      <c r="K143" s="4">
        <v>108</v>
      </c>
      <c r="L143" s="4">
        <v>535774</v>
      </c>
      <c r="M143" s="4">
        <v>0.13</v>
      </c>
      <c r="N143" s="4">
        <v>0.12800300000000001</v>
      </c>
      <c r="O143" s="4">
        <v>9.42</v>
      </c>
      <c r="P143" s="4">
        <v>8.4499999999999993</v>
      </c>
      <c r="Q143" s="4">
        <v>810</v>
      </c>
      <c r="R143" s="4">
        <v>815</v>
      </c>
      <c r="S143" s="4">
        <v>2.0299999999999998</v>
      </c>
      <c r="T143" s="4">
        <v>-0.1</v>
      </c>
      <c r="U143" s="4"/>
      <c r="V143" s="4" t="s">
        <v>3209</v>
      </c>
      <c r="W143" s="4" t="s">
        <v>3451</v>
      </c>
      <c r="X143" s="4" t="s">
        <v>3713</v>
      </c>
      <c r="Y143" s="4" t="s">
        <v>2961</v>
      </c>
      <c r="Z143" s="4" t="s">
        <v>2962</v>
      </c>
      <c r="AA143" s="4" t="s">
        <v>3041</v>
      </c>
      <c r="AB143" s="4" t="s">
        <v>2945</v>
      </c>
      <c r="AD143" s="10">
        <f t="shared" si="11"/>
        <v>1.0882994155467863E-2</v>
      </c>
      <c r="AE143" s="10">
        <f t="shared" si="8"/>
        <v>7.5916702900999181E-2</v>
      </c>
      <c r="AF143" s="10">
        <f t="shared" si="9"/>
        <v>16.476622713491022</v>
      </c>
      <c r="AG143" s="10">
        <f t="shared" ca="1" si="10"/>
        <v>0.26152209936076687</v>
      </c>
    </row>
    <row r="144" spans="1:33" x14ac:dyDescent="0.25">
      <c r="A144" s="50" t="s">
        <v>3714</v>
      </c>
      <c r="B144" s="4">
        <v>1630</v>
      </c>
      <c r="C144" s="53" t="s">
        <v>3715</v>
      </c>
      <c r="D144" s="4">
        <v>5.3</v>
      </c>
      <c r="E144" s="49">
        <v>43570</v>
      </c>
      <c r="F144" s="4">
        <v>7.46</v>
      </c>
      <c r="G144" s="4">
        <v>7.46</v>
      </c>
      <c r="H144" s="4" t="s">
        <v>3232</v>
      </c>
      <c r="I144" s="4" t="s">
        <v>3076</v>
      </c>
      <c r="J144" s="4">
        <f>IF(Z144="US",K144,VLOOKUP(Z144,'3032'!$AL$4:$AM$20,2,FALSE)*K144)</f>
        <v>100.5</v>
      </c>
      <c r="K144" s="4">
        <v>100.5</v>
      </c>
      <c r="L144" s="4">
        <v>1641990</v>
      </c>
      <c r="M144" s="4">
        <v>0.42</v>
      </c>
      <c r="N144" s="4">
        <v>0.39229199999999997</v>
      </c>
      <c r="O144" s="4">
        <v>5.16</v>
      </c>
      <c r="P144" s="4">
        <v>5.16</v>
      </c>
      <c r="Q144" s="4">
        <v>338</v>
      </c>
      <c r="R144" s="4">
        <v>378</v>
      </c>
      <c r="S144" s="4">
        <v>3.62</v>
      </c>
      <c r="T144" s="4">
        <v>0.26</v>
      </c>
      <c r="U144" s="4"/>
      <c r="V144" s="4" t="s">
        <v>3209</v>
      </c>
      <c r="W144" s="4" t="s">
        <v>3451</v>
      </c>
      <c r="X144" s="4" t="s">
        <v>3716</v>
      </c>
      <c r="Y144" s="4" t="s">
        <v>2961</v>
      </c>
      <c r="Z144" s="4" t="s">
        <v>2962</v>
      </c>
      <c r="AA144" s="4" t="s">
        <v>3024</v>
      </c>
      <c r="AB144" s="4" t="s">
        <v>2945</v>
      </c>
      <c r="AD144" s="10">
        <f t="shared" si="11"/>
        <v>5.9477102345868879E-2</v>
      </c>
      <c r="AE144" s="10">
        <f t="shared" si="8"/>
        <v>7.4659186815170336E-2</v>
      </c>
      <c r="AF144" s="10">
        <f t="shared" si="9"/>
        <v>7.1029332387545425</v>
      </c>
      <c r="AG144" s="10">
        <f t="shared" ca="1" si="10"/>
        <v>0.74582952833110061</v>
      </c>
    </row>
    <row r="145" spans="1:33" x14ac:dyDescent="0.25">
      <c r="A145" s="50" t="s">
        <v>3717</v>
      </c>
      <c r="B145" s="4">
        <v>424</v>
      </c>
      <c r="C145" s="53" t="s">
        <v>3718</v>
      </c>
      <c r="D145" s="4">
        <v>6.2</v>
      </c>
      <c r="E145" s="49">
        <v>43283</v>
      </c>
      <c r="F145" s="4">
        <v>6.67</v>
      </c>
      <c r="G145" s="4">
        <v>6.67</v>
      </c>
      <c r="H145" s="4" t="s">
        <v>3232</v>
      </c>
      <c r="I145" s="4" t="s">
        <v>3076</v>
      </c>
      <c r="J145" s="4">
        <f>IF(Z145="US",K145,VLOOKUP(Z145,'3032'!$AL$4:$AM$20,2,FALSE)*K145)</f>
        <v>105</v>
      </c>
      <c r="K145" s="4">
        <v>105</v>
      </c>
      <c r="L145" s="4">
        <v>453383</v>
      </c>
      <c r="M145" s="4">
        <v>0.11</v>
      </c>
      <c r="N145" s="4">
        <v>0.108319</v>
      </c>
      <c r="O145" s="4">
        <v>4.9000000000000004</v>
      </c>
      <c r="P145" s="4">
        <v>4.9000000000000004</v>
      </c>
      <c r="Q145" s="4">
        <v>396</v>
      </c>
      <c r="R145" s="4">
        <v>367</v>
      </c>
      <c r="S145" s="4">
        <v>3.7</v>
      </c>
      <c r="T145" s="4">
        <v>-0.08</v>
      </c>
      <c r="U145" s="4" t="s">
        <v>3049</v>
      </c>
      <c r="V145" s="4" t="s">
        <v>3209</v>
      </c>
      <c r="W145" s="4" t="s">
        <v>3451</v>
      </c>
      <c r="X145" s="4" t="s">
        <v>3719</v>
      </c>
      <c r="Y145" s="4" t="s">
        <v>2961</v>
      </c>
      <c r="Z145" s="4" t="s">
        <v>2962</v>
      </c>
      <c r="AA145" s="4" t="s">
        <v>3024</v>
      </c>
      <c r="AB145" s="4" t="s">
        <v>2945</v>
      </c>
      <c r="AD145" s="10">
        <f t="shared" si="11"/>
        <v>1.6785631301858381E-2</v>
      </c>
      <c r="AE145" s="10">
        <f t="shared" si="8"/>
        <v>1.9576018090065889E-2</v>
      </c>
      <c r="AF145" s="10">
        <f t="shared" si="9"/>
        <v>1.9041743954242933</v>
      </c>
      <c r="AG145" s="10">
        <f t="shared" ca="1" si="10"/>
        <v>0.21515801796958384</v>
      </c>
    </row>
    <row r="146" spans="1:33" x14ac:dyDescent="0.25">
      <c r="A146" s="50" t="s">
        <v>3720</v>
      </c>
      <c r="B146" s="4">
        <v>612</v>
      </c>
      <c r="C146" s="53" t="s">
        <v>3721</v>
      </c>
      <c r="D146" s="4">
        <v>6.75</v>
      </c>
      <c r="E146" s="49">
        <v>42331</v>
      </c>
      <c r="F146" s="4">
        <v>4.0599999999999996</v>
      </c>
      <c r="G146" s="4">
        <v>4.0599999999999996</v>
      </c>
      <c r="H146" s="4" t="s">
        <v>133</v>
      </c>
      <c r="I146" s="4" t="s">
        <v>3036</v>
      </c>
      <c r="J146" s="4">
        <f>IF(Z146="US",K146,VLOOKUP(Z146,'3032'!$AL$4:$AM$20,2,FALSE)*K146)</f>
        <v>92.75</v>
      </c>
      <c r="K146" s="4">
        <v>92.75</v>
      </c>
      <c r="L146" s="4">
        <v>585761</v>
      </c>
      <c r="M146" s="4">
        <v>0.16</v>
      </c>
      <c r="N146" s="4">
        <v>0.13994500000000001</v>
      </c>
      <c r="O146" s="4">
        <v>8.91</v>
      </c>
      <c r="P146" s="4">
        <v>8.91</v>
      </c>
      <c r="Q146" s="4">
        <v>809</v>
      </c>
      <c r="R146" s="4">
        <v>811</v>
      </c>
      <c r="S146" s="4">
        <v>3.34</v>
      </c>
      <c r="T146" s="4">
        <v>0.14000000000000001</v>
      </c>
      <c r="U146" s="4"/>
      <c r="V146" s="4" t="s">
        <v>3209</v>
      </c>
      <c r="W146" s="4" t="s">
        <v>3451</v>
      </c>
      <c r="X146" s="4" t="s">
        <v>3722</v>
      </c>
      <c r="Y146" s="4" t="s">
        <v>2961</v>
      </c>
      <c r="Z146" s="4" t="s">
        <v>2962</v>
      </c>
      <c r="AA146" s="4" t="s">
        <v>3024</v>
      </c>
      <c r="AB146" s="4" t="s">
        <v>2945</v>
      </c>
      <c r="AD146" s="10">
        <f t="shared" si="11"/>
        <v>1.9576616960391206E-2</v>
      </c>
      <c r="AE146" s="10">
        <f t="shared" si="8"/>
        <v>8.7517953140581778E-2</v>
      </c>
      <c r="AF146" s="10">
        <f t="shared" si="9"/>
        <v>17.925458018735217</v>
      </c>
      <c r="AG146" s="10">
        <f t="shared" ca="1" si="10"/>
        <v>0.53579762587355417</v>
      </c>
    </row>
    <row r="147" spans="1:33" x14ac:dyDescent="0.25">
      <c r="A147" s="50" t="s">
        <v>3723</v>
      </c>
      <c r="B147" s="4">
        <v>351</v>
      </c>
      <c r="C147" s="53" t="s">
        <v>3724</v>
      </c>
      <c r="D147" s="4">
        <v>5.5</v>
      </c>
      <c r="E147" s="49">
        <v>13113</v>
      </c>
      <c r="F147" s="4">
        <v>24.07</v>
      </c>
      <c r="G147" s="4">
        <v>1.8</v>
      </c>
      <c r="H147" s="4" t="s">
        <v>4444</v>
      </c>
      <c r="I147" s="4" t="s">
        <v>3432</v>
      </c>
      <c r="J147" s="4">
        <f>IF(Z147="US",K147,VLOOKUP(Z147,'3032'!$AL$4:$AM$20,2,FALSE)*K147)</f>
        <v>86.96</v>
      </c>
      <c r="K147" s="4">
        <v>86.96</v>
      </c>
      <c r="L147" s="4">
        <v>306555</v>
      </c>
      <c r="M147" s="4">
        <v>0.09</v>
      </c>
      <c r="N147" s="4">
        <v>7.324E-2</v>
      </c>
      <c r="O147" s="4">
        <v>5.4</v>
      </c>
      <c r="P147" s="4">
        <v>5.4</v>
      </c>
      <c r="Q147" s="4">
        <v>900</v>
      </c>
      <c r="R147" s="4">
        <v>900</v>
      </c>
      <c r="S147" s="4">
        <v>0.1</v>
      </c>
      <c r="T147" s="4">
        <v>-0.01</v>
      </c>
      <c r="U147" s="4" t="s">
        <v>3049</v>
      </c>
      <c r="V147" s="4" t="s">
        <v>3539</v>
      </c>
      <c r="W147" s="4" t="s">
        <v>3540</v>
      </c>
      <c r="X147" s="4" t="s">
        <v>3725</v>
      </c>
      <c r="Y147" s="4" t="s">
        <v>2961</v>
      </c>
      <c r="Z147" s="4" t="s">
        <v>2962</v>
      </c>
      <c r="AA147" s="4" t="s">
        <v>3024</v>
      </c>
      <c r="AB147" s="4" t="s">
        <v>2945</v>
      </c>
      <c r="AD147" s="10">
        <f t="shared" si="11"/>
        <v>2.1520015738172167E-4</v>
      </c>
      <c r="AE147" s="10">
        <f t="shared" si="8"/>
        <v>1.4586974025358119E-2</v>
      </c>
      <c r="AF147" s="10">
        <f t="shared" si="9"/>
        <v>10.410698459138368</v>
      </c>
      <c r="AG147" s="10">
        <f t="shared" ca="1" si="10"/>
        <v>0.26290227771521962</v>
      </c>
    </row>
    <row r="148" spans="1:33" x14ac:dyDescent="0.25">
      <c r="A148" s="50" t="s">
        <v>3726</v>
      </c>
      <c r="B148" s="4">
        <v>1900</v>
      </c>
      <c r="C148" s="53" t="s">
        <v>3727</v>
      </c>
      <c r="D148" s="4">
        <v>9.75</v>
      </c>
      <c r="E148" s="49">
        <v>43296</v>
      </c>
      <c r="F148" s="4">
        <v>6.71</v>
      </c>
      <c r="G148" s="4">
        <v>3.71</v>
      </c>
      <c r="H148" s="4" t="s">
        <v>3064</v>
      </c>
      <c r="I148" s="4" t="s">
        <v>3065</v>
      </c>
      <c r="J148" s="4">
        <v>0</v>
      </c>
      <c r="K148" s="4">
        <v>103</v>
      </c>
      <c r="L148" s="4">
        <v>2020294</v>
      </c>
      <c r="M148" s="4">
        <v>0.49</v>
      </c>
      <c r="N148" s="4">
        <v>0.48267300000000002</v>
      </c>
      <c r="O148" s="4">
        <v>9.1300000000000008</v>
      </c>
      <c r="P148" s="4">
        <v>9.06</v>
      </c>
      <c r="Q148" s="4">
        <v>772</v>
      </c>
      <c r="R148" s="4">
        <v>762</v>
      </c>
      <c r="S148" s="4">
        <v>4.2</v>
      </c>
      <c r="T148" s="4">
        <v>0.24</v>
      </c>
      <c r="U148" s="4"/>
      <c r="V148" s="4" t="s">
        <v>3173</v>
      </c>
      <c r="W148" s="4" t="s">
        <v>3525</v>
      </c>
      <c r="X148" s="4" t="s">
        <v>3728</v>
      </c>
      <c r="Y148" s="4" t="s">
        <v>2961</v>
      </c>
      <c r="Z148" s="4" t="s">
        <v>2962</v>
      </c>
      <c r="AA148" s="4" t="s">
        <v>3041</v>
      </c>
      <c r="AB148" s="4" t="s">
        <v>2945</v>
      </c>
      <c r="AD148" s="10">
        <f t="shared" si="11"/>
        <v>0.1525269191328068</v>
      </c>
      <c r="AE148" s="10">
        <f t="shared" si="8"/>
        <v>0.30693171540121511</v>
      </c>
      <c r="AF148" s="10">
        <f t="shared" si="9"/>
        <v>26.701222469325355</v>
      </c>
      <c r="AG148" s="10">
        <f t="shared" ca="1" si="10"/>
        <v>0</v>
      </c>
    </row>
    <row r="149" spans="1:33" x14ac:dyDescent="0.25">
      <c r="A149" s="50" t="s">
        <v>3729</v>
      </c>
      <c r="B149" s="4">
        <v>2445</v>
      </c>
      <c r="C149" s="53" t="s">
        <v>3730</v>
      </c>
      <c r="D149" s="4">
        <v>7</v>
      </c>
      <c r="E149" s="49">
        <v>43936</v>
      </c>
      <c r="F149" s="4">
        <v>8.4600000000000009</v>
      </c>
      <c r="G149" s="4">
        <v>8.4600000000000009</v>
      </c>
      <c r="H149" s="4" t="s">
        <v>3054</v>
      </c>
      <c r="I149" s="4" t="s">
        <v>3116</v>
      </c>
      <c r="J149" s="4">
        <f>IF(Z149="US",K149,VLOOKUP(Z149,'3032'!$AL$4:$AM$20,2,FALSE)*K149)</f>
        <v>104.43</v>
      </c>
      <c r="K149" s="4">
        <v>104.43</v>
      </c>
      <c r="L149" s="4">
        <v>2560871</v>
      </c>
      <c r="M149" s="4">
        <v>0.63</v>
      </c>
      <c r="N149" s="4">
        <v>0.61182400000000003</v>
      </c>
      <c r="O149" s="4">
        <v>6.32</v>
      </c>
      <c r="P149" s="4">
        <v>6.32</v>
      </c>
      <c r="Q149" s="4">
        <v>422</v>
      </c>
      <c r="R149" s="4">
        <v>470</v>
      </c>
      <c r="S149" s="4">
        <v>6.35</v>
      </c>
      <c r="T149" s="4">
        <v>0.52</v>
      </c>
      <c r="U149" s="4"/>
      <c r="V149" s="4" t="s">
        <v>3029</v>
      </c>
      <c r="W149" s="4" t="s">
        <v>3030</v>
      </c>
      <c r="X149" s="4" t="s">
        <v>3731</v>
      </c>
      <c r="Y149" s="4" t="s">
        <v>2961</v>
      </c>
      <c r="Z149" s="4" t="s">
        <v>2962</v>
      </c>
      <c r="AA149" s="4" t="s">
        <v>3024</v>
      </c>
      <c r="AB149" s="4" t="s">
        <v>2945</v>
      </c>
      <c r="AD149" s="10">
        <f t="shared" si="11"/>
        <v>0.24874750138224661</v>
      </c>
      <c r="AE149" s="10">
        <f t="shared" si="8"/>
        <v>0.13245619396923025</v>
      </c>
      <c r="AF149" s="10">
        <f t="shared" si="9"/>
        <v>10.136179471096824</v>
      </c>
      <c r="AG149" s="10">
        <f t="shared" ca="1" si="10"/>
        <v>1.2086929364237753</v>
      </c>
    </row>
    <row r="150" spans="1:33" x14ac:dyDescent="0.25">
      <c r="A150" s="50" t="s">
        <v>3732</v>
      </c>
      <c r="B150" s="4">
        <v>484</v>
      </c>
      <c r="C150" s="53" t="s">
        <v>3733</v>
      </c>
      <c r="D150" s="4">
        <v>0</v>
      </c>
      <c r="E150" s="49">
        <v>44218</v>
      </c>
      <c r="F150" s="4">
        <v>9.23</v>
      </c>
      <c r="G150" s="4">
        <v>0.23</v>
      </c>
      <c r="H150" s="4" t="s">
        <v>3446</v>
      </c>
      <c r="I150" s="4" t="s">
        <v>3688</v>
      </c>
      <c r="J150" s="4">
        <f>IF(Z150="US",K150,VLOOKUP(Z150,'3032'!$AL$4:$AM$20,2,FALSE)*K150)</f>
        <v>140.75</v>
      </c>
      <c r="K150" s="4">
        <v>140.75</v>
      </c>
      <c r="L150" s="4">
        <v>681230</v>
      </c>
      <c r="M150" s="4">
        <v>0.12</v>
      </c>
      <c r="N150" s="4">
        <v>0.16275400000000001</v>
      </c>
      <c r="O150" s="4">
        <v>1</v>
      </c>
      <c r="P150" s="4">
        <v>1</v>
      </c>
      <c r="Q150" s="4">
        <v>0</v>
      </c>
      <c r="R150" s="4">
        <v>0</v>
      </c>
      <c r="S150" s="4">
        <v>1.52</v>
      </c>
      <c r="T150" s="4">
        <v>0.93</v>
      </c>
      <c r="U150" s="4"/>
      <c r="V150" s="4" t="s">
        <v>3173</v>
      </c>
      <c r="W150" s="4" t="s">
        <v>3174</v>
      </c>
      <c r="X150" s="4" t="s">
        <v>3734</v>
      </c>
      <c r="Y150" s="4" t="s">
        <v>2961</v>
      </c>
      <c r="Z150" s="4" t="s">
        <v>2962</v>
      </c>
      <c r="AA150" s="4" t="s">
        <v>3024</v>
      </c>
      <c r="AB150" s="4" t="s">
        <v>2945</v>
      </c>
      <c r="AD150" s="10">
        <f t="shared" si="11"/>
        <v>7.2689475260226833E-3</v>
      </c>
      <c r="AE150" s="10">
        <f t="shared" si="8"/>
        <v>-0.70398563155436322</v>
      </c>
      <c r="AF150" s="10">
        <f t="shared" si="9"/>
        <v>0</v>
      </c>
      <c r="AG150" s="10">
        <f t="shared" ca="1" si="10"/>
        <v>21.849883450573994</v>
      </c>
    </row>
    <row r="151" spans="1:33" x14ac:dyDescent="0.25">
      <c r="A151" s="50" t="s">
        <v>3735</v>
      </c>
      <c r="B151" s="4">
        <v>765</v>
      </c>
      <c r="C151" s="53" t="s">
        <v>3736</v>
      </c>
      <c r="D151" s="4">
        <v>6.75</v>
      </c>
      <c r="E151" s="49">
        <v>44348</v>
      </c>
      <c r="F151" s="4">
        <v>9.59</v>
      </c>
      <c r="G151" s="4">
        <v>9.59</v>
      </c>
      <c r="H151" s="4" t="s">
        <v>3019</v>
      </c>
      <c r="I151" s="4" t="s">
        <v>3134</v>
      </c>
      <c r="J151" s="4">
        <f>IF(Z151="US",K151,VLOOKUP(Z151,'3032'!$AL$4:$AM$20,2,FALSE)*K151)</f>
        <v>103.25</v>
      </c>
      <c r="K151" s="4">
        <v>103.25</v>
      </c>
      <c r="L151" s="4">
        <v>815108</v>
      </c>
      <c r="M151" s="4">
        <v>0.2</v>
      </c>
      <c r="N151" s="4">
        <v>0.194739</v>
      </c>
      <c r="O151" s="4">
        <v>6.29</v>
      </c>
      <c r="P151" s="4">
        <v>6.29</v>
      </c>
      <c r="Q151" s="4">
        <v>392</v>
      </c>
      <c r="R151" s="4">
        <v>409</v>
      </c>
      <c r="S151" s="4">
        <v>6.82</v>
      </c>
      <c r="T151" s="4">
        <v>0.63</v>
      </c>
      <c r="U151" s="4"/>
      <c r="V151" s="4" t="s">
        <v>3393</v>
      </c>
      <c r="W151" s="4" t="s">
        <v>3609</v>
      </c>
      <c r="X151" s="4" t="s">
        <v>3737</v>
      </c>
      <c r="Y151" s="4" t="s">
        <v>2961</v>
      </c>
      <c r="Z151" s="4" t="s">
        <v>2962</v>
      </c>
      <c r="AA151" s="4" t="s">
        <v>3024</v>
      </c>
      <c r="AB151" s="4" t="s">
        <v>2945</v>
      </c>
      <c r="AD151" s="10">
        <f t="shared" si="11"/>
        <v>8.5034826496212662E-2</v>
      </c>
      <c r="AE151" s="10">
        <f t="shared" si="8"/>
        <v>4.1959788692138136E-2</v>
      </c>
      <c r="AF151" s="10">
        <f t="shared" si="9"/>
        <v>2.8075480330613058</v>
      </c>
      <c r="AG151" s="10">
        <f t="shared" ca="1" si="10"/>
        <v>0.38037171960417354</v>
      </c>
    </row>
    <row r="152" spans="1:33" x14ac:dyDescent="0.25">
      <c r="A152" s="50" t="s">
        <v>3738</v>
      </c>
      <c r="B152" s="4">
        <v>815</v>
      </c>
      <c r="C152" s="53" t="s">
        <v>3739</v>
      </c>
      <c r="D152" s="4">
        <v>7.125</v>
      </c>
      <c r="E152" s="49">
        <v>42401</v>
      </c>
      <c r="F152" s="4">
        <v>4.25</v>
      </c>
      <c r="G152" s="4">
        <v>4.25</v>
      </c>
      <c r="H152" s="4" t="s">
        <v>3019</v>
      </c>
      <c r="I152" s="4" t="s">
        <v>3134</v>
      </c>
      <c r="J152" s="4">
        <v>0</v>
      </c>
      <c r="K152" s="4">
        <v>106.25</v>
      </c>
      <c r="L152" s="4">
        <v>880455</v>
      </c>
      <c r="M152" s="4">
        <v>0.21</v>
      </c>
      <c r="N152" s="4">
        <v>0.21035200000000001</v>
      </c>
      <c r="O152" s="4">
        <v>5.45</v>
      </c>
      <c r="P152" s="4">
        <v>5.45</v>
      </c>
      <c r="Q152" s="4">
        <v>451</v>
      </c>
      <c r="R152" s="4">
        <v>453</v>
      </c>
      <c r="S152" s="4">
        <v>3.6</v>
      </c>
      <c r="T152" s="4">
        <v>0.16</v>
      </c>
      <c r="U152" s="4"/>
      <c r="V152" s="4" t="s">
        <v>3393</v>
      </c>
      <c r="W152" s="4" t="s">
        <v>3609</v>
      </c>
      <c r="X152" s="4" t="s">
        <v>3740</v>
      </c>
      <c r="Y152" s="4" t="s">
        <v>2961</v>
      </c>
      <c r="Z152" s="4" t="s">
        <v>2962</v>
      </c>
      <c r="AA152" s="4" t="s">
        <v>3024</v>
      </c>
      <c r="AB152" s="4" t="s">
        <v>2945</v>
      </c>
      <c r="AD152" s="10">
        <f t="shared" si="11"/>
        <v>3.1716144549799104E-2</v>
      </c>
      <c r="AE152" s="10">
        <f t="shared" si="8"/>
        <v>4.2283089479114022E-2</v>
      </c>
      <c r="AF152" s="10">
        <f t="shared" si="9"/>
        <v>3.3588769776607199</v>
      </c>
      <c r="AG152" s="10">
        <f t="shared" ca="1" si="10"/>
        <v>0</v>
      </c>
    </row>
    <row r="153" spans="1:33" x14ac:dyDescent="0.25">
      <c r="A153" s="50" t="s">
        <v>3741</v>
      </c>
      <c r="B153" s="4">
        <v>1796</v>
      </c>
      <c r="C153" s="53" t="s">
        <v>3742</v>
      </c>
      <c r="D153" s="4">
        <v>4.5</v>
      </c>
      <c r="E153" s="49">
        <v>43167</v>
      </c>
      <c r="F153" s="4">
        <v>6.36</v>
      </c>
      <c r="G153" s="4">
        <v>6.36</v>
      </c>
      <c r="H153" s="4" t="s">
        <v>135</v>
      </c>
      <c r="I153" s="4" t="s">
        <v>3036</v>
      </c>
      <c r="J153" s="4">
        <f>IF(Z153="US",K153,VLOOKUP(Z153,'3032'!$AL$4:$AM$20,2,FALSE)*K153)</f>
        <v>97.5</v>
      </c>
      <c r="K153" s="4">
        <v>97.5</v>
      </c>
      <c r="L153" s="4">
        <v>1757795</v>
      </c>
      <c r="M153" s="4">
        <v>0.46</v>
      </c>
      <c r="N153" s="4">
        <v>0.41995900000000003</v>
      </c>
      <c r="O153" s="4">
        <v>5.01</v>
      </c>
      <c r="P153" s="4">
        <v>5.01</v>
      </c>
      <c r="Q153" s="4">
        <v>300</v>
      </c>
      <c r="R153" s="4">
        <v>0</v>
      </c>
      <c r="S153" s="4">
        <v>0.25</v>
      </c>
      <c r="T153" s="4">
        <v>0.47</v>
      </c>
      <c r="U153" s="4" t="s">
        <v>3049</v>
      </c>
      <c r="V153" s="4" t="s">
        <v>3105</v>
      </c>
      <c r="W153" s="4" t="s">
        <v>3106</v>
      </c>
      <c r="X153" s="4" t="s">
        <v>3743</v>
      </c>
      <c r="Y153" s="4" t="s">
        <v>2961</v>
      </c>
      <c r="Z153" s="4" t="s">
        <v>2962</v>
      </c>
      <c r="AA153" s="4" t="s">
        <v>3032</v>
      </c>
      <c r="AB153" s="4" t="s">
        <v>2945</v>
      </c>
      <c r="AD153" s="10">
        <f t="shared" si="11"/>
        <v>3.0849094016147465E-3</v>
      </c>
      <c r="AE153" s="10">
        <f t="shared" si="8"/>
        <v>7.7601299950761607E-2</v>
      </c>
      <c r="AF153" s="10">
        <f t="shared" si="9"/>
        <v>0</v>
      </c>
      <c r="AG153" s="10">
        <f t="shared" ca="1" si="10"/>
        <v>1.6902045020571215</v>
      </c>
    </row>
    <row r="154" spans="1:33" x14ac:dyDescent="0.25">
      <c r="A154" s="50" t="s">
        <v>3744</v>
      </c>
      <c r="B154" s="4">
        <v>815</v>
      </c>
      <c r="C154" s="53" t="s">
        <v>3745</v>
      </c>
      <c r="D154" s="4">
        <v>6.375</v>
      </c>
      <c r="E154" s="49">
        <v>44423</v>
      </c>
      <c r="F154" s="4">
        <v>9.7899999999999991</v>
      </c>
      <c r="G154" s="4">
        <v>4.79</v>
      </c>
      <c r="H154" s="4" t="s">
        <v>3019</v>
      </c>
      <c r="I154" s="4" t="s">
        <v>3020</v>
      </c>
      <c r="J154" s="4">
        <f>IF(Z154="US",K154,VLOOKUP(Z154,'3032'!$AL$4:$AM$20,2,FALSE)*K154)</f>
        <v>103</v>
      </c>
      <c r="K154" s="4">
        <v>103</v>
      </c>
      <c r="L154" s="4">
        <v>850419</v>
      </c>
      <c r="M154" s="4">
        <v>0.21</v>
      </c>
      <c r="N154" s="4">
        <v>0.203176</v>
      </c>
      <c r="O154" s="4">
        <v>5.96</v>
      </c>
      <c r="P154" s="4">
        <v>5.89</v>
      </c>
      <c r="Q154" s="4">
        <v>396</v>
      </c>
      <c r="R154" s="4">
        <v>365</v>
      </c>
      <c r="S154" s="4">
        <v>6.03</v>
      </c>
      <c r="T154" s="4">
        <v>0.38</v>
      </c>
      <c r="U154" s="4"/>
      <c r="V154" s="4" t="s">
        <v>3124</v>
      </c>
      <c r="W154" s="4" t="s">
        <v>3142</v>
      </c>
      <c r="X154" s="4" t="s">
        <v>3746</v>
      </c>
      <c r="Y154" s="4" t="s">
        <v>2961</v>
      </c>
      <c r="Z154" s="4" t="s">
        <v>2962</v>
      </c>
      <c r="AA154" s="4" t="s">
        <v>3024</v>
      </c>
      <c r="AB154" s="4" t="s">
        <v>2945</v>
      </c>
      <c r="AD154" s="10">
        <f t="shared" si="11"/>
        <v>7.844180280906779E-2</v>
      </c>
      <c r="AE154" s="10">
        <f t="shared" si="8"/>
        <v>4.4137862275346842E-2</v>
      </c>
      <c r="AF154" s="10">
        <f t="shared" si="9"/>
        <v>3.5522313604086637</v>
      </c>
      <c r="AG154" s="10">
        <f t="shared" ca="1" si="10"/>
        <v>0.39588877075376255</v>
      </c>
    </row>
    <row r="155" spans="1:33" x14ac:dyDescent="0.25">
      <c r="A155" s="50" t="s">
        <v>3747</v>
      </c>
      <c r="B155" s="4">
        <v>1084</v>
      </c>
      <c r="C155" s="53" t="s">
        <v>3748</v>
      </c>
      <c r="D155" s="4">
        <v>8.5500000000000007</v>
      </c>
      <c r="E155" s="49">
        <v>43600</v>
      </c>
      <c r="F155" s="4">
        <v>7.54</v>
      </c>
      <c r="G155" s="4">
        <v>7.54</v>
      </c>
      <c r="H155" s="4" t="s">
        <v>3161</v>
      </c>
      <c r="I155" s="4" t="s">
        <v>3083</v>
      </c>
      <c r="J155" s="4">
        <f>IF(Z155="US",K155,VLOOKUP(Z155,'3032'!$AL$4:$AM$20,2,FALSE)*K155)</f>
        <v>129.91</v>
      </c>
      <c r="K155" s="4">
        <v>129.91</v>
      </c>
      <c r="L155" s="4">
        <v>1450949</v>
      </c>
      <c r="M155" s="4">
        <v>0.28000000000000003</v>
      </c>
      <c r="N155" s="4">
        <v>0.34665000000000001</v>
      </c>
      <c r="O155" s="4">
        <v>3.93</v>
      </c>
      <c r="P155" s="4">
        <v>3.93</v>
      </c>
      <c r="Q155" s="4">
        <v>215</v>
      </c>
      <c r="R155" s="4">
        <v>248</v>
      </c>
      <c r="S155" s="4">
        <v>5.68</v>
      </c>
      <c r="T155" s="4">
        <v>0.42</v>
      </c>
      <c r="U155" s="4"/>
      <c r="V155" s="4" t="s">
        <v>3037</v>
      </c>
      <c r="W155" s="4" t="s">
        <v>3084</v>
      </c>
      <c r="X155" s="4" t="s">
        <v>3749</v>
      </c>
      <c r="Y155" s="4" t="s">
        <v>2961</v>
      </c>
      <c r="Z155" s="4" t="s">
        <v>2962</v>
      </c>
      <c r="AA155" s="4" t="s">
        <v>3024</v>
      </c>
      <c r="AB155" s="4" t="s">
        <v>2945</v>
      </c>
      <c r="AD155" s="10">
        <f t="shared" si="11"/>
        <v>0.14814367598649561</v>
      </c>
      <c r="AE155" s="10">
        <f t="shared" si="8"/>
        <v>6.9768020759836638E-2</v>
      </c>
      <c r="AF155" s="10">
        <f t="shared" si="9"/>
        <v>4.1179327829425656</v>
      </c>
      <c r="AG155" s="10">
        <f t="shared" ca="1" si="10"/>
        <v>9.9649160514879682</v>
      </c>
    </row>
    <row r="156" spans="1:33" x14ac:dyDescent="0.25">
      <c r="A156" s="50" t="s">
        <v>3750</v>
      </c>
      <c r="B156" s="4">
        <v>1292</v>
      </c>
      <c r="C156" s="53" t="s">
        <v>3751</v>
      </c>
      <c r="D156" s="4">
        <v>6.5</v>
      </c>
      <c r="E156" s="49">
        <v>44317</v>
      </c>
      <c r="F156" s="4">
        <v>9.5</v>
      </c>
      <c r="G156" s="4">
        <v>4.5</v>
      </c>
      <c r="H156" s="4" t="s">
        <v>3120</v>
      </c>
      <c r="I156" s="4" t="s">
        <v>3020</v>
      </c>
      <c r="J156" s="4">
        <v>0</v>
      </c>
      <c r="K156" s="4">
        <v>101.25</v>
      </c>
      <c r="L156" s="4">
        <v>1350140</v>
      </c>
      <c r="M156" s="4">
        <v>0.33</v>
      </c>
      <c r="N156" s="4">
        <v>0.32256499999999999</v>
      </c>
      <c r="O156" s="4">
        <v>6.32</v>
      </c>
      <c r="P156" s="4">
        <v>6.29</v>
      </c>
      <c r="Q156" s="4">
        <v>448</v>
      </c>
      <c r="R156" s="4">
        <v>413</v>
      </c>
      <c r="S156" s="4">
        <v>5.7</v>
      </c>
      <c r="T156" s="4">
        <v>0.4</v>
      </c>
      <c r="U156" s="4"/>
      <c r="V156" s="4" t="s">
        <v>3124</v>
      </c>
      <c r="W156" s="4" t="s">
        <v>3513</v>
      </c>
      <c r="X156" s="4" t="s">
        <v>3752</v>
      </c>
      <c r="Y156" s="4" t="s">
        <v>2961</v>
      </c>
      <c r="Z156" s="4" t="s">
        <v>2962</v>
      </c>
      <c r="AA156" s="4" t="s">
        <v>3041</v>
      </c>
      <c r="AB156" s="4" t="s">
        <v>2945</v>
      </c>
      <c r="AD156" s="10">
        <f t="shared" si="11"/>
        <v>0.13833634388154073</v>
      </c>
      <c r="AE156" s="10">
        <f t="shared" si="8"/>
        <v>6.9501942202509839E-2</v>
      </c>
      <c r="AF156" s="10">
        <f t="shared" si="9"/>
        <v>4.6958864552600259</v>
      </c>
      <c r="AG156" s="10">
        <f t="shared" ca="1" si="10"/>
        <v>0</v>
      </c>
    </row>
    <row r="157" spans="1:33" x14ac:dyDescent="0.25">
      <c r="A157" s="50" t="s">
        <v>3753</v>
      </c>
      <c r="B157" s="4">
        <v>2852</v>
      </c>
      <c r="C157" s="53" t="s">
        <v>3754</v>
      </c>
      <c r="D157" s="4">
        <v>4.5999999999999996</v>
      </c>
      <c r="E157" s="49">
        <v>44242</v>
      </c>
      <c r="F157" s="4">
        <v>9.2899999999999991</v>
      </c>
      <c r="G157" s="4">
        <v>9.2899999999999991</v>
      </c>
      <c r="H157" s="4" t="s">
        <v>3161</v>
      </c>
      <c r="I157" s="4" t="s">
        <v>3076</v>
      </c>
      <c r="J157" s="4">
        <f>IF(Z157="US",K157,VLOOKUP(Z157,'3032'!$AL$4:$AM$20,2,FALSE)*K157)</f>
        <v>106.32</v>
      </c>
      <c r="K157" s="4">
        <v>106.32</v>
      </c>
      <c r="L157" s="4">
        <v>3060071</v>
      </c>
      <c r="M157" s="4">
        <v>0.74</v>
      </c>
      <c r="N157" s="4">
        <v>0.73108899999999999</v>
      </c>
      <c r="O157" s="4">
        <v>3.79</v>
      </c>
      <c r="P157" s="4">
        <v>3.79</v>
      </c>
      <c r="Q157" s="4">
        <v>162</v>
      </c>
      <c r="R157" s="4">
        <v>167</v>
      </c>
      <c r="S157" s="4">
        <v>7.51</v>
      </c>
      <c r="T157" s="4">
        <v>0.71</v>
      </c>
      <c r="U157" s="4"/>
      <c r="V157" s="4" t="s">
        <v>3393</v>
      </c>
      <c r="W157" s="4" t="s">
        <v>3609</v>
      </c>
      <c r="X157" s="4" t="s">
        <v>3755</v>
      </c>
      <c r="Y157" s="4" t="s">
        <v>2961</v>
      </c>
      <c r="Z157" s="4" t="s">
        <v>2962</v>
      </c>
      <c r="AA157" s="4" t="s">
        <v>3024</v>
      </c>
      <c r="AB157" s="4" t="s">
        <v>2945</v>
      </c>
      <c r="AD157" s="10">
        <f t="shared" si="11"/>
        <v>0.35153513636879202</v>
      </c>
      <c r="AE157" s="10">
        <f t="shared" si="8"/>
        <v>0.14190000733990718</v>
      </c>
      <c r="AF157" s="10">
        <f t="shared" si="9"/>
        <v>4.7520440535935036</v>
      </c>
      <c r="AG157" s="10">
        <f t="shared" ca="1" si="10"/>
        <v>1.4704473366508992</v>
      </c>
    </row>
    <row r="158" spans="1:33" x14ac:dyDescent="0.25">
      <c r="A158" s="50" t="s">
        <v>3756</v>
      </c>
      <c r="B158" s="4">
        <v>993</v>
      </c>
      <c r="C158" s="53" t="s">
        <v>3757</v>
      </c>
      <c r="D158" s="4">
        <v>5.5</v>
      </c>
      <c r="E158" s="49">
        <v>42521</v>
      </c>
      <c r="F158" s="4">
        <v>4.58</v>
      </c>
      <c r="G158" s="4">
        <v>4.58</v>
      </c>
      <c r="H158" s="4" t="s">
        <v>3120</v>
      </c>
      <c r="I158" s="4" t="s">
        <v>3065</v>
      </c>
      <c r="J158" s="4">
        <v>0</v>
      </c>
      <c r="K158" s="4">
        <v>93.42</v>
      </c>
      <c r="L158" s="4">
        <v>936562</v>
      </c>
      <c r="M158" s="4">
        <v>0.26</v>
      </c>
      <c r="N158" s="4">
        <v>0.22375600000000001</v>
      </c>
      <c r="O158" s="4">
        <v>7.39</v>
      </c>
      <c r="P158" s="4">
        <v>7.39</v>
      </c>
      <c r="Q158" s="4">
        <v>0</v>
      </c>
      <c r="R158" s="4">
        <v>0</v>
      </c>
      <c r="S158" s="4">
        <v>0.25</v>
      </c>
      <c r="T158" s="4">
        <v>0.24</v>
      </c>
      <c r="U158" s="4" t="s">
        <v>3049</v>
      </c>
      <c r="V158" s="4" t="s">
        <v>3173</v>
      </c>
      <c r="W158" s="4" t="s">
        <v>3669</v>
      </c>
      <c r="X158" s="4" t="s">
        <v>3758</v>
      </c>
      <c r="Y158" s="4" t="s">
        <v>3086</v>
      </c>
      <c r="Z158" s="4" t="s">
        <v>2962</v>
      </c>
      <c r="AA158" s="4" t="s">
        <v>3032</v>
      </c>
      <c r="AB158" s="4" t="s">
        <v>2945</v>
      </c>
      <c r="AD158" s="10">
        <f t="shared" si="11"/>
        <v>1.6436552151958049E-3</v>
      </c>
      <c r="AE158" s="10">
        <f t="shared" si="8"/>
        <v>5.6643288969969757E-2</v>
      </c>
      <c r="AF158" s="10">
        <f t="shared" si="9"/>
        <v>0</v>
      </c>
      <c r="AG158" s="10">
        <f t="shared" ca="1" si="10"/>
        <v>0</v>
      </c>
    </row>
    <row r="159" spans="1:33" x14ac:dyDescent="0.25">
      <c r="A159" s="50" t="s">
        <v>3759</v>
      </c>
      <c r="B159" s="4">
        <v>400</v>
      </c>
      <c r="C159" s="53" t="s">
        <v>3760</v>
      </c>
      <c r="D159" s="4">
        <v>6.875</v>
      </c>
      <c r="E159" s="49">
        <v>43676</v>
      </c>
      <c r="F159" s="4">
        <v>7.75</v>
      </c>
      <c r="G159" s="4">
        <v>7.75</v>
      </c>
      <c r="H159" s="4" t="s">
        <v>3054</v>
      </c>
      <c r="I159" s="4" t="s">
        <v>3028</v>
      </c>
      <c r="J159" s="4">
        <f>IF(Z159="US",K159,VLOOKUP(Z159,'3032'!$AL$4:$AM$20,2,FALSE)*K159)</f>
        <v>113.25</v>
      </c>
      <c r="K159" s="4">
        <v>113.25</v>
      </c>
      <c r="L159" s="4">
        <v>459951</v>
      </c>
      <c r="M159" s="4">
        <v>0.1</v>
      </c>
      <c r="N159" s="4">
        <v>0.109888</v>
      </c>
      <c r="O159" s="4">
        <v>4.8099999999999996</v>
      </c>
      <c r="P159" s="4">
        <v>4.8099999999999996</v>
      </c>
      <c r="Q159" s="4">
        <v>0</v>
      </c>
      <c r="R159" s="4">
        <v>0</v>
      </c>
      <c r="S159" s="4">
        <v>6.01</v>
      </c>
      <c r="T159" s="4">
        <v>0.45</v>
      </c>
      <c r="U159" s="4"/>
      <c r="V159" s="4" t="s">
        <v>3021</v>
      </c>
      <c r="W159" s="4" t="s">
        <v>3022</v>
      </c>
      <c r="X159" s="4" t="s">
        <v>3761</v>
      </c>
      <c r="Y159" s="4" t="s">
        <v>2953</v>
      </c>
      <c r="Z159" s="4" t="s">
        <v>2962</v>
      </c>
      <c r="AA159" s="4" t="s">
        <v>3041</v>
      </c>
      <c r="AB159" s="4" t="s">
        <v>2945</v>
      </c>
      <c r="AD159" s="10">
        <f t="shared" si="11"/>
        <v>4.2284708310206656E-2</v>
      </c>
      <c r="AE159" s="10">
        <f t="shared" si="8"/>
        <v>1.949484064825497E-2</v>
      </c>
      <c r="AF159" s="10">
        <f t="shared" si="9"/>
        <v>0</v>
      </c>
      <c r="AG159" s="10">
        <f t="shared" ca="1" si="10"/>
        <v>0.23542511005347322</v>
      </c>
    </row>
    <row r="160" spans="1:33" x14ac:dyDescent="0.25">
      <c r="A160" s="50" t="s">
        <v>3137</v>
      </c>
      <c r="B160" s="4">
        <v>163</v>
      </c>
      <c r="C160" s="53" t="s">
        <v>3138</v>
      </c>
      <c r="D160" s="4">
        <v>8.25</v>
      </c>
      <c r="E160" s="49">
        <v>11789</v>
      </c>
      <c r="F160" s="4">
        <v>20.440000000000001</v>
      </c>
      <c r="G160" s="4">
        <v>20.440000000000001</v>
      </c>
      <c r="H160" s="4" t="s">
        <v>3019</v>
      </c>
      <c r="I160" s="4" t="s">
        <v>3134</v>
      </c>
      <c r="J160" s="4">
        <v>0</v>
      </c>
      <c r="K160" s="4">
        <v>109</v>
      </c>
      <c r="L160" s="4">
        <v>178454</v>
      </c>
      <c r="M160" s="4">
        <v>0.04</v>
      </c>
      <c r="N160" s="4">
        <v>4.2634999999999999E-2</v>
      </c>
      <c r="O160" s="4">
        <v>7.39</v>
      </c>
      <c r="P160" s="4">
        <v>7.39</v>
      </c>
      <c r="Q160" s="4">
        <v>0</v>
      </c>
      <c r="R160" s="4">
        <v>0</v>
      </c>
      <c r="S160" s="4">
        <v>10.199999999999999</v>
      </c>
      <c r="T160" s="4">
        <v>1.56</v>
      </c>
      <c r="U160" s="4"/>
      <c r="V160" s="4" t="s">
        <v>3045</v>
      </c>
      <c r="W160" s="4" t="s">
        <v>3046</v>
      </c>
      <c r="X160" s="4" t="s">
        <v>3137</v>
      </c>
      <c r="Y160" s="4" t="s">
        <v>3136</v>
      </c>
      <c r="Z160" s="4" t="s">
        <v>2962</v>
      </c>
      <c r="AA160" s="4" t="s">
        <v>3041</v>
      </c>
      <c r="AB160" s="4" t="s">
        <v>2945</v>
      </c>
      <c r="AD160" s="10">
        <f t="shared" si="11"/>
        <v>4.4570019106115667E-2</v>
      </c>
      <c r="AE160" s="10">
        <f t="shared" si="8"/>
        <v>1.0792901580297923E-2</v>
      </c>
      <c r="AF160" s="10">
        <f t="shared" si="9"/>
        <v>0</v>
      </c>
      <c r="AG160" s="10">
        <f t="shared" ca="1" si="10"/>
        <v>0</v>
      </c>
    </row>
    <row r="161" spans="1:33" x14ac:dyDescent="0.25">
      <c r="A161" s="50" t="s">
        <v>795</v>
      </c>
      <c r="B161" s="4">
        <v>163</v>
      </c>
      <c r="C161" s="53" t="s">
        <v>3139</v>
      </c>
      <c r="D161" s="4">
        <v>7.65</v>
      </c>
      <c r="E161" s="49">
        <v>12950</v>
      </c>
      <c r="F161" s="4">
        <v>23.63</v>
      </c>
      <c r="G161" s="4">
        <v>23.63</v>
      </c>
      <c r="H161" s="4" t="s">
        <v>3019</v>
      </c>
      <c r="I161" s="4" t="s">
        <v>3134</v>
      </c>
      <c r="J161" s="4">
        <v>0</v>
      </c>
      <c r="K161" s="4">
        <v>101</v>
      </c>
      <c r="L161" s="4">
        <v>169341</v>
      </c>
      <c r="M161" s="4">
        <v>0.04</v>
      </c>
      <c r="N161" s="4">
        <v>4.0458000000000001E-2</v>
      </c>
      <c r="O161" s="4">
        <v>7.56</v>
      </c>
      <c r="P161" s="4">
        <v>7.56</v>
      </c>
      <c r="Q161" s="4">
        <v>0</v>
      </c>
      <c r="R161" s="4">
        <v>0</v>
      </c>
      <c r="S161" s="4">
        <v>10.62</v>
      </c>
      <c r="T161" s="4">
        <v>1.79</v>
      </c>
      <c r="U161" s="4"/>
      <c r="V161" s="4" t="s">
        <v>3045</v>
      </c>
      <c r="W161" s="4" t="s">
        <v>3046</v>
      </c>
      <c r="X161" s="4" t="s">
        <v>795</v>
      </c>
      <c r="Y161" s="4" t="s">
        <v>3136</v>
      </c>
      <c r="Z161" s="4" t="s">
        <v>2962</v>
      </c>
      <c r="AA161" s="4" t="s">
        <v>3067</v>
      </c>
      <c r="AB161" s="4" t="s">
        <v>2945</v>
      </c>
      <c r="AD161" s="10">
        <f t="shared" si="11"/>
        <v>4.4035506733467837E-2</v>
      </c>
      <c r="AE161" s="10">
        <f t="shared" si="8"/>
        <v>1.0477348914688897E-2</v>
      </c>
      <c r="AF161" s="10">
        <f t="shared" si="9"/>
        <v>0</v>
      </c>
      <c r="AG161" s="10">
        <f t="shared" ca="1" si="10"/>
        <v>0</v>
      </c>
    </row>
    <row r="162" spans="1:33" x14ac:dyDescent="0.25">
      <c r="A162" s="50">
        <v>131193203</v>
      </c>
      <c r="B162" s="4">
        <v>0</v>
      </c>
      <c r="C162" s="53" t="s">
        <v>3762</v>
      </c>
      <c r="D162" s="4">
        <v>0</v>
      </c>
      <c r="E162" s="4"/>
      <c r="F162" s="4">
        <v>0</v>
      </c>
      <c r="G162" s="4">
        <v>0</v>
      </c>
      <c r="H162" s="4" t="s">
        <v>3028</v>
      </c>
      <c r="I162" s="4" t="s">
        <v>3028</v>
      </c>
      <c r="J162" s="4">
        <v>0</v>
      </c>
      <c r="K162" s="4">
        <v>99.63</v>
      </c>
      <c r="L162" s="4">
        <v>19925</v>
      </c>
      <c r="M162" s="4">
        <v>0</v>
      </c>
      <c r="N162" s="4">
        <v>4.7600000000000003E-3</v>
      </c>
      <c r="O162" s="4">
        <v>6.15</v>
      </c>
      <c r="P162" s="4">
        <v>6.15</v>
      </c>
      <c r="Q162" s="4">
        <v>0</v>
      </c>
      <c r="R162" s="4">
        <v>0</v>
      </c>
      <c r="S162" s="4">
        <v>0</v>
      </c>
      <c r="T162" s="4">
        <v>0</v>
      </c>
      <c r="U162" s="4"/>
      <c r="V162" s="4" t="s">
        <v>3226</v>
      </c>
      <c r="W162" s="4" t="s">
        <v>3227</v>
      </c>
      <c r="X162" s="4" t="s">
        <v>3763</v>
      </c>
      <c r="Y162" s="4" t="s">
        <v>2961</v>
      </c>
      <c r="Z162" s="4" t="s">
        <v>2962</v>
      </c>
      <c r="AA162" s="4" t="s">
        <v>3024</v>
      </c>
      <c r="AB162" s="4" t="s">
        <v>2945</v>
      </c>
      <c r="AD162" s="10">
        <f t="shared" si="11"/>
        <v>0</v>
      </c>
      <c r="AE162" s="10">
        <f t="shared" si="8"/>
        <v>1.0028614497173858E-3</v>
      </c>
      <c r="AF162" s="10">
        <f t="shared" si="9"/>
        <v>0</v>
      </c>
      <c r="AG162" s="10">
        <f t="shared" ca="1" si="10"/>
        <v>0</v>
      </c>
    </row>
    <row r="163" spans="1:33" x14ac:dyDescent="0.25">
      <c r="A163" s="50" t="s">
        <v>3764</v>
      </c>
      <c r="B163" s="4">
        <v>732</v>
      </c>
      <c r="C163" s="53" t="s">
        <v>3765</v>
      </c>
      <c r="D163" s="4">
        <v>1.75</v>
      </c>
      <c r="E163" s="49">
        <v>41609</v>
      </c>
      <c r="F163" s="4">
        <v>2.09</v>
      </c>
      <c r="G163" s="4">
        <v>2.09</v>
      </c>
      <c r="H163" s="4" t="s">
        <v>3232</v>
      </c>
      <c r="I163" s="4" t="s">
        <v>3028</v>
      </c>
      <c r="J163" s="4">
        <v>0</v>
      </c>
      <c r="K163" s="4">
        <v>159.63</v>
      </c>
      <c r="L163" s="4">
        <v>1173793</v>
      </c>
      <c r="M163" s="4">
        <v>0.19</v>
      </c>
      <c r="N163" s="4">
        <v>0.28043400000000002</v>
      </c>
      <c r="O163" s="4">
        <v>1.1000000000000001</v>
      </c>
      <c r="P163" s="4">
        <v>1.1000000000000001</v>
      </c>
      <c r="Q163" s="4">
        <v>0</v>
      </c>
      <c r="R163" s="4">
        <v>0</v>
      </c>
      <c r="S163" s="4">
        <v>2.2799999999999998</v>
      </c>
      <c r="T163" s="4">
        <v>7.0000000000000007E-2</v>
      </c>
      <c r="U163" s="4"/>
      <c r="V163" s="4" t="s">
        <v>3426</v>
      </c>
      <c r="W163" s="4" t="s">
        <v>3766</v>
      </c>
      <c r="X163" s="4" t="s">
        <v>3767</v>
      </c>
      <c r="Y163" s="4" t="s">
        <v>2961</v>
      </c>
      <c r="Z163" s="4" t="s">
        <v>2962</v>
      </c>
      <c r="AA163" s="4" t="s">
        <v>3024</v>
      </c>
      <c r="AB163" s="4" t="s">
        <v>2945</v>
      </c>
      <c r="AD163" s="10">
        <f t="shared" si="11"/>
        <v>2.6779168374355844E-2</v>
      </c>
      <c r="AE163" s="10">
        <f t="shared" si="8"/>
        <v>-1.3343022871291632</v>
      </c>
      <c r="AF163" s="10">
        <f t="shared" si="9"/>
        <v>0</v>
      </c>
      <c r="AG163" s="10">
        <f t="shared" ca="1" si="10"/>
        <v>0</v>
      </c>
    </row>
    <row r="164" spans="1:33" x14ac:dyDescent="0.25">
      <c r="A164" s="50" t="s">
        <v>3768</v>
      </c>
      <c r="B164" s="4">
        <v>1630</v>
      </c>
      <c r="C164" s="53" t="s">
        <v>3769</v>
      </c>
      <c r="D164" s="4">
        <v>4.1500000000000004</v>
      </c>
      <c r="E164" s="49">
        <v>44105</v>
      </c>
      <c r="F164" s="4">
        <v>8.92</v>
      </c>
      <c r="G164" s="4">
        <v>8.92</v>
      </c>
      <c r="H164" s="4" t="s">
        <v>3446</v>
      </c>
      <c r="I164" s="4" t="s">
        <v>3127</v>
      </c>
      <c r="J164" s="4">
        <v>0</v>
      </c>
      <c r="K164" s="4">
        <v>100.42</v>
      </c>
      <c r="L164" s="4">
        <v>1642467</v>
      </c>
      <c r="M164" s="4">
        <v>0.42</v>
      </c>
      <c r="N164" s="4">
        <v>0.39240599999999998</v>
      </c>
      <c r="O164" s="4">
        <v>4.09</v>
      </c>
      <c r="P164" s="4">
        <v>4.09</v>
      </c>
      <c r="Q164" s="4">
        <v>203</v>
      </c>
      <c r="R164" s="4">
        <v>232</v>
      </c>
      <c r="S164" s="4">
        <v>7.37</v>
      </c>
      <c r="T164" s="4">
        <v>0.67</v>
      </c>
      <c r="U164" s="4"/>
      <c r="V164" s="4" t="s">
        <v>3124</v>
      </c>
      <c r="W164" s="4" t="s">
        <v>3125</v>
      </c>
      <c r="X164" s="4" t="s">
        <v>3770</v>
      </c>
      <c r="Y164" s="4" t="s">
        <v>3191</v>
      </c>
      <c r="Z164" s="4" t="s">
        <v>2962</v>
      </c>
      <c r="AA164" s="4" t="s">
        <v>3041</v>
      </c>
      <c r="AB164" s="4" t="s">
        <v>2945</v>
      </c>
      <c r="AD164" s="10">
        <f t="shared" si="11"/>
        <v>0.18516608321289107</v>
      </c>
      <c r="AE164" s="10">
        <f t="shared" si="8"/>
        <v>5.9194724877486907E-2</v>
      </c>
      <c r="AF164" s="10">
        <f t="shared" si="9"/>
        <v>4.3607386841043567</v>
      </c>
      <c r="AG164" s="10">
        <f t="shared" ca="1" si="10"/>
        <v>0</v>
      </c>
    </row>
    <row r="165" spans="1:33" x14ac:dyDescent="0.25">
      <c r="A165" s="50" t="s">
        <v>3771</v>
      </c>
      <c r="B165" s="4">
        <v>256</v>
      </c>
      <c r="C165" s="53" t="s">
        <v>3772</v>
      </c>
      <c r="D165" s="4">
        <v>0.30499999999999999</v>
      </c>
      <c r="E165" s="49">
        <v>13630</v>
      </c>
      <c r="F165" s="4">
        <v>25.49</v>
      </c>
      <c r="G165" s="4">
        <v>0.9</v>
      </c>
      <c r="H165" s="4" t="s">
        <v>3120</v>
      </c>
      <c r="I165" s="4" t="s">
        <v>3020</v>
      </c>
      <c r="J165" s="4">
        <v>0</v>
      </c>
      <c r="K165" s="4">
        <v>91.82</v>
      </c>
      <c r="L165" s="4">
        <v>234749</v>
      </c>
      <c r="M165" s="4">
        <v>7.0000000000000007E-2</v>
      </c>
      <c r="N165" s="4">
        <v>5.6085000000000003E-2</v>
      </c>
      <c r="O165" s="4">
        <v>5</v>
      </c>
      <c r="P165" s="4">
        <v>5</v>
      </c>
      <c r="Q165" s="4">
        <v>900</v>
      </c>
      <c r="R165" s="4">
        <v>900</v>
      </c>
      <c r="S165" s="4">
        <v>0.1</v>
      </c>
      <c r="T165" s="4">
        <v>-0.01</v>
      </c>
      <c r="U165" s="4" t="s">
        <v>3049</v>
      </c>
      <c r="V165" s="4" t="s">
        <v>3520</v>
      </c>
      <c r="W165" s="4" t="s">
        <v>3589</v>
      </c>
      <c r="X165" s="4" t="s">
        <v>3773</v>
      </c>
      <c r="Y165" s="4" t="s">
        <v>2961</v>
      </c>
      <c r="Z165" s="4" t="s">
        <v>2962</v>
      </c>
      <c r="AA165" s="4" t="s">
        <v>3024</v>
      </c>
      <c r="AB165" s="4" t="s">
        <v>2945</v>
      </c>
      <c r="AD165" s="10">
        <f t="shared" si="11"/>
        <v>1.6479268563618853E-4</v>
      </c>
      <c r="AE165" s="10">
        <f t="shared" si="8"/>
        <v>1.0342768427992781E-2</v>
      </c>
      <c r="AF165" s="10">
        <f t="shared" si="9"/>
        <v>7.9721454635686024</v>
      </c>
      <c r="AG165" s="10">
        <f t="shared" ca="1" si="10"/>
        <v>0</v>
      </c>
    </row>
    <row r="166" spans="1:33" x14ac:dyDescent="0.25">
      <c r="A166" s="50" t="s">
        <v>3774</v>
      </c>
      <c r="B166" s="4">
        <v>550</v>
      </c>
      <c r="C166" s="53" t="s">
        <v>3775</v>
      </c>
      <c r="D166" s="4">
        <v>10.75</v>
      </c>
      <c r="E166" s="49">
        <v>43327</v>
      </c>
      <c r="F166" s="4">
        <v>6.79</v>
      </c>
      <c r="G166" s="4">
        <v>2.79</v>
      </c>
      <c r="H166" s="4" t="s">
        <v>3019</v>
      </c>
      <c r="I166" s="4" t="s">
        <v>3432</v>
      </c>
      <c r="J166" s="4">
        <v>0</v>
      </c>
      <c r="K166" s="4">
        <v>101</v>
      </c>
      <c r="L166" s="4">
        <v>567982</v>
      </c>
      <c r="M166" s="4">
        <v>0.14000000000000001</v>
      </c>
      <c r="N166" s="4">
        <v>0.13569800000000001</v>
      </c>
      <c r="O166" s="4">
        <v>10.53</v>
      </c>
      <c r="P166" s="4">
        <v>10.47</v>
      </c>
      <c r="Q166" s="4">
        <v>942</v>
      </c>
      <c r="R166" s="4">
        <v>901</v>
      </c>
      <c r="S166" s="4">
        <v>3.6</v>
      </c>
      <c r="T166" s="4">
        <v>0.19</v>
      </c>
      <c r="U166" s="4"/>
      <c r="V166" s="4" t="s">
        <v>3209</v>
      </c>
      <c r="W166" s="4" t="s">
        <v>3776</v>
      </c>
      <c r="X166" s="4" t="s">
        <v>3777</v>
      </c>
      <c r="Y166" s="4" t="s">
        <v>2961</v>
      </c>
      <c r="Z166" s="4" t="s">
        <v>2962</v>
      </c>
      <c r="AA166" s="4" t="s">
        <v>3024</v>
      </c>
      <c r="AB166" s="4" t="s">
        <v>2945</v>
      </c>
      <c r="AD166" s="10">
        <f t="shared" si="11"/>
        <v>2.0460102121839269E-2</v>
      </c>
      <c r="AE166" s="10">
        <f t="shared" si="8"/>
        <v>0.13995310696537155</v>
      </c>
      <c r="AF166" s="10">
        <f t="shared" si="9"/>
        <v>19.310268733102866</v>
      </c>
      <c r="AG166" s="10">
        <f t="shared" ca="1" si="10"/>
        <v>0</v>
      </c>
    </row>
    <row r="167" spans="1:33" x14ac:dyDescent="0.25">
      <c r="A167" s="50" t="s">
        <v>3778</v>
      </c>
      <c r="B167" s="4">
        <v>2300</v>
      </c>
      <c r="C167" s="53" t="s">
        <v>3779</v>
      </c>
      <c r="D167" s="4">
        <v>4.6500000000000004</v>
      </c>
      <c r="E167" s="49">
        <v>44348</v>
      </c>
      <c r="F167" s="4">
        <v>9.59</v>
      </c>
      <c r="G167" s="4">
        <v>9.34</v>
      </c>
      <c r="H167" s="4" t="s">
        <v>3054</v>
      </c>
      <c r="I167" s="4" t="s">
        <v>3083</v>
      </c>
      <c r="J167" s="4">
        <v>0</v>
      </c>
      <c r="K167" s="4">
        <v>99.27</v>
      </c>
      <c r="L167" s="4">
        <v>2333442</v>
      </c>
      <c r="M167" s="4">
        <v>0.59</v>
      </c>
      <c r="N167" s="4">
        <v>0.55748799999999998</v>
      </c>
      <c r="O167" s="4">
        <v>4.74</v>
      </c>
      <c r="P167" s="4">
        <v>4.74</v>
      </c>
      <c r="Q167" s="4">
        <v>255</v>
      </c>
      <c r="R167" s="4">
        <v>286</v>
      </c>
      <c r="S167" s="4">
        <v>7.49</v>
      </c>
      <c r="T167" s="4">
        <v>0.71</v>
      </c>
      <c r="U167" s="4"/>
      <c r="V167" s="4" t="s">
        <v>3124</v>
      </c>
      <c r="W167" s="4" t="s">
        <v>3466</v>
      </c>
      <c r="X167" s="4" t="s">
        <v>3780</v>
      </c>
      <c r="Y167" s="4" t="s">
        <v>2961</v>
      </c>
      <c r="Z167" s="4" t="s">
        <v>2962</v>
      </c>
      <c r="AA167" s="4" t="s">
        <v>3024</v>
      </c>
      <c r="AB167" s="4" t="s">
        <v>2945</v>
      </c>
      <c r="AD167" s="10">
        <f t="shared" si="11"/>
        <v>0.26734750035736876</v>
      </c>
      <c r="AE167" s="10">
        <f t="shared" si="8"/>
        <v>9.7462690930962048E-2</v>
      </c>
      <c r="AF167" s="10">
        <f t="shared" si="9"/>
        <v>7.6372757014268826</v>
      </c>
      <c r="AG167" s="10">
        <f t="shared" ca="1" si="10"/>
        <v>0</v>
      </c>
    </row>
    <row r="168" spans="1:33" x14ac:dyDescent="0.25">
      <c r="A168" s="50" t="s">
        <v>3781</v>
      </c>
      <c r="B168" s="4">
        <v>266</v>
      </c>
      <c r="C168" s="53" t="s">
        <v>3782</v>
      </c>
      <c r="D168" s="4">
        <v>4.25</v>
      </c>
      <c r="E168" s="49">
        <v>42689</v>
      </c>
      <c r="F168" s="4">
        <v>5.04</v>
      </c>
      <c r="G168" s="4">
        <v>5.04</v>
      </c>
      <c r="H168" s="4" t="s">
        <v>3181</v>
      </c>
      <c r="I168" s="4" t="s">
        <v>3134</v>
      </c>
      <c r="J168" s="4">
        <f>IF(Z168="US",K168,VLOOKUP(Z168,'3032'!$AL$4:$AM$20,2,FALSE)*K168)</f>
        <v>149.25</v>
      </c>
      <c r="K168" s="4">
        <v>149.25</v>
      </c>
      <c r="L168" s="4">
        <v>402218</v>
      </c>
      <c r="M168" s="4">
        <v>7.0000000000000007E-2</v>
      </c>
      <c r="N168" s="4">
        <v>9.6095E-2</v>
      </c>
      <c r="O168" s="4">
        <v>2.85</v>
      </c>
      <c r="P168" s="4">
        <v>2.85</v>
      </c>
      <c r="Q168" s="4">
        <v>0</v>
      </c>
      <c r="R168" s="4">
        <v>0</v>
      </c>
      <c r="S168" s="4">
        <v>4.7300000000000004</v>
      </c>
      <c r="T168" s="4">
        <v>0.26</v>
      </c>
      <c r="U168" s="4"/>
      <c r="V168" s="4" t="s">
        <v>3421</v>
      </c>
      <c r="W168" s="4" t="s">
        <v>3783</v>
      </c>
      <c r="X168" s="4" t="s">
        <v>3784</v>
      </c>
      <c r="Y168" s="4" t="s">
        <v>2961</v>
      </c>
      <c r="Z168" s="4" t="s">
        <v>2962</v>
      </c>
      <c r="AA168" s="4" t="s">
        <v>3024</v>
      </c>
      <c r="AB168" s="4" t="s">
        <v>2945</v>
      </c>
      <c r="AD168" s="10">
        <f t="shared" si="11"/>
        <v>3.4198359750947781E-2</v>
      </c>
      <c r="AE168" s="10">
        <f t="shared" si="8"/>
        <v>1.4025490779362453E-2</v>
      </c>
      <c r="AF168" s="10">
        <f t="shared" si="9"/>
        <v>0</v>
      </c>
      <c r="AG168" s="10">
        <f t="shared" ca="1" si="10"/>
        <v>13.679896072868857</v>
      </c>
    </row>
    <row r="169" spans="1:33" x14ac:dyDescent="0.25">
      <c r="A169" s="50" t="s">
        <v>3785</v>
      </c>
      <c r="B169" s="4">
        <v>229</v>
      </c>
      <c r="C169" s="53" t="s">
        <v>3786</v>
      </c>
      <c r="D169" s="4">
        <v>6.625</v>
      </c>
      <c r="E169" s="49">
        <v>47027</v>
      </c>
      <c r="F169" s="4">
        <v>16.920000000000002</v>
      </c>
      <c r="G169" s="4">
        <v>16.920000000000002</v>
      </c>
      <c r="H169" s="4" t="s">
        <v>3181</v>
      </c>
      <c r="I169" s="4" t="s">
        <v>3134</v>
      </c>
      <c r="J169" s="4">
        <f>IF(Z169="US",K169,VLOOKUP(Z169,'3032'!$AL$4:$AM$20,2,FALSE)*K169)</f>
        <v>106.24</v>
      </c>
      <c r="K169" s="4">
        <v>106.24</v>
      </c>
      <c r="L169" s="4">
        <v>244545</v>
      </c>
      <c r="M169" s="4">
        <v>0.06</v>
      </c>
      <c r="N169" s="4">
        <v>5.8424999999999998E-2</v>
      </c>
      <c r="O169" s="4">
        <v>6.03</v>
      </c>
      <c r="P169" s="4">
        <v>6.03</v>
      </c>
      <c r="Q169" s="4">
        <v>307</v>
      </c>
      <c r="R169" s="4">
        <v>332</v>
      </c>
      <c r="S169" s="4">
        <v>10.26</v>
      </c>
      <c r="T169" s="4">
        <v>1.51</v>
      </c>
      <c r="U169" s="4"/>
      <c r="V169" s="4" t="s">
        <v>3421</v>
      </c>
      <c r="W169" s="4" t="s">
        <v>3783</v>
      </c>
      <c r="X169" s="4" t="s">
        <v>3787</v>
      </c>
      <c r="Y169" s="4" t="s">
        <v>2961</v>
      </c>
      <c r="Z169" s="4" t="s">
        <v>2962</v>
      </c>
      <c r="AA169" s="4" t="s">
        <v>3024</v>
      </c>
      <c r="AB169" s="4" t="s">
        <v>2945</v>
      </c>
      <c r="AD169" s="10">
        <f t="shared" si="11"/>
        <v>6.1435940325177379E-2</v>
      </c>
      <c r="AE169" s="10">
        <f t="shared" si="8"/>
        <v>1.206823035099887E-2</v>
      </c>
      <c r="AF169" s="10">
        <f t="shared" si="9"/>
        <v>0.92912104322189282</v>
      </c>
      <c r="AG169" s="10">
        <f t="shared" ca="1" si="10"/>
        <v>0.11742210284449862</v>
      </c>
    </row>
    <row r="170" spans="1:33" x14ac:dyDescent="0.25">
      <c r="A170" s="50" t="s">
        <v>3788</v>
      </c>
      <c r="B170" s="4">
        <v>127</v>
      </c>
      <c r="C170" s="53" t="s">
        <v>3789</v>
      </c>
      <c r="D170" s="4">
        <v>9.3000000000000007</v>
      </c>
      <c r="E170" s="49">
        <v>11018</v>
      </c>
      <c r="F170" s="4">
        <v>18.34</v>
      </c>
      <c r="G170" s="4">
        <v>18.34</v>
      </c>
      <c r="H170" s="4" t="s">
        <v>3181</v>
      </c>
      <c r="I170" s="4" t="s">
        <v>3134</v>
      </c>
      <c r="J170" s="4">
        <f>IF(Z170="US",K170,VLOOKUP(Z170,'3032'!$AL$4:$AM$20,2,FALSE)*K170)</f>
        <v>132</v>
      </c>
      <c r="K170" s="4">
        <v>132</v>
      </c>
      <c r="L170" s="4">
        <v>169609</v>
      </c>
      <c r="M170" s="4">
        <v>0.03</v>
      </c>
      <c r="N170" s="4">
        <v>4.0522000000000002E-2</v>
      </c>
      <c r="O170" s="4">
        <v>6.33</v>
      </c>
      <c r="P170" s="4">
        <v>6.33</v>
      </c>
      <c r="Q170" s="4">
        <v>316</v>
      </c>
      <c r="R170" s="4">
        <v>350</v>
      </c>
      <c r="S170" s="4">
        <v>9.85</v>
      </c>
      <c r="T170" s="4">
        <v>1.47</v>
      </c>
      <c r="U170" s="4"/>
      <c r="V170" s="4" t="s">
        <v>3421</v>
      </c>
      <c r="W170" s="4" t="s">
        <v>3783</v>
      </c>
      <c r="X170" s="4" t="s">
        <v>3790</v>
      </c>
      <c r="Y170" s="4" t="s">
        <v>2961</v>
      </c>
      <c r="Z170" s="4" t="s">
        <v>2962</v>
      </c>
      <c r="AA170" s="4" t="s">
        <v>3024</v>
      </c>
      <c r="AB170" s="4" t="s">
        <v>2945</v>
      </c>
      <c r="AD170" s="10">
        <f t="shared" si="11"/>
        <v>0.11658266088231788</v>
      </c>
      <c r="AE170" s="10">
        <f t="shared" si="8"/>
        <v>8.7865846017442205E-3</v>
      </c>
      <c r="AF170" s="10">
        <f t="shared" si="9"/>
        <v>0.67934809663653328</v>
      </c>
      <c r="AG170" s="10">
        <f t="shared" ca="1" si="10"/>
        <v>1.1835912310034202</v>
      </c>
    </row>
    <row r="171" spans="1:33" x14ac:dyDescent="0.25">
      <c r="A171" s="50" t="s">
        <v>3791</v>
      </c>
      <c r="B171" s="4">
        <v>603</v>
      </c>
      <c r="C171" s="53" t="s">
        <v>3792</v>
      </c>
      <c r="D171" s="4">
        <v>7.2</v>
      </c>
      <c r="E171" s="49">
        <v>17729</v>
      </c>
      <c r="F171" s="4">
        <v>36.71</v>
      </c>
      <c r="G171" s="4">
        <v>36.71</v>
      </c>
      <c r="H171" s="4" t="s">
        <v>3059</v>
      </c>
      <c r="I171" s="4" t="s">
        <v>3076</v>
      </c>
      <c r="J171" s="4">
        <v>0</v>
      </c>
      <c r="K171" s="4">
        <v>109.28</v>
      </c>
      <c r="L171" s="4">
        <v>680640</v>
      </c>
      <c r="M171" s="4">
        <v>0.16</v>
      </c>
      <c r="N171" s="4">
        <v>0.16261300000000001</v>
      </c>
      <c r="O171" s="4">
        <v>6.53</v>
      </c>
      <c r="P171" s="4">
        <v>6.53</v>
      </c>
      <c r="Q171" s="4">
        <v>329</v>
      </c>
      <c r="R171" s="4">
        <v>358</v>
      </c>
      <c r="S171" s="4">
        <v>13.24</v>
      </c>
      <c r="T171" s="4">
        <v>3.07</v>
      </c>
      <c r="U171" s="4"/>
      <c r="V171" s="4" t="s">
        <v>3398</v>
      </c>
      <c r="W171" s="4" t="s">
        <v>3407</v>
      </c>
      <c r="X171" s="4" t="s">
        <v>3793</v>
      </c>
      <c r="Y171" s="4" t="s">
        <v>2961</v>
      </c>
      <c r="Z171" s="4" t="s">
        <v>2962</v>
      </c>
      <c r="AA171" s="4" t="s">
        <v>3041</v>
      </c>
      <c r="AB171" s="4" t="s">
        <v>2945</v>
      </c>
      <c r="AD171" s="10">
        <f t="shared" si="11"/>
        <v>0.2206590859412324</v>
      </c>
      <c r="AE171" s="10">
        <f t="shared" si="8"/>
        <v>3.6374592852430256E-2</v>
      </c>
      <c r="AF171" s="10">
        <f t="shared" si="9"/>
        <v>2.7885338443310208</v>
      </c>
      <c r="AG171" s="10">
        <f t="shared" ca="1" si="10"/>
        <v>0</v>
      </c>
    </row>
    <row r="172" spans="1:33" x14ac:dyDescent="0.25">
      <c r="A172" s="50" t="s">
        <v>3794</v>
      </c>
      <c r="B172" s="4">
        <v>791</v>
      </c>
      <c r="C172" s="53" t="s">
        <v>3795</v>
      </c>
      <c r="D172" s="4">
        <v>8.375</v>
      </c>
      <c r="E172" s="49">
        <v>42826</v>
      </c>
      <c r="F172" s="4">
        <v>5.42</v>
      </c>
      <c r="G172" s="4">
        <v>0.42</v>
      </c>
      <c r="H172" s="4" t="s">
        <v>3161</v>
      </c>
      <c r="I172" s="4" t="s">
        <v>3083</v>
      </c>
      <c r="J172" s="4">
        <v>0</v>
      </c>
      <c r="K172" s="4">
        <v>107</v>
      </c>
      <c r="L172" s="4">
        <v>851891</v>
      </c>
      <c r="M172" s="4">
        <v>0.2</v>
      </c>
      <c r="N172" s="4">
        <v>0.20352700000000001</v>
      </c>
      <c r="O172" s="4">
        <v>6.81</v>
      </c>
      <c r="P172" s="4">
        <v>1.5</v>
      </c>
      <c r="Q172" s="4">
        <v>153</v>
      </c>
      <c r="R172" s="4">
        <v>151</v>
      </c>
      <c r="S172" s="4">
        <v>0.41</v>
      </c>
      <c r="T172" s="4">
        <v>0</v>
      </c>
      <c r="U172" s="4"/>
      <c r="V172" s="4" t="s">
        <v>3037</v>
      </c>
      <c r="W172" s="4" t="s">
        <v>3038</v>
      </c>
      <c r="X172" s="4" t="s">
        <v>3796</v>
      </c>
      <c r="Y172" s="4" t="s">
        <v>2961</v>
      </c>
      <c r="Z172" s="4" t="s">
        <v>2962</v>
      </c>
      <c r="AA172" s="4" t="s">
        <v>3024</v>
      </c>
      <c r="AB172" s="4" t="s">
        <v>2945</v>
      </c>
      <c r="AD172" s="10">
        <f t="shared" si="11"/>
        <v>2.4518961257049996E-3</v>
      </c>
      <c r="AE172" s="10">
        <f t="shared" si="8"/>
        <v>-1.3205210214989316</v>
      </c>
      <c r="AF172" s="10">
        <f t="shared" si="9"/>
        <v>1.1961715288716988</v>
      </c>
      <c r="AG172" s="10">
        <f t="shared" ca="1" si="10"/>
        <v>0</v>
      </c>
    </row>
    <row r="173" spans="1:33" x14ac:dyDescent="0.25">
      <c r="A173" s="50" t="s">
        <v>3797</v>
      </c>
      <c r="B173" s="4">
        <v>1043</v>
      </c>
      <c r="C173" s="53" t="s">
        <v>3798</v>
      </c>
      <c r="D173" s="4">
        <v>2.1779999999999999</v>
      </c>
      <c r="E173" s="49">
        <v>42000</v>
      </c>
      <c r="F173" s="4">
        <v>3.16</v>
      </c>
      <c r="G173" s="4">
        <v>3.16</v>
      </c>
      <c r="H173" s="4" t="s">
        <v>3120</v>
      </c>
      <c r="I173" s="4" t="s">
        <v>3036</v>
      </c>
      <c r="J173" s="4">
        <v>0</v>
      </c>
      <c r="K173" s="4">
        <v>94.33</v>
      </c>
      <c r="L173" s="4">
        <v>985853</v>
      </c>
      <c r="M173" s="4">
        <v>0.27</v>
      </c>
      <c r="N173" s="4">
        <v>0.23553299999999999</v>
      </c>
      <c r="O173" s="4">
        <v>4.18</v>
      </c>
      <c r="P173" s="4">
        <v>4.18</v>
      </c>
      <c r="Q173" s="4">
        <v>193</v>
      </c>
      <c r="R173" s="4">
        <v>0</v>
      </c>
      <c r="S173" s="4">
        <v>0.25</v>
      </c>
      <c r="T173" s="4">
        <v>0.16</v>
      </c>
      <c r="U173" s="4" t="s">
        <v>3049</v>
      </c>
      <c r="V173" s="4" t="s">
        <v>3421</v>
      </c>
      <c r="W173" s="4" t="s">
        <v>3422</v>
      </c>
      <c r="X173" s="4" t="s">
        <v>3799</v>
      </c>
      <c r="Y173" s="4" t="s">
        <v>2961</v>
      </c>
      <c r="Z173" s="4" t="s">
        <v>2962</v>
      </c>
      <c r="AA173" s="4" t="s">
        <v>3032</v>
      </c>
      <c r="AB173" s="4" t="s">
        <v>2945</v>
      </c>
      <c r="AD173" s="10">
        <f t="shared" si="11"/>
        <v>1.7301603362793172E-3</v>
      </c>
      <c r="AE173" s="10">
        <f t="shared" si="8"/>
        <v>3.6312110384381119E-2</v>
      </c>
      <c r="AF173" s="10">
        <f t="shared" si="9"/>
        <v>0</v>
      </c>
      <c r="AG173" s="10">
        <f t="shared" ca="1" si="10"/>
        <v>0</v>
      </c>
    </row>
    <row r="174" spans="1:33" x14ac:dyDescent="0.25">
      <c r="A174" s="50" t="s">
        <v>3800</v>
      </c>
      <c r="B174" s="4">
        <v>532</v>
      </c>
      <c r="C174" s="53" t="s">
        <v>3798</v>
      </c>
      <c r="D174" s="4">
        <v>2.1779999999999999</v>
      </c>
      <c r="E174" s="49">
        <v>42365</v>
      </c>
      <c r="F174" s="4">
        <v>4.16</v>
      </c>
      <c r="G174" s="4">
        <v>4.16</v>
      </c>
      <c r="H174" s="4" t="s">
        <v>3120</v>
      </c>
      <c r="I174" s="4" t="s">
        <v>3036</v>
      </c>
      <c r="J174" s="4">
        <v>0</v>
      </c>
      <c r="K174" s="4">
        <v>94.33</v>
      </c>
      <c r="L174" s="4">
        <v>502504</v>
      </c>
      <c r="M174" s="4">
        <v>0.14000000000000001</v>
      </c>
      <c r="N174" s="4">
        <v>0.12005399999999999</v>
      </c>
      <c r="O174" s="4">
        <v>3.73</v>
      </c>
      <c r="P174" s="4">
        <v>3.73</v>
      </c>
      <c r="Q174" s="4">
        <v>193</v>
      </c>
      <c r="R174" s="4">
        <v>0</v>
      </c>
      <c r="S174" s="4">
        <v>0.25</v>
      </c>
      <c r="T174" s="4">
        <v>0.26</v>
      </c>
      <c r="U174" s="4" t="s">
        <v>3049</v>
      </c>
      <c r="V174" s="4" t="s">
        <v>3421</v>
      </c>
      <c r="W174" s="4" t="s">
        <v>3422</v>
      </c>
      <c r="X174" s="4" t="s">
        <v>3801</v>
      </c>
      <c r="Y174" s="4" t="s">
        <v>2961</v>
      </c>
      <c r="Z174" s="4" t="s">
        <v>2962</v>
      </c>
      <c r="AA174" s="4" t="s">
        <v>3032</v>
      </c>
      <c r="AB174" s="4" t="s">
        <v>2945</v>
      </c>
      <c r="AD174" s="10">
        <f t="shared" si="11"/>
        <v>8.8188856718162041E-4</v>
      </c>
      <c r="AE174" s="10">
        <f t="shared" si="8"/>
        <v>2.2932957160746253E-2</v>
      </c>
      <c r="AF174" s="10">
        <f t="shared" si="9"/>
        <v>0</v>
      </c>
      <c r="AG174" s="10">
        <f t="shared" ca="1" si="10"/>
        <v>0</v>
      </c>
    </row>
    <row r="175" spans="1:33" x14ac:dyDescent="0.25">
      <c r="A175" s="50" t="s">
        <v>3802</v>
      </c>
      <c r="B175" s="4">
        <v>591</v>
      </c>
      <c r="C175" s="53" t="s">
        <v>3803</v>
      </c>
      <c r="D175" s="4">
        <v>9.125</v>
      </c>
      <c r="E175" s="49">
        <v>43009</v>
      </c>
      <c r="F175" s="4">
        <v>5.92</v>
      </c>
      <c r="G175" s="4">
        <v>1.92</v>
      </c>
      <c r="H175" s="4" t="s">
        <v>3120</v>
      </c>
      <c r="I175" s="4" t="s">
        <v>3036</v>
      </c>
      <c r="J175" s="4">
        <v>0</v>
      </c>
      <c r="K175" s="4">
        <v>106</v>
      </c>
      <c r="L175" s="4">
        <v>630954</v>
      </c>
      <c r="M175" s="4">
        <v>0.15</v>
      </c>
      <c r="N175" s="4">
        <v>0.15074299999999999</v>
      </c>
      <c r="O175" s="4">
        <v>7.84</v>
      </c>
      <c r="P175" s="4">
        <v>7.33</v>
      </c>
      <c r="Q175" s="4">
        <v>656</v>
      </c>
      <c r="R175" s="4">
        <v>626</v>
      </c>
      <c r="S175" s="4">
        <v>3.26</v>
      </c>
      <c r="T175" s="4">
        <v>-7.0000000000000007E-2</v>
      </c>
      <c r="U175" s="4"/>
      <c r="V175" s="4" t="s">
        <v>3124</v>
      </c>
      <c r="W175" s="4" t="s">
        <v>3466</v>
      </c>
      <c r="X175" s="4" t="s">
        <v>3804</v>
      </c>
      <c r="Y175" s="4" t="s">
        <v>2961</v>
      </c>
      <c r="Z175" s="4" t="s">
        <v>2962</v>
      </c>
      <c r="AA175" s="4" t="s">
        <v>3024</v>
      </c>
      <c r="AB175" s="4" t="s">
        <v>2945</v>
      </c>
      <c r="AD175" s="10">
        <f t="shared" si="11"/>
        <v>2.0581926439099053E-2</v>
      </c>
      <c r="AE175" s="10">
        <f t="shared" si="8"/>
        <v>3.7850285874898575E-2</v>
      </c>
      <c r="AF175" s="10">
        <f t="shared" si="9"/>
        <v>6.8506791990570006</v>
      </c>
      <c r="AG175" s="10">
        <f t="shared" ca="1" si="10"/>
        <v>0</v>
      </c>
    </row>
    <row r="176" spans="1:33" x14ac:dyDescent="0.25">
      <c r="A176" s="50" t="s">
        <v>3805</v>
      </c>
      <c r="B176" s="4">
        <v>1549</v>
      </c>
      <c r="C176" s="53" t="s">
        <v>3806</v>
      </c>
      <c r="D176" s="4">
        <v>7.625</v>
      </c>
      <c r="E176" s="49">
        <v>42931</v>
      </c>
      <c r="F176" s="4">
        <v>5.71</v>
      </c>
      <c r="G176" s="4">
        <v>1.71</v>
      </c>
      <c r="H176" s="4" t="s">
        <v>3019</v>
      </c>
      <c r="I176" s="4" t="s">
        <v>3134</v>
      </c>
      <c r="J176" s="4">
        <v>0</v>
      </c>
      <c r="K176" s="4">
        <v>108.75</v>
      </c>
      <c r="L176" s="4">
        <v>1719315</v>
      </c>
      <c r="M176" s="4">
        <v>0.4</v>
      </c>
      <c r="N176" s="4">
        <v>0.41076600000000002</v>
      </c>
      <c r="O176" s="4">
        <v>5.8</v>
      </c>
      <c r="P176" s="4">
        <v>5.42</v>
      </c>
      <c r="Q176" s="4">
        <v>520</v>
      </c>
      <c r="R176" s="4">
        <v>418</v>
      </c>
      <c r="S176" s="4">
        <v>1.56</v>
      </c>
      <c r="T176" s="4">
        <v>-0.56999999999999995</v>
      </c>
      <c r="U176" s="4"/>
      <c r="V176" s="4" t="s">
        <v>3426</v>
      </c>
      <c r="W176" s="4" t="s">
        <v>3807</v>
      </c>
      <c r="X176" s="4" t="s">
        <v>3808</v>
      </c>
      <c r="Y176" s="4" t="s">
        <v>2961</v>
      </c>
      <c r="Z176" s="4" t="s">
        <v>2962</v>
      </c>
      <c r="AA176" s="4" t="s">
        <v>3024</v>
      </c>
      <c r="AB176" s="4" t="s">
        <v>2945</v>
      </c>
      <c r="AD176" s="10">
        <f t="shared" si="11"/>
        <v>1.8828435334555218E-2</v>
      </c>
      <c r="AE176" s="10">
        <f t="shared" si="8"/>
        <v>8.2114108939145461E-2</v>
      </c>
      <c r="AF176" s="10">
        <f t="shared" si="9"/>
        <v>6.0523002577421057</v>
      </c>
      <c r="AG176" s="10">
        <f t="shared" ca="1" si="10"/>
        <v>0</v>
      </c>
    </row>
    <row r="177" spans="1:33" x14ac:dyDescent="0.25">
      <c r="A177" s="50" t="s">
        <v>3809</v>
      </c>
      <c r="B177" s="4">
        <v>1100</v>
      </c>
      <c r="C177" s="53" t="s">
        <v>3810</v>
      </c>
      <c r="D177" s="4">
        <v>9.25</v>
      </c>
      <c r="E177" s="49">
        <v>44119</v>
      </c>
      <c r="F177" s="4">
        <v>8.9600000000000009</v>
      </c>
      <c r="G177" s="4">
        <v>3.46</v>
      </c>
      <c r="H177" s="4" t="s">
        <v>3120</v>
      </c>
      <c r="I177" s="4" t="s">
        <v>3311</v>
      </c>
      <c r="J177" s="4">
        <f>IF(Z177="US",K177,VLOOKUP(Z177,'3032'!$AL$4:$AM$20,2,FALSE)*K177)</f>
        <v>90</v>
      </c>
      <c r="K177" s="4">
        <v>90</v>
      </c>
      <c r="L177" s="4">
        <v>994522</v>
      </c>
      <c r="M177" s="4">
        <v>0.28000000000000003</v>
      </c>
      <c r="N177" s="4">
        <v>0.23760400000000001</v>
      </c>
      <c r="O177" s="4">
        <v>11.03</v>
      </c>
      <c r="P177" s="4">
        <v>11.03</v>
      </c>
      <c r="Q177" s="4">
        <v>865</v>
      </c>
      <c r="R177" s="4">
        <v>891</v>
      </c>
      <c r="S177" s="4">
        <v>5.77</v>
      </c>
      <c r="T177" s="4">
        <v>0.47</v>
      </c>
      <c r="U177" s="4"/>
      <c r="V177" s="4" t="s">
        <v>3124</v>
      </c>
      <c r="W177" s="4" t="s">
        <v>3513</v>
      </c>
      <c r="X177" s="4" t="s">
        <v>3811</v>
      </c>
      <c r="Y177" s="4" t="s">
        <v>3040</v>
      </c>
      <c r="Z177" s="4" t="s">
        <v>2962</v>
      </c>
      <c r="AA177" s="4" t="s">
        <v>3041</v>
      </c>
      <c r="AB177" s="4" t="s">
        <v>2945</v>
      </c>
      <c r="AD177" s="10">
        <f t="shared" si="11"/>
        <v>0.10315085722609943</v>
      </c>
      <c r="AE177" s="10">
        <f t="shared" si="8"/>
        <v>0.25816133431198368</v>
      </c>
      <c r="AF177" s="10">
        <f t="shared" si="9"/>
        <v>33.436518622920573</v>
      </c>
      <c r="AG177" s="10">
        <f t="shared" ca="1" si="10"/>
        <v>0.88272071375865913</v>
      </c>
    </row>
    <row r="178" spans="1:33" x14ac:dyDescent="0.25">
      <c r="A178" s="50" t="s">
        <v>3812</v>
      </c>
      <c r="B178" s="4">
        <v>3500</v>
      </c>
      <c r="C178" s="53" t="s">
        <v>3813</v>
      </c>
      <c r="D178" s="4">
        <v>8</v>
      </c>
      <c r="E178" s="49">
        <v>42719</v>
      </c>
      <c r="F178" s="4">
        <v>5.13</v>
      </c>
      <c r="G178" s="4">
        <v>5.13</v>
      </c>
      <c r="H178" s="4" t="s">
        <v>3181</v>
      </c>
      <c r="I178" s="4" t="s">
        <v>3116</v>
      </c>
      <c r="J178" s="4">
        <f>IF(Z178="US",K178,VLOOKUP(Z178,'3032'!$AL$4:$AM$20,2,FALSE)*K178)</f>
        <v>115.47</v>
      </c>
      <c r="K178" s="4">
        <v>115.47</v>
      </c>
      <c r="L178" s="4">
        <v>4147123</v>
      </c>
      <c r="M178" s="4">
        <v>0.9</v>
      </c>
      <c r="N178" s="4">
        <v>0.99079899999999999</v>
      </c>
      <c r="O178" s="4">
        <v>4.58</v>
      </c>
      <c r="P178" s="4">
        <v>4.58</v>
      </c>
      <c r="Q178" s="4">
        <v>334</v>
      </c>
      <c r="R178" s="4">
        <v>339</v>
      </c>
      <c r="S178" s="4">
        <v>4.16</v>
      </c>
      <c r="T178" s="4">
        <v>0.22</v>
      </c>
      <c r="U178" s="4"/>
      <c r="V178" s="4" t="s">
        <v>3421</v>
      </c>
      <c r="W178" s="4" t="s">
        <v>3814</v>
      </c>
      <c r="X178" s="4" t="s">
        <v>3815</v>
      </c>
      <c r="Y178" s="4" t="s">
        <v>2961</v>
      </c>
      <c r="Z178" s="4" t="s">
        <v>2962</v>
      </c>
      <c r="AA178" s="4" t="s">
        <v>3024</v>
      </c>
      <c r="AB178" s="4" t="s">
        <v>2945</v>
      </c>
      <c r="AD178" s="10">
        <f t="shared" si="11"/>
        <v>0.31011507671325506</v>
      </c>
      <c r="AE178" s="10">
        <f t="shared" si="8"/>
        <v>0.16736916141736438</v>
      </c>
      <c r="AF178" s="10">
        <f t="shared" si="9"/>
        <v>16.088740228852632</v>
      </c>
      <c r="AG178" s="10">
        <f t="shared" ca="1" si="10"/>
        <v>2.1643081067794343</v>
      </c>
    </row>
    <row r="179" spans="1:33" x14ac:dyDescent="0.25">
      <c r="A179" s="50" t="s">
        <v>3816</v>
      </c>
      <c r="B179" s="4">
        <v>2500</v>
      </c>
      <c r="C179" s="53" t="s">
        <v>3817</v>
      </c>
      <c r="D179" s="4">
        <v>6.5</v>
      </c>
      <c r="E179" s="49">
        <v>43358</v>
      </c>
      <c r="F179" s="4">
        <v>6.88</v>
      </c>
      <c r="G179" s="4">
        <v>6.88</v>
      </c>
      <c r="H179" s="4" t="s">
        <v>133</v>
      </c>
      <c r="I179" s="4" t="s">
        <v>3134</v>
      </c>
      <c r="J179" s="4">
        <f>IF(Z179="US",K179,VLOOKUP(Z179,'3032'!$AL$4:$AM$20,2,FALSE)*K179)</f>
        <v>105</v>
      </c>
      <c r="K179" s="4">
        <v>105</v>
      </c>
      <c r="L179" s="4">
        <v>2646215</v>
      </c>
      <c r="M179" s="4">
        <v>0.64</v>
      </c>
      <c r="N179" s="4">
        <v>0.63221400000000005</v>
      </c>
      <c r="O179" s="4">
        <v>5.61</v>
      </c>
      <c r="P179" s="4">
        <v>5.61</v>
      </c>
      <c r="Q179" s="4">
        <v>384</v>
      </c>
      <c r="R179" s="4">
        <v>393</v>
      </c>
      <c r="S179" s="4">
        <v>5.49</v>
      </c>
      <c r="T179" s="4">
        <v>0.38</v>
      </c>
      <c r="U179" s="4"/>
      <c r="V179" s="4" t="s">
        <v>3416</v>
      </c>
      <c r="W179" s="4" t="s">
        <v>3417</v>
      </c>
      <c r="X179" s="4" t="s">
        <v>3818</v>
      </c>
      <c r="Y179" s="4" t="s">
        <v>2961</v>
      </c>
      <c r="Z179" s="4" t="s">
        <v>2962</v>
      </c>
      <c r="AA179" s="4" t="s">
        <v>3041</v>
      </c>
      <c r="AB179" s="4" t="s">
        <v>2945</v>
      </c>
      <c r="AD179" s="10">
        <f t="shared" si="11"/>
        <v>0.26114403186680019</v>
      </c>
      <c r="AE179" s="10">
        <f t="shared" si="8"/>
        <v>0.13081303864243932</v>
      </c>
      <c r="AF179" s="10">
        <f t="shared" si="9"/>
        <v>11.90126436268342</v>
      </c>
      <c r="AG179" s="10">
        <f t="shared" ca="1" si="10"/>
        <v>1.2557911843218259</v>
      </c>
    </row>
    <row r="180" spans="1:33" x14ac:dyDescent="0.25">
      <c r="A180" s="50" t="s">
        <v>3819</v>
      </c>
      <c r="B180" s="4">
        <v>530</v>
      </c>
      <c r="C180" s="53" t="s">
        <v>3820</v>
      </c>
      <c r="D180" s="4">
        <v>0.315</v>
      </c>
      <c r="E180" s="49">
        <v>13752</v>
      </c>
      <c r="F180" s="4">
        <v>25.82</v>
      </c>
      <c r="G180" s="4">
        <v>3.7</v>
      </c>
      <c r="H180" s="4" t="s">
        <v>3559</v>
      </c>
      <c r="I180" s="4" t="s">
        <v>3821</v>
      </c>
      <c r="J180" s="4">
        <f>IF(Z180="US",K180,VLOOKUP(Z180,'3032'!$AL$4:$AM$20,2,FALSE)*K180)</f>
        <v>33.26</v>
      </c>
      <c r="K180" s="4">
        <v>33.26</v>
      </c>
      <c r="L180" s="4">
        <v>176210</v>
      </c>
      <c r="M180" s="4">
        <v>0.14000000000000001</v>
      </c>
      <c r="N180" s="4">
        <v>4.2098999999999998E-2</v>
      </c>
      <c r="O180" s="4">
        <v>13</v>
      </c>
      <c r="P180" s="4">
        <v>13</v>
      </c>
      <c r="Q180" s="4">
        <v>900</v>
      </c>
      <c r="R180" s="4">
        <v>900</v>
      </c>
      <c r="S180" s="4">
        <v>0.1</v>
      </c>
      <c r="T180" s="4">
        <v>-0.01</v>
      </c>
      <c r="U180" s="4" t="s">
        <v>3049</v>
      </c>
      <c r="V180" s="4" t="s">
        <v>3520</v>
      </c>
      <c r="W180" s="4" t="s">
        <v>3589</v>
      </c>
      <c r="X180" s="4" t="s">
        <v>3822</v>
      </c>
      <c r="Y180" s="4" t="s">
        <v>2961</v>
      </c>
      <c r="Z180" s="4" t="s">
        <v>2962</v>
      </c>
      <c r="AA180" s="4" t="s">
        <v>3041</v>
      </c>
      <c r="AB180" s="4" t="s">
        <v>2945</v>
      </c>
      <c r="AD180" s="10">
        <f t="shared" si="11"/>
        <v>1.2369858502465521E-4</v>
      </c>
      <c r="AE180" s="10">
        <f t="shared" si="8"/>
        <v>5.3910727621257426E-2</v>
      </c>
      <c r="AF180" s="10">
        <f t="shared" si="9"/>
        <v>5.984143711519212</v>
      </c>
      <c r="AG180" s="10">
        <f t="shared" ca="1" si="10"/>
        <v>0.15876977939520573</v>
      </c>
    </row>
    <row r="181" spans="1:33" x14ac:dyDescent="0.25">
      <c r="A181" s="50" t="s">
        <v>3148</v>
      </c>
      <c r="B181" s="4">
        <v>-7700</v>
      </c>
      <c r="C181" s="53" t="s">
        <v>3149</v>
      </c>
      <c r="D181" s="4">
        <v>0.25</v>
      </c>
      <c r="E181" s="49">
        <v>42724</v>
      </c>
      <c r="F181" s="4">
        <v>5.14</v>
      </c>
      <c r="G181" s="4">
        <v>5.14</v>
      </c>
      <c r="H181" s="4" t="s">
        <v>3050</v>
      </c>
      <c r="I181" s="4" t="s">
        <v>3051</v>
      </c>
      <c r="J181" s="4">
        <f>IF(Z181="US",K181,VLOOKUP(Z181,'3032'!$AL$4:$AM$20,2,FALSE)*K181)</f>
        <v>92.98</v>
      </c>
      <c r="K181" s="4">
        <v>92.98</v>
      </c>
      <c r="L181" s="4">
        <v>-7161552</v>
      </c>
      <c r="M181" s="4">
        <v>-1.98</v>
      </c>
      <c r="N181" s="4">
        <v>-1.7109840000000001</v>
      </c>
      <c r="O181" s="4">
        <v>1.68</v>
      </c>
      <c r="P181" s="4">
        <v>1.68</v>
      </c>
      <c r="Q181" s="4">
        <v>0</v>
      </c>
      <c r="R181" s="4">
        <v>0</v>
      </c>
      <c r="S181" s="4">
        <v>0.01</v>
      </c>
      <c r="T181" s="4">
        <v>0.27</v>
      </c>
      <c r="U181" s="4" t="s">
        <v>3049</v>
      </c>
      <c r="V181" s="4" t="s">
        <v>3045</v>
      </c>
      <c r="W181" s="4" t="s">
        <v>3046</v>
      </c>
      <c r="X181" s="4" t="s">
        <v>2945</v>
      </c>
      <c r="Y181" s="4" t="s">
        <v>3150</v>
      </c>
      <c r="Z181" s="4" t="s">
        <v>2962</v>
      </c>
      <c r="AA181" s="4" t="s">
        <v>3032</v>
      </c>
      <c r="AB181" s="4" t="s">
        <v>2945</v>
      </c>
      <c r="AD181" s="10">
        <f t="shared" si="11"/>
        <v>5.0273755688127206E-4</v>
      </c>
      <c r="AE181" s="10">
        <f t="shared" si="8"/>
        <v>12.43330139426833</v>
      </c>
      <c r="AF181" s="10">
        <f t="shared" si="9"/>
        <v>0</v>
      </c>
      <c r="AG181" s="10">
        <f t="shared" ca="1" si="10"/>
        <v>-6.56694086035185</v>
      </c>
    </row>
    <row r="182" spans="1:33" x14ac:dyDescent="0.25">
      <c r="A182" s="50" t="s">
        <v>3823</v>
      </c>
      <c r="B182" s="4">
        <v>734</v>
      </c>
      <c r="C182" s="53" t="s">
        <v>3824</v>
      </c>
      <c r="D182" s="4">
        <v>9.25</v>
      </c>
      <c r="E182" s="49">
        <v>43205</v>
      </c>
      <c r="F182" s="4">
        <v>6.46</v>
      </c>
      <c r="G182" s="4">
        <v>2.46</v>
      </c>
      <c r="H182" s="4" t="s">
        <v>135</v>
      </c>
      <c r="I182" s="4" t="s">
        <v>3036</v>
      </c>
      <c r="J182" s="4">
        <f>IF(Z182="US",K182,VLOOKUP(Z182,'3032'!$AL$4:$AM$20,2,FALSE)*K182)</f>
        <v>108.25</v>
      </c>
      <c r="K182" s="4">
        <v>108.25</v>
      </c>
      <c r="L182" s="4">
        <v>797573</v>
      </c>
      <c r="M182" s="4">
        <v>0.19</v>
      </c>
      <c r="N182" s="4">
        <v>0.19055</v>
      </c>
      <c r="O182" s="4">
        <v>7.61</v>
      </c>
      <c r="P182" s="4">
        <v>7.06</v>
      </c>
      <c r="Q182" s="4">
        <v>618</v>
      </c>
      <c r="R182" s="4">
        <v>605</v>
      </c>
      <c r="S182" s="4">
        <v>3.64</v>
      </c>
      <c r="T182" s="4">
        <v>-0.13</v>
      </c>
      <c r="U182" s="4"/>
      <c r="V182" s="4" t="s">
        <v>3426</v>
      </c>
      <c r="W182" s="4" t="s">
        <v>3766</v>
      </c>
      <c r="X182" s="4" t="s">
        <v>3825</v>
      </c>
      <c r="Y182" s="4" t="s">
        <v>2961</v>
      </c>
      <c r="Z182" s="4" t="s">
        <v>2962</v>
      </c>
      <c r="AA182" s="4" t="s">
        <v>3041</v>
      </c>
      <c r="AB182" s="4" t="s">
        <v>2945</v>
      </c>
      <c r="AD182" s="10">
        <f t="shared" si="11"/>
        <v>2.9049760139025837E-2</v>
      </c>
      <c r="AE182" s="10">
        <f t="shared" si="8"/>
        <v>4.6083200768330321E-2</v>
      </c>
      <c r="AF182" s="10">
        <f t="shared" si="9"/>
        <v>8.3692669015446306</v>
      </c>
      <c r="AG182" s="10">
        <f t="shared" ca="1" si="10"/>
        <v>0.39021265737378658</v>
      </c>
    </row>
    <row r="183" spans="1:33" x14ac:dyDescent="0.25">
      <c r="A183" s="50" t="s">
        <v>3826</v>
      </c>
      <c r="B183" s="4">
        <v>1489</v>
      </c>
      <c r="C183" s="53" t="s">
        <v>3827</v>
      </c>
      <c r="D183" s="4">
        <v>8.5</v>
      </c>
      <c r="E183" s="49">
        <v>43936</v>
      </c>
      <c r="F183" s="4">
        <v>8.4600000000000009</v>
      </c>
      <c r="G183" s="4">
        <v>8.4600000000000009</v>
      </c>
      <c r="H183" s="4" t="s">
        <v>133</v>
      </c>
      <c r="I183" s="4" t="s">
        <v>3134</v>
      </c>
      <c r="J183" s="4">
        <f>IF(Z183="US",K183,VLOOKUP(Z183,'3032'!$AL$4:$AM$20,2,FALSE)*K183)</f>
        <v>106.5</v>
      </c>
      <c r="K183" s="4">
        <v>106.5</v>
      </c>
      <c r="L183" s="4">
        <v>1591410</v>
      </c>
      <c r="M183" s="4">
        <v>0.38</v>
      </c>
      <c r="N183" s="4">
        <v>0.38020799999999999</v>
      </c>
      <c r="O183" s="4">
        <v>7.45</v>
      </c>
      <c r="P183" s="4">
        <v>7.45</v>
      </c>
      <c r="Q183" s="4">
        <v>536</v>
      </c>
      <c r="R183" s="4">
        <v>556</v>
      </c>
      <c r="S183" s="4">
        <v>6.03</v>
      </c>
      <c r="T183" s="4">
        <v>0.48</v>
      </c>
      <c r="U183" s="4"/>
      <c r="V183" s="4" t="s">
        <v>3153</v>
      </c>
      <c r="W183" s="4" t="s">
        <v>3154</v>
      </c>
      <c r="X183" s="4" t="s">
        <v>3828</v>
      </c>
      <c r="Y183" s="4" t="s">
        <v>2961</v>
      </c>
      <c r="Z183" s="4" t="s">
        <v>2962</v>
      </c>
      <c r="AA183" s="4" t="s">
        <v>3024</v>
      </c>
      <c r="AB183" s="4" t="s">
        <v>3033</v>
      </c>
      <c r="AD183" s="10">
        <f t="shared" si="11"/>
        <v>0.14679007572547012</v>
      </c>
      <c r="AE183" s="10">
        <f t="shared" si="8"/>
        <v>9.7029958774068184E-2</v>
      </c>
      <c r="AF183" s="10">
        <f t="shared" si="9"/>
        <v>7.451532600553449</v>
      </c>
      <c r="AG183" s="10">
        <f t="shared" ca="1" si="10"/>
        <v>0.76601045025524794</v>
      </c>
    </row>
    <row r="184" spans="1:33" x14ac:dyDescent="0.25">
      <c r="A184" s="50" t="s">
        <v>3829</v>
      </c>
      <c r="B184" s="4">
        <v>-58000</v>
      </c>
      <c r="C184" s="53" t="s">
        <v>3830</v>
      </c>
      <c r="D184" s="4">
        <v>0</v>
      </c>
      <c r="E184" s="49">
        <v>40913</v>
      </c>
      <c r="F184" s="4">
        <v>0</v>
      </c>
      <c r="G184" s="4">
        <v>0</v>
      </c>
      <c r="H184" s="4" t="s">
        <v>3306</v>
      </c>
      <c r="I184" s="4" t="s">
        <v>3051</v>
      </c>
      <c r="J184" s="4">
        <f>IF(Z184="US",K184,VLOOKUP(Z184,'3032'!$AL$4:$AM$20,2,FALSE)*K184)</f>
        <v>122.61</v>
      </c>
      <c r="K184" s="4">
        <v>122.61</v>
      </c>
      <c r="L184" s="4">
        <v>-71113438</v>
      </c>
      <c r="M184" s="4">
        <v>0</v>
      </c>
      <c r="N184" s="4">
        <v>-16.989882000000001</v>
      </c>
      <c r="O184" s="4">
        <v>0.8</v>
      </c>
      <c r="P184" s="4">
        <v>0.8</v>
      </c>
      <c r="Q184" s="4">
        <v>0</v>
      </c>
      <c r="R184" s="4">
        <v>0</v>
      </c>
      <c r="S184" s="4">
        <v>4.2</v>
      </c>
      <c r="T184" s="4">
        <v>0</v>
      </c>
      <c r="U184" s="4" t="s">
        <v>3049</v>
      </c>
      <c r="V184" s="4" t="s">
        <v>2941</v>
      </c>
      <c r="W184" s="4" t="s">
        <v>3307</v>
      </c>
      <c r="X184" s="4" t="s">
        <v>3028</v>
      </c>
      <c r="Y184" s="4" t="s">
        <v>2961</v>
      </c>
      <c r="Z184" s="4" t="s">
        <v>2962</v>
      </c>
      <c r="AA184" s="4" t="s">
        <v>2945</v>
      </c>
      <c r="AB184" s="4" t="s">
        <v>2945</v>
      </c>
      <c r="AD184" s="10">
        <f t="shared" si="11"/>
        <v>5.3688787904541968</v>
      </c>
      <c r="AE184" s="10">
        <f t="shared" si="8"/>
        <v>58.791114381259845</v>
      </c>
      <c r="AF184" s="10">
        <f t="shared" si="9"/>
        <v>0</v>
      </c>
      <c r="AG184" s="10">
        <f t="shared" ca="1" si="10"/>
        <v>-460.95282587712325</v>
      </c>
    </row>
    <row r="185" spans="1:33" x14ac:dyDescent="0.25">
      <c r="A185" s="50" t="s">
        <v>3831</v>
      </c>
      <c r="B185" s="4">
        <v>58000</v>
      </c>
      <c r="C185" s="53" t="s">
        <v>3832</v>
      </c>
      <c r="D185" s="4">
        <v>0</v>
      </c>
      <c r="E185" s="49">
        <v>40913</v>
      </c>
      <c r="F185" s="4">
        <v>0</v>
      </c>
      <c r="G185" s="4">
        <v>0</v>
      </c>
      <c r="H185" s="4" t="s">
        <v>3306</v>
      </c>
      <c r="I185" s="4" t="s">
        <v>3051</v>
      </c>
      <c r="J185" s="4">
        <f>IF(Z185="US",K185,VLOOKUP(Z185,'3032'!$AL$4:$AM$20,2,FALSE)*K185)</f>
        <v>122.61</v>
      </c>
      <c r="K185" s="4">
        <v>122.61</v>
      </c>
      <c r="L185" s="4">
        <v>71113438</v>
      </c>
      <c r="M185" s="4">
        <v>0</v>
      </c>
      <c r="N185" s="4">
        <v>16.989882000000001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/>
      <c r="V185" s="4" t="s">
        <v>2941</v>
      </c>
      <c r="W185" s="4" t="s">
        <v>3308</v>
      </c>
      <c r="X185" s="4" t="s">
        <v>3028</v>
      </c>
      <c r="Y185" s="4" t="s">
        <v>2961</v>
      </c>
      <c r="Z185" s="4" t="s">
        <v>2962</v>
      </c>
      <c r="AA185" s="4" t="s">
        <v>2945</v>
      </c>
      <c r="AB185" s="4" t="s">
        <v>3033</v>
      </c>
      <c r="AD185" s="10">
        <f t="shared" si="11"/>
        <v>0</v>
      </c>
      <c r="AE185" s="10">
        <f t="shared" si="8"/>
        <v>0</v>
      </c>
      <c r="AF185" s="10">
        <f t="shared" si="9"/>
        <v>0</v>
      </c>
      <c r="AG185" s="10">
        <f t="shared" ca="1" si="10"/>
        <v>460.95282587712325</v>
      </c>
    </row>
    <row r="186" spans="1:33" x14ac:dyDescent="0.25">
      <c r="A186" s="50" t="s">
        <v>3833</v>
      </c>
      <c r="B186" s="4">
        <v>815</v>
      </c>
      <c r="C186" s="53" t="s">
        <v>3834</v>
      </c>
      <c r="D186" s="4">
        <v>6.5</v>
      </c>
      <c r="E186" s="49">
        <v>24730</v>
      </c>
      <c r="F186" s="4">
        <v>55.88</v>
      </c>
      <c r="G186" s="4">
        <v>5.88</v>
      </c>
      <c r="H186" s="4" t="s">
        <v>3446</v>
      </c>
      <c r="I186" s="4" t="s">
        <v>3091</v>
      </c>
      <c r="J186" s="12" t="e">
        <f ca="1">IF(Z186="US",K186,VLOOKUP(Z186,'3032'!$AL$4:$AM$20,2,FALSE)*K186)</f>
        <v>#NAME?</v>
      </c>
      <c r="K186" s="12">
        <v>90</v>
      </c>
      <c r="L186" s="4">
        <v>1194984</v>
      </c>
      <c r="M186" s="4">
        <v>0.21</v>
      </c>
      <c r="N186" s="4">
        <v>0.28549600000000003</v>
      </c>
      <c r="O186" s="4">
        <v>7.24</v>
      </c>
      <c r="P186" s="4">
        <v>8.6999999999999993</v>
      </c>
      <c r="Q186" s="4">
        <v>682</v>
      </c>
      <c r="R186" s="4">
        <v>690</v>
      </c>
      <c r="S186" s="4">
        <v>4.7</v>
      </c>
      <c r="T186" s="4">
        <v>0.27</v>
      </c>
      <c r="U186" s="4" t="s">
        <v>3049</v>
      </c>
      <c r="V186" s="4" t="s">
        <v>3437</v>
      </c>
      <c r="W186" s="4" t="s">
        <v>3438</v>
      </c>
      <c r="X186" s="4" t="s">
        <v>3833</v>
      </c>
      <c r="Y186" s="4" t="s">
        <v>2961</v>
      </c>
      <c r="Z186" s="4" t="s">
        <v>2989</v>
      </c>
      <c r="AA186" s="4" t="s">
        <v>3067</v>
      </c>
      <c r="AB186" s="4" t="s">
        <v>2945</v>
      </c>
      <c r="AD186" s="10">
        <f t="shared" si="11"/>
        <v>0.10095842854991952</v>
      </c>
      <c r="AE186" s="10">
        <f t="shared" si="8"/>
        <v>0.17433329470946324</v>
      </c>
      <c r="AF186" s="10">
        <f t="shared" si="9"/>
        <v>14.301209904974902</v>
      </c>
      <c r="AG186" s="10" t="e">
        <f t="shared" ca="1" si="10"/>
        <v>#NAME?</v>
      </c>
    </row>
    <row r="187" spans="1:33" x14ac:dyDescent="0.25">
      <c r="A187" s="50" t="s">
        <v>3835</v>
      </c>
      <c r="B187" s="4">
        <v>1223</v>
      </c>
      <c r="C187" s="53" t="s">
        <v>3836</v>
      </c>
      <c r="D187" s="4">
        <v>4.625</v>
      </c>
      <c r="E187" s="49">
        <v>24365</v>
      </c>
      <c r="F187" s="4">
        <v>54.88</v>
      </c>
      <c r="G187" s="4">
        <v>4.88</v>
      </c>
      <c r="H187" s="4" t="s">
        <v>3446</v>
      </c>
      <c r="I187" s="4" t="s">
        <v>3091</v>
      </c>
      <c r="J187" s="12" t="e">
        <f ca="1">IF(Z187="US",K187,VLOOKUP(Z187,'3032'!$AL$4:$AM$20,2,FALSE)*K187)</f>
        <v>#NAME?</v>
      </c>
      <c r="K187" s="12">
        <v>83.5</v>
      </c>
      <c r="L187" s="4">
        <v>1434507</v>
      </c>
      <c r="M187" s="4">
        <v>0.32</v>
      </c>
      <c r="N187" s="4">
        <v>0.34272200000000003</v>
      </c>
      <c r="O187" s="4">
        <v>5.6</v>
      </c>
      <c r="P187" s="4">
        <v>9</v>
      </c>
      <c r="Q187" s="4">
        <v>720</v>
      </c>
      <c r="R187" s="4">
        <v>724</v>
      </c>
      <c r="S187" s="4">
        <v>4</v>
      </c>
      <c r="T187" s="4">
        <v>0.21</v>
      </c>
      <c r="U187" s="4" t="s">
        <v>3049</v>
      </c>
      <c r="V187" s="4" t="s">
        <v>3437</v>
      </c>
      <c r="W187" s="4" t="s">
        <v>3438</v>
      </c>
      <c r="X187" s="4" t="s">
        <v>3835</v>
      </c>
      <c r="Y187" s="4" t="s">
        <v>2961</v>
      </c>
      <c r="Z187" s="4" t="s">
        <v>2985</v>
      </c>
      <c r="AA187" s="4" t="s">
        <v>3067</v>
      </c>
      <c r="AB187" s="4" t="s">
        <v>2945</v>
      </c>
      <c r="AD187" s="10">
        <f t="shared" si="11"/>
        <v>0.1031443151977104</v>
      </c>
      <c r="AE187" s="10">
        <f t="shared" si="8"/>
        <v>0.2164931582928607</v>
      </c>
      <c r="AF187" s="10">
        <f t="shared" si="9"/>
        <v>18.013696356107687</v>
      </c>
      <c r="AG187" s="10" t="e">
        <f t="shared" ca="1" si="10"/>
        <v>#NAME?</v>
      </c>
    </row>
    <row r="188" spans="1:33" x14ac:dyDescent="0.25">
      <c r="A188" s="50" t="s">
        <v>3837</v>
      </c>
      <c r="B188" s="4">
        <v>1223</v>
      </c>
      <c r="C188" s="53" t="s">
        <v>3838</v>
      </c>
      <c r="D188" s="4">
        <v>6.625</v>
      </c>
      <c r="E188" s="49">
        <v>44242</v>
      </c>
      <c r="F188" s="4">
        <v>9.2899999999999991</v>
      </c>
      <c r="G188" s="4">
        <v>4.29</v>
      </c>
      <c r="H188" s="4" t="s">
        <v>3120</v>
      </c>
      <c r="I188" s="4" t="s">
        <v>3020</v>
      </c>
      <c r="J188" s="4">
        <f>IF(Z188="US",K188,VLOOKUP(Z188,'3032'!$AL$4:$AM$20,2,FALSE)*K188)</f>
        <v>99.5</v>
      </c>
      <c r="K188" s="4">
        <v>99.5</v>
      </c>
      <c r="L188" s="4">
        <v>1233990</v>
      </c>
      <c r="M188" s="4">
        <v>0.32</v>
      </c>
      <c r="N188" s="4">
        <v>0.29481600000000002</v>
      </c>
      <c r="O188" s="4">
        <v>6.7</v>
      </c>
      <c r="P188" s="4">
        <v>6.7</v>
      </c>
      <c r="Q188" s="4">
        <v>439</v>
      </c>
      <c r="R188" s="4">
        <v>488</v>
      </c>
      <c r="S188" s="4">
        <v>6.75</v>
      </c>
      <c r="T188" s="4">
        <v>0.49</v>
      </c>
      <c r="U188" s="4"/>
      <c r="V188" s="4" t="s">
        <v>3209</v>
      </c>
      <c r="W188" s="4" t="s">
        <v>3582</v>
      </c>
      <c r="X188" s="4" t="s">
        <v>3839</v>
      </c>
      <c r="Y188" s="4" t="s">
        <v>2961</v>
      </c>
      <c r="Z188" s="4" t="s">
        <v>2962</v>
      </c>
      <c r="AA188" s="4" t="s">
        <v>3024</v>
      </c>
      <c r="AB188" s="4" t="s">
        <v>2945</v>
      </c>
      <c r="AD188" s="10">
        <f t="shared" si="11"/>
        <v>0.12741269819053228</v>
      </c>
      <c r="AE188" s="10">
        <f t="shared" si="8"/>
        <v>6.7663418324866789E-2</v>
      </c>
      <c r="AF188" s="10">
        <f t="shared" si="9"/>
        <v>5.0713104065506904</v>
      </c>
      <c r="AG188" s="10">
        <f t="shared" ca="1" si="10"/>
        <v>1.2108800798587913</v>
      </c>
    </row>
    <row r="189" spans="1:33" x14ac:dyDescent="0.25">
      <c r="A189" s="50" t="s">
        <v>3840</v>
      </c>
      <c r="B189" s="4">
        <v>500</v>
      </c>
      <c r="C189" s="53" t="s">
        <v>3841</v>
      </c>
      <c r="D189" s="4">
        <v>8.875</v>
      </c>
      <c r="E189" s="49">
        <v>41907</v>
      </c>
      <c r="F189" s="4">
        <v>2.9</v>
      </c>
      <c r="G189" s="4">
        <v>2.9</v>
      </c>
      <c r="H189" s="4" t="s">
        <v>3019</v>
      </c>
      <c r="I189" s="4" t="s">
        <v>3036</v>
      </c>
      <c r="J189" s="4">
        <f>IF(Z189="US",K189,VLOOKUP(Z189,'3032'!$AL$4:$AM$20,2,FALSE)*K189)</f>
        <v>99</v>
      </c>
      <c r="K189" s="4">
        <v>99</v>
      </c>
      <c r="L189" s="4">
        <v>499438</v>
      </c>
      <c r="M189" s="4">
        <v>0.13</v>
      </c>
      <c r="N189" s="4">
        <v>0.119322</v>
      </c>
      <c r="O189" s="4">
        <v>9.27</v>
      </c>
      <c r="P189" s="4">
        <v>9.27</v>
      </c>
      <c r="Q189" s="4">
        <v>0</v>
      </c>
      <c r="R189" s="4">
        <v>0</v>
      </c>
      <c r="S189" s="4">
        <v>2.48</v>
      </c>
      <c r="T189" s="4">
        <v>0.08</v>
      </c>
      <c r="U189" s="4"/>
      <c r="V189" s="4" t="s">
        <v>3209</v>
      </c>
      <c r="W189" s="4" t="s">
        <v>3244</v>
      </c>
      <c r="X189" s="4" t="s">
        <v>3842</v>
      </c>
      <c r="Y189" s="4" t="s">
        <v>3004</v>
      </c>
      <c r="Z189" s="4" t="s">
        <v>2962</v>
      </c>
      <c r="AA189" s="4" t="s">
        <v>3041</v>
      </c>
      <c r="AB189" s="4" t="s">
        <v>2945</v>
      </c>
      <c r="AD189" s="10">
        <f t="shared" si="11"/>
        <v>1.239378583551912E-2</v>
      </c>
      <c r="AE189" s="10">
        <f t="shared" si="8"/>
        <v>7.7635492396491521E-2</v>
      </c>
      <c r="AF189" s="10">
        <f t="shared" si="9"/>
        <v>0</v>
      </c>
      <c r="AG189" s="10">
        <f t="shared" ca="1" si="10"/>
        <v>0.48762188732076001</v>
      </c>
    </row>
    <row r="190" spans="1:33" x14ac:dyDescent="0.25">
      <c r="A190" s="50" t="s">
        <v>3843</v>
      </c>
      <c r="B190" s="4">
        <v>532</v>
      </c>
      <c r="C190" s="53" t="s">
        <v>3844</v>
      </c>
      <c r="D190" s="4">
        <v>1</v>
      </c>
      <c r="E190" s="49">
        <v>41760</v>
      </c>
      <c r="F190" s="4">
        <v>2.5</v>
      </c>
      <c r="G190" s="4">
        <v>2.5</v>
      </c>
      <c r="H190" s="4" t="s">
        <v>3232</v>
      </c>
      <c r="I190" s="4" t="s">
        <v>3028</v>
      </c>
      <c r="J190" s="4">
        <f>IF(Z190="US",K190,VLOOKUP(Z190,'3032'!$AL$4:$AM$20,2,FALSE)*K190)</f>
        <v>111</v>
      </c>
      <c r="K190" s="4">
        <v>111</v>
      </c>
      <c r="L190" s="4">
        <v>593180</v>
      </c>
      <c r="M190" s="4">
        <v>0.14000000000000001</v>
      </c>
      <c r="N190" s="4">
        <v>0.14171800000000001</v>
      </c>
      <c r="O190" s="4">
        <v>0.9</v>
      </c>
      <c r="P190" s="4">
        <v>0.9</v>
      </c>
      <c r="Q190" s="4">
        <v>0</v>
      </c>
      <c r="R190" s="4">
        <v>0</v>
      </c>
      <c r="S190" s="4">
        <v>2.5099999999999998</v>
      </c>
      <c r="T190" s="4">
        <v>0.08</v>
      </c>
      <c r="U190" s="4"/>
      <c r="V190" s="4" t="s">
        <v>3416</v>
      </c>
      <c r="W190" s="4" t="s">
        <v>3447</v>
      </c>
      <c r="X190" s="4" t="s">
        <v>3845</v>
      </c>
      <c r="Y190" s="4" t="s">
        <v>2961</v>
      </c>
      <c r="Z190" s="4" t="s">
        <v>2962</v>
      </c>
      <c r="AA190" s="4" t="s">
        <v>3024</v>
      </c>
      <c r="AB190" s="4" t="s">
        <v>2945</v>
      </c>
      <c r="AD190" s="10">
        <f t="shared" si="11"/>
        <v>1.4898102050254656E-2</v>
      </c>
      <c r="AE190" s="10">
        <f t="shared" si="8"/>
        <v>-0.55169498881857149</v>
      </c>
      <c r="AF190" s="10">
        <f t="shared" si="9"/>
        <v>0</v>
      </c>
      <c r="AG190" s="10">
        <f t="shared" ca="1" si="10"/>
        <v>0.29758599082077353</v>
      </c>
    </row>
    <row r="191" spans="1:33" x14ac:dyDescent="0.25">
      <c r="A191" s="50" t="s">
        <v>3846</v>
      </c>
      <c r="B191" s="4">
        <v>46</v>
      </c>
      <c r="C191" s="53" t="s">
        <v>3847</v>
      </c>
      <c r="D191" s="4">
        <v>0</v>
      </c>
      <c r="E191" s="4"/>
      <c r="F191" s="4">
        <v>0</v>
      </c>
      <c r="G191" s="4">
        <v>0</v>
      </c>
      <c r="H191" s="4" t="s">
        <v>3028</v>
      </c>
      <c r="I191" s="4" t="s">
        <v>3028</v>
      </c>
      <c r="J191" s="4">
        <f>IF(Z191="US",K191,VLOOKUP(Z191,'3032'!$AL$4:$AM$20,2,FALSE)*K191)</f>
        <v>25.85</v>
      </c>
      <c r="K191" s="4">
        <v>25.85</v>
      </c>
      <c r="L191" s="4">
        <v>1182121</v>
      </c>
      <c r="M191" s="4">
        <v>0.01</v>
      </c>
      <c r="N191" s="4">
        <v>0.28242299999999998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/>
      <c r="V191" s="4" t="s">
        <v>3421</v>
      </c>
      <c r="W191" s="4" t="s">
        <v>3783</v>
      </c>
      <c r="X191" s="4" t="s">
        <v>3848</v>
      </c>
      <c r="Y191" s="4" t="s">
        <v>2961</v>
      </c>
      <c r="Z191" s="4" t="s">
        <v>2962</v>
      </c>
      <c r="AA191" s="4" t="s">
        <v>2945</v>
      </c>
      <c r="AB191" s="4" t="s">
        <v>2945</v>
      </c>
      <c r="AD191" s="10">
        <f t="shared" si="11"/>
        <v>0</v>
      </c>
      <c r="AE191" s="10">
        <f t="shared" si="8"/>
        <v>0</v>
      </c>
      <c r="AF191" s="10">
        <f t="shared" si="9"/>
        <v>0</v>
      </c>
      <c r="AG191" s="10">
        <f t="shared" ca="1" si="10"/>
        <v>0.8278230698777036</v>
      </c>
    </row>
    <row r="192" spans="1:33" x14ac:dyDescent="0.25">
      <c r="A192" s="50" t="s">
        <v>3849</v>
      </c>
      <c r="B192" s="4">
        <v>4</v>
      </c>
      <c r="C192" s="53" t="s">
        <v>3847</v>
      </c>
      <c r="D192" s="4">
        <v>0</v>
      </c>
      <c r="E192" s="4"/>
      <c r="F192" s="4">
        <v>0</v>
      </c>
      <c r="G192" s="4">
        <v>0</v>
      </c>
      <c r="H192" s="4" t="s">
        <v>3028</v>
      </c>
      <c r="I192" s="4" t="s">
        <v>3028</v>
      </c>
      <c r="J192" s="4">
        <f>IF(Z192="US",K192,VLOOKUP(Z192,'3032'!$AL$4:$AM$20,2,FALSE)*K192)</f>
        <v>41.56</v>
      </c>
      <c r="K192" s="4">
        <v>41.56</v>
      </c>
      <c r="L192" s="4">
        <v>155850</v>
      </c>
      <c r="M192" s="4">
        <v>0</v>
      </c>
      <c r="N192" s="4">
        <v>3.7234000000000003E-2</v>
      </c>
      <c r="O192" s="4">
        <v>6.77</v>
      </c>
      <c r="P192" s="4">
        <v>6.77</v>
      </c>
      <c r="Q192" s="4">
        <v>0</v>
      </c>
      <c r="R192" s="4">
        <v>0</v>
      </c>
      <c r="S192" s="4">
        <v>0</v>
      </c>
      <c r="T192" s="4">
        <v>0</v>
      </c>
      <c r="U192" s="4"/>
      <c r="V192" s="4" t="s">
        <v>3421</v>
      </c>
      <c r="W192" s="4" t="s">
        <v>3783</v>
      </c>
      <c r="X192" s="4" t="s">
        <v>3850</v>
      </c>
      <c r="Y192" s="4" t="s">
        <v>2961</v>
      </c>
      <c r="Z192" s="4" t="s">
        <v>2962</v>
      </c>
      <c r="AA192" s="4" t="s">
        <v>3024</v>
      </c>
      <c r="AB192" s="4" t="s">
        <v>2945</v>
      </c>
      <c r="AD192" s="10">
        <f t="shared" si="11"/>
        <v>0</v>
      </c>
      <c r="AE192" s="10">
        <f t="shared" si="8"/>
        <v>8.6350124223834278E-3</v>
      </c>
      <c r="AF192" s="10">
        <f t="shared" si="9"/>
        <v>0</v>
      </c>
      <c r="AG192" s="10">
        <f t="shared" ca="1" si="10"/>
        <v>0.17546778375821925</v>
      </c>
    </row>
    <row r="193" spans="1:33" x14ac:dyDescent="0.25">
      <c r="A193" s="50" t="s">
        <v>3851</v>
      </c>
      <c r="B193" s="4">
        <v>11365</v>
      </c>
      <c r="C193" s="53" t="s">
        <v>3852</v>
      </c>
      <c r="D193" s="4">
        <v>0</v>
      </c>
      <c r="E193" s="4"/>
      <c r="F193" s="4">
        <v>0</v>
      </c>
      <c r="G193" s="4">
        <v>0</v>
      </c>
      <c r="H193" s="4" t="s">
        <v>3028</v>
      </c>
      <c r="I193" s="4" t="s">
        <v>3028</v>
      </c>
      <c r="J193" s="4">
        <f>IF(Z193="US",K193,VLOOKUP(Z193,'3032'!$AL$4:$AM$20,2,FALSE)*K193)</f>
        <v>0.01</v>
      </c>
      <c r="K193" s="4">
        <v>0.01</v>
      </c>
      <c r="L193" s="4">
        <v>140926</v>
      </c>
      <c r="M193" s="4">
        <v>2.93</v>
      </c>
      <c r="N193" s="4">
        <v>3.3668999999999998E-2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/>
      <c r="V193" s="4" t="s">
        <v>3421</v>
      </c>
      <c r="W193" s="4" t="s">
        <v>3783</v>
      </c>
      <c r="X193" s="4" t="s">
        <v>3853</v>
      </c>
      <c r="Y193" s="4" t="s">
        <v>2961</v>
      </c>
      <c r="Z193" s="4" t="s">
        <v>2962</v>
      </c>
      <c r="AA193" s="4" t="s">
        <v>2945</v>
      </c>
      <c r="AB193" s="4" t="s">
        <v>2945</v>
      </c>
      <c r="AD193" s="10">
        <f t="shared" si="11"/>
        <v>0</v>
      </c>
      <c r="AE193" s="10">
        <f t="shared" si="8"/>
        <v>0</v>
      </c>
      <c r="AF193" s="10">
        <f t="shared" si="9"/>
        <v>0</v>
      </c>
      <c r="AG193" s="10">
        <f t="shared" ca="1" si="10"/>
        <v>3.8177384373734288E-5</v>
      </c>
    </row>
    <row r="194" spans="1:33" x14ac:dyDescent="0.25">
      <c r="A194" s="50" t="s">
        <v>3854</v>
      </c>
      <c r="B194" s="4">
        <v>35</v>
      </c>
      <c r="C194" s="53" t="s">
        <v>3855</v>
      </c>
      <c r="D194" s="4">
        <v>0</v>
      </c>
      <c r="E194" s="4"/>
      <c r="F194" s="4">
        <v>0</v>
      </c>
      <c r="G194" s="4">
        <v>0</v>
      </c>
      <c r="H194" s="4" t="s">
        <v>3028</v>
      </c>
      <c r="I194" s="4" t="s">
        <v>3028</v>
      </c>
      <c r="J194" s="4">
        <f>IF(Z194="US",K194,VLOOKUP(Z194,'3032'!$AL$4:$AM$20,2,FALSE)*K194)</f>
        <v>16.95</v>
      </c>
      <c r="K194" s="4">
        <v>16.95</v>
      </c>
      <c r="L194" s="4">
        <v>586046</v>
      </c>
      <c r="M194" s="4">
        <v>0.01</v>
      </c>
      <c r="N194" s="4">
        <v>0.140014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/>
      <c r="V194" s="4" t="s">
        <v>3421</v>
      </c>
      <c r="W194" s="4" t="s">
        <v>3783</v>
      </c>
      <c r="X194" s="4" t="s">
        <v>3856</v>
      </c>
      <c r="Y194" s="4" t="s">
        <v>2961</v>
      </c>
      <c r="Z194" s="4" t="s">
        <v>2962</v>
      </c>
      <c r="AA194" s="4" t="s">
        <v>2945</v>
      </c>
      <c r="AB194" s="4" t="s">
        <v>2945</v>
      </c>
      <c r="AD194" s="10">
        <f t="shared" si="11"/>
        <v>0</v>
      </c>
      <c r="AE194" s="10">
        <f t="shared" si="8"/>
        <v>0</v>
      </c>
      <c r="AF194" s="10">
        <f t="shared" si="9"/>
        <v>0</v>
      </c>
      <c r="AG194" s="10">
        <f t="shared" ca="1" si="10"/>
        <v>0.26910170775838865</v>
      </c>
    </row>
    <row r="195" spans="1:33" x14ac:dyDescent="0.25">
      <c r="A195" s="50" t="s">
        <v>3857</v>
      </c>
      <c r="B195" s="4">
        <v>35</v>
      </c>
      <c r="C195" s="53" t="s">
        <v>3855</v>
      </c>
      <c r="D195" s="4">
        <v>0</v>
      </c>
      <c r="E195" s="4"/>
      <c r="F195" s="4">
        <v>0</v>
      </c>
      <c r="G195" s="4">
        <v>0</v>
      </c>
      <c r="H195" s="4" t="s">
        <v>3028</v>
      </c>
      <c r="I195" s="4" t="s">
        <v>3028</v>
      </c>
      <c r="J195" s="4">
        <f>IF(Z195="US",K195,VLOOKUP(Z195,'3032'!$AL$4:$AM$20,2,FALSE)*K195)</f>
        <v>11.8</v>
      </c>
      <c r="K195" s="4">
        <v>11.8</v>
      </c>
      <c r="L195" s="4">
        <v>407985</v>
      </c>
      <c r="M195" s="4">
        <v>0.01</v>
      </c>
      <c r="N195" s="4">
        <v>9.7473000000000004E-2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/>
      <c r="V195" s="4" t="s">
        <v>3421</v>
      </c>
      <c r="W195" s="4" t="s">
        <v>3783</v>
      </c>
      <c r="X195" s="4" t="s">
        <v>3858</v>
      </c>
      <c r="Y195" s="4" t="s">
        <v>2961</v>
      </c>
      <c r="Z195" s="4" t="s">
        <v>2962</v>
      </c>
      <c r="AA195" s="4" t="s">
        <v>2945</v>
      </c>
      <c r="AB195" s="4" t="s">
        <v>2945</v>
      </c>
      <c r="AD195" s="10">
        <f t="shared" si="11"/>
        <v>0</v>
      </c>
      <c r="AE195" s="10">
        <f t="shared" si="8"/>
        <v>0</v>
      </c>
      <c r="AF195" s="10">
        <f t="shared" si="9"/>
        <v>0</v>
      </c>
      <c r="AG195" s="10">
        <f t="shared" ca="1" si="10"/>
        <v>0.13041911494818004</v>
      </c>
    </row>
    <row r="196" spans="1:33" x14ac:dyDescent="0.25">
      <c r="A196" s="50" t="s">
        <v>3168</v>
      </c>
      <c r="B196" s="4">
        <v>400</v>
      </c>
      <c r="C196" s="53" t="s">
        <v>3169</v>
      </c>
      <c r="D196" s="4">
        <v>9.5</v>
      </c>
      <c r="E196" s="49">
        <v>41870</v>
      </c>
      <c r="F196" s="4">
        <v>2.8</v>
      </c>
      <c r="G196" s="4">
        <v>2.8</v>
      </c>
      <c r="H196" s="4" t="s">
        <v>133</v>
      </c>
      <c r="I196" s="4" t="s">
        <v>3028</v>
      </c>
      <c r="J196" s="4">
        <f>IF(Z196="US",K196,VLOOKUP(Z196,'3032'!$AL$4:$AM$20,2,FALSE)*K196)</f>
        <v>105.5</v>
      </c>
      <c r="K196" s="4">
        <v>105.5</v>
      </c>
      <c r="L196" s="4">
        <v>429600</v>
      </c>
      <c r="M196" s="4">
        <v>0.1</v>
      </c>
      <c r="N196" s="4">
        <v>0.10263700000000001</v>
      </c>
      <c r="O196" s="4">
        <v>7.28</v>
      </c>
      <c r="P196" s="4">
        <v>7.28</v>
      </c>
      <c r="Q196" s="4">
        <v>0</v>
      </c>
      <c r="R196" s="4">
        <v>0</v>
      </c>
      <c r="S196" s="4">
        <v>2.4</v>
      </c>
      <c r="T196" s="4">
        <v>7.0000000000000007E-2</v>
      </c>
      <c r="U196" s="4"/>
      <c r="V196" s="4" t="s">
        <v>3037</v>
      </c>
      <c r="W196" s="4" t="s">
        <v>3084</v>
      </c>
      <c r="X196" s="4" t="s">
        <v>3170</v>
      </c>
      <c r="Y196" s="4" t="s">
        <v>3004</v>
      </c>
      <c r="Z196" s="4" t="s">
        <v>2962</v>
      </c>
      <c r="AA196" s="4" t="s">
        <v>3041</v>
      </c>
      <c r="AB196" s="4" t="s">
        <v>2945</v>
      </c>
      <c r="AD196" s="10">
        <f t="shared" si="11"/>
        <v>1.0316829138414186E-2</v>
      </c>
      <c r="AE196" s="10">
        <f t="shared" ref="AE196:AE259" si="12">IF(P196&lt;1.99,($L196/$L$441)*P196,IF(AND(P196&gt;1.99,P196&lt;3.99),($L196/$L$442)*P196,IF(AND(P196&gt;3.99,P196&lt;5.99),($L196/$L$443)*P196,IF(AND(P196&gt;5.99,P196&lt;7.99),($L196/$L$444)*P196,IF(AND(P196&gt;7.99,P196&lt;9.99),($L196/$L$445)*P196,IF(P196&gt;9.99,($L196/$L$446)*P196))))))</f>
        <v>2.5595472041731512E-2</v>
      </c>
      <c r="AF196" s="10">
        <f t="shared" ref="AF196:AF259" si="13">IF(R196&lt;199.99,($L196/$L$449)*R196,IF(AND(R196&gt;199.99,R196&lt;399.99),($L196/$L$450)*R196,IF(AND(R196&gt;399.99,R196&lt;599.99),($L196/$L$451)*R196,IF(AND(R196&gt;599.99,R196&lt;799.99),($L196/$L$452)*R196,IF(AND(R196&gt;799.99,R196&lt;999.99),($L196/$L$453)*R196,IF(R196&gt;999.99,($L196/$L$454)*R196))))))</f>
        <v>0</v>
      </c>
      <c r="AG196" s="10">
        <f t="shared" ref="AG196:AG259" ca="1" si="14">IF(J196&lt;49.999,($L196/$L$465)*J196,IF(AND(J196&gt;49.999,J196&lt;79.999),($L196/$L$466)*J196,IF(AND(J196&gt;79.999,J196&lt;99.999),($L196/$L$467)*J196,IF(AND(J196&gt;99.999,J196&lt;119.999),($L196/$L$468)*J196,IF(AND(J196&gt;119.999,J196&lt;139.999),($L196/$L$469)*J196,IF(J196&gt;139.999,($L196/$L$470)*J196))))))</f>
        <v>0.20484234378170238</v>
      </c>
    </row>
    <row r="197" spans="1:33" x14ac:dyDescent="0.25">
      <c r="A197" s="50" t="s">
        <v>3859</v>
      </c>
      <c r="B197" s="4">
        <v>1109</v>
      </c>
      <c r="C197" s="53" t="s">
        <v>3860</v>
      </c>
      <c r="D197" s="4">
        <v>0.29499999999999998</v>
      </c>
      <c r="E197" s="49">
        <v>13418</v>
      </c>
      <c r="F197" s="4">
        <v>24.9</v>
      </c>
      <c r="G197" s="4">
        <v>4.9000000000000004</v>
      </c>
      <c r="H197" s="4" t="s">
        <v>3559</v>
      </c>
      <c r="I197" s="4" t="s">
        <v>3861</v>
      </c>
      <c r="J197" s="4">
        <f>IF(Z197="US",K197,VLOOKUP(Z197,'3032'!$AL$4:$AM$20,2,FALSE)*K197)</f>
        <v>36.880000000000003</v>
      </c>
      <c r="K197" s="4">
        <v>36.880000000000003</v>
      </c>
      <c r="L197" s="4">
        <v>408992</v>
      </c>
      <c r="M197" s="4">
        <v>0.28999999999999998</v>
      </c>
      <c r="N197" s="4">
        <v>9.7712999999999994E-2</v>
      </c>
      <c r="O197" s="4">
        <v>12.5</v>
      </c>
      <c r="P197" s="4">
        <v>12.5</v>
      </c>
      <c r="Q197" s="4">
        <v>900</v>
      </c>
      <c r="R197" s="4">
        <v>900</v>
      </c>
      <c r="S197" s="4">
        <v>0.1</v>
      </c>
      <c r="T197" s="4">
        <v>-0.01</v>
      </c>
      <c r="U197" s="4" t="s">
        <v>3049</v>
      </c>
      <c r="V197" s="4" t="s">
        <v>3539</v>
      </c>
      <c r="W197" s="4" t="s">
        <v>3540</v>
      </c>
      <c r="X197" s="4" t="s">
        <v>3862</v>
      </c>
      <c r="Y197" s="4" t="s">
        <v>2961</v>
      </c>
      <c r="Z197" s="4" t="s">
        <v>2962</v>
      </c>
      <c r="AA197" s="4" t="s">
        <v>3024</v>
      </c>
      <c r="AB197" s="4" t="s">
        <v>2945</v>
      </c>
      <c r="AD197" s="10">
        <f t="shared" ref="AD197:AD260" si="15">ABS(IF(S197&lt;1.99,($L197/$L$457)*S197,IF(AND(S197&gt;1.99,S197&lt;3.99),($L197/$L$458)*S197,IF(AND(S197&gt;3.99,S197&lt;5.99),($L197/$L$459)*S197,IF(AND(S197&gt;5.999,S197&lt;7.9999),($L197/$L$460)*S197,IF(AND(S197&gt;7.999,S197&lt;9.999),($L197/$L$461)*S197,IF(S197&gt;9.99,($L197/$L$462)*S197)))))))</f>
        <v>2.8711044598152079E-4</v>
      </c>
      <c r="AE197" s="10">
        <f t="shared" si="12"/>
        <v>0.1203167566194691</v>
      </c>
      <c r="AF197" s="10">
        <f t="shared" si="13"/>
        <v>13.889489273376457</v>
      </c>
      <c r="AG197" s="10">
        <f t="shared" ca="1" si="14"/>
        <v>0.40862108329703001</v>
      </c>
    </row>
    <row r="198" spans="1:33" x14ac:dyDescent="0.25">
      <c r="A198" s="50">
        <v>382550309</v>
      </c>
      <c r="B198" s="4">
        <v>6</v>
      </c>
      <c r="C198" s="53" t="s">
        <v>3863</v>
      </c>
      <c r="D198" s="4">
        <v>0</v>
      </c>
      <c r="E198" s="4"/>
      <c r="F198" s="4">
        <v>0</v>
      </c>
      <c r="G198" s="4">
        <v>0</v>
      </c>
      <c r="H198" s="4" t="s">
        <v>3028</v>
      </c>
      <c r="I198" s="4" t="s">
        <v>3028</v>
      </c>
      <c r="J198" s="4">
        <f>IF(Z198="US",K198,VLOOKUP(Z198,'3032'!$AL$4:$AM$20,2,FALSE)*K198)</f>
        <v>50.22</v>
      </c>
      <c r="K198" s="4">
        <v>50.22</v>
      </c>
      <c r="L198" s="4">
        <v>296298</v>
      </c>
      <c r="M198" s="4">
        <v>0</v>
      </c>
      <c r="N198" s="4">
        <v>7.0789000000000005E-2</v>
      </c>
      <c r="O198" s="4">
        <v>7.58</v>
      </c>
      <c r="P198" s="4">
        <v>7.58</v>
      </c>
      <c r="Q198" s="4">
        <v>0</v>
      </c>
      <c r="R198" s="4">
        <v>0</v>
      </c>
      <c r="S198" s="4">
        <v>0</v>
      </c>
      <c r="T198" s="4">
        <v>0</v>
      </c>
      <c r="U198" s="4"/>
      <c r="V198" s="4" t="s">
        <v>3421</v>
      </c>
      <c r="W198" s="4" t="s">
        <v>3422</v>
      </c>
      <c r="X198" s="4" t="s">
        <v>3864</v>
      </c>
      <c r="Y198" s="4" t="s">
        <v>2961</v>
      </c>
      <c r="Z198" s="4" t="s">
        <v>2962</v>
      </c>
      <c r="AA198" s="4" t="s">
        <v>3024</v>
      </c>
      <c r="AB198" s="4" t="s">
        <v>2945</v>
      </c>
      <c r="AD198" s="10">
        <f t="shared" si="15"/>
        <v>0</v>
      </c>
      <c r="AE198" s="10">
        <f t="shared" si="12"/>
        <v>1.8380842640054542E-2</v>
      </c>
      <c r="AF198" s="10">
        <f t="shared" si="13"/>
        <v>0</v>
      </c>
      <c r="AG198" s="10">
        <f t="shared" ca="1" si="14"/>
        <v>0.79503278128918209</v>
      </c>
    </row>
    <row r="199" spans="1:33" x14ac:dyDescent="0.25">
      <c r="A199" s="50" t="s">
        <v>3865</v>
      </c>
      <c r="B199" s="4">
        <v>750</v>
      </c>
      <c r="C199" s="53" t="s">
        <v>3866</v>
      </c>
      <c r="D199" s="4">
        <v>4.8499999999999996</v>
      </c>
      <c r="E199" s="49">
        <v>44348</v>
      </c>
      <c r="F199" s="4">
        <v>9.59</v>
      </c>
      <c r="G199" s="4">
        <v>9.59</v>
      </c>
      <c r="H199" s="4" t="s">
        <v>3054</v>
      </c>
      <c r="I199" s="4" t="s">
        <v>3083</v>
      </c>
      <c r="J199" s="4">
        <f>IF(Z199="US",K199,VLOOKUP(Z199,'3032'!$AL$4:$AM$20,2,FALSE)*K199)</f>
        <v>104.88</v>
      </c>
      <c r="K199" s="4">
        <v>104.88</v>
      </c>
      <c r="L199" s="4">
        <v>802950</v>
      </c>
      <c r="M199" s="4">
        <v>0.19</v>
      </c>
      <c r="N199" s="4">
        <v>0.19183500000000001</v>
      </c>
      <c r="O199" s="4">
        <v>4.2300000000000004</v>
      </c>
      <c r="P199" s="4">
        <v>4.2300000000000004</v>
      </c>
      <c r="Q199" s="4">
        <v>203</v>
      </c>
      <c r="R199" s="4">
        <v>235</v>
      </c>
      <c r="S199" s="4">
        <v>7.51</v>
      </c>
      <c r="T199" s="4">
        <v>0.72</v>
      </c>
      <c r="U199" s="4"/>
      <c r="V199" s="4" t="s">
        <v>3021</v>
      </c>
      <c r="W199" s="4" t="s">
        <v>3022</v>
      </c>
      <c r="X199" s="4" t="s">
        <v>3867</v>
      </c>
      <c r="Y199" s="4" t="s">
        <v>2961</v>
      </c>
      <c r="Z199" s="4" t="s">
        <v>2962</v>
      </c>
      <c r="AA199" s="4" t="s">
        <v>3024</v>
      </c>
      <c r="AB199" s="4" t="s">
        <v>2945</v>
      </c>
      <c r="AD199" s="10">
        <f t="shared" si="15"/>
        <v>9.2241368826841447E-2</v>
      </c>
      <c r="AE199" s="10">
        <f t="shared" si="12"/>
        <v>2.9928979971080839E-2</v>
      </c>
      <c r="AF199" s="10">
        <f t="shared" si="13"/>
        <v>2.1593934997664634</v>
      </c>
      <c r="AG199" s="10">
        <f t="shared" ca="1" si="14"/>
        <v>0.38061349727855825</v>
      </c>
    </row>
    <row r="200" spans="1:33" x14ac:dyDescent="0.25">
      <c r="A200" s="50" t="s">
        <v>3868</v>
      </c>
      <c r="B200" s="4">
        <v>779</v>
      </c>
      <c r="C200" s="53" t="s">
        <v>3869</v>
      </c>
      <c r="D200" s="4">
        <v>0.34499999999999997</v>
      </c>
      <c r="E200" s="49">
        <v>13630</v>
      </c>
      <c r="F200" s="4">
        <v>25.49</v>
      </c>
      <c r="G200" s="4">
        <v>1.2</v>
      </c>
      <c r="H200" s="4" t="s">
        <v>3559</v>
      </c>
      <c r="I200" s="4" t="s">
        <v>3432</v>
      </c>
      <c r="J200" s="4">
        <f>IF(Z200="US",K200,VLOOKUP(Z200,'3032'!$AL$4:$AM$20,2,FALSE)*K200)</f>
        <v>75.31</v>
      </c>
      <c r="K200" s="4">
        <v>75.31</v>
      </c>
      <c r="L200" s="4">
        <v>586790</v>
      </c>
      <c r="M200" s="4">
        <v>0.2</v>
      </c>
      <c r="N200" s="4">
        <v>0.14019100000000001</v>
      </c>
      <c r="O200" s="4">
        <v>5</v>
      </c>
      <c r="P200" s="4">
        <v>5</v>
      </c>
      <c r="Q200" s="4">
        <v>900</v>
      </c>
      <c r="R200" s="4">
        <v>900</v>
      </c>
      <c r="S200" s="4">
        <v>0.1</v>
      </c>
      <c r="T200" s="4">
        <v>-0.01</v>
      </c>
      <c r="U200" s="4" t="s">
        <v>3049</v>
      </c>
      <c r="V200" s="4" t="s">
        <v>3520</v>
      </c>
      <c r="W200" s="4" t="s">
        <v>3589</v>
      </c>
      <c r="X200" s="4" t="s">
        <v>3870</v>
      </c>
      <c r="Y200" s="4" t="s">
        <v>2961</v>
      </c>
      <c r="Z200" s="4" t="s">
        <v>2962</v>
      </c>
      <c r="AA200" s="4" t="s">
        <v>3024</v>
      </c>
      <c r="AB200" s="4" t="s">
        <v>2945</v>
      </c>
      <c r="AD200" s="10">
        <f t="shared" si="15"/>
        <v>4.1192379948139967E-4</v>
      </c>
      <c r="AE200" s="10">
        <f t="shared" si="12"/>
        <v>2.5853286215753349E-2</v>
      </c>
      <c r="AF200" s="10">
        <f t="shared" si="13"/>
        <v>19.927561934523343</v>
      </c>
      <c r="AG200" s="10">
        <f t="shared" ca="1" si="14"/>
        <v>2.3611031433160701</v>
      </c>
    </row>
    <row r="201" spans="1:33" x14ac:dyDescent="0.25">
      <c r="A201" s="50" t="s">
        <v>3871</v>
      </c>
      <c r="B201" s="4">
        <v>128</v>
      </c>
      <c r="C201" s="53" t="s">
        <v>3872</v>
      </c>
      <c r="D201" s="4">
        <v>2.3690000000000002</v>
      </c>
      <c r="E201" s="49">
        <v>41724</v>
      </c>
      <c r="F201" s="4">
        <v>2.41</v>
      </c>
      <c r="G201" s="4">
        <v>2.41</v>
      </c>
      <c r="H201" s="4" t="s">
        <v>3431</v>
      </c>
      <c r="I201" s="4" t="s">
        <v>3821</v>
      </c>
      <c r="J201" s="4">
        <f>IF(Z201="US",K201,VLOOKUP(Z201,'3032'!$AL$4:$AM$20,2,FALSE)*K201)</f>
        <v>74.13</v>
      </c>
      <c r="K201" s="4">
        <v>74.13</v>
      </c>
      <c r="L201" s="4">
        <v>95327</v>
      </c>
      <c r="M201" s="4">
        <v>0.03</v>
      </c>
      <c r="N201" s="4">
        <v>2.2775E-2</v>
      </c>
      <c r="O201" s="4">
        <v>17.149999999999999</v>
      </c>
      <c r="P201" s="4">
        <v>17.149999999999999</v>
      </c>
      <c r="Q201" s="4">
        <v>200</v>
      </c>
      <c r="R201" s="4">
        <v>0</v>
      </c>
      <c r="S201" s="4">
        <v>0.25</v>
      </c>
      <c r="T201" s="4">
        <v>0.06</v>
      </c>
      <c r="U201" s="4" t="s">
        <v>3049</v>
      </c>
      <c r="V201" s="4" t="s">
        <v>3173</v>
      </c>
      <c r="W201" s="4" t="s">
        <v>3525</v>
      </c>
      <c r="X201" s="4" t="s">
        <v>3873</v>
      </c>
      <c r="Y201" s="4" t="s">
        <v>2961</v>
      </c>
      <c r="Z201" s="4" t="s">
        <v>2962</v>
      </c>
      <c r="AA201" s="4" t="s">
        <v>3032</v>
      </c>
      <c r="AB201" s="4" t="s">
        <v>3042</v>
      </c>
      <c r="AD201" s="10">
        <f t="shared" si="15"/>
        <v>1.6729775572676503E-4</v>
      </c>
      <c r="AE201" s="10">
        <f t="shared" si="12"/>
        <v>3.847524022166298E-2</v>
      </c>
      <c r="AF201" s="10">
        <f t="shared" si="13"/>
        <v>0</v>
      </c>
      <c r="AG201" s="10">
        <f t="shared" ca="1" si="14"/>
        <v>0.37756309160611029</v>
      </c>
    </row>
    <row r="202" spans="1:33" x14ac:dyDescent="0.25">
      <c r="A202" s="50" t="s">
        <v>3874</v>
      </c>
      <c r="B202" s="4">
        <v>2074</v>
      </c>
      <c r="C202" s="53" t="s">
        <v>3875</v>
      </c>
      <c r="D202" s="4">
        <v>2.3690000000000002</v>
      </c>
      <c r="E202" s="49">
        <v>41724</v>
      </c>
      <c r="F202" s="4">
        <v>2.41</v>
      </c>
      <c r="G202" s="4">
        <v>2.41</v>
      </c>
      <c r="H202" s="4" t="s">
        <v>3431</v>
      </c>
      <c r="I202" s="4" t="s">
        <v>3821</v>
      </c>
      <c r="J202" s="4">
        <f>IF(Z202="US",K202,VLOOKUP(Z202,'3032'!$AL$4:$AM$20,2,FALSE)*K202)</f>
        <v>74.13</v>
      </c>
      <c r="K202" s="4">
        <v>74.13</v>
      </c>
      <c r="L202" s="4">
        <v>1541563</v>
      </c>
      <c r="M202" s="4">
        <v>0.53</v>
      </c>
      <c r="N202" s="4">
        <v>0.36829800000000001</v>
      </c>
      <c r="O202" s="4">
        <v>17.149999999999999</v>
      </c>
      <c r="P202" s="4">
        <v>17.149999999999999</v>
      </c>
      <c r="Q202" s="4">
        <v>200</v>
      </c>
      <c r="R202" s="4">
        <v>0</v>
      </c>
      <c r="S202" s="4">
        <v>0.25</v>
      </c>
      <c r="T202" s="4">
        <v>0.06</v>
      </c>
      <c r="U202" s="4" t="s">
        <v>3049</v>
      </c>
      <c r="V202" s="4" t="s">
        <v>3173</v>
      </c>
      <c r="W202" s="4" t="s">
        <v>3525</v>
      </c>
      <c r="X202" s="4" t="s">
        <v>3876</v>
      </c>
      <c r="Y202" s="4" t="s">
        <v>2961</v>
      </c>
      <c r="Z202" s="4" t="s">
        <v>2962</v>
      </c>
      <c r="AA202" s="4" t="s">
        <v>3032</v>
      </c>
      <c r="AB202" s="4" t="s">
        <v>2945</v>
      </c>
      <c r="AD202" s="10">
        <f t="shared" si="15"/>
        <v>2.7054248031661448E-3</v>
      </c>
      <c r="AE202" s="10">
        <f t="shared" si="12"/>
        <v>0.62219525152189259</v>
      </c>
      <c r="AF202" s="10">
        <f t="shared" si="13"/>
        <v>0</v>
      </c>
      <c r="AG202" s="10">
        <f t="shared" ca="1" si="14"/>
        <v>6.1056919045557949</v>
      </c>
    </row>
    <row r="203" spans="1:33" x14ac:dyDescent="0.25">
      <c r="A203" s="50" t="s">
        <v>3877</v>
      </c>
      <c r="B203" s="4">
        <v>3900</v>
      </c>
      <c r="C203" s="53" t="s">
        <v>3878</v>
      </c>
      <c r="D203" s="4">
        <v>6.5</v>
      </c>
      <c r="E203" s="49">
        <v>42415</v>
      </c>
      <c r="F203" s="4">
        <v>4.29</v>
      </c>
      <c r="G203" s="4">
        <v>4.29</v>
      </c>
      <c r="H203" s="4" t="s">
        <v>3064</v>
      </c>
      <c r="I203" s="4" t="s">
        <v>3065</v>
      </c>
      <c r="J203" s="4">
        <f>IF(Z203="US",K203,VLOOKUP(Z203,'3032'!$AL$4:$AM$20,2,FALSE)*K203)</f>
        <v>102.56</v>
      </c>
      <c r="K203" s="4">
        <v>102.56</v>
      </c>
      <c r="L203" s="4">
        <v>4053454</v>
      </c>
      <c r="M203" s="4">
        <v>1.01</v>
      </c>
      <c r="N203" s="4">
        <v>0.96841999999999995</v>
      </c>
      <c r="O203" s="4">
        <v>5.81</v>
      </c>
      <c r="P203" s="4">
        <v>5.81</v>
      </c>
      <c r="Q203" s="4">
        <v>487</v>
      </c>
      <c r="R203" s="4">
        <v>488</v>
      </c>
      <c r="S203" s="4">
        <v>3.66</v>
      </c>
      <c r="T203" s="4">
        <v>0.17</v>
      </c>
      <c r="U203" s="4"/>
      <c r="V203" s="4" t="s">
        <v>3416</v>
      </c>
      <c r="W203" s="4" t="s">
        <v>3630</v>
      </c>
      <c r="X203" s="4" t="s">
        <v>3879</v>
      </c>
      <c r="Y203" s="4" t="s">
        <v>2961</v>
      </c>
      <c r="Z203" s="4" t="s">
        <v>2962</v>
      </c>
      <c r="AA203" s="4" t="s">
        <v>3024</v>
      </c>
      <c r="AB203" s="4" t="s">
        <v>3042</v>
      </c>
      <c r="AD203" s="10">
        <f t="shared" si="15"/>
        <v>0.14844892531678966</v>
      </c>
      <c r="AE203" s="10">
        <f t="shared" si="12"/>
        <v>0.20752213511672232</v>
      </c>
      <c r="AF203" s="10">
        <f t="shared" si="13"/>
        <v>16.658419802976134</v>
      </c>
      <c r="AG203" s="10">
        <f t="shared" ca="1" si="14"/>
        <v>1.878911242523106</v>
      </c>
    </row>
    <row r="204" spans="1:33" x14ac:dyDescent="0.25">
      <c r="A204" s="50" t="s">
        <v>3880</v>
      </c>
      <c r="B204" s="4">
        <v>362</v>
      </c>
      <c r="C204" s="53" t="s">
        <v>3881</v>
      </c>
      <c r="D204" s="4">
        <v>0.375</v>
      </c>
      <c r="E204" s="49">
        <v>13630</v>
      </c>
      <c r="F204" s="4">
        <v>25.49</v>
      </c>
      <c r="G204" s="4">
        <v>1.7</v>
      </c>
      <c r="H204" s="4" t="s">
        <v>3559</v>
      </c>
      <c r="I204" s="4" t="s">
        <v>3432</v>
      </c>
      <c r="J204" s="4">
        <f>IF(Z204="US",K204,VLOOKUP(Z204,'3032'!$AL$4:$AM$20,2,FALSE)*K204)</f>
        <v>66.569999999999993</v>
      </c>
      <c r="K204" s="4">
        <v>66.569999999999993</v>
      </c>
      <c r="L204" s="4">
        <v>240941</v>
      </c>
      <c r="M204" s="4">
        <v>0.09</v>
      </c>
      <c r="N204" s="4">
        <v>5.7563999999999997E-2</v>
      </c>
      <c r="O204" s="4">
        <v>4.3</v>
      </c>
      <c r="P204" s="4">
        <v>4.3</v>
      </c>
      <c r="Q204" s="4">
        <v>900</v>
      </c>
      <c r="R204" s="4">
        <v>900</v>
      </c>
      <c r="S204" s="4">
        <v>1.3</v>
      </c>
      <c r="T204" s="4">
        <v>-0.01</v>
      </c>
      <c r="U204" s="4" t="s">
        <v>3049</v>
      </c>
      <c r="V204" s="4" t="s">
        <v>3520</v>
      </c>
      <c r="W204" s="4" t="s">
        <v>3589</v>
      </c>
      <c r="X204" s="4" t="s">
        <v>3882</v>
      </c>
      <c r="Y204" s="4" t="s">
        <v>2961</v>
      </c>
      <c r="Z204" s="4" t="s">
        <v>2962</v>
      </c>
      <c r="AA204" s="4" t="s">
        <v>3024</v>
      </c>
      <c r="AB204" s="4" t="s">
        <v>2945</v>
      </c>
      <c r="AD204" s="10">
        <f t="shared" si="15"/>
        <v>2.1988127238382091E-3</v>
      </c>
      <c r="AE204" s="10">
        <f t="shared" si="12"/>
        <v>9.1293994535258816E-3</v>
      </c>
      <c r="AF204" s="10">
        <f t="shared" si="13"/>
        <v>8.1824276147616501</v>
      </c>
      <c r="AG204" s="10">
        <f t="shared" ca="1" si="14"/>
        <v>0.85697642169664034</v>
      </c>
    </row>
    <row r="205" spans="1:33" x14ac:dyDescent="0.25">
      <c r="A205" s="50" t="s">
        <v>3883</v>
      </c>
      <c r="B205" s="4">
        <v>2250</v>
      </c>
      <c r="C205" s="53" t="s">
        <v>3884</v>
      </c>
      <c r="D205" s="4">
        <v>10</v>
      </c>
      <c r="E205" s="49">
        <v>43449</v>
      </c>
      <c r="F205" s="4">
        <v>7.13</v>
      </c>
      <c r="G205" s="4">
        <v>2.13</v>
      </c>
      <c r="H205" s="4" t="s">
        <v>3559</v>
      </c>
      <c r="I205" s="4" t="s">
        <v>3028</v>
      </c>
      <c r="J205" s="4">
        <f>IF(Z205="US",K205,VLOOKUP(Z205,'3032'!$AL$4:$AM$20,2,FALSE)*K205)</f>
        <v>75.38</v>
      </c>
      <c r="K205" s="4">
        <v>75.38</v>
      </c>
      <c r="L205" s="4">
        <v>1780938</v>
      </c>
      <c r="M205" s="4">
        <v>0.57999999999999996</v>
      </c>
      <c r="N205" s="4">
        <v>0.42548799999999998</v>
      </c>
      <c r="O205" s="4">
        <v>15.89</v>
      </c>
      <c r="P205" s="4">
        <v>15.89</v>
      </c>
      <c r="Q205" s="4">
        <v>1312</v>
      </c>
      <c r="R205" s="4">
        <v>1333</v>
      </c>
      <c r="S205" s="4">
        <v>4.3600000000000003</v>
      </c>
      <c r="T205" s="4">
        <v>0.28000000000000003</v>
      </c>
      <c r="U205" s="4"/>
      <c r="V205" s="4" t="s">
        <v>3209</v>
      </c>
      <c r="W205" s="4" t="s">
        <v>3570</v>
      </c>
      <c r="X205" s="4" t="s">
        <v>3885</v>
      </c>
      <c r="Y205" s="4" t="s">
        <v>2961</v>
      </c>
      <c r="Z205" s="4" t="s">
        <v>2962</v>
      </c>
      <c r="AA205" s="4" t="s">
        <v>3024</v>
      </c>
      <c r="AB205" s="4" t="s">
        <v>3033</v>
      </c>
      <c r="AD205" s="10">
        <f t="shared" si="15"/>
        <v>0.13957830610609928</v>
      </c>
      <c r="AE205" s="10">
        <f t="shared" si="12"/>
        <v>0.66599962975838845</v>
      </c>
      <c r="AF205" s="10">
        <f t="shared" si="13"/>
        <v>114.45909440020829</v>
      </c>
      <c r="AG205" s="10">
        <f t="shared" ca="1" si="14"/>
        <v>7.1727309619729134</v>
      </c>
    </row>
    <row r="206" spans="1:33" x14ac:dyDescent="0.25">
      <c r="A206" s="50" t="s">
        <v>3886</v>
      </c>
      <c r="B206" s="4">
        <v>571</v>
      </c>
      <c r="C206" s="53" t="s">
        <v>3887</v>
      </c>
      <c r="D206" s="4">
        <v>6.875</v>
      </c>
      <c r="E206" s="49">
        <v>43419</v>
      </c>
      <c r="F206" s="4">
        <v>7.04</v>
      </c>
      <c r="G206" s="4">
        <v>3.04</v>
      </c>
      <c r="H206" s="4" t="s">
        <v>3181</v>
      </c>
      <c r="I206" s="4" t="s">
        <v>3134</v>
      </c>
      <c r="J206" s="4">
        <f>IF(Z206="US",K206,VLOOKUP(Z206,'3032'!$AL$4:$AM$20,2,FALSE)*K206)</f>
        <v>102</v>
      </c>
      <c r="K206" s="4">
        <v>102</v>
      </c>
      <c r="L206" s="4">
        <v>600521</v>
      </c>
      <c r="M206" s="4">
        <v>0.15</v>
      </c>
      <c r="N206" s="4">
        <v>0.14347199999999999</v>
      </c>
      <c r="O206" s="4">
        <v>6.52</v>
      </c>
      <c r="P206" s="4">
        <v>6.4</v>
      </c>
      <c r="Q206" s="4">
        <v>527</v>
      </c>
      <c r="R206" s="4">
        <v>482</v>
      </c>
      <c r="S206" s="4">
        <v>4.09</v>
      </c>
      <c r="T206" s="4">
        <v>0.22</v>
      </c>
      <c r="U206" s="4"/>
      <c r="V206" s="4" t="s">
        <v>3124</v>
      </c>
      <c r="W206" s="4" t="s">
        <v>3888</v>
      </c>
      <c r="X206" s="4" t="s">
        <v>3889</v>
      </c>
      <c r="Y206" s="4" t="s">
        <v>2961</v>
      </c>
      <c r="Z206" s="4" t="s">
        <v>2962</v>
      </c>
      <c r="AA206" s="4" t="s">
        <v>3024</v>
      </c>
      <c r="AB206" s="4" t="s">
        <v>2945</v>
      </c>
      <c r="AD206" s="10">
        <f t="shared" si="15"/>
        <v>4.4150348984876506E-2</v>
      </c>
      <c r="AE206" s="10">
        <f t="shared" si="12"/>
        <v>3.145398421423997E-2</v>
      </c>
      <c r="AF206" s="10">
        <f t="shared" si="13"/>
        <v>2.4376085745347282</v>
      </c>
      <c r="AG206" s="10">
        <f t="shared" ca="1" si="14"/>
        <v>0.2768416155063993</v>
      </c>
    </row>
    <row r="207" spans="1:33" x14ac:dyDescent="0.25">
      <c r="A207" s="50" t="s">
        <v>3890</v>
      </c>
      <c r="B207" s="4">
        <v>632</v>
      </c>
      <c r="C207" s="53" t="s">
        <v>3891</v>
      </c>
      <c r="D207" s="4">
        <v>6.1</v>
      </c>
      <c r="E207" s="49">
        <v>15250</v>
      </c>
      <c r="F207" s="4">
        <v>29.92</v>
      </c>
      <c r="G207" s="4">
        <v>29.92</v>
      </c>
      <c r="H207" s="4" t="s">
        <v>3161</v>
      </c>
      <c r="I207" s="4" t="s">
        <v>3083</v>
      </c>
      <c r="J207" s="4">
        <f>IF(Z207="US",K207,VLOOKUP(Z207,'3032'!$AL$4:$AM$20,2,FALSE)*K207)</f>
        <v>94.61</v>
      </c>
      <c r="K207" s="4">
        <v>94.61</v>
      </c>
      <c r="L207" s="4">
        <v>601143</v>
      </c>
      <c r="M207" s="4">
        <v>0.16</v>
      </c>
      <c r="N207" s="4">
        <v>0.14362</v>
      </c>
      <c r="O207" s="4">
        <v>6.51</v>
      </c>
      <c r="P207" s="4">
        <v>6.51</v>
      </c>
      <c r="Q207" s="4">
        <v>326</v>
      </c>
      <c r="R207" s="4">
        <v>355</v>
      </c>
      <c r="S207" s="4">
        <v>13.19</v>
      </c>
      <c r="T207" s="4">
        <v>2.78</v>
      </c>
      <c r="U207" s="4"/>
      <c r="V207" s="4" t="s">
        <v>3398</v>
      </c>
      <c r="W207" s="4" t="s">
        <v>3399</v>
      </c>
      <c r="X207" s="4" t="s">
        <v>3892</v>
      </c>
      <c r="Y207" s="4" t="s">
        <v>2961</v>
      </c>
      <c r="Z207" s="4" t="s">
        <v>2962</v>
      </c>
      <c r="AA207" s="4" t="s">
        <v>3024</v>
      </c>
      <c r="AB207" s="4" t="s">
        <v>2945</v>
      </c>
      <c r="AD207" s="10">
        <f t="shared" si="15"/>
        <v>0.19415069582975217</v>
      </c>
      <c r="AE207" s="10">
        <f t="shared" si="12"/>
        <v>3.202773852714471E-2</v>
      </c>
      <c r="AF207" s="10">
        <f t="shared" si="13"/>
        <v>2.4422019428553456</v>
      </c>
      <c r="AG207" s="10">
        <f t="shared" ca="1" si="14"/>
        <v>0.56089458917634083</v>
      </c>
    </row>
    <row r="208" spans="1:33" x14ac:dyDescent="0.25">
      <c r="A208" s="50">
        <v>416515708</v>
      </c>
      <c r="B208" s="4">
        <v>16</v>
      </c>
      <c r="C208" s="53" t="s">
        <v>3893</v>
      </c>
      <c r="D208" s="4">
        <v>0</v>
      </c>
      <c r="E208" s="4"/>
      <c r="F208" s="4">
        <v>0</v>
      </c>
      <c r="G208" s="4">
        <v>0</v>
      </c>
      <c r="H208" s="4" t="s">
        <v>3181</v>
      </c>
      <c r="I208" s="4" t="s">
        <v>3028</v>
      </c>
      <c r="J208" s="4">
        <f>IF(Z208="US",K208,VLOOKUP(Z208,'3032'!$AL$4:$AM$20,2,FALSE)*K208)</f>
        <v>20.96</v>
      </c>
      <c r="K208" s="4">
        <v>20.96</v>
      </c>
      <c r="L208" s="4">
        <v>337456</v>
      </c>
      <c r="M208" s="4">
        <v>0</v>
      </c>
      <c r="N208" s="4">
        <v>8.0621999999999999E-2</v>
      </c>
      <c r="O208" s="4">
        <v>9.41</v>
      </c>
      <c r="P208" s="4">
        <v>9.41</v>
      </c>
      <c r="Q208" s="4">
        <v>0</v>
      </c>
      <c r="R208" s="4">
        <v>0</v>
      </c>
      <c r="S208" s="4">
        <v>0</v>
      </c>
      <c r="T208" s="4">
        <v>0</v>
      </c>
      <c r="U208" s="4"/>
      <c r="V208" s="4" t="s">
        <v>3398</v>
      </c>
      <c r="W208" s="4" t="s">
        <v>3399</v>
      </c>
      <c r="X208" s="4" t="s">
        <v>3894</v>
      </c>
      <c r="Y208" s="4" t="s">
        <v>2961</v>
      </c>
      <c r="Z208" s="4" t="s">
        <v>2962</v>
      </c>
      <c r="AA208" s="4" t="s">
        <v>3024</v>
      </c>
      <c r="AB208" s="4" t="s">
        <v>2945</v>
      </c>
      <c r="AD208" s="10">
        <f t="shared" si="15"/>
        <v>0</v>
      </c>
      <c r="AE208" s="10">
        <f t="shared" si="12"/>
        <v>5.3248303134888812E-2</v>
      </c>
      <c r="AF208" s="10">
        <f t="shared" si="13"/>
        <v>0</v>
      </c>
      <c r="AG208" s="10">
        <f t="shared" ca="1" si="14"/>
        <v>0.19161234147625811</v>
      </c>
    </row>
    <row r="209" spans="1:33" x14ac:dyDescent="0.25">
      <c r="A209" s="50" t="s">
        <v>3895</v>
      </c>
      <c r="B209" s="4">
        <v>1000</v>
      </c>
      <c r="C209" s="53" t="s">
        <v>3896</v>
      </c>
      <c r="D209" s="4">
        <v>8</v>
      </c>
      <c r="E209" s="49">
        <v>43876</v>
      </c>
      <c r="F209" s="4">
        <v>8.2899999999999991</v>
      </c>
      <c r="G209" s="4">
        <v>3.29</v>
      </c>
      <c r="H209" s="4" t="s">
        <v>3019</v>
      </c>
      <c r="I209" s="4" t="s">
        <v>3020</v>
      </c>
      <c r="J209" s="4">
        <f>IF(Z209="US",K209,VLOOKUP(Z209,'3032'!$AL$4:$AM$20,2,FALSE)*K209)</f>
        <v>107.5</v>
      </c>
      <c r="K209" s="4">
        <v>107.5</v>
      </c>
      <c r="L209" s="4">
        <v>1091889</v>
      </c>
      <c r="M209" s="4">
        <v>0.26</v>
      </c>
      <c r="N209" s="4">
        <v>0.26086599999999999</v>
      </c>
      <c r="O209" s="4">
        <v>6.8</v>
      </c>
      <c r="P209" s="4">
        <v>6.51</v>
      </c>
      <c r="Q209" s="4">
        <v>530</v>
      </c>
      <c r="R209" s="4">
        <v>465</v>
      </c>
      <c r="S209" s="4">
        <v>3.57</v>
      </c>
      <c r="T209" s="4">
        <v>-0.04</v>
      </c>
      <c r="U209" s="4"/>
      <c r="V209" s="4" t="s">
        <v>3124</v>
      </c>
      <c r="W209" s="4" t="s">
        <v>3142</v>
      </c>
      <c r="X209" s="4" t="s">
        <v>3897</v>
      </c>
      <c r="Y209" s="4" t="s">
        <v>2961</v>
      </c>
      <c r="Z209" s="4" t="s">
        <v>2962</v>
      </c>
      <c r="AA209" s="4" t="s">
        <v>3041</v>
      </c>
      <c r="AB209" s="4" t="s">
        <v>2945</v>
      </c>
      <c r="AD209" s="10">
        <f t="shared" si="15"/>
        <v>3.9004743886247591E-2</v>
      </c>
      <c r="AE209" s="10">
        <f t="shared" si="12"/>
        <v>5.8173738016853743E-2</v>
      </c>
      <c r="AF209" s="10">
        <f t="shared" si="13"/>
        <v>4.2758274912151482</v>
      </c>
      <c r="AG209" s="10">
        <f t="shared" ca="1" si="14"/>
        <v>0.53050558339879417</v>
      </c>
    </row>
    <row r="210" spans="1:33" x14ac:dyDescent="0.25">
      <c r="A210" s="50" t="s">
        <v>3898</v>
      </c>
      <c r="B210" s="4">
        <v>1223</v>
      </c>
      <c r="C210" s="53" t="s">
        <v>3899</v>
      </c>
      <c r="D210" s="4">
        <v>7.625</v>
      </c>
      <c r="E210" s="49">
        <v>44301</v>
      </c>
      <c r="F210" s="4">
        <v>9.4600000000000009</v>
      </c>
      <c r="G210" s="4">
        <v>3.92</v>
      </c>
      <c r="H210" s="4" t="s">
        <v>3019</v>
      </c>
      <c r="I210" s="4" t="s">
        <v>3020</v>
      </c>
      <c r="J210" s="4">
        <f>IF(Z210="US",K210,VLOOKUP(Z210,'3032'!$AL$4:$AM$20,2,FALSE)*K210)</f>
        <v>105.5</v>
      </c>
      <c r="K210" s="4">
        <v>105.5</v>
      </c>
      <c r="L210" s="4">
        <v>1294410</v>
      </c>
      <c r="M210" s="4">
        <v>0.32</v>
      </c>
      <c r="N210" s="4">
        <v>0.309251</v>
      </c>
      <c r="O210" s="4">
        <v>6.83</v>
      </c>
      <c r="P210" s="4">
        <v>6.62</v>
      </c>
      <c r="Q210" s="4">
        <v>493</v>
      </c>
      <c r="R210" s="4">
        <v>453</v>
      </c>
      <c r="S210" s="4">
        <v>5.35</v>
      </c>
      <c r="T210" s="4">
        <v>0.19</v>
      </c>
      <c r="U210" s="4"/>
      <c r="V210" s="4" t="s">
        <v>3124</v>
      </c>
      <c r="W210" s="4" t="s">
        <v>3142</v>
      </c>
      <c r="X210" s="4" t="s">
        <v>3900</v>
      </c>
      <c r="Y210" s="4" t="s">
        <v>2961</v>
      </c>
      <c r="Z210" s="4" t="s">
        <v>2962</v>
      </c>
      <c r="AA210" s="4" t="s">
        <v>3041</v>
      </c>
      <c r="AB210" s="4" t="s">
        <v>2945</v>
      </c>
      <c r="AD210" s="10">
        <f t="shared" si="15"/>
        <v>0.12448249237152824</v>
      </c>
      <c r="AE210" s="10">
        <f t="shared" si="12"/>
        <v>7.0128950605680807E-2</v>
      </c>
      <c r="AF210" s="10">
        <f t="shared" si="13"/>
        <v>4.9380876349771565</v>
      </c>
      <c r="AG210" s="10">
        <f t="shared" ca="1" si="14"/>
        <v>0.61720199770594364</v>
      </c>
    </row>
    <row r="211" spans="1:33" x14ac:dyDescent="0.25">
      <c r="A211" s="50" t="s">
        <v>3901</v>
      </c>
      <c r="B211" s="4">
        <v>1080</v>
      </c>
      <c r="C211" s="53" t="s">
        <v>3902</v>
      </c>
      <c r="D211" s="4">
        <v>9.5</v>
      </c>
      <c r="E211" s="49">
        <v>42384</v>
      </c>
      <c r="F211" s="4">
        <v>4.21</v>
      </c>
      <c r="G211" s="4">
        <v>0.21</v>
      </c>
      <c r="H211" s="4" t="s">
        <v>3064</v>
      </c>
      <c r="I211" s="4" t="s">
        <v>3065</v>
      </c>
      <c r="J211" s="4">
        <f>IF(Z211="US",K211,VLOOKUP(Z211,'3032'!$AL$4:$AM$20,2,FALSE)*K211)</f>
        <v>105</v>
      </c>
      <c r="K211" s="4">
        <v>105</v>
      </c>
      <c r="L211" s="4">
        <v>1164210</v>
      </c>
      <c r="M211" s="4">
        <v>0.28000000000000003</v>
      </c>
      <c r="N211" s="4">
        <v>0.278144</v>
      </c>
      <c r="O211" s="4">
        <v>8.07</v>
      </c>
      <c r="P211" s="4">
        <v>7</v>
      </c>
      <c r="Q211" s="4">
        <v>669</v>
      </c>
      <c r="R211" s="4">
        <v>642</v>
      </c>
      <c r="S211" s="4">
        <v>1.93</v>
      </c>
      <c r="T211" s="4">
        <v>-3.16</v>
      </c>
      <c r="U211" s="4"/>
      <c r="V211" s="4" t="s">
        <v>3124</v>
      </c>
      <c r="W211" s="4" t="s">
        <v>3513</v>
      </c>
      <c r="X211" s="4" t="s">
        <v>3903</v>
      </c>
      <c r="Y211" s="4" t="s">
        <v>2961</v>
      </c>
      <c r="Z211" s="4" t="s">
        <v>2962</v>
      </c>
      <c r="AA211" s="4" t="s">
        <v>3041</v>
      </c>
      <c r="AB211" s="4" t="s">
        <v>2945</v>
      </c>
      <c r="AD211" s="10">
        <f t="shared" si="15"/>
        <v>1.5773309134901475E-2</v>
      </c>
      <c r="AE211" s="10">
        <f t="shared" si="12"/>
        <v>6.6695549763877482E-2</v>
      </c>
      <c r="AF211" s="10">
        <f t="shared" si="13"/>
        <v>12.963669584016106</v>
      </c>
      <c r="AG211" s="10">
        <f t="shared" ca="1" si="14"/>
        <v>0.55248899076579672</v>
      </c>
    </row>
    <row r="212" spans="1:33" x14ac:dyDescent="0.25">
      <c r="A212" s="50" t="s">
        <v>3904</v>
      </c>
      <c r="B212" s="4">
        <v>1223</v>
      </c>
      <c r="C212" s="53" t="s">
        <v>3905</v>
      </c>
      <c r="D212" s="4">
        <v>8.75</v>
      </c>
      <c r="E212" s="49">
        <v>44180</v>
      </c>
      <c r="F212" s="4">
        <v>9.1300000000000008</v>
      </c>
      <c r="G212" s="4">
        <v>4.13</v>
      </c>
      <c r="H212" s="4" t="s">
        <v>135</v>
      </c>
      <c r="I212" s="4" t="s">
        <v>3311</v>
      </c>
      <c r="J212" s="4">
        <f>IF(Z212="US",K212,VLOOKUP(Z212,'3032'!$AL$4:$AM$20,2,FALSE)*K212)</f>
        <v>109</v>
      </c>
      <c r="K212" s="4">
        <v>109</v>
      </c>
      <c r="L212" s="4">
        <v>1373497</v>
      </c>
      <c r="M212" s="4">
        <v>0.32</v>
      </c>
      <c r="N212" s="4">
        <v>0.32814500000000002</v>
      </c>
      <c r="O212" s="4">
        <v>7.37</v>
      </c>
      <c r="P212" s="4">
        <v>7.1</v>
      </c>
      <c r="Q212" s="4">
        <v>602</v>
      </c>
      <c r="R212" s="4">
        <v>544</v>
      </c>
      <c r="S212" s="4">
        <v>4.0199999999999996</v>
      </c>
      <c r="T212" s="4">
        <v>7.0000000000000007E-2</v>
      </c>
      <c r="U212" s="4"/>
      <c r="V212" s="4" t="s">
        <v>3037</v>
      </c>
      <c r="W212" s="4" t="s">
        <v>3038</v>
      </c>
      <c r="X212" s="4" t="s">
        <v>3906</v>
      </c>
      <c r="Y212" s="4" t="s">
        <v>2957</v>
      </c>
      <c r="Z212" s="4" t="s">
        <v>2962</v>
      </c>
      <c r="AA212" s="4" t="s">
        <v>3024</v>
      </c>
      <c r="AB212" s="4" t="s">
        <v>3042</v>
      </c>
      <c r="AD212" s="10">
        <f t="shared" si="15"/>
        <v>9.9251345255593149E-2</v>
      </c>
      <c r="AE212" s="10">
        <f t="shared" si="12"/>
        <v>7.9809309850782773E-2</v>
      </c>
      <c r="AF212" s="10">
        <f t="shared" si="13"/>
        <v>6.2923858591156643</v>
      </c>
      <c r="AG212" s="10">
        <f t="shared" ca="1" si="14"/>
        <v>0.67663929782864085</v>
      </c>
    </row>
    <row r="213" spans="1:33" x14ac:dyDescent="0.25">
      <c r="A213" s="50" t="s">
        <v>3907</v>
      </c>
      <c r="B213" s="4">
        <v>1588</v>
      </c>
      <c r="C213" s="53" t="s">
        <v>4678</v>
      </c>
      <c r="D213" s="4">
        <v>3.75</v>
      </c>
      <c r="E213" s="49">
        <v>42804</v>
      </c>
      <c r="F213" s="4">
        <v>5.36</v>
      </c>
      <c r="G213" s="4">
        <v>5.36</v>
      </c>
      <c r="H213" s="4" t="s">
        <v>3019</v>
      </c>
      <c r="I213" s="4" t="s">
        <v>3134</v>
      </c>
      <c r="J213" s="4">
        <f>IF(Z213="US",K213,VLOOKUP(Z213,'3032'!$AL$4:$AM$20,2,FALSE)*K213)</f>
        <v>99.28</v>
      </c>
      <c r="K213" s="4">
        <v>99.28</v>
      </c>
      <c r="L213" s="4">
        <v>1581880</v>
      </c>
      <c r="M213" s="4">
        <v>0.41</v>
      </c>
      <c r="N213" s="4">
        <v>0.37793100000000002</v>
      </c>
      <c r="O213" s="4">
        <v>3.91</v>
      </c>
      <c r="P213" s="4">
        <v>3.91</v>
      </c>
      <c r="Q213" s="4">
        <v>275</v>
      </c>
      <c r="R213" s="4">
        <v>0</v>
      </c>
      <c r="S213" s="4">
        <v>0.25</v>
      </c>
      <c r="T213" s="4">
        <v>0.39</v>
      </c>
      <c r="U213" s="4" t="s">
        <v>3049</v>
      </c>
      <c r="V213" s="4" t="s">
        <v>3037</v>
      </c>
      <c r="W213" s="4" t="s">
        <v>3038</v>
      </c>
      <c r="X213" s="4" t="s">
        <v>3908</v>
      </c>
      <c r="Y213" s="4" t="s">
        <v>2957</v>
      </c>
      <c r="Z213" s="4" t="s">
        <v>2962</v>
      </c>
      <c r="AA213" s="4" t="s">
        <v>3032</v>
      </c>
      <c r="AB213" s="4" t="s">
        <v>3033</v>
      </c>
      <c r="AD213" s="10">
        <f t="shared" si="15"/>
        <v>2.776180660558447E-3</v>
      </c>
      <c r="AE213" s="10">
        <f t="shared" si="12"/>
        <v>7.5676667191272015E-2</v>
      </c>
      <c r="AF213" s="10">
        <f t="shared" si="13"/>
        <v>0</v>
      </c>
      <c r="AG213" s="10">
        <f t="shared" ca="1" si="14"/>
        <v>1.5488227435818389</v>
      </c>
    </row>
    <row r="214" spans="1:33" x14ac:dyDescent="0.25">
      <c r="A214" s="50" t="s">
        <v>3909</v>
      </c>
      <c r="B214" s="4">
        <v>734</v>
      </c>
      <c r="C214" s="53" t="s">
        <v>3905</v>
      </c>
      <c r="D214" s="4">
        <v>8.375</v>
      </c>
      <c r="E214" s="49">
        <v>43084</v>
      </c>
      <c r="F214" s="4">
        <v>6.13</v>
      </c>
      <c r="G214" s="4">
        <v>2.13</v>
      </c>
      <c r="H214" s="4" t="s">
        <v>135</v>
      </c>
      <c r="I214" s="4" t="s">
        <v>3311</v>
      </c>
      <c r="J214" s="4">
        <f>IF(Z214="US",K214,VLOOKUP(Z214,'3032'!$AL$4:$AM$20,2,FALSE)*K214)</f>
        <v>108</v>
      </c>
      <c r="K214" s="4">
        <v>108</v>
      </c>
      <c r="L214" s="4">
        <v>815943</v>
      </c>
      <c r="M214" s="4">
        <v>0.19</v>
      </c>
      <c r="N214" s="4">
        <v>0.194939</v>
      </c>
      <c r="O214" s="4">
        <v>6.76</v>
      </c>
      <c r="P214" s="4">
        <v>6.51</v>
      </c>
      <c r="Q214" s="4">
        <v>530</v>
      </c>
      <c r="R214" s="4">
        <v>517</v>
      </c>
      <c r="S214" s="4">
        <v>4.05</v>
      </c>
      <c r="T214" s="4">
        <v>-0.09</v>
      </c>
      <c r="U214" s="4"/>
      <c r="V214" s="4" t="s">
        <v>3037</v>
      </c>
      <c r="W214" s="4" t="s">
        <v>3038</v>
      </c>
      <c r="X214" s="4" t="s">
        <v>3910</v>
      </c>
      <c r="Y214" s="4" t="s">
        <v>2957</v>
      </c>
      <c r="Z214" s="4" t="s">
        <v>2962</v>
      </c>
      <c r="AA214" s="4" t="s">
        <v>3024</v>
      </c>
      <c r="AB214" s="4" t="s">
        <v>2945</v>
      </c>
      <c r="AD214" s="10">
        <f t="shared" si="15"/>
        <v>5.9401509020212163E-2</v>
      </c>
      <c r="AE214" s="10">
        <f t="shared" si="12"/>
        <v>4.3471867853495813E-2</v>
      </c>
      <c r="AF214" s="10">
        <f t="shared" si="13"/>
        <v>3.5525409732874755</v>
      </c>
      <c r="AG214" s="10">
        <f t="shared" ca="1" si="14"/>
        <v>0.3982782410470127</v>
      </c>
    </row>
    <row r="215" spans="1:33" x14ac:dyDescent="0.25">
      <c r="A215" s="50" t="s">
        <v>3911</v>
      </c>
      <c r="B215" s="4">
        <v>408</v>
      </c>
      <c r="C215" s="53" t="s">
        <v>3912</v>
      </c>
      <c r="D215" s="4">
        <v>6.8</v>
      </c>
      <c r="E215" s="49">
        <v>43266</v>
      </c>
      <c r="F215" s="4">
        <v>6.63</v>
      </c>
      <c r="G215" s="4">
        <v>6.63</v>
      </c>
      <c r="H215" s="4" t="s">
        <v>3161</v>
      </c>
      <c r="I215" s="4" t="s">
        <v>3079</v>
      </c>
      <c r="J215" s="4">
        <f>IF(Z215="US",K215,VLOOKUP(Z215,'3032'!$AL$4:$AM$20,2,FALSE)*K215)</f>
        <v>115.66</v>
      </c>
      <c r="K215" s="4">
        <v>115.66</v>
      </c>
      <c r="L215" s="4">
        <v>482371</v>
      </c>
      <c r="M215" s="4">
        <v>0.11</v>
      </c>
      <c r="N215" s="4">
        <v>0.115245</v>
      </c>
      <c r="O215" s="4">
        <v>4.08</v>
      </c>
      <c r="P215" s="4">
        <v>4.08</v>
      </c>
      <c r="Q215" s="4">
        <v>260</v>
      </c>
      <c r="R215" s="4">
        <v>280</v>
      </c>
      <c r="S215" s="4">
        <v>5.31</v>
      </c>
      <c r="T215" s="4">
        <v>0.36</v>
      </c>
      <c r="U215" s="4"/>
      <c r="V215" s="4" t="s">
        <v>3421</v>
      </c>
      <c r="W215" s="4" t="s">
        <v>3422</v>
      </c>
      <c r="X215" s="4" t="s">
        <v>3913</v>
      </c>
      <c r="Y215" s="4" t="s">
        <v>2961</v>
      </c>
      <c r="Z215" s="4" t="s">
        <v>2962</v>
      </c>
      <c r="AA215" s="4" t="s">
        <v>3041</v>
      </c>
      <c r="AB215" s="4" t="s">
        <v>2945</v>
      </c>
      <c r="AD215" s="10">
        <f t="shared" si="15"/>
        <v>4.604244150354557E-2</v>
      </c>
      <c r="AE215" s="10">
        <f t="shared" si="12"/>
        <v>1.7342208334406167E-2</v>
      </c>
      <c r="AF215" s="10">
        <f t="shared" si="13"/>
        <v>1.5456624151909921</v>
      </c>
      <c r="AG215" s="10">
        <f t="shared" ca="1" si="14"/>
        <v>0.25215488271945563</v>
      </c>
    </row>
    <row r="216" spans="1:33" x14ac:dyDescent="0.25">
      <c r="A216" s="50" t="s">
        <v>3914</v>
      </c>
      <c r="B216" s="4">
        <v>1630</v>
      </c>
      <c r="C216" s="53" t="s">
        <v>3915</v>
      </c>
      <c r="D216" s="4">
        <v>6</v>
      </c>
      <c r="E216" s="49">
        <v>43829</v>
      </c>
      <c r="F216" s="4">
        <v>8.17</v>
      </c>
      <c r="G216" s="4">
        <v>8.17</v>
      </c>
      <c r="H216" s="4" t="s">
        <v>3161</v>
      </c>
      <c r="I216" s="4" t="s">
        <v>3076</v>
      </c>
      <c r="J216" s="4">
        <f>IF(Z216="US",K216,VLOOKUP(Z216,'3032'!$AL$4:$AM$20,2,FALSE)*K216)</f>
        <v>107.35</v>
      </c>
      <c r="K216" s="4">
        <v>107.35</v>
      </c>
      <c r="L216" s="4">
        <v>1782701</v>
      </c>
      <c r="M216" s="4">
        <v>0.42</v>
      </c>
      <c r="N216" s="4">
        <v>0.42590899999999998</v>
      </c>
      <c r="O216" s="4">
        <v>4.9000000000000004</v>
      </c>
      <c r="P216" s="4">
        <v>4.9000000000000004</v>
      </c>
      <c r="Q216" s="4">
        <v>284</v>
      </c>
      <c r="R216" s="4">
        <v>330</v>
      </c>
      <c r="S216" s="4">
        <v>6.36</v>
      </c>
      <c r="T216" s="4">
        <v>0.52</v>
      </c>
      <c r="U216" s="4"/>
      <c r="V216" s="4" t="s">
        <v>3037</v>
      </c>
      <c r="W216" s="4" t="s">
        <v>3916</v>
      </c>
      <c r="X216" s="4" t="s">
        <v>3917</v>
      </c>
      <c r="Y216" s="4" t="s">
        <v>3040</v>
      </c>
      <c r="Z216" s="4" t="s">
        <v>2962</v>
      </c>
      <c r="AA216" s="4" t="s">
        <v>3041</v>
      </c>
      <c r="AB216" s="4" t="s">
        <v>3042</v>
      </c>
      <c r="AD216" s="10">
        <f t="shared" si="15"/>
        <v>0.17343347399399253</v>
      </c>
      <c r="AE216" s="10">
        <f t="shared" si="12"/>
        <v>7.6972861852293878E-2</v>
      </c>
      <c r="AF216" s="10">
        <f t="shared" si="13"/>
        <v>6.7323684020014891</v>
      </c>
      <c r="AG216" s="10">
        <f t="shared" ca="1" si="14"/>
        <v>0.86493517822813337</v>
      </c>
    </row>
    <row r="217" spans="1:33" x14ac:dyDescent="0.25">
      <c r="A217" s="50" t="s">
        <v>3918</v>
      </c>
      <c r="B217" s="4">
        <v>571</v>
      </c>
      <c r="C217" s="53" t="s">
        <v>3919</v>
      </c>
      <c r="D217" s="4">
        <v>6.125</v>
      </c>
      <c r="E217" s="49">
        <v>41974</v>
      </c>
      <c r="F217" s="4">
        <v>3.09</v>
      </c>
      <c r="G217" s="4">
        <v>0.09</v>
      </c>
      <c r="H217" s="4" t="s">
        <v>3120</v>
      </c>
      <c r="I217" s="4" t="s">
        <v>3036</v>
      </c>
      <c r="J217" s="4">
        <f>IF(Z217="US",K217,VLOOKUP(Z217,'3032'!$AL$4:$AM$20,2,FALSE)*K217)</f>
        <v>100.75</v>
      </c>
      <c r="K217" s="4">
        <v>100.75</v>
      </c>
      <c r="L217" s="4">
        <v>589855</v>
      </c>
      <c r="M217" s="4">
        <v>0.15</v>
      </c>
      <c r="N217" s="4">
        <v>0.14092399999999999</v>
      </c>
      <c r="O217" s="4">
        <v>5.85</v>
      </c>
      <c r="P217" s="4">
        <v>5.4</v>
      </c>
      <c r="Q217" s="4">
        <v>523</v>
      </c>
      <c r="R217" s="4">
        <v>510</v>
      </c>
      <c r="S217" s="4">
        <v>1.01</v>
      </c>
      <c r="T217" s="4">
        <v>-2.61</v>
      </c>
      <c r="U217" s="4"/>
      <c r="V217" s="4" t="s">
        <v>3124</v>
      </c>
      <c r="W217" s="4" t="s">
        <v>3513</v>
      </c>
      <c r="X217" s="4" t="s">
        <v>3920</v>
      </c>
      <c r="Y217" s="4" t="s">
        <v>2961</v>
      </c>
      <c r="Z217" s="4" t="s">
        <v>2962</v>
      </c>
      <c r="AA217" s="4" t="s">
        <v>3024</v>
      </c>
      <c r="AB217" s="4" t="s">
        <v>2945</v>
      </c>
      <c r="AD217" s="10">
        <f t="shared" si="15"/>
        <v>4.1821616910740125E-3</v>
      </c>
      <c r="AE217" s="10">
        <f t="shared" si="12"/>
        <v>2.8067392682316755E-2</v>
      </c>
      <c r="AF217" s="10">
        <f t="shared" si="13"/>
        <v>2.5334023715527794</v>
      </c>
      <c r="AG217" s="10">
        <f t="shared" ca="1" si="14"/>
        <v>0.26859215515489165</v>
      </c>
    </row>
    <row r="218" spans="1:33" x14ac:dyDescent="0.25">
      <c r="A218" s="50" t="s">
        <v>3921</v>
      </c>
      <c r="B218" s="4">
        <v>815</v>
      </c>
      <c r="C218" s="53" t="s">
        <v>3922</v>
      </c>
      <c r="D218" s="4">
        <v>8</v>
      </c>
      <c r="E218" s="49">
        <v>42979</v>
      </c>
      <c r="F218" s="4">
        <v>5.84</v>
      </c>
      <c r="G218" s="4">
        <v>1.84</v>
      </c>
      <c r="H218" s="4" t="s">
        <v>3120</v>
      </c>
      <c r="I218" s="4" t="s">
        <v>3036</v>
      </c>
      <c r="J218" s="4">
        <f>IF(Z218="US",K218,VLOOKUP(Z218,'3032'!$AL$4:$AM$20,2,FALSE)*K218)</f>
        <v>101</v>
      </c>
      <c r="K218" s="4">
        <v>101</v>
      </c>
      <c r="L218" s="4">
        <v>834017</v>
      </c>
      <c r="M218" s="4">
        <v>0.21</v>
      </c>
      <c r="N218" s="4">
        <v>0.19925699999999999</v>
      </c>
      <c r="O218" s="4">
        <v>7.78</v>
      </c>
      <c r="P218" s="4">
        <v>7.69</v>
      </c>
      <c r="Q218" s="4">
        <v>694</v>
      </c>
      <c r="R218" s="4">
        <v>641</v>
      </c>
      <c r="S218" s="4">
        <v>3.21</v>
      </c>
      <c r="T218" s="4">
        <v>0.11</v>
      </c>
      <c r="U218" s="4"/>
      <c r="V218" s="4" t="s">
        <v>3124</v>
      </c>
      <c r="W218" s="4" t="s">
        <v>3513</v>
      </c>
      <c r="X218" s="4" t="s">
        <v>3923</v>
      </c>
      <c r="Y218" s="4" t="s">
        <v>2961</v>
      </c>
      <c r="Z218" s="4" t="s">
        <v>2962</v>
      </c>
      <c r="AA218" s="4" t="s">
        <v>3024</v>
      </c>
      <c r="AB218" s="4" t="s">
        <v>3033</v>
      </c>
      <c r="AD218" s="10">
        <f t="shared" si="15"/>
        <v>2.6788639576524904E-2</v>
      </c>
      <c r="AE218" s="10">
        <f t="shared" si="12"/>
        <v>5.2489052625245371E-2</v>
      </c>
      <c r="AF218" s="10">
        <f t="shared" si="13"/>
        <v>9.2724506895641259</v>
      </c>
      <c r="AG218" s="10">
        <f t="shared" ca="1" si="14"/>
        <v>0.38071437996796742</v>
      </c>
    </row>
    <row r="219" spans="1:33" x14ac:dyDescent="0.25">
      <c r="A219" s="50" t="s">
        <v>3924</v>
      </c>
      <c r="B219" s="4">
        <v>1700</v>
      </c>
      <c r="C219" s="53" t="s">
        <v>3925</v>
      </c>
      <c r="D219" s="4">
        <v>7.15</v>
      </c>
      <c r="E219" s="49">
        <v>43800</v>
      </c>
      <c r="F219" s="4">
        <v>8.09</v>
      </c>
      <c r="G219" s="4">
        <v>8.09</v>
      </c>
      <c r="H219" s="4" t="s">
        <v>3181</v>
      </c>
      <c r="I219" s="4" t="s">
        <v>3116</v>
      </c>
      <c r="J219" s="4">
        <f>IF(Z219="US",K219,VLOOKUP(Z219,'3032'!$AL$4:$AM$20,2,FALSE)*K219)</f>
        <v>113</v>
      </c>
      <c r="K219" s="4">
        <v>113</v>
      </c>
      <c r="L219" s="4">
        <v>1971646</v>
      </c>
      <c r="M219" s="4">
        <v>0.44</v>
      </c>
      <c r="N219" s="4">
        <v>0.471051</v>
      </c>
      <c r="O219" s="4">
        <v>5.16</v>
      </c>
      <c r="P219" s="4">
        <v>5.16</v>
      </c>
      <c r="Q219" s="4">
        <v>327</v>
      </c>
      <c r="R219" s="4">
        <v>341</v>
      </c>
      <c r="S219" s="4">
        <v>6.08</v>
      </c>
      <c r="T219" s="4">
        <v>0.48</v>
      </c>
      <c r="U219" s="4"/>
      <c r="V219" s="4" t="s">
        <v>3209</v>
      </c>
      <c r="W219" s="4" t="s">
        <v>3926</v>
      </c>
      <c r="X219" s="4" t="s">
        <v>3927</v>
      </c>
      <c r="Y219" s="4" t="s">
        <v>2961</v>
      </c>
      <c r="Z219" s="4" t="s">
        <v>2962</v>
      </c>
      <c r="AA219" s="4" t="s">
        <v>3024</v>
      </c>
      <c r="AB219" s="4" t="s">
        <v>3033</v>
      </c>
      <c r="AD219" s="10">
        <f t="shared" si="15"/>
        <v>0.18337064852357554</v>
      </c>
      <c r="AE219" s="10">
        <f t="shared" si="12"/>
        <v>8.964822383046385E-2</v>
      </c>
      <c r="AF219" s="10">
        <f t="shared" si="13"/>
        <v>7.6941162902119027</v>
      </c>
      <c r="AG219" s="10">
        <f t="shared" ca="1" si="14"/>
        <v>1.006955757709221</v>
      </c>
    </row>
    <row r="220" spans="1:33" x14ac:dyDescent="0.25">
      <c r="A220" s="50" t="s">
        <v>3928</v>
      </c>
      <c r="B220" s="4">
        <v>1752</v>
      </c>
      <c r="C220" s="53" t="s">
        <v>3929</v>
      </c>
      <c r="D220" s="4">
        <v>10.625</v>
      </c>
      <c r="E220" s="49">
        <v>42658</v>
      </c>
      <c r="F220" s="4">
        <v>4.96</v>
      </c>
      <c r="G220" s="4">
        <v>0.96</v>
      </c>
      <c r="H220" s="4" t="s">
        <v>4444</v>
      </c>
      <c r="I220" s="4" t="s">
        <v>3065</v>
      </c>
      <c r="J220" s="4">
        <f>IF(Z220="US",K220,VLOOKUP(Z220,'3032'!$AL$4:$AM$20,2,FALSE)*K220)</f>
        <v>85.75</v>
      </c>
      <c r="K220" s="4">
        <v>85.75</v>
      </c>
      <c r="L220" s="4">
        <v>1510613</v>
      </c>
      <c r="M220" s="4">
        <v>0.45</v>
      </c>
      <c r="N220" s="4">
        <v>0.360904</v>
      </c>
      <c r="O220" s="4">
        <v>14.78</v>
      </c>
      <c r="P220" s="4">
        <v>14.78</v>
      </c>
      <c r="Q220" s="4">
        <v>1375</v>
      </c>
      <c r="R220" s="4">
        <v>1398</v>
      </c>
      <c r="S220" s="4">
        <v>3.6</v>
      </c>
      <c r="T220" s="4">
        <v>0.21</v>
      </c>
      <c r="U220" s="4"/>
      <c r="V220" s="4" t="s">
        <v>3209</v>
      </c>
      <c r="W220" s="4" t="s">
        <v>3244</v>
      </c>
      <c r="X220" s="4" t="s">
        <v>3930</v>
      </c>
      <c r="Y220" s="4" t="s">
        <v>2961</v>
      </c>
      <c r="Z220" s="4" t="s">
        <v>2962</v>
      </c>
      <c r="AA220" s="4" t="s">
        <v>3024</v>
      </c>
      <c r="AB220" s="4" t="s">
        <v>3042</v>
      </c>
      <c r="AD220" s="10">
        <f t="shared" si="15"/>
        <v>5.4415978405262806E-2</v>
      </c>
      <c r="AE220" s="10">
        <f t="shared" si="12"/>
        <v>0.52544703026784012</v>
      </c>
      <c r="AF220" s="10">
        <f t="shared" si="13"/>
        <v>101.81968395854577</v>
      </c>
      <c r="AG220" s="10">
        <f t="shared" ca="1" si="14"/>
        <v>1.2774789721750652</v>
      </c>
    </row>
    <row r="221" spans="1:33" x14ac:dyDescent="0.25">
      <c r="A221" s="50" t="s">
        <v>3931</v>
      </c>
      <c r="B221" s="4">
        <v>500</v>
      </c>
      <c r="C221" s="53" t="s">
        <v>3932</v>
      </c>
      <c r="D221" s="4">
        <v>9.75</v>
      </c>
      <c r="E221" s="49">
        <v>43023</v>
      </c>
      <c r="F221" s="4">
        <v>5.96</v>
      </c>
      <c r="G221" s="4">
        <v>2.96</v>
      </c>
      <c r="H221" s="4" t="s">
        <v>135</v>
      </c>
      <c r="I221" s="4" t="s">
        <v>3065</v>
      </c>
      <c r="J221" s="4">
        <f>IF(Z221="US",K221,VLOOKUP(Z221,'3032'!$AL$4:$AM$20,2,FALSE)*K221)</f>
        <v>79</v>
      </c>
      <c r="K221" s="4">
        <v>79</v>
      </c>
      <c r="L221" s="4">
        <v>397167</v>
      </c>
      <c r="M221" s="4">
        <v>0.13</v>
      </c>
      <c r="N221" s="4">
        <v>9.4888E-2</v>
      </c>
      <c r="O221" s="4">
        <v>15.23</v>
      </c>
      <c r="P221" s="4">
        <v>15.23</v>
      </c>
      <c r="Q221" s="4">
        <v>1460</v>
      </c>
      <c r="R221" s="4">
        <v>1474</v>
      </c>
      <c r="S221" s="4">
        <v>4.13</v>
      </c>
      <c r="T221" s="4">
        <v>0.26</v>
      </c>
      <c r="U221" s="4"/>
      <c r="V221" s="4" t="s">
        <v>3209</v>
      </c>
      <c r="W221" s="4" t="s">
        <v>3493</v>
      </c>
      <c r="X221" s="4" t="s">
        <v>3933</v>
      </c>
      <c r="Y221" s="4" t="s">
        <v>2978</v>
      </c>
      <c r="Z221" s="4" t="s">
        <v>2962</v>
      </c>
      <c r="AA221" s="4" t="s">
        <v>3041</v>
      </c>
      <c r="AB221" s="4" t="s">
        <v>2945</v>
      </c>
      <c r="AD221" s="10">
        <f t="shared" si="15"/>
        <v>2.9485319748692923E-2</v>
      </c>
      <c r="AE221" s="10">
        <f t="shared" si="12"/>
        <v>0.14235553234445969</v>
      </c>
      <c r="AF221" s="10">
        <f t="shared" si="13"/>
        <v>28.225522842492747</v>
      </c>
      <c r="AG221" s="10">
        <f t="shared" ca="1" si="14"/>
        <v>1.6764085049425055</v>
      </c>
    </row>
    <row r="222" spans="1:33" x14ac:dyDescent="0.25">
      <c r="A222" s="50" t="s">
        <v>3934</v>
      </c>
      <c r="B222" s="4">
        <v>2425</v>
      </c>
      <c r="C222" s="53" t="s">
        <v>3935</v>
      </c>
      <c r="D222" s="4">
        <v>5.9109999999999996</v>
      </c>
      <c r="E222" s="49">
        <v>13118</v>
      </c>
      <c r="F222" s="4">
        <v>24.08</v>
      </c>
      <c r="G222" s="4">
        <v>4.08</v>
      </c>
      <c r="H222" s="4" t="s">
        <v>3054</v>
      </c>
      <c r="I222" s="4" t="s">
        <v>3079</v>
      </c>
      <c r="J222" s="4">
        <f>IF(Z222="US",K222,VLOOKUP(Z222,'3032'!$AL$4:$AM$20,2,FALSE)*K222)</f>
        <v>88</v>
      </c>
      <c r="K222" s="4">
        <v>88</v>
      </c>
      <c r="L222" s="4">
        <v>2194124</v>
      </c>
      <c r="M222" s="4">
        <v>0.63</v>
      </c>
      <c r="N222" s="4">
        <v>0.52420299999999997</v>
      </c>
      <c r="O222" s="4">
        <v>6.94</v>
      </c>
      <c r="P222" s="4">
        <v>9.5299999999999994</v>
      </c>
      <c r="Q222" s="4">
        <v>857</v>
      </c>
      <c r="R222" s="4">
        <v>858</v>
      </c>
      <c r="S222" s="4">
        <v>3.4</v>
      </c>
      <c r="T222" s="4">
        <v>0.14000000000000001</v>
      </c>
      <c r="U222" s="4" t="s">
        <v>3049</v>
      </c>
      <c r="V222" s="4" t="s">
        <v>3437</v>
      </c>
      <c r="W222" s="4" t="s">
        <v>3438</v>
      </c>
      <c r="X222" s="4" t="s">
        <v>3936</v>
      </c>
      <c r="Y222" s="4" t="s">
        <v>2961</v>
      </c>
      <c r="Z222" s="4" t="s">
        <v>2962</v>
      </c>
      <c r="AA222" s="4" t="s">
        <v>3024</v>
      </c>
      <c r="AB222" s="4" t="s">
        <v>2945</v>
      </c>
      <c r="AD222" s="10">
        <f t="shared" si="15"/>
        <v>7.4646733604980614E-2</v>
      </c>
      <c r="AE222" s="10">
        <f t="shared" si="12"/>
        <v>0.35063322275503783</v>
      </c>
      <c r="AF222" s="10">
        <f t="shared" si="13"/>
        <v>71.035821923680189</v>
      </c>
      <c r="AG222" s="10">
        <f t="shared" ca="1" si="14"/>
        <v>1.9041898843558387</v>
      </c>
    </row>
    <row r="223" spans="1:33" x14ac:dyDescent="0.25">
      <c r="A223" s="50" t="s">
        <v>3937</v>
      </c>
      <c r="B223" s="4">
        <v>612</v>
      </c>
      <c r="C223" s="53" t="s">
        <v>3938</v>
      </c>
      <c r="D223" s="4">
        <v>4.375</v>
      </c>
      <c r="E223" s="49">
        <v>42780</v>
      </c>
      <c r="F223" s="4">
        <v>5.29</v>
      </c>
      <c r="G223" s="4">
        <v>0.28999999999999998</v>
      </c>
      <c r="H223" s="4" t="s">
        <v>3028</v>
      </c>
      <c r="I223" s="4" t="s">
        <v>3036</v>
      </c>
      <c r="J223" s="12" t="e">
        <f ca="1">IF(Z223="US",K223,VLOOKUP(Z223,'3032'!$AL$4:$AM$20,2,FALSE)*K223)</f>
        <v>#NAME?</v>
      </c>
      <c r="K223" s="12">
        <v>57</v>
      </c>
      <c r="L223" s="4">
        <v>513164</v>
      </c>
      <c r="M223" s="4">
        <v>0.16</v>
      </c>
      <c r="N223" s="4">
        <v>0.122601</v>
      </c>
      <c r="O223" s="4">
        <v>17.45</v>
      </c>
      <c r="P223" s="4">
        <v>11.9</v>
      </c>
      <c r="Q223" s="4">
        <v>26024</v>
      </c>
      <c r="R223" s="4">
        <v>60505</v>
      </c>
      <c r="S223" s="4">
        <v>0.3</v>
      </c>
      <c r="T223" s="4">
        <v>0</v>
      </c>
      <c r="U223" s="4" t="s">
        <v>3049</v>
      </c>
      <c r="V223" s="4" t="s">
        <v>3029</v>
      </c>
      <c r="W223" s="4" t="s">
        <v>3030</v>
      </c>
      <c r="X223" s="4" t="s">
        <v>3937</v>
      </c>
      <c r="Y223" s="4" t="s">
        <v>2978</v>
      </c>
      <c r="Z223" s="4" t="s">
        <v>2985</v>
      </c>
      <c r="AA223" s="4" t="s">
        <v>3024</v>
      </c>
      <c r="AB223" s="4" t="s">
        <v>3042</v>
      </c>
      <c r="AD223" s="10">
        <f t="shared" si="15"/>
        <v>1.0807160890799414E-3</v>
      </c>
      <c r="AE223" s="10">
        <f t="shared" si="12"/>
        <v>0.14371577230206783</v>
      </c>
      <c r="AF223" s="10">
        <f t="shared" si="13"/>
        <v>1496.9896663364023</v>
      </c>
      <c r="AG223" s="10" t="e">
        <f t="shared" ca="1" si="14"/>
        <v>#NAME?</v>
      </c>
    </row>
    <row r="224" spans="1:33" x14ac:dyDescent="0.25">
      <c r="A224" s="50" t="s">
        <v>3939</v>
      </c>
      <c r="B224" s="4">
        <v>1000</v>
      </c>
      <c r="C224" s="53" t="s">
        <v>3940</v>
      </c>
      <c r="D224" s="4">
        <v>5.875</v>
      </c>
      <c r="E224" s="49">
        <v>43631</v>
      </c>
      <c r="F224" s="4">
        <v>7.63</v>
      </c>
      <c r="G224" s="4">
        <v>3.63</v>
      </c>
      <c r="H224" s="4" t="s">
        <v>3181</v>
      </c>
      <c r="I224" s="4" t="s">
        <v>3116</v>
      </c>
      <c r="J224" s="4">
        <f>IF(Z224="US",K224,VLOOKUP(Z224,'3032'!$AL$4:$AM$20,2,FALSE)*K224)</f>
        <v>101.25</v>
      </c>
      <c r="K224" s="4">
        <v>101.25</v>
      </c>
      <c r="L224" s="4">
        <v>1040243</v>
      </c>
      <c r="M224" s="4">
        <v>0.26</v>
      </c>
      <c r="N224" s="4">
        <v>0.248527</v>
      </c>
      <c r="O224" s="4">
        <v>5.67</v>
      </c>
      <c r="P224" s="4">
        <v>5.61</v>
      </c>
      <c r="Q224" s="4">
        <v>404</v>
      </c>
      <c r="R224" s="4">
        <v>410</v>
      </c>
      <c r="S224" s="4">
        <v>4.62</v>
      </c>
      <c r="T224" s="4">
        <v>0.25</v>
      </c>
      <c r="U224" s="4"/>
      <c r="V224" s="4" t="s">
        <v>3209</v>
      </c>
      <c r="W224" s="4" t="s">
        <v>3926</v>
      </c>
      <c r="X224" s="4" t="s">
        <v>3941</v>
      </c>
      <c r="Y224" s="4" t="s">
        <v>2961</v>
      </c>
      <c r="Z224" s="4" t="s">
        <v>2962</v>
      </c>
      <c r="AA224" s="4" t="s">
        <v>3041</v>
      </c>
      <c r="AB224" s="4" t="s">
        <v>2945</v>
      </c>
      <c r="AD224" s="10">
        <f t="shared" si="15"/>
        <v>8.638919183713617E-2</v>
      </c>
      <c r="AE224" s="10">
        <f t="shared" si="12"/>
        <v>5.1423390675560003E-2</v>
      </c>
      <c r="AF224" s="10">
        <f t="shared" si="13"/>
        <v>3.5917606673636904</v>
      </c>
      <c r="AG224" s="10">
        <f t="shared" ca="1" si="14"/>
        <v>0.47602837181350405</v>
      </c>
    </row>
    <row r="225" spans="1:33" x14ac:dyDescent="0.25">
      <c r="A225" s="50" t="s">
        <v>3942</v>
      </c>
      <c r="B225" s="4">
        <v>1630</v>
      </c>
      <c r="C225" s="53" t="s">
        <v>3943</v>
      </c>
      <c r="D225" s="4">
        <v>7.375</v>
      </c>
      <c r="E225" s="49">
        <v>44211</v>
      </c>
      <c r="F225" s="4">
        <v>9.2100000000000009</v>
      </c>
      <c r="G225" s="4">
        <v>4.21</v>
      </c>
      <c r="H225" s="4" t="s">
        <v>3064</v>
      </c>
      <c r="I225" s="4" t="s">
        <v>3311</v>
      </c>
      <c r="J225" s="4">
        <f>IF(Z225="US",K225,VLOOKUP(Z225,'3032'!$AL$4:$AM$20,2,FALSE)*K225)</f>
        <v>102.75</v>
      </c>
      <c r="K225" s="4">
        <v>102.75</v>
      </c>
      <c r="L225" s="4">
        <v>1710221</v>
      </c>
      <c r="M225" s="4">
        <v>0.42</v>
      </c>
      <c r="N225" s="4">
        <v>0.40859299999999998</v>
      </c>
      <c r="O225" s="4">
        <v>6.96</v>
      </c>
      <c r="P225" s="4">
        <v>6.88</v>
      </c>
      <c r="Q225" s="4">
        <v>507</v>
      </c>
      <c r="R225" s="4">
        <v>514</v>
      </c>
      <c r="S225" s="4">
        <v>5.44</v>
      </c>
      <c r="T225" s="4">
        <v>0.34</v>
      </c>
      <c r="U225" s="4"/>
      <c r="V225" s="4" t="s">
        <v>3209</v>
      </c>
      <c r="W225" s="4" t="s">
        <v>3582</v>
      </c>
      <c r="X225" s="4" t="s">
        <v>3944</v>
      </c>
      <c r="Y225" s="4" t="s">
        <v>2961</v>
      </c>
      <c r="Z225" s="4" t="s">
        <v>2962</v>
      </c>
      <c r="AA225" s="4" t="s">
        <v>3024</v>
      </c>
      <c r="AB225" s="4" t="s">
        <v>3033</v>
      </c>
      <c r="AD225" s="10">
        <f t="shared" si="15"/>
        <v>0.16723753908427852</v>
      </c>
      <c r="AE225" s="10">
        <f t="shared" si="12"/>
        <v>9.6295981592860735E-2</v>
      </c>
      <c r="AF225" s="10">
        <f t="shared" si="13"/>
        <v>7.4029375440112117</v>
      </c>
      <c r="AG225" s="10">
        <f t="shared" ca="1" si="14"/>
        <v>0.79421314254716335</v>
      </c>
    </row>
    <row r="226" spans="1:33" x14ac:dyDescent="0.25">
      <c r="A226" s="50" t="s">
        <v>3945</v>
      </c>
      <c r="B226" s="4">
        <v>100</v>
      </c>
      <c r="C226" s="53" t="s">
        <v>3946</v>
      </c>
      <c r="D226" s="4">
        <v>3.75</v>
      </c>
      <c r="E226" s="49">
        <v>43170</v>
      </c>
      <c r="F226" s="4">
        <v>6.36</v>
      </c>
      <c r="G226" s="4">
        <v>6.36</v>
      </c>
      <c r="H226" s="4" t="s">
        <v>133</v>
      </c>
      <c r="I226" s="4" t="s">
        <v>3116</v>
      </c>
      <c r="J226" s="4">
        <f>IF(Z226="US",K226,VLOOKUP(Z226,'3032'!$AL$4:$AM$20,2,FALSE)*K226)</f>
        <v>92.5</v>
      </c>
      <c r="K226" s="4">
        <v>92.5</v>
      </c>
      <c r="L226" s="4">
        <v>92833</v>
      </c>
      <c r="M226" s="4">
        <v>0.03</v>
      </c>
      <c r="N226" s="4">
        <v>2.2179000000000001E-2</v>
      </c>
      <c r="O226" s="4">
        <v>5.3</v>
      </c>
      <c r="P226" s="4">
        <v>5.3</v>
      </c>
      <c r="Q226" s="4">
        <v>275</v>
      </c>
      <c r="R226" s="4">
        <v>0</v>
      </c>
      <c r="S226" s="4">
        <v>0.25</v>
      </c>
      <c r="T226" s="4">
        <v>0.46</v>
      </c>
      <c r="U226" s="4" t="s">
        <v>3049</v>
      </c>
      <c r="V226" s="4" t="s">
        <v>3209</v>
      </c>
      <c r="W226" s="4" t="s">
        <v>3582</v>
      </c>
      <c r="X226" s="4" t="s">
        <v>3947</v>
      </c>
      <c r="Y226" s="4" t="s">
        <v>2961</v>
      </c>
      <c r="Z226" s="4" t="s">
        <v>2962</v>
      </c>
      <c r="AA226" s="4" t="s">
        <v>3032</v>
      </c>
      <c r="AB226" s="4" t="s">
        <v>2945</v>
      </c>
      <c r="AD226" s="10">
        <f t="shared" si="15"/>
        <v>1.6292081527146326E-4</v>
      </c>
      <c r="AE226" s="10">
        <f t="shared" si="12"/>
        <v>4.3355210661787909E-3</v>
      </c>
      <c r="AF226" s="10">
        <f t="shared" si="13"/>
        <v>0</v>
      </c>
      <c r="AG226" s="10">
        <f t="shared" ca="1" si="14"/>
        <v>8.4685787766306919E-2</v>
      </c>
    </row>
    <row r="227" spans="1:33" x14ac:dyDescent="0.25">
      <c r="A227" s="50" t="s">
        <v>3948</v>
      </c>
      <c r="B227" s="4">
        <v>995</v>
      </c>
      <c r="C227" s="53" t="s">
        <v>3949</v>
      </c>
      <c r="D227" s="4">
        <v>3.75</v>
      </c>
      <c r="E227" s="49">
        <v>43170</v>
      </c>
      <c r="F227" s="4">
        <v>6.36</v>
      </c>
      <c r="G227" s="4">
        <v>6.36</v>
      </c>
      <c r="H227" s="4" t="s">
        <v>133</v>
      </c>
      <c r="I227" s="4" t="s">
        <v>3116</v>
      </c>
      <c r="J227" s="4">
        <f>IF(Z227="US",K227,VLOOKUP(Z227,'3032'!$AL$4:$AM$20,2,FALSE)*K227)</f>
        <v>99</v>
      </c>
      <c r="K227" s="4">
        <v>99</v>
      </c>
      <c r="L227" s="4">
        <v>985154</v>
      </c>
      <c r="M227" s="4">
        <v>0.26</v>
      </c>
      <c r="N227" s="4">
        <v>0.23536499999999999</v>
      </c>
      <c r="O227" s="4">
        <v>3.82</v>
      </c>
      <c r="P227" s="4">
        <v>3.82</v>
      </c>
      <c r="Q227" s="4">
        <v>275</v>
      </c>
      <c r="R227" s="4">
        <v>0</v>
      </c>
      <c r="S227" s="4">
        <v>0.25</v>
      </c>
      <c r="T227" s="4">
        <v>0.54</v>
      </c>
      <c r="U227" s="4" t="s">
        <v>3049</v>
      </c>
      <c r="V227" s="4" t="s">
        <v>3209</v>
      </c>
      <c r="W227" s="4" t="s">
        <v>3582</v>
      </c>
      <c r="X227" s="4" t="s">
        <v>3950</v>
      </c>
      <c r="Y227" s="4" t="s">
        <v>2961</v>
      </c>
      <c r="Z227" s="4" t="s">
        <v>2962</v>
      </c>
      <c r="AA227" s="4" t="s">
        <v>3032</v>
      </c>
      <c r="AB227" s="4" t="s">
        <v>2945</v>
      </c>
      <c r="AD227" s="10">
        <f t="shared" si="15"/>
        <v>1.7289335995598883E-3</v>
      </c>
      <c r="AE227" s="10">
        <f t="shared" si="12"/>
        <v>4.6044651766675521E-2</v>
      </c>
      <c r="AF227" s="10">
        <f t="shared" si="13"/>
        <v>0</v>
      </c>
      <c r="AG227" s="10">
        <f t="shared" ca="1" si="14"/>
        <v>0.96184642094032902</v>
      </c>
    </row>
    <row r="228" spans="1:33" x14ac:dyDescent="0.25">
      <c r="A228" s="50" t="s">
        <v>3951</v>
      </c>
      <c r="B228" s="4">
        <v>713</v>
      </c>
      <c r="C228" s="53" t="s">
        <v>3952</v>
      </c>
      <c r="D228" s="4">
        <v>5.5</v>
      </c>
      <c r="E228" s="49">
        <v>42551</v>
      </c>
      <c r="F228" s="4">
        <v>4.67</v>
      </c>
      <c r="G228" s="4">
        <v>4.67</v>
      </c>
      <c r="H228" s="4" t="s">
        <v>3120</v>
      </c>
      <c r="I228" s="4" t="s">
        <v>3020</v>
      </c>
      <c r="J228" s="4">
        <f>IF(Z228="US",K228,VLOOKUP(Z228,'3032'!$AL$4:$AM$20,2,FALSE)*K228)</f>
        <v>99</v>
      </c>
      <c r="K228" s="4">
        <v>99</v>
      </c>
      <c r="L228" s="4">
        <v>719051</v>
      </c>
      <c r="M228" s="4">
        <v>0.18</v>
      </c>
      <c r="N228" s="4">
        <v>0.17179</v>
      </c>
      <c r="O228" s="4">
        <v>5.75</v>
      </c>
      <c r="P228" s="4">
        <v>5.75</v>
      </c>
      <c r="Q228" s="4">
        <v>473</v>
      </c>
      <c r="R228" s="4">
        <v>484</v>
      </c>
      <c r="S228" s="4">
        <v>3.99</v>
      </c>
      <c r="T228" s="4">
        <v>-2.9</v>
      </c>
      <c r="U228" s="4"/>
      <c r="V228" s="4" t="s">
        <v>3037</v>
      </c>
      <c r="W228" s="4" t="s">
        <v>3084</v>
      </c>
      <c r="X228" s="4" t="s">
        <v>3953</v>
      </c>
      <c r="Y228" s="4" t="s">
        <v>2961</v>
      </c>
      <c r="Z228" s="4" t="s">
        <v>2962</v>
      </c>
      <c r="AA228" s="4" t="s">
        <v>3024</v>
      </c>
      <c r="AB228" s="4" t="s">
        <v>2945</v>
      </c>
      <c r="AD228" s="10">
        <f t="shared" si="15"/>
        <v>0</v>
      </c>
      <c r="AE228" s="10">
        <f t="shared" si="12"/>
        <v>3.6432635189304882E-2</v>
      </c>
      <c r="AF228" s="10">
        <f t="shared" si="13"/>
        <v>2.9308513215362182</v>
      </c>
      <c r="AG228" s="10">
        <f t="shared" ca="1" si="14"/>
        <v>0.70203910335192721</v>
      </c>
    </row>
    <row r="229" spans="1:33" x14ac:dyDescent="0.25">
      <c r="A229" s="50" t="s">
        <v>3954</v>
      </c>
      <c r="B229" s="4">
        <v>1325</v>
      </c>
      <c r="C229" s="53" t="s">
        <v>3955</v>
      </c>
      <c r="D229" s="4">
        <v>8.625</v>
      </c>
      <c r="E229" s="49">
        <v>44270</v>
      </c>
      <c r="F229" s="4">
        <v>9.3800000000000008</v>
      </c>
      <c r="G229" s="4">
        <v>3.88</v>
      </c>
      <c r="H229" s="4" t="s">
        <v>135</v>
      </c>
      <c r="I229" s="4" t="s">
        <v>3065</v>
      </c>
      <c r="J229" s="4">
        <f>IF(Z229="US",K229,VLOOKUP(Z229,'3032'!$AL$4:$AM$20,2,FALSE)*K229)</f>
        <v>102.75</v>
      </c>
      <c r="K229" s="4">
        <v>102.75</v>
      </c>
      <c r="L229" s="4">
        <v>1376040</v>
      </c>
      <c r="M229" s="4">
        <v>0.34</v>
      </c>
      <c r="N229" s="4">
        <v>0.32875300000000002</v>
      </c>
      <c r="O229" s="4">
        <v>8.1999999999999993</v>
      </c>
      <c r="P229" s="4">
        <v>8.09</v>
      </c>
      <c r="Q229" s="4">
        <v>646</v>
      </c>
      <c r="R229" s="4">
        <v>610</v>
      </c>
      <c r="S229" s="4">
        <v>5.09</v>
      </c>
      <c r="T229" s="4">
        <v>0.33</v>
      </c>
      <c r="U229" s="4"/>
      <c r="V229" s="4" t="s">
        <v>3037</v>
      </c>
      <c r="W229" s="4" t="s">
        <v>3084</v>
      </c>
      <c r="X229" s="4" t="s">
        <v>3956</v>
      </c>
      <c r="Y229" s="4" t="s">
        <v>2961</v>
      </c>
      <c r="Z229" s="4" t="s">
        <v>2962</v>
      </c>
      <c r="AA229" s="4" t="s">
        <v>3024</v>
      </c>
      <c r="AB229" s="4" t="s">
        <v>2945</v>
      </c>
      <c r="AD229" s="10">
        <f t="shared" si="15"/>
        <v>0.12590166529980443</v>
      </c>
      <c r="AE229" s="10">
        <f t="shared" si="12"/>
        <v>0.18667173975269877</v>
      </c>
      <c r="AF229" s="10">
        <f t="shared" si="13"/>
        <v>14.558696529465891</v>
      </c>
      <c r="AG229" s="10">
        <f t="shared" ca="1" si="14"/>
        <v>0.63902212209451204</v>
      </c>
    </row>
    <row r="230" spans="1:33" x14ac:dyDescent="0.25">
      <c r="A230" s="50" t="s">
        <v>3957</v>
      </c>
      <c r="B230" s="4">
        <v>1223</v>
      </c>
      <c r="C230" s="53" t="s">
        <v>3958</v>
      </c>
      <c r="D230" s="4">
        <v>8.875</v>
      </c>
      <c r="E230" s="49">
        <v>43132</v>
      </c>
      <c r="F230" s="4">
        <v>6.25</v>
      </c>
      <c r="G230" s="4">
        <v>2.25</v>
      </c>
      <c r="H230" s="4" t="s">
        <v>3431</v>
      </c>
      <c r="I230" s="4" t="s">
        <v>3065</v>
      </c>
      <c r="J230" s="4">
        <f>IF(Z230="US",K230,VLOOKUP(Z230,'3032'!$AL$4:$AM$20,2,FALSE)*K230)</f>
        <v>98.75</v>
      </c>
      <c r="K230" s="4">
        <v>98.75</v>
      </c>
      <c r="L230" s="4">
        <v>1234848</v>
      </c>
      <c r="M230" s="4">
        <v>0.32</v>
      </c>
      <c r="N230" s="4">
        <v>0.29502</v>
      </c>
      <c r="O230" s="4">
        <v>9.14</v>
      </c>
      <c r="P230" s="4">
        <v>9.14</v>
      </c>
      <c r="Q230" s="4">
        <v>769</v>
      </c>
      <c r="R230" s="4">
        <v>779</v>
      </c>
      <c r="S230" s="4">
        <v>4.5999999999999996</v>
      </c>
      <c r="T230" s="4">
        <v>0.27</v>
      </c>
      <c r="U230" s="4"/>
      <c r="V230" s="4" t="s">
        <v>3037</v>
      </c>
      <c r="W230" s="4" t="s">
        <v>3084</v>
      </c>
      <c r="X230" s="4" t="s">
        <v>3959</v>
      </c>
      <c r="Y230" s="4" t="s">
        <v>2961</v>
      </c>
      <c r="Z230" s="4" t="s">
        <v>2962</v>
      </c>
      <c r="AA230" s="4" t="s">
        <v>3024</v>
      </c>
      <c r="AB230" s="4" t="s">
        <v>2945</v>
      </c>
      <c r="AD230" s="10">
        <f t="shared" si="15"/>
        <v>0.10210663596151963</v>
      </c>
      <c r="AE230" s="10">
        <f t="shared" si="12"/>
        <v>0.18925993791897608</v>
      </c>
      <c r="AF230" s="10">
        <f t="shared" si="13"/>
        <v>16.684475563856012</v>
      </c>
      <c r="AG230" s="10">
        <f t="shared" ca="1" si="14"/>
        <v>1.2025884284043094</v>
      </c>
    </row>
    <row r="231" spans="1:33" x14ac:dyDescent="0.25">
      <c r="A231" s="50" t="s">
        <v>3960</v>
      </c>
      <c r="B231" s="4">
        <v>2180</v>
      </c>
      <c r="C231" s="53" t="s">
        <v>3961</v>
      </c>
      <c r="D231" s="4">
        <v>7.75</v>
      </c>
      <c r="E231" s="49">
        <v>42384</v>
      </c>
      <c r="F231" s="4">
        <v>4.21</v>
      </c>
      <c r="G231" s="4">
        <v>1.21</v>
      </c>
      <c r="H231" s="4" t="s">
        <v>3054</v>
      </c>
      <c r="I231" s="4" t="s">
        <v>3036</v>
      </c>
      <c r="J231" s="4">
        <f>IF(Z231="US",K231,VLOOKUP(Z231,'3032'!$AL$4:$AM$20,2,FALSE)*K231)</f>
        <v>102.5</v>
      </c>
      <c r="K231" s="4">
        <v>102.5</v>
      </c>
      <c r="L231" s="4">
        <v>2284246</v>
      </c>
      <c r="M231" s="4">
        <v>0.56000000000000005</v>
      </c>
      <c r="N231" s="4">
        <v>0.54573499999999997</v>
      </c>
      <c r="O231" s="4">
        <v>7.05</v>
      </c>
      <c r="P231" s="4">
        <v>6.86</v>
      </c>
      <c r="Q231" s="4">
        <v>604</v>
      </c>
      <c r="R231" s="4">
        <v>625</v>
      </c>
      <c r="S231" s="4">
        <v>2.75</v>
      </c>
      <c r="T231" s="4">
        <v>-0.02</v>
      </c>
      <c r="U231" s="4"/>
      <c r="V231" s="4" t="s">
        <v>3437</v>
      </c>
      <c r="W231" s="4" t="s">
        <v>3962</v>
      </c>
      <c r="X231" s="4" t="s">
        <v>3963</v>
      </c>
      <c r="Y231" s="4" t="s">
        <v>2961</v>
      </c>
      <c r="Z231" s="4" t="s">
        <v>2962</v>
      </c>
      <c r="AA231" s="4" t="s">
        <v>3024</v>
      </c>
      <c r="AB231" s="4" t="s">
        <v>3033</v>
      </c>
      <c r="AD231" s="10">
        <f t="shared" si="15"/>
        <v>6.2855934932972188E-2</v>
      </c>
      <c r="AE231" s="10">
        <f t="shared" si="12"/>
        <v>0.12824323954494407</v>
      </c>
      <c r="AF231" s="10">
        <f t="shared" si="13"/>
        <v>24.761929927937626</v>
      </c>
      <c r="AG231" s="10">
        <f t="shared" ca="1" si="14"/>
        <v>1.0582048373541086</v>
      </c>
    </row>
    <row r="232" spans="1:33" x14ac:dyDescent="0.25">
      <c r="A232" s="50" t="s">
        <v>3964</v>
      </c>
      <c r="B232" s="4">
        <v>1674</v>
      </c>
      <c r="C232" s="53" t="s">
        <v>3965</v>
      </c>
      <c r="D232" s="4">
        <v>7.625</v>
      </c>
      <c r="E232" s="49">
        <v>43435</v>
      </c>
      <c r="F232" s="4">
        <v>7.09</v>
      </c>
      <c r="G232" s="4">
        <v>3.09</v>
      </c>
      <c r="H232" s="4" t="s">
        <v>133</v>
      </c>
      <c r="I232" s="4" t="s">
        <v>3311</v>
      </c>
      <c r="J232" s="4">
        <f>IF(Z232="US",K232,VLOOKUP(Z232,'3032'!$AL$4:$AM$20,2,FALSE)*K232)</f>
        <v>104.75</v>
      </c>
      <c r="K232" s="4">
        <v>104.75</v>
      </c>
      <c r="L232" s="4">
        <v>1806699</v>
      </c>
      <c r="M232" s="4">
        <v>0.43</v>
      </c>
      <c r="N232" s="4">
        <v>0.431643</v>
      </c>
      <c r="O232" s="4">
        <v>6.77</v>
      </c>
      <c r="P232" s="4">
        <v>6.51</v>
      </c>
      <c r="Q232" s="4">
        <v>531</v>
      </c>
      <c r="R232" s="4">
        <v>497</v>
      </c>
      <c r="S232" s="4">
        <v>4.07</v>
      </c>
      <c r="T232" s="4">
        <v>0.1</v>
      </c>
      <c r="U232" s="4"/>
      <c r="V232" s="4" t="s">
        <v>3037</v>
      </c>
      <c r="W232" s="4" t="s">
        <v>3916</v>
      </c>
      <c r="X232" s="4" t="s">
        <v>3966</v>
      </c>
      <c r="Y232" s="4" t="s">
        <v>2961</v>
      </c>
      <c r="Z232" s="4" t="s">
        <v>2962</v>
      </c>
      <c r="AA232" s="4" t="s">
        <v>3024</v>
      </c>
      <c r="AB232" s="4" t="s">
        <v>2945</v>
      </c>
      <c r="AD232" s="10">
        <f t="shared" si="15"/>
        <v>0.13217911722846071</v>
      </c>
      <c r="AE232" s="10">
        <f t="shared" si="12"/>
        <v>9.6257434868664893E-2</v>
      </c>
      <c r="AF232" s="10">
        <f t="shared" si="13"/>
        <v>7.5618999054342915</v>
      </c>
      <c r="AG232" s="10">
        <f t="shared" ca="1" si="14"/>
        <v>0.85534799131406425</v>
      </c>
    </row>
    <row r="233" spans="1:33" x14ac:dyDescent="0.25">
      <c r="A233" s="50" t="s">
        <v>3967</v>
      </c>
      <c r="B233" s="4">
        <v>470</v>
      </c>
      <c r="C233" s="53" t="s">
        <v>3968</v>
      </c>
      <c r="D233" s="4">
        <v>3.25</v>
      </c>
      <c r="E233" s="49">
        <v>41760</v>
      </c>
      <c r="F233" s="4">
        <v>2.5</v>
      </c>
      <c r="G233" s="4">
        <v>2.5</v>
      </c>
      <c r="H233" s="4" t="s">
        <v>3161</v>
      </c>
      <c r="I233" s="4" t="s">
        <v>3076</v>
      </c>
      <c r="J233" s="4">
        <f>IF(Z233="US",K233,VLOOKUP(Z233,'3032'!$AL$4:$AM$20,2,FALSE)*K233)</f>
        <v>120.13</v>
      </c>
      <c r="K233" s="4">
        <v>120.13</v>
      </c>
      <c r="L233" s="4">
        <v>572225</v>
      </c>
      <c r="M233" s="4">
        <v>0.12</v>
      </c>
      <c r="N233" s="4">
        <v>0.136712</v>
      </c>
      <c r="O233" s="4">
        <v>2.71</v>
      </c>
      <c r="P233" s="4">
        <v>2.71</v>
      </c>
      <c r="Q233" s="4">
        <v>0</v>
      </c>
      <c r="R233" s="4">
        <v>0</v>
      </c>
      <c r="S233" s="4">
        <v>2.4500000000000002</v>
      </c>
      <c r="T233" s="4">
        <v>7.0000000000000007E-2</v>
      </c>
      <c r="U233" s="4"/>
      <c r="V233" s="4" t="s">
        <v>3209</v>
      </c>
      <c r="W233" s="4" t="s">
        <v>3570</v>
      </c>
      <c r="X233" s="4" t="s">
        <v>3969</v>
      </c>
      <c r="Y233" s="4" t="s">
        <v>2961</v>
      </c>
      <c r="Z233" s="4" t="s">
        <v>2962</v>
      </c>
      <c r="AA233" s="4" t="s">
        <v>3024</v>
      </c>
      <c r="AB233" s="4" t="s">
        <v>3042</v>
      </c>
      <c r="AD233" s="10">
        <f t="shared" si="15"/>
        <v>1.4028254487348882E-2</v>
      </c>
      <c r="AE233" s="10">
        <f t="shared" si="12"/>
        <v>1.8973516247066193E-2</v>
      </c>
      <c r="AF233" s="10">
        <f t="shared" si="13"/>
        <v>0</v>
      </c>
      <c r="AG233" s="10">
        <f t="shared" ca="1" si="14"/>
        <v>3.6341028895556384</v>
      </c>
    </row>
    <row r="234" spans="1:33" x14ac:dyDescent="0.25">
      <c r="A234" s="50" t="s">
        <v>3970</v>
      </c>
      <c r="B234" s="4">
        <v>734</v>
      </c>
      <c r="C234" s="53" t="s">
        <v>3971</v>
      </c>
      <c r="D234" s="4">
        <v>4.5</v>
      </c>
      <c r="E234" s="49">
        <v>41464</v>
      </c>
      <c r="F234" s="4">
        <v>1.69</v>
      </c>
      <c r="G234" s="4">
        <v>1.69</v>
      </c>
      <c r="H234" s="4" t="s">
        <v>3028</v>
      </c>
      <c r="I234" s="4" t="s">
        <v>3028</v>
      </c>
      <c r="J234" s="12" t="e">
        <f ca="1">IF(Z234="US",K234,VLOOKUP(Z234,'3032'!$AL$4:$AM$20,2,FALSE)*K234)</f>
        <v>#NAME?</v>
      </c>
      <c r="K234" s="12">
        <v>63.5</v>
      </c>
      <c r="L234" s="4">
        <v>664578</v>
      </c>
      <c r="M234" s="4">
        <v>0.19</v>
      </c>
      <c r="N234" s="4">
        <v>0.158776</v>
      </c>
      <c r="O234" s="4">
        <v>37.17</v>
      </c>
      <c r="P234" s="4">
        <v>37.17</v>
      </c>
      <c r="Q234" s="4">
        <v>3658</v>
      </c>
      <c r="R234" s="4">
        <v>3658</v>
      </c>
      <c r="S234" s="4">
        <v>1.19</v>
      </c>
      <c r="T234" s="4">
        <v>0.02</v>
      </c>
      <c r="U234" s="4"/>
      <c r="V234" s="4" t="s">
        <v>3029</v>
      </c>
      <c r="W234" s="4" t="s">
        <v>3030</v>
      </c>
      <c r="X234" s="4" t="s">
        <v>3970</v>
      </c>
      <c r="Y234" s="4" t="s">
        <v>2978</v>
      </c>
      <c r="Z234" s="4" t="s">
        <v>2985</v>
      </c>
      <c r="AA234" s="4" t="s">
        <v>3024</v>
      </c>
      <c r="AB234" s="4" t="s">
        <v>2945</v>
      </c>
      <c r="AD234" s="10">
        <f t="shared" si="15"/>
        <v>5.5517142218848656E-3</v>
      </c>
      <c r="AE234" s="10">
        <f t="shared" si="12"/>
        <v>0.58135285748296139</v>
      </c>
      <c r="AF234" s="10">
        <f t="shared" si="13"/>
        <v>117.20901520904297</v>
      </c>
      <c r="AG234" s="10" t="e">
        <f t="shared" ca="1" si="14"/>
        <v>#NAME?</v>
      </c>
    </row>
    <row r="235" spans="1:33" x14ac:dyDescent="0.25">
      <c r="A235" s="50" t="s">
        <v>3177</v>
      </c>
      <c r="B235" s="4">
        <v>56</v>
      </c>
      <c r="C235" s="53" t="s">
        <v>3178</v>
      </c>
      <c r="D235" s="4">
        <v>0</v>
      </c>
      <c r="E235" s="49">
        <v>42734</v>
      </c>
      <c r="F235" s="4">
        <v>5.17</v>
      </c>
      <c r="G235" s="4">
        <v>5.17</v>
      </c>
      <c r="H235" s="4" t="s">
        <v>3028</v>
      </c>
      <c r="I235" s="4" t="s">
        <v>3028</v>
      </c>
      <c r="J235" s="4">
        <f>IF(Z235="US",K235,VLOOKUP(Z235,'3032'!$AL$4:$AM$20,2,FALSE)*K235)</f>
        <v>0.13</v>
      </c>
      <c r="K235" s="4">
        <v>0.13</v>
      </c>
      <c r="L235" s="4">
        <v>70</v>
      </c>
      <c r="M235" s="4">
        <v>0.01</v>
      </c>
      <c r="N235" s="4">
        <v>1.7E-5</v>
      </c>
      <c r="O235" s="4">
        <v>0</v>
      </c>
      <c r="P235" s="4">
        <v>0</v>
      </c>
      <c r="Q235" s="4">
        <v>0</v>
      </c>
      <c r="R235" s="4">
        <v>0</v>
      </c>
      <c r="S235" s="4">
        <v>5.17</v>
      </c>
      <c r="T235" s="4">
        <v>0.28999999999999998</v>
      </c>
      <c r="U235" s="4"/>
      <c r="V235" s="4" t="s">
        <v>3105</v>
      </c>
      <c r="W235" s="4" t="s">
        <v>3106</v>
      </c>
      <c r="X235" s="4" t="s">
        <v>3177</v>
      </c>
      <c r="Y235" s="4" t="s">
        <v>3086</v>
      </c>
      <c r="Z235" s="4" t="s">
        <v>2962</v>
      </c>
      <c r="AA235" s="4" t="s">
        <v>3067</v>
      </c>
      <c r="AB235" s="4" t="s">
        <v>3033</v>
      </c>
      <c r="AD235" s="10">
        <f t="shared" si="15"/>
        <v>6.5053582293518596E-6</v>
      </c>
      <c r="AE235" s="10">
        <f t="shared" si="12"/>
        <v>0</v>
      </c>
      <c r="AF235" s="10">
        <f t="shared" si="13"/>
        <v>0</v>
      </c>
      <c r="AG235" s="10">
        <f t="shared" ca="1" si="14"/>
        <v>2.4652242865119425E-7</v>
      </c>
    </row>
    <row r="236" spans="1:33" x14ac:dyDescent="0.25">
      <c r="A236" s="50" t="s">
        <v>3972</v>
      </c>
      <c r="B236" s="4">
        <v>300</v>
      </c>
      <c r="C236" s="53" t="s">
        <v>3180</v>
      </c>
      <c r="D236" s="4">
        <v>5.875</v>
      </c>
      <c r="E236" s="49">
        <v>43903</v>
      </c>
      <c r="F236" s="4">
        <v>8.3699999999999992</v>
      </c>
      <c r="G236" s="4">
        <v>8.3699999999999992</v>
      </c>
      <c r="H236" s="4" t="s">
        <v>3181</v>
      </c>
      <c r="I236" s="4" t="s">
        <v>3116</v>
      </c>
      <c r="J236" s="4">
        <f>IF(Z236="US",K236,VLOOKUP(Z236,'3032'!$AL$4:$AM$20,2,FALSE)*K236)</f>
        <v>114</v>
      </c>
      <c r="K236" s="4">
        <v>114</v>
      </c>
      <c r="L236" s="4">
        <v>344350</v>
      </c>
      <c r="M236" s="4">
        <v>0.08</v>
      </c>
      <c r="N236" s="4">
        <v>8.2268999999999995E-2</v>
      </c>
      <c r="O236" s="4">
        <v>3.9</v>
      </c>
      <c r="P236" s="4">
        <v>3.9</v>
      </c>
      <c r="Q236" s="4">
        <v>0</v>
      </c>
      <c r="R236" s="4">
        <v>0</v>
      </c>
      <c r="S236" s="4">
        <v>6.67</v>
      </c>
      <c r="T236" s="4">
        <v>0.54</v>
      </c>
      <c r="U236" s="4"/>
      <c r="V236" s="4" t="s">
        <v>3045</v>
      </c>
      <c r="W236" s="4" t="s">
        <v>3046</v>
      </c>
      <c r="X236" s="4" t="s">
        <v>3973</v>
      </c>
      <c r="Y236" s="4" t="s">
        <v>2994</v>
      </c>
      <c r="Z236" s="4" t="s">
        <v>2962</v>
      </c>
      <c r="AA236" s="4" t="s">
        <v>3041</v>
      </c>
      <c r="AB236" s="4" t="s">
        <v>2945</v>
      </c>
      <c r="AD236" s="10">
        <f t="shared" si="15"/>
        <v>3.5133645982260896E-2</v>
      </c>
      <c r="AE236" s="10">
        <f t="shared" si="12"/>
        <v>1.6431469278732319E-2</v>
      </c>
      <c r="AF236" s="10">
        <f t="shared" si="13"/>
        <v>0</v>
      </c>
      <c r="AG236" s="10">
        <f t="shared" ca="1" si="14"/>
        <v>0.17742219287555339</v>
      </c>
    </row>
    <row r="237" spans="1:33" x14ac:dyDescent="0.25">
      <c r="A237" s="50" t="s">
        <v>3974</v>
      </c>
      <c r="B237" s="4">
        <v>1194</v>
      </c>
      <c r="C237" s="53" t="s">
        <v>3975</v>
      </c>
      <c r="D237" s="4">
        <v>5.25</v>
      </c>
      <c r="E237" s="49">
        <v>43192</v>
      </c>
      <c r="F237" s="4">
        <v>6.42</v>
      </c>
      <c r="G237" s="4">
        <v>6.42</v>
      </c>
      <c r="H237" s="4" t="s">
        <v>3019</v>
      </c>
      <c r="I237" s="4" t="s">
        <v>3020</v>
      </c>
      <c r="J237" s="4">
        <f>IF(Z237="US",K237,VLOOKUP(Z237,'3032'!$AL$4:$AM$20,2,FALSE)*K237)</f>
        <v>99.25</v>
      </c>
      <c r="K237" s="4">
        <v>99.25</v>
      </c>
      <c r="L237" s="4">
        <v>1188528</v>
      </c>
      <c r="M237" s="4">
        <v>0.31</v>
      </c>
      <c r="N237" s="4">
        <v>0.28395399999999998</v>
      </c>
      <c r="O237" s="4">
        <v>5.4</v>
      </c>
      <c r="P237" s="4">
        <v>5.4</v>
      </c>
      <c r="Q237" s="4">
        <v>375</v>
      </c>
      <c r="R237" s="4">
        <v>0</v>
      </c>
      <c r="S237" s="4">
        <v>0.25</v>
      </c>
      <c r="T237" s="4">
        <v>0.46</v>
      </c>
      <c r="U237" s="4" t="s">
        <v>3049</v>
      </c>
      <c r="V237" s="4" t="s">
        <v>3153</v>
      </c>
      <c r="W237" s="4" t="s">
        <v>3154</v>
      </c>
      <c r="X237" s="4" t="s">
        <v>3976</v>
      </c>
      <c r="Y237" s="4" t="s">
        <v>3040</v>
      </c>
      <c r="Z237" s="4" t="s">
        <v>2962</v>
      </c>
      <c r="AA237" s="4" t="s">
        <v>3032</v>
      </c>
      <c r="AB237" s="4" t="s">
        <v>2945</v>
      </c>
      <c r="AD237" s="10">
        <f t="shared" si="15"/>
        <v>2.0858525603283497E-3</v>
      </c>
      <c r="AE237" s="10">
        <f t="shared" si="12"/>
        <v>5.6554377075600896E-2</v>
      </c>
      <c r="AF237" s="10">
        <f t="shared" si="13"/>
        <v>0</v>
      </c>
      <c r="AG237" s="10">
        <f t="shared" ca="1" si="14"/>
        <v>1.1633391578495169</v>
      </c>
    </row>
    <row r="238" spans="1:33" x14ac:dyDescent="0.25">
      <c r="A238" s="50" t="s">
        <v>3977</v>
      </c>
      <c r="B238" s="4">
        <v>815</v>
      </c>
      <c r="C238" s="53" t="s">
        <v>3978</v>
      </c>
      <c r="D238" s="4">
        <v>11.25</v>
      </c>
      <c r="E238" s="49">
        <v>42770</v>
      </c>
      <c r="F238" s="4">
        <v>5.26</v>
      </c>
      <c r="G238" s="4">
        <v>1.29</v>
      </c>
      <c r="H238" s="4" t="s">
        <v>3431</v>
      </c>
      <c r="I238" s="4" t="s">
        <v>3538</v>
      </c>
      <c r="J238" s="4">
        <f>IF(Z238="US",K238,VLOOKUP(Z238,'3032'!$AL$4:$AM$20,2,FALSE)*K238)</f>
        <v>99.25</v>
      </c>
      <c r="K238" s="4">
        <v>99.25</v>
      </c>
      <c r="L238" s="4">
        <v>828244</v>
      </c>
      <c r="M238" s="4">
        <v>0.21</v>
      </c>
      <c r="N238" s="4">
        <v>0.197878</v>
      </c>
      <c r="O238" s="4">
        <v>11.42</v>
      </c>
      <c r="P238" s="4">
        <v>11.44</v>
      </c>
      <c r="Q238" s="4">
        <v>1065</v>
      </c>
      <c r="R238" s="4">
        <v>1009</v>
      </c>
      <c r="S238" s="4">
        <v>3.8</v>
      </c>
      <c r="T238" s="4">
        <v>0.08</v>
      </c>
      <c r="U238" s="4" t="s">
        <v>3049</v>
      </c>
      <c r="V238" s="4" t="s">
        <v>3153</v>
      </c>
      <c r="W238" s="4" t="s">
        <v>3154</v>
      </c>
      <c r="X238" s="4" t="s">
        <v>3979</v>
      </c>
      <c r="Y238" s="4" t="s">
        <v>3040</v>
      </c>
      <c r="Z238" s="4" t="s">
        <v>2962</v>
      </c>
      <c r="AA238" s="4" t="s">
        <v>3024</v>
      </c>
      <c r="AB238" s="4" t="s">
        <v>2945</v>
      </c>
      <c r="AD238" s="10">
        <f t="shared" si="15"/>
        <v>3.1492897428890762E-2</v>
      </c>
      <c r="AE238" s="10">
        <f t="shared" si="12"/>
        <v>0.22299011568803045</v>
      </c>
      <c r="AF238" s="10">
        <f t="shared" si="13"/>
        <v>40.292185073489883</v>
      </c>
      <c r="AG238" s="10">
        <f t="shared" ca="1" si="14"/>
        <v>0.8106907682897796</v>
      </c>
    </row>
    <row r="239" spans="1:33" x14ac:dyDescent="0.25">
      <c r="A239" s="50" t="s">
        <v>3980</v>
      </c>
      <c r="B239" s="4">
        <v>685</v>
      </c>
      <c r="C239" s="53" t="s">
        <v>3981</v>
      </c>
      <c r="D239" s="4">
        <v>9</v>
      </c>
      <c r="E239" s="49">
        <v>42916</v>
      </c>
      <c r="F239" s="4">
        <v>5.67</v>
      </c>
      <c r="G239" s="4">
        <v>0.67</v>
      </c>
      <c r="H239" s="4" t="s">
        <v>3019</v>
      </c>
      <c r="I239" s="4" t="s">
        <v>3036</v>
      </c>
      <c r="J239" s="4">
        <f>IF(Z239="US",K239,VLOOKUP(Z239,'3032'!$AL$4:$AM$20,2,FALSE)*K239)</f>
        <v>103.38</v>
      </c>
      <c r="K239" s="4">
        <v>103.38</v>
      </c>
      <c r="L239" s="4">
        <v>728840</v>
      </c>
      <c r="M239" s="4">
        <v>0.18</v>
      </c>
      <c r="N239" s="4">
        <v>0.17412900000000001</v>
      </c>
      <c r="O239" s="4">
        <v>8.24</v>
      </c>
      <c r="P239" s="4">
        <v>7.92</v>
      </c>
      <c r="Q239" s="4">
        <v>765</v>
      </c>
      <c r="R239" s="4">
        <v>720</v>
      </c>
      <c r="S239" s="4">
        <v>3.01</v>
      </c>
      <c r="T239" s="4">
        <v>0.03</v>
      </c>
      <c r="U239" s="4"/>
      <c r="V239" s="4" t="s">
        <v>3021</v>
      </c>
      <c r="W239" s="4" t="s">
        <v>3684</v>
      </c>
      <c r="X239" s="4" t="s">
        <v>3982</v>
      </c>
      <c r="Y239" s="4" t="s">
        <v>3176</v>
      </c>
      <c r="Z239" s="4" t="s">
        <v>2962</v>
      </c>
      <c r="AA239" s="4" t="s">
        <v>3041</v>
      </c>
      <c r="AB239" s="4" t="s">
        <v>2945</v>
      </c>
      <c r="AD239" s="10">
        <f t="shared" si="15"/>
        <v>2.1951763680572823E-2</v>
      </c>
      <c r="AE239" s="10">
        <f t="shared" si="12"/>
        <v>4.7241629843418453E-2</v>
      </c>
      <c r="AF239" s="10">
        <f t="shared" si="13"/>
        <v>9.1017791997872024</v>
      </c>
      <c r="AG239" s="10">
        <f t="shared" ca="1" si="14"/>
        <v>0.34054282253901058</v>
      </c>
    </row>
    <row r="240" spans="1:33" x14ac:dyDescent="0.25">
      <c r="A240" s="50" t="s">
        <v>3983</v>
      </c>
      <c r="B240" s="4">
        <v>815</v>
      </c>
      <c r="C240" s="53" t="s">
        <v>3984</v>
      </c>
      <c r="D240" s="4">
        <v>5.7750000000000004</v>
      </c>
      <c r="E240" s="49">
        <v>18261</v>
      </c>
      <c r="F240" s="4">
        <v>38.159999999999997</v>
      </c>
      <c r="G240" s="4">
        <v>4.1100000000000003</v>
      </c>
      <c r="H240" s="4" t="s">
        <v>3054</v>
      </c>
      <c r="I240" s="4" t="s">
        <v>3116</v>
      </c>
      <c r="J240" s="4">
        <f>IF(Z240="US",K240,VLOOKUP(Z240,'3032'!$AL$4:$AM$20,2,FALSE)*K240)</f>
        <v>79.25</v>
      </c>
      <c r="K240" s="4">
        <v>79.25</v>
      </c>
      <c r="L240" s="4">
        <v>664583</v>
      </c>
      <c r="M240" s="4">
        <v>0.21</v>
      </c>
      <c r="N240" s="4">
        <v>0.158777</v>
      </c>
      <c r="O240" s="4">
        <v>7.41</v>
      </c>
      <c r="P240" s="4">
        <v>12.4</v>
      </c>
      <c r="Q240" s="4">
        <v>1099</v>
      </c>
      <c r="R240" s="4">
        <v>1100</v>
      </c>
      <c r="S240" s="4">
        <v>3.3</v>
      </c>
      <c r="T240" s="4">
        <v>0.14000000000000001</v>
      </c>
      <c r="U240" s="4" t="s">
        <v>3049</v>
      </c>
      <c r="V240" s="4" t="s">
        <v>3398</v>
      </c>
      <c r="W240" s="4" t="s">
        <v>3399</v>
      </c>
      <c r="X240" s="4" t="s">
        <v>3985</v>
      </c>
      <c r="Y240" s="4" t="s">
        <v>3176</v>
      </c>
      <c r="Z240" s="4" t="s">
        <v>2962</v>
      </c>
      <c r="AA240" s="4" t="s">
        <v>2945</v>
      </c>
      <c r="AB240" s="4" t="s">
        <v>2945</v>
      </c>
      <c r="AD240" s="10">
        <f t="shared" si="15"/>
        <v>2.1944914412314321E-2</v>
      </c>
      <c r="AE240" s="10">
        <f t="shared" si="12"/>
        <v>0.19394214873621279</v>
      </c>
      <c r="AF240" s="10">
        <f t="shared" si="13"/>
        <v>35.246278497368735</v>
      </c>
      <c r="AG240" s="10">
        <f t="shared" ca="1" si="14"/>
        <v>2.8140260046888499</v>
      </c>
    </row>
    <row r="241" spans="1:33" x14ac:dyDescent="0.25">
      <c r="A241" s="50" t="s">
        <v>3986</v>
      </c>
      <c r="B241" s="4">
        <v>0</v>
      </c>
      <c r="C241" s="53" t="s">
        <v>3987</v>
      </c>
      <c r="D241" s="4">
        <v>0</v>
      </c>
      <c r="E241" s="4"/>
      <c r="F241" s="4">
        <v>0</v>
      </c>
      <c r="G241" s="4">
        <v>0</v>
      </c>
      <c r="H241" s="4" t="s">
        <v>3028</v>
      </c>
      <c r="I241" s="4" t="s">
        <v>3028</v>
      </c>
      <c r="J241" s="4">
        <f>IF(Z241="US",K241,VLOOKUP(Z241,'3032'!$AL$4:$AM$20,2,FALSE)*K241)</f>
        <v>0.01</v>
      </c>
      <c r="K241" s="4">
        <v>0.01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4">
        <v>0</v>
      </c>
      <c r="U241" s="4"/>
      <c r="V241" s="4" t="s">
        <v>3393</v>
      </c>
      <c r="W241" s="4" t="s">
        <v>3601</v>
      </c>
      <c r="X241" s="4" t="s">
        <v>3986</v>
      </c>
      <c r="Y241" s="4" t="s">
        <v>2961</v>
      </c>
      <c r="Z241" s="4" t="s">
        <v>2962</v>
      </c>
      <c r="AA241" s="4" t="s">
        <v>3032</v>
      </c>
      <c r="AB241" s="4" t="s">
        <v>2945</v>
      </c>
      <c r="AD241" s="10">
        <f t="shared" si="15"/>
        <v>0</v>
      </c>
      <c r="AE241" s="10">
        <f t="shared" si="12"/>
        <v>0</v>
      </c>
      <c r="AF241" s="10">
        <f t="shared" si="13"/>
        <v>0</v>
      </c>
      <c r="AG241" s="10">
        <f t="shared" ca="1" si="14"/>
        <v>0</v>
      </c>
    </row>
    <row r="242" spans="1:33" x14ac:dyDescent="0.25">
      <c r="A242" s="50" t="s">
        <v>3988</v>
      </c>
      <c r="B242" s="4">
        <v>0</v>
      </c>
      <c r="C242" s="53" t="s">
        <v>3989</v>
      </c>
      <c r="D242" s="4">
        <v>0</v>
      </c>
      <c r="E242" s="4"/>
      <c r="F242" s="4">
        <v>0</v>
      </c>
      <c r="G242" s="4">
        <v>0</v>
      </c>
      <c r="H242" s="4" t="s">
        <v>2940</v>
      </c>
      <c r="I242" s="4" t="s">
        <v>2940</v>
      </c>
      <c r="J242" s="4">
        <f>IF(Z242="US",K242,VLOOKUP(Z242,'3032'!$AL$4:$AM$20,2,FALSE)*K242)</f>
        <v>0.01</v>
      </c>
      <c r="K242" s="4">
        <v>0.01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4"/>
      <c r="V242" s="4" t="s">
        <v>3393</v>
      </c>
      <c r="W242" s="4" t="s">
        <v>3601</v>
      </c>
      <c r="X242" s="4" t="s">
        <v>2945</v>
      </c>
      <c r="Y242" s="4" t="s">
        <v>2961</v>
      </c>
      <c r="Z242" s="4" t="s">
        <v>2962</v>
      </c>
      <c r="AA242" s="4" t="s">
        <v>3032</v>
      </c>
      <c r="AB242" s="4" t="s">
        <v>2945</v>
      </c>
      <c r="AD242" s="10">
        <f t="shared" si="15"/>
        <v>0</v>
      </c>
      <c r="AE242" s="10">
        <f t="shared" si="12"/>
        <v>0</v>
      </c>
      <c r="AF242" s="10">
        <f t="shared" si="13"/>
        <v>0</v>
      </c>
      <c r="AG242" s="10">
        <f t="shared" ca="1" si="14"/>
        <v>0</v>
      </c>
    </row>
    <row r="243" spans="1:33" x14ac:dyDescent="0.25">
      <c r="A243" s="50" t="s">
        <v>3990</v>
      </c>
      <c r="B243" s="4">
        <v>693</v>
      </c>
      <c r="C243" s="53" t="s">
        <v>3991</v>
      </c>
      <c r="D243" s="4">
        <v>7.3</v>
      </c>
      <c r="E243" s="49">
        <v>14564</v>
      </c>
      <c r="F243" s="4">
        <v>28.04</v>
      </c>
      <c r="G243" s="4">
        <v>28.04</v>
      </c>
      <c r="H243" s="4" t="s">
        <v>3161</v>
      </c>
      <c r="I243" s="4" t="s">
        <v>3083</v>
      </c>
      <c r="J243" s="4">
        <f>IF(Z243="US",K243,VLOOKUP(Z243,'3032'!$AL$4:$AM$20,2,FALSE)*K243)</f>
        <v>116.61</v>
      </c>
      <c r="K243" s="4">
        <v>116.61</v>
      </c>
      <c r="L243" s="4">
        <v>831403</v>
      </c>
      <c r="M243" s="4">
        <v>0.18</v>
      </c>
      <c r="N243" s="4">
        <v>0.198632</v>
      </c>
      <c r="O243" s="4">
        <v>6.06</v>
      </c>
      <c r="P243" s="4">
        <v>6.06</v>
      </c>
      <c r="Q243" s="4">
        <v>276</v>
      </c>
      <c r="R243" s="4">
        <v>304</v>
      </c>
      <c r="S243" s="4">
        <v>12.59</v>
      </c>
      <c r="T243" s="4">
        <v>2.57</v>
      </c>
      <c r="U243" s="4"/>
      <c r="V243" s="4" t="s">
        <v>3037</v>
      </c>
      <c r="W243" s="4" t="s">
        <v>3188</v>
      </c>
      <c r="X243" s="4" t="s">
        <v>3992</v>
      </c>
      <c r="Y243" s="4" t="s">
        <v>2961</v>
      </c>
      <c r="Z243" s="4" t="s">
        <v>2962</v>
      </c>
      <c r="AA243" s="4" t="s">
        <v>3024</v>
      </c>
      <c r="AB243" s="4" t="s">
        <v>2945</v>
      </c>
      <c r="AD243" s="10">
        <f t="shared" si="15"/>
        <v>0.25630299367506743</v>
      </c>
      <c r="AE243" s="10">
        <f t="shared" si="12"/>
        <v>4.1233642650582485E-2</v>
      </c>
      <c r="AF243" s="10">
        <f t="shared" si="13"/>
        <v>2.8924149385388533</v>
      </c>
      <c r="AG243" s="10">
        <f t="shared" ca="1" si="14"/>
        <v>0.4381778162414468</v>
      </c>
    </row>
    <row r="244" spans="1:33" x14ac:dyDescent="0.25">
      <c r="A244" s="50" t="s">
        <v>3993</v>
      </c>
      <c r="B244" s="4">
        <v>5</v>
      </c>
      <c r="C244" s="53" t="s">
        <v>3994</v>
      </c>
      <c r="D244" s="4">
        <v>0</v>
      </c>
      <c r="E244" s="4"/>
      <c r="F244" s="4">
        <v>0</v>
      </c>
      <c r="G244" s="4">
        <v>0</v>
      </c>
      <c r="H244" s="4" t="s">
        <v>3028</v>
      </c>
      <c r="I244" s="4" t="s">
        <v>3028</v>
      </c>
      <c r="J244" s="4">
        <f>IF(Z244="US",K244,VLOOKUP(Z244,'3032'!$AL$4:$AM$20,2,FALSE)*K244)</f>
        <v>0.02</v>
      </c>
      <c r="K244" s="4">
        <v>0.02</v>
      </c>
      <c r="L244" s="4">
        <v>80</v>
      </c>
      <c r="M244" s="4">
        <v>0</v>
      </c>
      <c r="N244" s="4">
        <v>1.9000000000000001E-5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  <c r="U244" s="4"/>
      <c r="V244" s="4" t="s">
        <v>3393</v>
      </c>
      <c r="W244" s="4" t="s">
        <v>3995</v>
      </c>
      <c r="X244" s="4" t="s">
        <v>3993</v>
      </c>
      <c r="Y244" s="4" t="s">
        <v>2961</v>
      </c>
      <c r="Z244" s="4" t="s">
        <v>2962</v>
      </c>
      <c r="AA244" s="4" t="s">
        <v>2945</v>
      </c>
      <c r="AB244" s="4" t="s">
        <v>3033</v>
      </c>
      <c r="AD244" s="10">
        <f t="shared" si="15"/>
        <v>0</v>
      </c>
      <c r="AE244" s="10">
        <f t="shared" si="12"/>
        <v>0</v>
      </c>
      <c r="AF244" s="10">
        <f t="shared" si="13"/>
        <v>0</v>
      </c>
      <c r="AG244" s="10">
        <f t="shared" ca="1" si="14"/>
        <v>4.3344602839770421E-8</v>
      </c>
    </row>
    <row r="245" spans="1:33" x14ac:dyDescent="0.25">
      <c r="A245" s="50" t="s">
        <v>3996</v>
      </c>
      <c r="B245" s="4">
        <v>160</v>
      </c>
      <c r="C245" s="53" t="s">
        <v>3997</v>
      </c>
      <c r="D245" s="4">
        <v>0</v>
      </c>
      <c r="E245" s="4"/>
      <c r="F245" s="4">
        <v>0</v>
      </c>
      <c r="G245" s="4">
        <v>0</v>
      </c>
      <c r="H245" s="4" t="s">
        <v>3028</v>
      </c>
      <c r="I245" s="4" t="s">
        <v>3028</v>
      </c>
      <c r="J245" s="4">
        <f>IF(Z245="US",K245,VLOOKUP(Z245,'3032'!$AL$4:$AM$20,2,FALSE)*K245)</f>
        <v>0.02</v>
      </c>
      <c r="K245" s="4">
        <v>0.02</v>
      </c>
      <c r="L245" s="4">
        <v>2560</v>
      </c>
      <c r="M245" s="4">
        <v>0.04</v>
      </c>
      <c r="N245" s="4">
        <v>6.1200000000000002E-4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4"/>
      <c r="V245" s="4" t="s">
        <v>3393</v>
      </c>
      <c r="W245" s="4" t="s">
        <v>3998</v>
      </c>
      <c r="X245" s="4" t="s">
        <v>3996</v>
      </c>
      <c r="Y245" s="4" t="s">
        <v>2961</v>
      </c>
      <c r="Z245" s="4" t="s">
        <v>2962</v>
      </c>
      <c r="AA245" s="4" t="s">
        <v>2945</v>
      </c>
      <c r="AB245" s="4" t="s">
        <v>2945</v>
      </c>
      <c r="AD245" s="10">
        <f t="shared" si="15"/>
        <v>0</v>
      </c>
      <c r="AE245" s="10">
        <f t="shared" si="12"/>
        <v>0</v>
      </c>
      <c r="AF245" s="10">
        <f t="shared" si="13"/>
        <v>0</v>
      </c>
      <c r="AG245" s="10">
        <f t="shared" ca="1" si="14"/>
        <v>1.3870272908726535E-6</v>
      </c>
    </row>
    <row r="246" spans="1:33" x14ac:dyDescent="0.25">
      <c r="A246" s="50" t="s">
        <v>3999</v>
      </c>
      <c r="B246" s="4">
        <v>107</v>
      </c>
      <c r="C246" s="53" t="s">
        <v>4000</v>
      </c>
      <c r="D246" s="4">
        <v>4.5</v>
      </c>
      <c r="E246" s="49">
        <v>41014</v>
      </c>
      <c r="F246" s="4">
        <v>0.46</v>
      </c>
      <c r="G246" s="4">
        <v>0.46</v>
      </c>
      <c r="H246" s="4" t="s">
        <v>3059</v>
      </c>
      <c r="I246" s="4" t="s">
        <v>3079</v>
      </c>
      <c r="J246" s="4">
        <f>IF(Z246="US",K246,VLOOKUP(Z246,'3032'!$AL$4:$AM$20,2,FALSE)*K246)</f>
        <v>176.63</v>
      </c>
      <c r="K246" s="4">
        <v>176.63</v>
      </c>
      <c r="L246" s="4">
        <v>189203</v>
      </c>
      <c r="M246" s="4">
        <v>0.03</v>
      </c>
      <c r="N246" s="4">
        <v>4.5203E-2</v>
      </c>
      <c r="O246" s="4">
        <v>2.5499999999999998</v>
      </c>
      <c r="P246" s="4">
        <v>2.5499999999999998</v>
      </c>
      <c r="Q246" s="4">
        <v>0</v>
      </c>
      <c r="R246" s="4">
        <v>0</v>
      </c>
      <c r="S246" s="4">
        <v>0.85</v>
      </c>
      <c r="T246" s="4">
        <v>0.01</v>
      </c>
      <c r="U246" s="4"/>
      <c r="V246" s="4" t="s">
        <v>3173</v>
      </c>
      <c r="W246" s="4" t="s">
        <v>3174</v>
      </c>
      <c r="X246" s="4" t="s">
        <v>4001</v>
      </c>
      <c r="Y246" s="4" t="s">
        <v>3073</v>
      </c>
      <c r="Z246" s="4" t="s">
        <v>2962</v>
      </c>
      <c r="AA246" s="4" t="s">
        <v>3024</v>
      </c>
      <c r="AB246" s="4" t="s">
        <v>2945</v>
      </c>
      <c r="AD246" s="10">
        <f t="shared" si="15"/>
        <v>1.1289666803845899E-3</v>
      </c>
      <c r="AE246" s="10">
        <f t="shared" si="12"/>
        <v>5.9030967813436513E-3</v>
      </c>
      <c r="AF246" s="10">
        <f t="shared" si="13"/>
        <v>0</v>
      </c>
      <c r="AG246" s="10">
        <f t="shared" ca="1" si="14"/>
        <v>7.6155179003465374</v>
      </c>
    </row>
    <row r="247" spans="1:33" x14ac:dyDescent="0.25">
      <c r="A247" s="50" t="s">
        <v>4002</v>
      </c>
      <c r="B247" s="4">
        <v>431</v>
      </c>
      <c r="C247" s="53" t="s">
        <v>4003</v>
      </c>
      <c r="D247" s="4">
        <v>7.75</v>
      </c>
      <c r="E247" s="49">
        <v>43739</v>
      </c>
      <c r="F247" s="4">
        <v>7.92</v>
      </c>
      <c r="G247" s="4">
        <v>3.92</v>
      </c>
      <c r="H247" s="4" t="s">
        <v>3120</v>
      </c>
      <c r="I247" s="4" t="s">
        <v>3020</v>
      </c>
      <c r="J247" s="60">
        <f>IF(Z247="US",K247,VLOOKUP(Z247,'3032'!$AL$4:$AM$20,2,FALSE)*K247)</f>
        <v>103.75</v>
      </c>
      <c r="K247" s="12">
        <v>103.75</v>
      </c>
      <c r="L247" s="4">
        <v>450688</v>
      </c>
      <c r="M247" s="4">
        <v>0.11</v>
      </c>
      <c r="N247" s="4">
        <v>0.10767500000000001</v>
      </c>
      <c r="O247" s="4">
        <v>7.12</v>
      </c>
      <c r="P247" s="4">
        <v>6.96</v>
      </c>
      <c r="Q247" s="4">
        <v>556</v>
      </c>
      <c r="R247" s="4">
        <v>551</v>
      </c>
      <c r="S247" s="4">
        <v>4.68</v>
      </c>
      <c r="T247" s="4">
        <v>0.3</v>
      </c>
      <c r="U247" s="4"/>
      <c r="V247" s="4" t="s">
        <v>3209</v>
      </c>
      <c r="W247" s="4" t="s">
        <v>3582</v>
      </c>
      <c r="X247" s="4" t="s">
        <v>4004</v>
      </c>
      <c r="Y247" s="4" t="s">
        <v>2961</v>
      </c>
      <c r="Z247" s="4" t="s">
        <v>2962</v>
      </c>
      <c r="AA247" s="4" t="s">
        <v>3024</v>
      </c>
      <c r="AB247" s="4" t="s">
        <v>2945</v>
      </c>
      <c r="AD247" s="10">
        <f t="shared" si="15"/>
        <v>3.7914425652545485E-2</v>
      </c>
      <c r="AE247" s="10">
        <f t="shared" si="12"/>
        <v>2.5671587497910615E-2</v>
      </c>
      <c r="AF247" s="10">
        <f t="shared" si="13"/>
        <v>2.0912999404963064</v>
      </c>
      <c r="AG247" s="10">
        <f t="shared" ca="1" si="14"/>
        <v>0.21133289584507947</v>
      </c>
    </row>
    <row r="248" spans="1:33" x14ac:dyDescent="0.25">
      <c r="A248" s="50" t="s">
        <v>4005</v>
      </c>
      <c r="B248" s="4">
        <v>2693</v>
      </c>
      <c r="C248" s="53" t="s">
        <v>4003</v>
      </c>
      <c r="D248" s="4">
        <v>8.375</v>
      </c>
      <c r="E248" s="49">
        <v>44423</v>
      </c>
      <c r="F248" s="4">
        <v>9.7899999999999991</v>
      </c>
      <c r="G248" s="4">
        <v>2.79</v>
      </c>
      <c r="H248" s="4" t="s">
        <v>3120</v>
      </c>
      <c r="I248" s="4" t="s">
        <v>3020</v>
      </c>
      <c r="J248" s="4">
        <f>IF(Z248="US",K248,VLOOKUP(Z248,'3032'!$AL$4:$AM$20,2,FALSE)*K248)</f>
        <v>104.75</v>
      </c>
      <c r="K248" s="4">
        <v>104.75</v>
      </c>
      <c r="L248" s="4">
        <v>2868531</v>
      </c>
      <c r="M248" s="4">
        <v>0.69</v>
      </c>
      <c r="N248" s="4">
        <v>0.68532800000000005</v>
      </c>
      <c r="O248" s="4">
        <v>7.67</v>
      </c>
      <c r="P248" s="4">
        <v>7.35</v>
      </c>
      <c r="Q248" s="4">
        <v>599</v>
      </c>
      <c r="R248" s="4">
        <v>525</v>
      </c>
      <c r="S248" s="4">
        <v>4.49</v>
      </c>
      <c r="T248" s="4">
        <v>-0.06</v>
      </c>
      <c r="U248" s="4"/>
      <c r="V248" s="4" t="s">
        <v>3209</v>
      </c>
      <c r="W248" s="4" t="s">
        <v>3582</v>
      </c>
      <c r="X248" s="4" t="s">
        <v>4006</v>
      </c>
      <c r="Y248" s="4" t="s">
        <v>2961</v>
      </c>
      <c r="Z248" s="4" t="s">
        <v>2962</v>
      </c>
      <c r="AA248" s="4" t="s">
        <v>3024</v>
      </c>
      <c r="AB248" s="4" t="s">
        <v>2945</v>
      </c>
      <c r="AD248" s="10">
        <f t="shared" si="15"/>
        <v>0.23152000454278568</v>
      </c>
      <c r="AE248" s="10">
        <f t="shared" si="12"/>
        <v>0.17254976736388752</v>
      </c>
      <c r="AF248" s="10">
        <f t="shared" si="13"/>
        <v>12.682579185190741</v>
      </c>
      <c r="AG248" s="10">
        <f t="shared" ca="1" si="14"/>
        <v>1.3580525748185635</v>
      </c>
    </row>
    <row r="249" spans="1:33" x14ac:dyDescent="0.25">
      <c r="A249" s="50" t="s">
        <v>4007</v>
      </c>
      <c r="B249" s="4">
        <v>882</v>
      </c>
      <c r="C249" s="53" t="s">
        <v>4008</v>
      </c>
      <c r="D249" s="4">
        <v>7</v>
      </c>
      <c r="E249" s="49">
        <v>41699</v>
      </c>
      <c r="F249" s="4">
        <v>2.34</v>
      </c>
      <c r="G249" s="4">
        <v>0.34</v>
      </c>
      <c r="H249" s="4" t="s">
        <v>3431</v>
      </c>
      <c r="I249" s="4" t="s">
        <v>3432</v>
      </c>
      <c r="J249" s="4">
        <f>IF(Z249="US",K249,VLOOKUP(Z249,'3032'!$AL$4:$AM$20,2,FALSE)*K249)</f>
        <v>96</v>
      </c>
      <c r="K249" s="4">
        <v>96</v>
      </c>
      <c r="L249" s="4">
        <v>857010</v>
      </c>
      <c r="M249" s="4">
        <v>0.23</v>
      </c>
      <c r="N249" s="4">
        <v>0.20474999999999999</v>
      </c>
      <c r="O249" s="4">
        <v>8.93</v>
      </c>
      <c r="P249" s="4">
        <v>8.93</v>
      </c>
      <c r="Q249" s="4">
        <v>809</v>
      </c>
      <c r="R249" s="4">
        <v>808</v>
      </c>
      <c r="S249" s="4">
        <v>2.0699999999999998</v>
      </c>
      <c r="T249" s="4">
        <v>7.0000000000000007E-2</v>
      </c>
      <c r="U249" s="4"/>
      <c r="V249" s="4" t="s">
        <v>3209</v>
      </c>
      <c r="W249" s="4" t="s">
        <v>3570</v>
      </c>
      <c r="X249" s="4" t="s">
        <v>4009</v>
      </c>
      <c r="Y249" s="4" t="s">
        <v>2961</v>
      </c>
      <c r="Z249" s="4" t="s">
        <v>2962</v>
      </c>
      <c r="AA249" s="4" t="s">
        <v>3024</v>
      </c>
      <c r="AB249" s="4" t="s">
        <v>2945</v>
      </c>
      <c r="AD249" s="10">
        <f t="shared" si="15"/>
        <v>1.7751168995983228E-2</v>
      </c>
      <c r="AE249" s="10">
        <f t="shared" si="12"/>
        <v>0.12833240798142431</v>
      </c>
      <c r="AF249" s="10">
        <f t="shared" si="13"/>
        <v>26.129205492089213</v>
      </c>
      <c r="AG249" s="10">
        <f t="shared" ca="1" si="14"/>
        <v>0.81137857599751007</v>
      </c>
    </row>
    <row r="250" spans="1:33" x14ac:dyDescent="0.25">
      <c r="A250" s="50" t="s">
        <v>4010</v>
      </c>
      <c r="B250" s="4">
        <v>1223</v>
      </c>
      <c r="C250" s="53" t="s">
        <v>4011</v>
      </c>
      <c r="D250" s="4">
        <v>7.5</v>
      </c>
      <c r="E250" s="49">
        <v>43845</v>
      </c>
      <c r="F250" s="4">
        <v>8.2100000000000009</v>
      </c>
      <c r="G250" s="4">
        <v>3.21</v>
      </c>
      <c r="H250" s="4" t="s">
        <v>135</v>
      </c>
      <c r="I250" s="4" t="s">
        <v>3311</v>
      </c>
      <c r="J250" s="4">
        <f>IF(Z250="US",K250,VLOOKUP(Z250,'3032'!$AL$4:$AM$20,2,FALSE)*K250)</f>
        <v>107</v>
      </c>
      <c r="K250" s="4">
        <v>107</v>
      </c>
      <c r="L250" s="4">
        <v>1335618</v>
      </c>
      <c r="M250" s="4">
        <v>0.32</v>
      </c>
      <c r="N250" s="4">
        <v>0.31909599999999999</v>
      </c>
      <c r="O250" s="4">
        <v>6.39</v>
      </c>
      <c r="P250" s="4">
        <v>6.11</v>
      </c>
      <c r="Q250" s="4">
        <v>499</v>
      </c>
      <c r="R250" s="4">
        <v>429</v>
      </c>
      <c r="S250" s="4">
        <v>3.53</v>
      </c>
      <c r="T250" s="4">
        <v>-0.04</v>
      </c>
      <c r="U250" s="4"/>
      <c r="V250" s="4" t="s">
        <v>3105</v>
      </c>
      <c r="W250" s="4" t="s">
        <v>2840</v>
      </c>
      <c r="X250" s="4" t="s">
        <v>4012</v>
      </c>
      <c r="Y250" s="4" t="s">
        <v>2961</v>
      </c>
      <c r="Z250" s="4" t="s">
        <v>2962</v>
      </c>
      <c r="AA250" s="4" t="s">
        <v>3024</v>
      </c>
      <c r="AB250" s="4" t="s">
        <v>2945</v>
      </c>
      <c r="AD250" s="10">
        <f t="shared" si="15"/>
        <v>4.7176714513183178E-2</v>
      </c>
      <c r="AE250" s="10">
        <f t="shared" si="12"/>
        <v>6.6786850697466399E-2</v>
      </c>
      <c r="AF250" s="10">
        <f t="shared" si="13"/>
        <v>4.8253440814962696</v>
      </c>
      <c r="AG250" s="10">
        <f t="shared" ca="1" si="14"/>
        <v>0.64590559282132143</v>
      </c>
    </row>
    <row r="251" spans="1:33" x14ac:dyDescent="0.25">
      <c r="A251" s="50" t="s">
        <v>4013</v>
      </c>
      <c r="B251" s="4">
        <v>500</v>
      </c>
      <c r="C251" s="53" t="s">
        <v>4014</v>
      </c>
      <c r="D251" s="4">
        <v>7.5</v>
      </c>
      <c r="E251" s="49">
        <v>42856</v>
      </c>
      <c r="F251" s="4">
        <v>5.5</v>
      </c>
      <c r="G251" s="4">
        <v>5.5</v>
      </c>
      <c r="H251" s="4" t="s">
        <v>135</v>
      </c>
      <c r="I251" s="4" t="s">
        <v>3311</v>
      </c>
      <c r="J251" s="4">
        <f>IF(Z251="US",K251,VLOOKUP(Z251,'3032'!$AL$4:$AM$20,2,FALSE)*K251)</f>
        <v>107</v>
      </c>
      <c r="K251" s="4">
        <v>107</v>
      </c>
      <c r="L251" s="4">
        <v>553750</v>
      </c>
      <c r="M251" s="4">
        <v>0.13</v>
      </c>
      <c r="N251" s="4">
        <v>0.132298</v>
      </c>
      <c r="O251" s="4">
        <v>5.99</v>
      </c>
      <c r="P251" s="4">
        <v>5.99</v>
      </c>
      <c r="Q251" s="4">
        <v>456</v>
      </c>
      <c r="R251" s="4">
        <v>463</v>
      </c>
      <c r="S251" s="4">
        <v>4.3499999999999996</v>
      </c>
      <c r="T251" s="4">
        <v>0.24</v>
      </c>
      <c r="U251" s="4"/>
      <c r="V251" s="4" t="s">
        <v>3105</v>
      </c>
      <c r="W251" s="4" t="s">
        <v>2840</v>
      </c>
      <c r="X251" s="4" t="s">
        <v>4015</v>
      </c>
      <c r="Y251" s="4" t="s">
        <v>2961</v>
      </c>
      <c r="Z251" s="4" t="s">
        <v>2962</v>
      </c>
      <c r="AA251" s="4" t="s">
        <v>3024</v>
      </c>
      <c r="AB251" s="4" t="s">
        <v>2945</v>
      </c>
      <c r="AD251" s="10">
        <f t="shared" si="15"/>
        <v>4.3299774025533644E-2</v>
      </c>
      <c r="AE251" s="10" t="b">
        <f t="shared" si="12"/>
        <v>0</v>
      </c>
      <c r="AF251" s="10">
        <f t="shared" si="13"/>
        <v>2.1591532175605264</v>
      </c>
      <c r="AG251" s="10">
        <f t="shared" ca="1" si="14"/>
        <v>0.26779380183915363</v>
      </c>
    </row>
    <row r="252" spans="1:33" x14ac:dyDescent="0.25">
      <c r="A252" s="50" t="s">
        <v>4016</v>
      </c>
      <c r="B252" s="4">
        <v>2200</v>
      </c>
      <c r="C252" s="53" t="s">
        <v>4017</v>
      </c>
      <c r="D252" s="4">
        <v>7.9</v>
      </c>
      <c r="E252" s="49">
        <v>18017</v>
      </c>
      <c r="F252" s="4">
        <v>37.5</v>
      </c>
      <c r="G252" s="4">
        <v>6.5</v>
      </c>
      <c r="H252" s="4" t="s">
        <v>3059</v>
      </c>
      <c r="I252" s="4" t="s">
        <v>3079</v>
      </c>
      <c r="J252" s="4">
        <f>IF(Z252="US",K252,VLOOKUP(Z252,'3032'!$AL$4:$AM$20,2,FALSE)*K252)</f>
        <v>107.67</v>
      </c>
      <c r="K252" s="4">
        <v>107.67</v>
      </c>
      <c r="L252" s="4">
        <v>2369245</v>
      </c>
      <c r="M252" s="4">
        <v>0.56999999999999995</v>
      </c>
      <c r="N252" s="4">
        <v>0.56604200000000005</v>
      </c>
      <c r="O252" s="4">
        <v>7.3</v>
      </c>
      <c r="P252" s="4">
        <v>6.5</v>
      </c>
      <c r="Q252" s="4">
        <v>485</v>
      </c>
      <c r="R252" s="4">
        <v>497</v>
      </c>
      <c r="S252" s="4">
        <v>5.0999999999999996</v>
      </c>
      <c r="T252" s="4">
        <v>0.33</v>
      </c>
      <c r="U252" s="4" t="s">
        <v>3049</v>
      </c>
      <c r="V252" s="4" t="s">
        <v>3029</v>
      </c>
      <c r="W252" s="4" t="s">
        <v>3030</v>
      </c>
      <c r="X252" s="4" t="s">
        <v>4018</v>
      </c>
      <c r="Y252" s="4" t="s">
        <v>2961</v>
      </c>
      <c r="Z252" s="4" t="s">
        <v>2962</v>
      </c>
      <c r="AA252" s="4" t="s">
        <v>3024</v>
      </c>
      <c r="AB252" s="4" t="s">
        <v>2945</v>
      </c>
      <c r="AD252" s="10">
        <f t="shared" si="15"/>
        <v>0.21720148117246149</v>
      </c>
      <c r="AE252" s="10">
        <f t="shared" si="12"/>
        <v>0.12603489990171957</v>
      </c>
      <c r="AF252" s="10">
        <f t="shared" si="13"/>
        <v>9.9164241201498786</v>
      </c>
      <c r="AG252" s="10">
        <f t="shared" ca="1" si="14"/>
        <v>1.1529426096589546</v>
      </c>
    </row>
    <row r="253" spans="1:33" x14ac:dyDescent="0.25">
      <c r="A253" s="50" t="s">
        <v>4019</v>
      </c>
      <c r="B253" s="4">
        <v>463</v>
      </c>
      <c r="C253" s="53" t="s">
        <v>4020</v>
      </c>
      <c r="D253" s="4">
        <v>0.34499999999999997</v>
      </c>
      <c r="E253" s="49">
        <v>17251</v>
      </c>
      <c r="F253" s="4">
        <v>35.4</v>
      </c>
      <c r="G253" s="4">
        <v>2</v>
      </c>
      <c r="H253" s="4" t="s">
        <v>3559</v>
      </c>
      <c r="I253" s="4" t="s">
        <v>3432</v>
      </c>
      <c r="J253" s="4">
        <f>IF(Z253="US",K253,VLOOKUP(Z253,'3032'!$AL$4:$AM$20,2,FALSE)*K253)</f>
        <v>65.31</v>
      </c>
      <c r="K253" s="4">
        <v>65.31</v>
      </c>
      <c r="L253" s="4">
        <v>302288</v>
      </c>
      <c r="M253" s="4">
        <v>0.12</v>
      </c>
      <c r="N253" s="4">
        <v>7.2220000000000006E-2</v>
      </c>
      <c r="O253" s="4">
        <v>7</v>
      </c>
      <c r="P253" s="4">
        <v>7</v>
      </c>
      <c r="Q253" s="4">
        <v>900</v>
      </c>
      <c r="R253" s="4">
        <v>900</v>
      </c>
      <c r="S253" s="4">
        <v>0.1</v>
      </c>
      <c r="T253" s="4">
        <v>-0.01</v>
      </c>
      <c r="U253" s="4" t="s">
        <v>3049</v>
      </c>
      <c r="V253" s="4" t="s">
        <v>3520</v>
      </c>
      <c r="W253" s="4" t="s">
        <v>3589</v>
      </c>
      <c r="X253" s="4" t="s">
        <v>4021</v>
      </c>
      <c r="Y253" s="4" t="s">
        <v>2961</v>
      </c>
      <c r="Z253" s="4" t="s">
        <v>2962</v>
      </c>
      <c r="AA253" s="4" t="s">
        <v>3024</v>
      </c>
      <c r="AB253" s="4" t="s">
        <v>2945</v>
      </c>
      <c r="AD253" s="10">
        <f t="shared" si="15"/>
        <v>2.1220474360100436E-4</v>
      </c>
      <c r="AE253" s="10">
        <f t="shared" si="12"/>
        <v>1.7317549537474337E-2</v>
      </c>
      <c r="AF253" s="10">
        <f t="shared" si="13"/>
        <v>10.265789877235795</v>
      </c>
      <c r="AG253" s="10">
        <f t="shared" ca="1" si="14"/>
        <v>1.0548244764180901</v>
      </c>
    </row>
    <row r="254" spans="1:33" x14ac:dyDescent="0.25">
      <c r="A254" s="50" t="s">
        <v>4679</v>
      </c>
      <c r="B254" s="4">
        <v>1925</v>
      </c>
      <c r="C254" s="53" t="s">
        <v>4680</v>
      </c>
      <c r="D254" s="4">
        <v>10.5</v>
      </c>
      <c r="E254" s="49">
        <v>43405</v>
      </c>
      <c r="F254" s="4">
        <v>7</v>
      </c>
      <c r="G254" s="4">
        <v>7</v>
      </c>
      <c r="H254" s="4" t="s">
        <v>135</v>
      </c>
      <c r="I254" s="4" t="s">
        <v>3065</v>
      </c>
      <c r="J254" s="4">
        <f>IF(Z254="US",K254,VLOOKUP(Z254,'3032'!$AL$4:$AM$20,2,FALSE)*K254)</f>
        <v>101.13</v>
      </c>
      <c r="K254" s="4">
        <v>101.13</v>
      </c>
      <c r="L254" s="4">
        <v>1946656</v>
      </c>
      <c r="M254" s="4">
        <v>0.5</v>
      </c>
      <c r="N254" s="4">
        <v>0.46507999999999999</v>
      </c>
      <c r="O254" s="4">
        <v>10.27</v>
      </c>
      <c r="P254" s="4">
        <v>10.27</v>
      </c>
      <c r="Q254" s="4">
        <v>880</v>
      </c>
      <c r="R254" s="4">
        <v>874</v>
      </c>
      <c r="S254" s="4">
        <v>5.13</v>
      </c>
      <c r="T254" s="4">
        <v>-0.27</v>
      </c>
      <c r="U254" s="4"/>
      <c r="V254" s="4" t="s">
        <v>3416</v>
      </c>
      <c r="W254" s="4" t="s">
        <v>3417</v>
      </c>
      <c r="X254" s="4" t="s">
        <v>4681</v>
      </c>
      <c r="Y254" s="4" t="s">
        <v>2961</v>
      </c>
      <c r="Z254" s="4" t="s">
        <v>2962</v>
      </c>
      <c r="AA254" s="4" t="s">
        <v>3041</v>
      </c>
      <c r="AB254" s="4" t="s">
        <v>3042</v>
      </c>
      <c r="AD254" s="10">
        <f t="shared" si="15"/>
        <v>0.17951023334732552</v>
      </c>
      <c r="AE254" s="10">
        <f t="shared" si="12"/>
        <v>0.4705014283908196</v>
      </c>
      <c r="AF254" s="10">
        <f t="shared" si="13"/>
        <v>64.199197510665044</v>
      </c>
      <c r="AG254" s="10">
        <f t="shared" ca="1" si="14"/>
        <v>0.88975866054906261</v>
      </c>
    </row>
    <row r="255" spans="1:33" x14ac:dyDescent="0.25">
      <c r="A255" s="50" t="s">
        <v>4022</v>
      </c>
      <c r="B255" s="4">
        <v>1600</v>
      </c>
      <c r="C255" s="53" t="s">
        <v>4023</v>
      </c>
      <c r="D255" s="4">
        <v>6.5</v>
      </c>
      <c r="E255" s="49">
        <v>42958</v>
      </c>
      <c r="F255" s="4">
        <v>5.78</v>
      </c>
      <c r="G255" s="4">
        <v>5.78</v>
      </c>
      <c r="H255" s="4" t="s">
        <v>3054</v>
      </c>
      <c r="I255" s="4" t="s">
        <v>3076</v>
      </c>
      <c r="J255" s="4">
        <f>IF(Z255="US",K255,VLOOKUP(Z255,'3032'!$AL$4:$AM$20,2,FALSE)*K255)</f>
        <v>119.53</v>
      </c>
      <c r="K255" s="4">
        <v>119.53</v>
      </c>
      <c r="L255" s="4">
        <v>1935593</v>
      </c>
      <c r="M255" s="4">
        <v>0.41</v>
      </c>
      <c r="N255" s="4">
        <v>0.46243699999999999</v>
      </c>
      <c r="O255" s="4">
        <v>2.81</v>
      </c>
      <c r="P255" s="4">
        <v>2.81</v>
      </c>
      <c r="Q255" s="4">
        <v>150</v>
      </c>
      <c r="R255" s="4">
        <v>174</v>
      </c>
      <c r="S255" s="4">
        <v>4.87</v>
      </c>
      <c r="T255" s="4">
        <v>0.28999999999999998</v>
      </c>
      <c r="U255" s="4"/>
      <c r="V255" s="4" t="s">
        <v>3105</v>
      </c>
      <c r="W255" s="4" t="s">
        <v>3106</v>
      </c>
      <c r="X255" s="4" t="s">
        <v>4024</v>
      </c>
      <c r="Y255" s="4" t="s">
        <v>2961</v>
      </c>
      <c r="Z255" s="4" t="s">
        <v>2962</v>
      </c>
      <c r="AA255" s="4" t="s">
        <v>3024</v>
      </c>
      <c r="AB255" s="4" t="s">
        <v>3042</v>
      </c>
      <c r="AD255" s="10">
        <f t="shared" si="15"/>
        <v>0.16944378252409481</v>
      </c>
      <c r="AE255" s="10">
        <f t="shared" si="12"/>
        <v>6.6547549439425757E-2</v>
      </c>
      <c r="AF255" s="10">
        <f t="shared" si="13"/>
        <v>3.1318126568652151</v>
      </c>
      <c r="AG255" s="10">
        <f t="shared" ca="1" si="14"/>
        <v>1.0456683577831223</v>
      </c>
    </row>
    <row r="256" spans="1:33" x14ac:dyDescent="0.25">
      <c r="A256" s="50" t="s">
        <v>4025</v>
      </c>
      <c r="B256" s="4">
        <v>3090</v>
      </c>
      <c r="C256" s="53" t="s">
        <v>4026</v>
      </c>
      <c r="D256" s="4">
        <v>0.63200000000000001</v>
      </c>
      <c r="E256" s="49">
        <v>47263</v>
      </c>
      <c r="F256" s="4">
        <v>17.57</v>
      </c>
      <c r="G256" s="4">
        <v>5</v>
      </c>
      <c r="H256" s="4" t="s">
        <v>3027</v>
      </c>
      <c r="I256" s="4" t="s">
        <v>3076</v>
      </c>
      <c r="J256" s="60">
        <f>IF(Z256="US",K256,VLOOKUP(Z256,'3032'!$AL$4:$AM$20,2,FALSE)*K256)</f>
        <v>90.97</v>
      </c>
      <c r="K256" s="12">
        <v>90.97</v>
      </c>
      <c r="L256" s="4">
        <v>2814884</v>
      </c>
      <c r="M256" s="4">
        <v>0.8</v>
      </c>
      <c r="N256" s="4">
        <v>0.67251099999999997</v>
      </c>
      <c r="O256" s="4">
        <v>3.5</v>
      </c>
      <c r="P256" s="4">
        <v>3.5</v>
      </c>
      <c r="Q256" s="4">
        <v>155</v>
      </c>
      <c r="R256" s="4">
        <v>155</v>
      </c>
      <c r="S256" s="4">
        <v>0.25</v>
      </c>
      <c r="T256" s="4">
        <v>-0.01</v>
      </c>
      <c r="U256" s="4" t="s">
        <v>3049</v>
      </c>
      <c r="V256" s="4" t="s">
        <v>3520</v>
      </c>
      <c r="W256" s="4" t="s">
        <v>3521</v>
      </c>
      <c r="X256" s="4" t="s">
        <v>4027</v>
      </c>
      <c r="Y256" s="4" t="s">
        <v>2961</v>
      </c>
      <c r="Z256" s="4" t="s">
        <v>2962</v>
      </c>
      <c r="AA256" s="4" t="s">
        <v>3024</v>
      </c>
      <c r="AB256" s="4" t="s">
        <v>2945</v>
      </c>
      <c r="AD256" s="10">
        <f t="shared" si="15"/>
        <v>4.9400880740102932E-3</v>
      </c>
      <c r="AE256" s="10">
        <f t="shared" si="12"/>
        <v>0.12054251591976189</v>
      </c>
      <c r="AF256" s="10">
        <f t="shared" si="13"/>
        <v>4.0571838164917029</v>
      </c>
      <c r="AG256" s="10">
        <f t="shared" ca="1" si="14"/>
        <v>2.5253705459364579</v>
      </c>
    </row>
    <row r="257" spans="1:33" x14ac:dyDescent="0.25">
      <c r="A257" s="50" t="s">
        <v>4028</v>
      </c>
      <c r="B257" s="4">
        <v>815</v>
      </c>
      <c r="C257" s="53" t="s">
        <v>4029</v>
      </c>
      <c r="D257" s="4">
        <v>6.625</v>
      </c>
      <c r="E257" s="49">
        <v>42231</v>
      </c>
      <c r="F257" s="4">
        <v>3.79</v>
      </c>
      <c r="G257" s="4">
        <v>0.79</v>
      </c>
      <c r="H257" s="4" t="s">
        <v>3120</v>
      </c>
      <c r="I257" s="4" t="s">
        <v>3020</v>
      </c>
      <c r="J257" s="60">
        <f>IF(Z257="US",K257,VLOOKUP(Z257,'3032'!$AL$4:$AM$20,2,FALSE)*K257)</f>
        <v>100.5</v>
      </c>
      <c r="K257" s="12">
        <v>100.5</v>
      </c>
      <c r="L257" s="4">
        <v>830474</v>
      </c>
      <c r="M257" s="4">
        <v>0.21</v>
      </c>
      <c r="N257" s="4">
        <v>0.19841</v>
      </c>
      <c r="O257" s="4">
        <v>6.47</v>
      </c>
      <c r="P257" s="4">
        <v>6.32</v>
      </c>
      <c r="Q257" s="4">
        <v>608</v>
      </c>
      <c r="R257" s="4">
        <v>560</v>
      </c>
      <c r="S257" s="4">
        <v>1.64</v>
      </c>
      <c r="T257" s="4">
        <v>-0.4</v>
      </c>
      <c r="U257" s="4"/>
      <c r="V257" s="4" t="s">
        <v>3393</v>
      </c>
      <c r="W257" s="4" t="s">
        <v>3394</v>
      </c>
      <c r="X257" s="4" t="s">
        <v>4030</v>
      </c>
      <c r="Y257" s="4" t="s">
        <v>2961</v>
      </c>
      <c r="Z257" s="4" t="s">
        <v>2962</v>
      </c>
      <c r="AA257" s="4" t="s">
        <v>3024</v>
      </c>
      <c r="AB257" s="4" t="s">
        <v>2945</v>
      </c>
      <c r="AD257" s="10">
        <f t="shared" si="15"/>
        <v>9.5610165295735433E-3</v>
      </c>
      <c r="AE257" s="10">
        <f t="shared" si="12"/>
        <v>4.2954692067816977E-2</v>
      </c>
      <c r="AF257" s="10">
        <f t="shared" si="13"/>
        <v>3.9165420967473952</v>
      </c>
      <c r="AG257" s="10">
        <f t="shared" ca="1" si="14"/>
        <v>0.37722034343159366</v>
      </c>
    </row>
    <row r="258" spans="1:33" x14ac:dyDescent="0.25">
      <c r="A258" s="50" t="s">
        <v>4031</v>
      </c>
      <c r="B258" s="4">
        <v>750</v>
      </c>
      <c r="C258" s="53" t="s">
        <v>4032</v>
      </c>
      <c r="D258" s="4">
        <v>6.625</v>
      </c>
      <c r="E258" s="49">
        <v>42231</v>
      </c>
      <c r="F258" s="4">
        <v>3.79</v>
      </c>
      <c r="G258" s="4">
        <v>0.79</v>
      </c>
      <c r="H258" s="4" t="s">
        <v>3120</v>
      </c>
      <c r="I258" s="4" t="s">
        <v>3020</v>
      </c>
      <c r="J258" s="4">
        <f>IF(Z258="US",K258,VLOOKUP(Z258,'3032'!$AL$4:$AM$20,2,FALSE)*K258)</f>
        <v>100.5</v>
      </c>
      <c r="K258" s="4">
        <v>100.5</v>
      </c>
      <c r="L258" s="4">
        <v>764240</v>
      </c>
      <c r="M258" s="4">
        <v>0.19</v>
      </c>
      <c r="N258" s="4">
        <v>0.182586</v>
      </c>
      <c r="O258" s="4">
        <v>6.47</v>
      </c>
      <c r="P258" s="4">
        <v>6.32</v>
      </c>
      <c r="Q258" s="4">
        <v>608</v>
      </c>
      <c r="R258" s="4">
        <v>572</v>
      </c>
      <c r="S258" s="4">
        <v>1.64</v>
      </c>
      <c r="T258" s="4">
        <v>-0.4</v>
      </c>
      <c r="U258" s="4"/>
      <c r="V258" s="4" t="s">
        <v>3393</v>
      </c>
      <c r="W258" s="4" t="s">
        <v>3394</v>
      </c>
      <c r="X258" s="4" t="s">
        <v>4033</v>
      </c>
      <c r="Y258" s="4" t="s">
        <v>2961</v>
      </c>
      <c r="Z258" s="4" t="s">
        <v>2962</v>
      </c>
      <c r="AA258" s="4" t="s">
        <v>3024</v>
      </c>
      <c r="AB258" s="4" t="s">
        <v>2945</v>
      </c>
      <c r="AD258" s="10">
        <f t="shared" si="15"/>
        <v>8.7984828815366699E-3</v>
      </c>
      <c r="AE258" s="10">
        <f t="shared" si="12"/>
        <v>3.9528864077512903E-2</v>
      </c>
      <c r="AF258" s="10">
        <f t="shared" si="13"/>
        <v>3.6814128599072578</v>
      </c>
      <c r="AG258" s="10">
        <f t="shared" ca="1" si="14"/>
        <v>0.34713534109937355</v>
      </c>
    </row>
    <row r="259" spans="1:33" x14ac:dyDescent="0.25">
      <c r="A259" s="50" t="s">
        <v>4034</v>
      </c>
      <c r="B259" s="4">
        <v>1600</v>
      </c>
      <c r="C259" s="53" t="s">
        <v>4035</v>
      </c>
      <c r="D259" s="4">
        <v>10</v>
      </c>
      <c r="E259" s="49">
        <v>42050</v>
      </c>
      <c r="F259" s="4">
        <v>3.29</v>
      </c>
      <c r="G259" s="4">
        <v>0.79</v>
      </c>
      <c r="H259" s="4" t="s">
        <v>3120</v>
      </c>
      <c r="I259" s="4" t="s">
        <v>3311</v>
      </c>
      <c r="J259" s="4">
        <f>IF(Z259="US",K259,VLOOKUP(Z259,'3032'!$AL$4:$AM$20,2,FALSE)*K259)</f>
        <v>106.5</v>
      </c>
      <c r="K259" s="4">
        <v>106.5</v>
      </c>
      <c r="L259" s="4">
        <v>1737778</v>
      </c>
      <c r="M259" s="4">
        <v>0.41</v>
      </c>
      <c r="N259" s="4">
        <v>0.41517700000000002</v>
      </c>
      <c r="O259" s="4">
        <v>7.72</v>
      </c>
      <c r="P259" s="4">
        <v>7.37</v>
      </c>
      <c r="Q259" s="4">
        <v>692</v>
      </c>
      <c r="R259" s="4">
        <v>695</v>
      </c>
      <c r="S259" s="4">
        <v>2.38</v>
      </c>
      <c r="T259" s="4">
        <v>-1.28</v>
      </c>
      <c r="U259" s="4"/>
      <c r="V259" s="4" t="s">
        <v>3105</v>
      </c>
      <c r="W259" s="4" t="s">
        <v>2840</v>
      </c>
      <c r="X259" s="4" t="s">
        <v>4036</v>
      </c>
      <c r="Y259" s="4" t="s">
        <v>2961</v>
      </c>
      <c r="Z259" s="4" t="s">
        <v>2962</v>
      </c>
      <c r="AA259" s="4" t="s">
        <v>3024</v>
      </c>
      <c r="AB259" s="4" t="s">
        <v>2945</v>
      </c>
      <c r="AD259" s="10">
        <f t="shared" si="15"/>
        <v>4.1384906232016606E-2</v>
      </c>
      <c r="AE259" s="10">
        <f t="shared" si="12"/>
        <v>0.10481640835559883</v>
      </c>
      <c r="AF259" s="10">
        <f t="shared" si="13"/>
        <v>20.947909996444551</v>
      </c>
      <c r="AG259" s="10">
        <f t="shared" ca="1" si="14"/>
        <v>0.83646333014349805</v>
      </c>
    </row>
    <row r="260" spans="1:33" x14ac:dyDescent="0.25">
      <c r="A260" s="50" t="s">
        <v>4037</v>
      </c>
      <c r="B260" s="4">
        <v>5</v>
      </c>
      <c r="C260" s="53" t="s">
        <v>4038</v>
      </c>
      <c r="D260" s="4">
        <v>4.5</v>
      </c>
      <c r="E260" s="49">
        <v>41835</v>
      </c>
      <c r="F260" s="4">
        <v>2.71</v>
      </c>
      <c r="G260" s="4">
        <v>2.71</v>
      </c>
      <c r="H260" s="4" t="s">
        <v>3559</v>
      </c>
      <c r="I260" s="4" t="s">
        <v>3432</v>
      </c>
      <c r="J260" s="4">
        <f>IF(Z260="US",K260,VLOOKUP(Z260,'3032'!$AL$4:$AM$20,2,FALSE)*K260)</f>
        <v>87.5</v>
      </c>
      <c r="K260" s="4">
        <v>87.5</v>
      </c>
      <c r="L260" s="4">
        <v>4441</v>
      </c>
      <c r="M260" s="4">
        <v>0</v>
      </c>
      <c r="N260" s="4">
        <v>1.0610000000000001E-3</v>
      </c>
      <c r="O260" s="4">
        <v>7.27</v>
      </c>
      <c r="P260" s="4">
        <v>7.27</v>
      </c>
      <c r="Q260" s="4">
        <v>0</v>
      </c>
      <c r="R260" s="4">
        <v>0</v>
      </c>
      <c r="S260" s="4">
        <v>2.41</v>
      </c>
      <c r="T260" s="4">
        <v>7.0000000000000007E-2</v>
      </c>
      <c r="U260" s="4"/>
      <c r="V260" s="4" t="s">
        <v>3153</v>
      </c>
      <c r="W260" s="4" t="s">
        <v>3477</v>
      </c>
      <c r="X260" s="4" t="s">
        <v>4039</v>
      </c>
      <c r="Y260" s="4" t="s">
        <v>2961</v>
      </c>
      <c r="Z260" s="4" t="s">
        <v>2962</v>
      </c>
      <c r="AA260" s="4" t="s">
        <v>3024</v>
      </c>
      <c r="AB260" s="4" t="s">
        <v>2945</v>
      </c>
      <c r="AD260" s="10">
        <f t="shared" si="15"/>
        <v>1.0709483829037741E-4</v>
      </c>
      <c r="AE260" s="10">
        <f t="shared" ref="AE260:AE323" si="16">IF(P260&lt;1.99,($L260/$L$441)*P260,IF(AND(P260&gt;1.99,P260&lt;3.99),($L260/$L$442)*P260,IF(AND(P260&gt;3.99,P260&lt;5.99),($L260/$L$443)*P260,IF(AND(P260&gt;5.99,P260&lt;7.99),($L260/$L$444)*P260,IF(AND(P260&gt;7.99,P260&lt;9.99),($L260/$L$445)*P260,IF(P260&gt;9.99,($L260/$L$446)*P260))))))</f>
        <v>2.6423033502363124E-4</v>
      </c>
      <c r="AF260" s="10">
        <f t="shared" ref="AF260:AF323" si="17">IF(R260&lt;199.99,($L260/$L$449)*R260,IF(AND(R260&gt;199.99,R260&lt;399.99),($L260/$L$450)*R260,IF(AND(R260&gt;399.99,R260&lt;599.99),($L260/$L$451)*R260,IF(AND(R260&gt;599.99,R260&lt;799.99),($L260/$L$452)*R260,IF(AND(R260&gt;799.99,R260&lt;999.99),($L260/$L$453)*R260,IF(R260&gt;999.99,($L260/$L$454)*R260))))))</f>
        <v>0</v>
      </c>
      <c r="AG260" s="10">
        <f t="shared" ref="AG260:AG323" ca="1" si="18">IF(J260&lt;49.999,($L260/$L$465)*J260,IF(AND(J260&gt;49.999,J260&lt;79.999),($L260/$L$466)*J260,IF(AND(J260&gt;79.999,J260&lt;99.999),($L260/$L$467)*J260,IF(AND(J260&gt;99.999,J260&lt;119.999),($L260/$L$468)*J260,IF(AND(J260&gt;119.999,J260&lt;139.999),($L260/$L$469)*J260,IF(J260&gt;139.999,($L260/$L$470)*J260))))))</f>
        <v>3.8322624152629541E-3</v>
      </c>
    </row>
    <row r="261" spans="1:33" x14ac:dyDescent="0.25">
      <c r="A261" s="50" t="s">
        <v>4040</v>
      </c>
      <c r="B261" s="4">
        <v>204</v>
      </c>
      <c r="C261" s="53" t="s">
        <v>4041</v>
      </c>
      <c r="D261" s="4">
        <v>6.95</v>
      </c>
      <c r="E261" s="49">
        <v>43252</v>
      </c>
      <c r="F261" s="4">
        <v>6.59</v>
      </c>
      <c r="G261" s="4">
        <v>6.59</v>
      </c>
      <c r="H261" s="4" t="s">
        <v>3120</v>
      </c>
      <c r="I261" s="4" t="s">
        <v>3065</v>
      </c>
      <c r="J261" s="60">
        <f>IF(Z261="US",K261,VLOOKUP(Z261,'3032'!$AL$4:$AM$20,2,FALSE)*K261)</f>
        <v>97.75</v>
      </c>
      <c r="K261" s="12">
        <v>97.75</v>
      </c>
      <c r="L261" s="4">
        <v>205318</v>
      </c>
      <c r="M261" s="4">
        <v>0.05</v>
      </c>
      <c r="N261" s="4">
        <v>4.9052999999999999E-2</v>
      </c>
      <c r="O261" s="4">
        <v>7.39</v>
      </c>
      <c r="P261" s="4">
        <v>7.39</v>
      </c>
      <c r="Q261" s="4">
        <v>579</v>
      </c>
      <c r="R261" s="4">
        <v>588</v>
      </c>
      <c r="S261" s="4">
        <v>5.04</v>
      </c>
      <c r="T261" s="4">
        <v>0.33</v>
      </c>
      <c r="U261" s="4"/>
      <c r="V261" s="4" t="s">
        <v>3209</v>
      </c>
      <c r="W261" s="4" t="s">
        <v>3244</v>
      </c>
      <c r="X261" s="4" t="s">
        <v>4042</v>
      </c>
      <c r="Y261" s="4" t="s">
        <v>2961</v>
      </c>
      <c r="Z261" s="4" t="s">
        <v>2962</v>
      </c>
      <c r="AA261" s="4" t="s">
        <v>3024</v>
      </c>
      <c r="AB261" s="4" t="s">
        <v>2945</v>
      </c>
      <c r="AD261" s="10">
        <f t="shared" ref="AD261:AD324" si="19">ABS(IF(S261&lt;1.99,($L261/$L$457)*S261,IF(AND(S261&gt;1.99,S261&lt;3.99),($L261/$L$458)*S261,IF(AND(S261&gt;3.99,S261&lt;5.99),($L261/$L$459)*S261,IF(AND(S261&gt;5.999,S261&lt;7.9999),($L261/$L$460)*S261,IF(AND(S261&gt;7.999,S261&lt;9.999),($L261/$L$461)*S261,IF(S261&gt;9.99,($L261/$L$462)*S261)))))))</f>
        <v>1.8601167146470542E-2</v>
      </c>
      <c r="AE261" s="10">
        <f t="shared" si="16"/>
        <v>1.2417636851309631E-2</v>
      </c>
      <c r="AF261" s="10">
        <f t="shared" si="17"/>
        <v>1.0167006067992266</v>
      </c>
      <c r="AG261" s="10">
        <f t="shared" ca="1" si="18"/>
        <v>0.19792935293826427</v>
      </c>
    </row>
    <row r="262" spans="1:33" x14ac:dyDescent="0.25">
      <c r="A262" s="50" t="s">
        <v>4043</v>
      </c>
      <c r="B262" s="4">
        <v>-6900</v>
      </c>
      <c r="C262" s="53" t="s">
        <v>4044</v>
      </c>
      <c r="D262" s="4">
        <v>7.625</v>
      </c>
      <c r="E262" s="49">
        <v>43966</v>
      </c>
      <c r="F262" s="4">
        <v>8.5399999999999991</v>
      </c>
      <c r="G262" s="4">
        <v>3.54</v>
      </c>
      <c r="H262" s="4" t="s">
        <v>3120</v>
      </c>
      <c r="I262" s="4" t="s">
        <v>3311</v>
      </c>
      <c r="J262" s="4">
        <f>IF(Z262="US",K262,VLOOKUP(Z262,'3032'!$AL$4:$AM$20,2,FALSE)*K262)</f>
        <v>102.25</v>
      </c>
      <c r="K262" s="4">
        <v>102.25</v>
      </c>
      <c r="L262" s="4">
        <v>-7297852</v>
      </c>
      <c r="M262" s="4">
        <v>-1.78</v>
      </c>
      <c r="N262" s="4">
        <v>-1.743547</v>
      </c>
      <c r="O262" s="4">
        <v>7.27</v>
      </c>
      <c r="P262" s="4">
        <v>7.19</v>
      </c>
      <c r="Q262" s="4">
        <v>560</v>
      </c>
      <c r="R262" s="4">
        <v>526</v>
      </c>
      <c r="S262" s="4">
        <v>4.93</v>
      </c>
      <c r="T262" s="4">
        <v>0.26</v>
      </c>
      <c r="U262" s="4"/>
      <c r="V262" s="4" t="s">
        <v>3226</v>
      </c>
      <c r="W262" s="4" t="s">
        <v>4045</v>
      </c>
      <c r="X262" s="4" t="s">
        <v>4046</v>
      </c>
      <c r="Y262" s="4" t="s">
        <v>2961</v>
      </c>
      <c r="Z262" s="4" t="s">
        <v>2962</v>
      </c>
      <c r="AA262" s="4" t="s">
        <v>3024</v>
      </c>
      <c r="AB262" s="4" t="s">
        <v>2945</v>
      </c>
      <c r="AD262" s="10">
        <f t="shared" si="19"/>
        <v>0.64673237887378898</v>
      </c>
      <c r="AE262" s="10">
        <f t="shared" si="16"/>
        <v>-0.42942906304123074</v>
      </c>
      <c r="AF262" s="10">
        <f t="shared" si="17"/>
        <v>-32.327306982509221</v>
      </c>
      <c r="AG262" s="10">
        <f t="shared" ca="1" si="18"/>
        <v>-3.3725731049000816</v>
      </c>
    </row>
    <row r="263" spans="1:33" x14ac:dyDescent="0.25">
      <c r="A263" s="50" t="s">
        <v>4047</v>
      </c>
      <c r="B263" s="4">
        <v>453</v>
      </c>
      <c r="C263" s="53" t="s">
        <v>4048</v>
      </c>
      <c r="D263" s="4">
        <v>7.8</v>
      </c>
      <c r="E263" s="49">
        <v>13589</v>
      </c>
      <c r="F263" s="4">
        <v>25.38</v>
      </c>
      <c r="G263" s="4">
        <v>25.38</v>
      </c>
      <c r="H263" s="4" t="s">
        <v>133</v>
      </c>
      <c r="I263" s="4" t="s">
        <v>3083</v>
      </c>
      <c r="J263" s="4">
        <f>IF(Z263="US",K263,VLOOKUP(Z263,'3032'!$AL$4:$AM$20,2,FALSE)*K263)</f>
        <v>91</v>
      </c>
      <c r="K263" s="4">
        <v>91</v>
      </c>
      <c r="L263" s="4">
        <v>416745</v>
      </c>
      <c r="M263" s="4">
        <v>0.12</v>
      </c>
      <c r="N263" s="4">
        <v>9.9566000000000002E-2</v>
      </c>
      <c r="O263" s="4">
        <v>8.68</v>
      </c>
      <c r="P263" s="4">
        <v>8.68</v>
      </c>
      <c r="Q263" s="4">
        <v>536</v>
      </c>
      <c r="R263" s="4">
        <v>580</v>
      </c>
      <c r="S263" s="4">
        <v>10.26</v>
      </c>
      <c r="T263" s="4">
        <v>1.76</v>
      </c>
      <c r="U263" s="4"/>
      <c r="V263" s="4" t="s">
        <v>3398</v>
      </c>
      <c r="W263" s="4" t="s">
        <v>3407</v>
      </c>
      <c r="X263" s="4" t="s">
        <v>4049</v>
      </c>
      <c r="Y263" s="4" t="s">
        <v>2961</v>
      </c>
      <c r="Z263" s="4" t="s">
        <v>2962</v>
      </c>
      <c r="AA263" s="4" t="s">
        <v>3041</v>
      </c>
      <c r="AB263" s="4" t="s">
        <v>2945</v>
      </c>
      <c r="AD263" s="10">
        <f t="shared" si="19"/>
        <v>0.10469697172633277</v>
      </c>
      <c r="AE263" s="10">
        <f t="shared" si="16"/>
        <v>6.0658144038640414E-2</v>
      </c>
      <c r="AF263" s="10">
        <f t="shared" si="17"/>
        <v>2.0355750686252159</v>
      </c>
      <c r="AG263" s="10">
        <f t="shared" ca="1" si="18"/>
        <v>0.37400568526428962</v>
      </c>
    </row>
    <row r="264" spans="1:33" x14ac:dyDescent="0.25">
      <c r="A264" s="50" t="s">
        <v>4050</v>
      </c>
      <c r="B264" s="4">
        <v>938</v>
      </c>
      <c r="C264" s="53" t="s">
        <v>4051</v>
      </c>
      <c r="D264" s="4">
        <v>10.75</v>
      </c>
      <c r="E264" s="49">
        <v>21351</v>
      </c>
      <c r="F264" s="4">
        <v>46.63</v>
      </c>
      <c r="G264" s="4">
        <v>26.63</v>
      </c>
      <c r="H264" s="4" t="s">
        <v>133</v>
      </c>
      <c r="I264" s="4" t="s">
        <v>3083</v>
      </c>
      <c r="J264" s="4">
        <f>IF(Z264="US",K264,VLOOKUP(Z264,'3032'!$AL$4:$AM$20,2,FALSE)*K264)</f>
        <v>121.5</v>
      </c>
      <c r="K264" s="4">
        <v>121.5</v>
      </c>
      <c r="L264" s="4">
        <v>1177763</v>
      </c>
      <c r="M264" s="4">
        <v>0.24</v>
      </c>
      <c r="N264" s="4">
        <v>0.28138200000000002</v>
      </c>
      <c r="O264" s="4">
        <v>8.82</v>
      </c>
      <c r="P264" s="4">
        <v>8.67</v>
      </c>
      <c r="Q264" s="4">
        <v>545</v>
      </c>
      <c r="R264" s="4">
        <v>595</v>
      </c>
      <c r="S264" s="4">
        <v>9.6999999999999993</v>
      </c>
      <c r="T264" s="4">
        <v>1.6</v>
      </c>
      <c r="U264" s="4" t="s">
        <v>3049</v>
      </c>
      <c r="V264" s="4" t="s">
        <v>3398</v>
      </c>
      <c r="W264" s="4" t="s">
        <v>3407</v>
      </c>
      <c r="X264" s="4" t="s">
        <v>4052</v>
      </c>
      <c r="Y264" s="4" t="s">
        <v>2961</v>
      </c>
      <c r="Z264" s="4" t="s">
        <v>2962</v>
      </c>
      <c r="AA264" s="4" t="s">
        <v>3041</v>
      </c>
      <c r="AB264" s="4" t="s">
        <v>2945</v>
      </c>
      <c r="AD264" s="10">
        <f t="shared" si="19"/>
        <v>0.79722054123037245</v>
      </c>
      <c r="AE264" s="10">
        <f t="shared" si="16"/>
        <v>0.1712284790283285</v>
      </c>
      <c r="AF264" s="10">
        <f t="shared" si="17"/>
        <v>5.9015162034991127</v>
      </c>
      <c r="AG264" s="10">
        <f t="shared" ca="1" si="18"/>
        <v>7.5650725732703128</v>
      </c>
    </row>
    <row r="265" spans="1:33" x14ac:dyDescent="0.25">
      <c r="A265" s="50" t="s">
        <v>4053</v>
      </c>
      <c r="B265" s="4">
        <v>1</v>
      </c>
      <c r="C265" s="53" t="s">
        <v>4054</v>
      </c>
      <c r="D265" s="4">
        <v>0</v>
      </c>
      <c r="E265" s="4"/>
      <c r="F265" s="4">
        <v>0</v>
      </c>
      <c r="G265" s="4">
        <v>0</v>
      </c>
      <c r="H265" s="4" t="s">
        <v>3028</v>
      </c>
      <c r="I265" s="4" t="s">
        <v>3028</v>
      </c>
      <c r="J265" s="4">
        <f>IF(Z265="US",K265,VLOOKUP(Z265,'3032'!$AL$4:$AM$20,2,FALSE)*K265)</f>
        <v>40.67</v>
      </c>
      <c r="K265" s="4">
        <v>40.67</v>
      </c>
      <c r="L265" s="4">
        <v>40670</v>
      </c>
      <c r="M265" s="4">
        <v>0</v>
      </c>
      <c r="N265" s="4">
        <v>9.7169999999999999E-3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4"/>
      <c r="V265" s="4" t="s">
        <v>3416</v>
      </c>
      <c r="W265" s="4" t="s">
        <v>3417</v>
      </c>
      <c r="X265" s="4" t="s">
        <v>4055</v>
      </c>
      <c r="Y265" s="4" t="s">
        <v>2961</v>
      </c>
      <c r="Z265" s="4" t="s">
        <v>2962</v>
      </c>
      <c r="AA265" s="4" t="s">
        <v>3024</v>
      </c>
      <c r="AB265" s="4" t="s">
        <v>3033</v>
      </c>
      <c r="AD265" s="10">
        <f t="shared" si="19"/>
        <v>0</v>
      </c>
      <c r="AE265" s="10">
        <f t="shared" si="16"/>
        <v>0</v>
      </c>
      <c r="AF265" s="10">
        <f t="shared" si="17"/>
        <v>0</v>
      </c>
      <c r="AG265" s="10">
        <f t="shared" ca="1" si="18"/>
        <v>4.4808807905036961E-2</v>
      </c>
    </row>
    <row r="266" spans="1:33" x14ac:dyDescent="0.25">
      <c r="A266" s="50" t="s">
        <v>4056</v>
      </c>
      <c r="B266" s="4">
        <v>10</v>
      </c>
      <c r="C266" s="53" t="s">
        <v>4057</v>
      </c>
      <c r="D266" s="4">
        <v>1.5</v>
      </c>
      <c r="E266" s="49">
        <v>45337</v>
      </c>
      <c r="F266" s="4">
        <v>12.29</v>
      </c>
      <c r="G266" s="4">
        <v>0.28999999999999998</v>
      </c>
      <c r="H266" s="4" t="s">
        <v>3161</v>
      </c>
      <c r="I266" s="4" t="s">
        <v>3028</v>
      </c>
      <c r="J266" s="4">
        <f>IF(Z266="US",K266,VLOOKUP(Z266,'3032'!$AL$4:$AM$20,2,FALSE)*K266)</f>
        <v>100</v>
      </c>
      <c r="K266" s="4">
        <v>100</v>
      </c>
      <c r="L266" s="4">
        <v>10032</v>
      </c>
      <c r="M266" s="4">
        <v>0</v>
      </c>
      <c r="N266" s="4">
        <v>2.3969999999999998E-3</v>
      </c>
      <c r="O266" s="4">
        <v>1.5</v>
      </c>
      <c r="P266" s="4">
        <v>1.5</v>
      </c>
      <c r="Q266" s="4">
        <v>0</v>
      </c>
      <c r="R266" s="4">
        <v>0</v>
      </c>
      <c r="S266" s="4">
        <v>0.28999999999999998</v>
      </c>
      <c r="T266" s="4">
        <v>1.37</v>
      </c>
      <c r="U266" s="4"/>
      <c r="V266" s="4" t="s">
        <v>3416</v>
      </c>
      <c r="W266" s="4" t="s">
        <v>3417</v>
      </c>
      <c r="X266" s="4" t="s">
        <v>4058</v>
      </c>
      <c r="Y266" s="4" t="s">
        <v>2961</v>
      </c>
      <c r="Z266" s="4" t="s">
        <v>2962</v>
      </c>
      <c r="AA266" s="4" t="s">
        <v>3024</v>
      </c>
      <c r="AB266" s="4" t="s">
        <v>2945</v>
      </c>
      <c r="AD266" s="10">
        <f t="shared" si="19"/>
        <v>2.0423007743063895E-5</v>
      </c>
      <c r="AE266" s="10">
        <f t="shared" si="16"/>
        <v>-1.5550659518268509E-2</v>
      </c>
      <c r="AF266" s="10">
        <f t="shared" si="17"/>
        <v>0</v>
      </c>
      <c r="AG266" s="10">
        <f t="shared" ca="1" si="18"/>
        <v>4.5340940824883684E-3</v>
      </c>
    </row>
    <row r="267" spans="1:33" x14ac:dyDescent="0.25">
      <c r="A267" s="50" t="s">
        <v>4059</v>
      </c>
      <c r="B267" s="4">
        <v>1350</v>
      </c>
      <c r="C267" s="53" t="s">
        <v>4054</v>
      </c>
      <c r="D267" s="4">
        <v>5</v>
      </c>
      <c r="E267" s="49">
        <v>44211</v>
      </c>
      <c r="F267" s="4">
        <v>9.2100000000000009</v>
      </c>
      <c r="G267" s="4">
        <v>8.9600000000000009</v>
      </c>
      <c r="H267" s="4" t="s">
        <v>3161</v>
      </c>
      <c r="I267" s="4" t="s">
        <v>3116</v>
      </c>
      <c r="J267" s="4">
        <f>IF(Z267="US",K267,VLOOKUP(Z267,'3032'!$AL$4:$AM$20,2,FALSE)*K267)</f>
        <v>104.38</v>
      </c>
      <c r="K267" s="4">
        <v>104.38</v>
      </c>
      <c r="L267" s="4">
        <v>1428970</v>
      </c>
      <c r="M267" s="4">
        <v>0.35</v>
      </c>
      <c r="N267" s="4">
        <v>0.34139900000000001</v>
      </c>
      <c r="O267" s="4">
        <v>4.42</v>
      </c>
      <c r="P267" s="4">
        <v>4.4000000000000004</v>
      </c>
      <c r="Q267" s="4">
        <v>229</v>
      </c>
      <c r="R267" s="4">
        <v>233</v>
      </c>
      <c r="S267" s="4">
        <v>7.11</v>
      </c>
      <c r="T267" s="4">
        <v>0.66</v>
      </c>
      <c r="U267" s="4"/>
      <c r="V267" s="4" t="s">
        <v>3416</v>
      </c>
      <c r="W267" s="4" t="s">
        <v>3417</v>
      </c>
      <c r="X267" s="4" t="s">
        <v>4060</v>
      </c>
      <c r="Y267" s="4" t="s">
        <v>2961</v>
      </c>
      <c r="Z267" s="4" t="s">
        <v>2962</v>
      </c>
      <c r="AA267" s="4" t="s">
        <v>3024</v>
      </c>
      <c r="AB267" s="4" t="s">
        <v>3033</v>
      </c>
      <c r="AD267" s="10">
        <f t="shared" si="19"/>
        <v>0.15541395466016925</v>
      </c>
      <c r="AE267" s="10">
        <f t="shared" si="16"/>
        <v>5.5403708235106361E-2</v>
      </c>
      <c r="AF267" s="10">
        <f t="shared" si="17"/>
        <v>3.8102586464602157</v>
      </c>
      <c r="AG267" s="10">
        <f t="shared" ca="1" si="18"/>
        <v>0.67412961709485075</v>
      </c>
    </row>
    <row r="268" spans="1:33" x14ac:dyDescent="0.25">
      <c r="A268" s="50" t="s">
        <v>4061</v>
      </c>
      <c r="B268" s="4">
        <v>2250</v>
      </c>
      <c r="C268" s="53" t="s">
        <v>4062</v>
      </c>
      <c r="D268" s="4">
        <v>6.5</v>
      </c>
      <c r="E268" s="49">
        <v>43600</v>
      </c>
      <c r="F268" s="4">
        <v>7.54</v>
      </c>
      <c r="G268" s="4">
        <v>3.54</v>
      </c>
      <c r="H268" s="4" t="s">
        <v>135</v>
      </c>
      <c r="I268" s="4" t="s">
        <v>3311</v>
      </c>
      <c r="J268" s="4">
        <f>IF(Z268="US",K268,VLOOKUP(Z268,'3032'!$AL$4:$AM$20,2,FALSE)*K268)</f>
        <v>100.5</v>
      </c>
      <c r="K268" s="4">
        <v>100.5</v>
      </c>
      <c r="L268" s="4">
        <v>2329500</v>
      </c>
      <c r="M268" s="4">
        <v>0.57999999999999996</v>
      </c>
      <c r="N268" s="4">
        <v>0.55654599999999999</v>
      </c>
      <c r="O268" s="4">
        <v>6.41</v>
      </c>
      <c r="P268" s="4">
        <v>6.39</v>
      </c>
      <c r="Q268" s="4">
        <v>510</v>
      </c>
      <c r="R268" s="4">
        <v>462</v>
      </c>
      <c r="S268" s="4">
        <v>4.46</v>
      </c>
      <c r="T268" s="4">
        <v>0.31</v>
      </c>
      <c r="U268" s="4"/>
      <c r="V268" s="4" t="s">
        <v>3124</v>
      </c>
      <c r="W268" s="4" t="s">
        <v>3142</v>
      </c>
      <c r="X268" s="4" t="s">
        <v>4063</v>
      </c>
      <c r="Y268" s="4" t="s">
        <v>2961</v>
      </c>
      <c r="Z268" s="4" t="s">
        <v>2962</v>
      </c>
      <c r="AA268" s="4" t="s">
        <v>3041</v>
      </c>
      <c r="AB268" s="4" t="s">
        <v>2945</v>
      </c>
      <c r="AD268" s="10">
        <f t="shared" si="19"/>
        <v>0.18675842691054767</v>
      </c>
      <c r="AE268" s="10">
        <f t="shared" si="16"/>
        <v>0.12182349766155923</v>
      </c>
      <c r="AF268" s="10">
        <f t="shared" si="17"/>
        <v>9.0634474671787117</v>
      </c>
      <c r="AG268" s="10">
        <f t="shared" ca="1" si="18"/>
        <v>1.0581123431003228</v>
      </c>
    </row>
    <row r="269" spans="1:33" x14ac:dyDescent="0.25">
      <c r="A269" s="50" t="s">
        <v>4064</v>
      </c>
      <c r="B269" s="4">
        <v>815</v>
      </c>
      <c r="C269" s="53" t="s">
        <v>4065</v>
      </c>
      <c r="D269" s="4">
        <v>7.75</v>
      </c>
      <c r="E269" s="49">
        <v>44228</v>
      </c>
      <c r="F269" s="4">
        <v>9.25</v>
      </c>
      <c r="G269" s="4">
        <v>3.88</v>
      </c>
      <c r="H269" s="4" t="s">
        <v>135</v>
      </c>
      <c r="I269" s="4" t="s">
        <v>3311</v>
      </c>
      <c r="J269" s="4">
        <f>IF(Z269="US",K269,VLOOKUP(Z269,'3032'!$AL$4:$AM$20,2,FALSE)*K269)</f>
        <v>106.75</v>
      </c>
      <c r="K269" s="4">
        <v>106.75</v>
      </c>
      <c r="L269" s="4">
        <v>878083</v>
      </c>
      <c r="M269" s="4">
        <v>0.21</v>
      </c>
      <c r="N269" s="4">
        <v>0.209785</v>
      </c>
      <c r="O269" s="4">
        <v>6.75</v>
      </c>
      <c r="P269" s="4">
        <v>6.75</v>
      </c>
      <c r="Q269" s="4">
        <v>488</v>
      </c>
      <c r="R269" s="4">
        <v>450</v>
      </c>
      <c r="S269" s="4">
        <v>6.58</v>
      </c>
      <c r="T269" s="4">
        <v>0.11</v>
      </c>
      <c r="U269" s="4"/>
      <c r="V269" s="4" t="s">
        <v>3124</v>
      </c>
      <c r="W269" s="4" t="s">
        <v>3142</v>
      </c>
      <c r="X269" s="4" t="s">
        <v>4066</v>
      </c>
      <c r="Y269" s="4" t="s">
        <v>2961</v>
      </c>
      <c r="Z269" s="4" t="s">
        <v>2962</v>
      </c>
      <c r="AA269" s="4" t="s">
        <v>3024</v>
      </c>
      <c r="AB269" s="4" t="s">
        <v>2945</v>
      </c>
      <c r="AD269" s="10">
        <f t="shared" si="19"/>
        <v>8.8380969731762696E-2</v>
      </c>
      <c r="AE269" s="10">
        <f t="shared" si="16"/>
        <v>4.8507270025826853E-2</v>
      </c>
      <c r="AF269" s="10">
        <f t="shared" si="17"/>
        <v>3.32764366509842</v>
      </c>
      <c r="AG269" s="10">
        <f t="shared" ca="1" si="18"/>
        <v>0.42364926458277558</v>
      </c>
    </row>
    <row r="270" spans="1:33" x14ac:dyDescent="0.25">
      <c r="A270" s="50" t="s">
        <v>4067</v>
      </c>
      <c r="B270" s="4">
        <v>3443</v>
      </c>
      <c r="C270" s="53" t="s">
        <v>4068</v>
      </c>
      <c r="D270" s="4">
        <v>7</v>
      </c>
      <c r="E270" s="49">
        <v>24244</v>
      </c>
      <c r="F270" s="4">
        <v>54.55</v>
      </c>
      <c r="G270" s="4">
        <v>4.55</v>
      </c>
      <c r="H270" s="4" t="s">
        <v>3161</v>
      </c>
      <c r="I270" s="4" t="s">
        <v>3116</v>
      </c>
      <c r="J270" s="4">
        <f>IF(Z270="US",K270,VLOOKUP(Z270,'3032'!$AL$4:$AM$20,2,FALSE)*K270)</f>
        <v>94</v>
      </c>
      <c r="K270" s="4">
        <v>94</v>
      </c>
      <c r="L270" s="4">
        <v>3346213</v>
      </c>
      <c r="M270" s="4">
        <v>0.89</v>
      </c>
      <c r="N270" s="4">
        <v>0.79945200000000005</v>
      </c>
      <c r="O270" s="4">
        <v>7.46</v>
      </c>
      <c r="P270" s="4">
        <v>8.6300000000000008</v>
      </c>
      <c r="Q270" s="4">
        <v>778</v>
      </c>
      <c r="R270" s="4">
        <v>781</v>
      </c>
      <c r="S270" s="4">
        <v>3.7</v>
      </c>
      <c r="T270" s="4">
        <v>0.17</v>
      </c>
      <c r="U270" s="4" t="s">
        <v>3049</v>
      </c>
      <c r="V270" s="4" t="s">
        <v>3398</v>
      </c>
      <c r="W270" s="4" t="s">
        <v>4069</v>
      </c>
      <c r="X270" s="4" t="s">
        <v>4070</v>
      </c>
      <c r="Y270" s="4" t="s">
        <v>2961</v>
      </c>
      <c r="Z270" s="4" t="s">
        <v>2962</v>
      </c>
      <c r="AA270" s="4" t="s">
        <v>3024</v>
      </c>
      <c r="AB270" s="4" t="s">
        <v>3033</v>
      </c>
      <c r="AD270" s="10">
        <f t="shared" si="19"/>
        <v>0.12388708371395803</v>
      </c>
      <c r="AE270" s="10">
        <f t="shared" si="16"/>
        <v>0.48424302368224559</v>
      </c>
      <c r="AF270" s="10">
        <f t="shared" si="17"/>
        <v>45.327964374550916</v>
      </c>
      <c r="AG270" s="10">
        <f t="shared" ca="1" si="18"/>
        <v>3.1020432552674593</v>
      </c>
    </row>
    <row r="271" spans="1:33" x14ac:dyDescent="0.25">
      <c r="A271" s="50" t="s">
        <v>4071</v>
      </c>
      <c r="B271" s="4">
        <v>139</v>
      </c>
      <c r="C271" s="53" t="s">
        <v>4072</v>
      </c>
      <c r="D271" s="4">
        <v>0.29499999999999998</v>
      </c>
      <c r="E271" s="49">
        <v>13479</v>
      </c>
      <c r="F271" s="4">
        <v>25.07</v>
      </c>
      <c r="G271" s="4">
        <v>5.2</v>
      </c>
      <c r="H271" s="4" t="s">
        <v>3559</v>
      </c>
      <c r="I271" s="4" t="s">
        <v>3821</v>
      </c>
      <c r="J271" s="4">
        <f>IF(Z271="US",K271,VLOOKUP(Z271,'3032'!$AL$4:$AM$20,2,FALSE)*K271)</f>
        <v>33.270000000000003</v>
      </c>
      <c r="K271" s="4">
        <v>33.270000000000003</v>
      </c>
      <c r="L271" s="4">
        <v>46092</v>
      </c>
      <c r="M271" s="4">
        <v>0.04</v>
      </c>
      <c r="N271" s="4">
        <v>1.1011999999999999E-2</v>
      </c>
      <c r="O271" s="4">
        <v>10</v>
      </c>
      <c r="P271" s="4">
        <v>10</v>
      </c>
      <c r="Q271" s="4">
        <v>900</v>
      </c>
      <c r="R271" s="4">
        <v>900</v>
      </c>
      <c r="S271" s="4">
        <v>0.1</v>
      </c>
      <c r="T271" s="4">
        <v>-0.01</v>
      </c>
      <c r="U271" s="4" t="s">
        <v>3049</v>
      </c>
      <c r="V271" s="4" t="s">
        <v>3520</v>
      </c>
      <c r="W271" s="4" t="s">
        <v>3589</v>
      </c>
      <c r="X271" s="4" t="s">
        <v>4073</v>
      </c>
      <c r="Y271" s="4" t="s">
        <v>2961</v>
      </c>
      <c r="Z271" s="4" t="s">
        <v>2962</v>
      </c>
      <c r="AA271" s="4" t="s">
        <v>3024</v>
      </c>
      <c r="AB271" s="4" t="s">
        <v>2945</v>
      </c>
      <c r="AD271" s="10">
        <f t="shared" si="19"/>
        <v>3.2356365591943742E-5</v>
      </c>
      <c r="AE271" s="10">
        <f t="shared" si="16"/>
        <v>1.084742967315658E-2</v>
      </c>
      <c r="AF271" s="10">
        <f t="shared" si="17"/>
        <v>1.5652979510319704</v>
      </c>
      <c r="AG271" s="10">
        <f t="shared" ca="1" si="18"/>
        <v>4.1542573732623454E-2</v>
      </c>
    </row>
    <row r="272" spans="1:33" x14ac:dyDescent="0.25">
      <c r="A272" s="50" t="s">
        <v>4074</v>
      </c>
      <c r="B272" s="4">
        <v>2250</v>
      </c>
      <c r="C272" s="53" t="s">
        <v>4075</v>
      </c>
      <c r="D272" s="4">
        <v>7.125</v>
      </c>
      <c r="E272" s="49">
        <v>43905</v>
      </c>
      <c r="F272" s="4">
        <v>8.3800000000000008</v>
      </c>
      <c r="G272" s="4">
        <v>8.3800000000000008</v>
      </c>
      <c r="H272" s="4" t="s">
        <v>3161</v>
      </c>
      <c r="I272" s="4" t="s">
        <v>3134</v>
      </c>
      <c r="J272" s="4">
        <f>IF(Z272="US",K272,VLOOKUP(Z272,'3032'!$AL$4:$AM$20,2,FALSE)*K272)</f>
        <v>99.68</v>
      </c>
      <c r="K272" s="4">
        <v>99.68</v>
      </c>
      <c r="L272" s="4">
        <v>2263224</v>
      </c>
      <c r="M272" s="4">
        <v>0.57999999999999996</v>
      </c>
      <c r="N272" s="4">
        <v>0.54071199999999997</v>
      </c>
      <c r="O272" s="4">
        <v>7.18</v>
      </c>
      <c r="P272" s="4">
        <v>7.18</v>
      </c>
      <c r="Q272" s="4">
        <v>524</v>
      </c>
      <c r="R272" s="4">
        <v>558</v>
      </c>
      <c r="S272" s="4">
        <v>6.17</v>
      </c>
      <c r="T272" s="4">
        <v>0.5</v>
      </c>
      <c r="U272" s="4"/>
      <c r="V272" s="4" t="s">
        <v>3037</v>
      </c>
      <c r="W272" s="4" t="s">
        <v>3916</v>
      </c>
      <c r="X272" s="4" t="s">
        <v>4076</v>
      </c>
      <c r="Y272" s="4" t="s">
        <v>2961</v>
      </c>
      <c r="Z272" s="4" t="s">
        <v>2962</v>
      </c>
      <c r="AA272" s="4" t="s">
        <v>3024</v>
      </c>
      <c r="AB272" s="4" t="s">
        <v>2945</v>
      </c>
      <c r="AD272" s="10">
        <f t="shared" si="19"/>
        <v>0.21360430613896472</v>
      </c>
      <c r="AE272" s="10">
        <f t="shared" si="16"/>
        <v>0.13299014989158772</v>
      </c>
      <c r="AF272" s="10">
        <f t="shared" si="17"/>
        <v>10.635317763594555</v>
      </c>
      <c r="AG272" s="10">
        <f t="shared" ca="1" si="18"/>
        <v>2.224856387312772</v>
      </c>
    </row>
    <row r="273" spans="1:33" x14ac:dyDescent="0.25">
      <c r="A273" s="50" t="s">
        <v>4077</v>
      </c>
      <c r="B273" s="4">
        <v>277</v>
      </c>
      <c r="C273" s="53" t="s">
        <v>4078</v>
      </c>
      <c r="D273" s="4">
        <v>2.125</v>
      </c>
      <c r="E273" s="49">
        <v>13864</v>
      </c>
      <c r="F273" s="4">
        <v>26.13</v>
      </c>
      <c r="G273" s="4">
        <v>26.13</v>
      </c>
      <c r="H273" s="4" t="s">
        <v>3028</v>
      </c>
      <c r="I273" s="4" t="s">
        <v>3028</v>
      </c>
      <c r="J273" s="4">
        <f>IF(Z273="US",K273,VLOOKUP(Z273,'3032'!$AL$4:$AM$20,2,FALSE)*K273)</f>
        <v>133.25</v>
      </c>
      <c r="K273" s="4">
        <v>133.25</v>
      </c>
      <c r="L273" s="4">
        <v>371326</v>
      </c>
      <c r="M273" s="4">
        <v>7.0000000000000007E-2</v>
      </c>
      <c r="N273" s="4">
        <v>8.8714000000000001E-2</v>
      </c>
      <c r="O273" s="4">
        <v>1.83</v>
      </c>
      <c r="P273" s="4">
        <v>1.83</v>
      </c>
      <c r="Q273" s="4">
        <v>0</v>
      </c>
      <c r="R273" s="4">
        <v>0</v>
      </c>
      <c r="S273" s="4">
        <v>0.1</v>
      </c>
      <c r="T273" s="4">
        <v>5.12</v>
      </c>
      <c r="U273" s="4" t="s">
        <v>3049</v>
      </c>
      <c r="V273" s="4" t="s">
        <v>3426</v>
      </c>
      <c r="W273" s="4" t="s">
        <v>3766</v>
      </c>
      <c r="X273" s="4" t="s">
        <v>4079</v>
      </c>
      <c r="Y273" s="4" t="s">
        <v>2961</v>
      </c>
      <c r="Z273" s="4" t="s">
        <v>2962</v>
      </c>
      <c r="AA273" s="4" t="s">
        <v>3024</v>
      </c>
      <c r="AB273" s="4" t="s">
        <v>2945</v>
      </c>
      <c r="AD273" s="10">
        <f t="shared" si="19"/>
        <v>2.6066909246277235E-4</v>
      </c>
      <c r="AE273" s="10">
        <f t="shared" si="16"/>
        <v>-0.70222531095118612</v>
      </c>
      <c r="AF273" s="10">
        <f t="shared" si="17"/>
        <v>0</v>
      </c>
      <c r="AG273" s="10">
        <f t="shared" ca="1" si="18"/>
        <v>2.615781663662275</v>
      </c>
    </row>
    <row r="274" spans="1:33" x14ac:dyDescent="0.25">
      <c r="A274" s="50" t="s">
        <v>4080</v>
      </c>
      <c r="B274" s="4">
        <v>693</v>
      </c>
      <c r="C274" s="53" t="s">
        <v>4081</v>
      </c>
      <c r="D274" s="4">
        <v>5.625</v>
      </c>
      <c r="E274" s="49">
        <v>43862</v>
      </c>
      <c r="F274" s="4">
        <v>8.25</v>
      </c>
      <c r="G274" s="4">
        <v>8.25</v>
      </c>
      <c r="H274" s="4" t="s">
        <v>3181</v>
      </c>
      <c r="I274" s="4" t="s">
        <v>3083</v>
      </c>
      <c r="J274" s="4">
        <f>IF(Z274="US",K274,VLOOKUP(Z274,'3032'!$AL$4:$AM$20,2,FALSE)*K274)</f>
        <v>89.6</v>
      </c>
      <c r="K274" s="4">
        <v>89.6</v>
      </c>
      <c r="L274" s="4">
        <v>630702</v>
      </c>
      <c r="M274" s="4">
        <v>0.18</v>
      </c>
      <c r="N274" s="4">
        <v>0.15068300000000001</v>
      </c>
      <c r="O274" s="4">
        <v>7.32</v>
      </c>
      <c r="P274" s="4">
        <v>7.32</v>
      </c>
      <c r="Q274" s="4">
        <v>541</v>
      </c>
      <c r="R274" s="4">
        <v>553</v>
      </c>
      <c r="S274" s="4">
        <v>6.28</v>
      </c>
      <c r="T274" s="4">
        <v>0.51</v>
      </c>
      <c r="U274" s="4"/>
      <c r="V274" s="4" t="s">
        <v>3209</v>
      </c>
      <c r="W274" s="4" t="s">
        <v>3244</v>
      </c>
      <c r="X274" s="4" t="s">
        <v>4082</v>
      </c>
      <c r="Y274" s="4" t="s">
        <v>2961</v>
      </c>
      <c r="Z274" s="4" t="s">
        <v>2962</v>
      </c>
      <c r="AA274" s="4" t="s">
        <v>3024</v>
      </c>
      <c r="AB274" s="4" t="s">
        <v>2945</v>
      </c>
      <c r="AD274" s="10">
        <f t="shared" si="19"/>
        <v>6.0587237563394243E-2</v>
      </c>
      <c r="AE274" s="10">
        <f t="shared" si="16"/>
        <v>3.7783551778328664E-2</v>
      </c>
      <c r="AF274" s="10">
        <f t="shared" si="17"/>
        <v>2.9372307824615715</v>
      </c>
      <c r="AG274" s="10">
        <f t="shared" ca="1" si="18"/>
        <v>0.55731230432495471</v>
      </c>
    </row>
    <row r="275" spans="1:33" x14ac:dyDescent="0.25">
      <c r="A275" s="50" t="s">
        <v>4083</v>
      </c>
      <c r="B275" s="4">
        <v>1862</v>
      </c>
      <c r="C275" s="53" t="s">
        <v>4084</v>
      </c>
      <c r="D275" s="4">
        <v>6.5</v>
      </c>
      <c r="E275" s="49">
        <v>44270</v>
      </c>
      <c r="F275" s="4">
        <v>9.3800000000000008</v>
      </c>
      <c r="G275" s="4">
        <v>3.38</v>
      </c>
      <c r="H275" s="4" t="s">
        <v>133</v>
      </c>
      <c r="I275" s="4" t="s">
        <v>3065</v>
      </c>
      <c r="J275" s="4">
        <f>IF(Z275="US",K275,VLOOKUP(Z275,'3032'!$AL$4:$AM$20,2,FALSE)*K275)</f>
        <v>104.25</v>
      </c>
      <c r="K275" s="4">
        <v>104.25</v>
      </c>
      <c r="L275" s="4">
        <v>1956600</v>
      </c>
      <c r="M275" s="4">
        <v>0.48</v>
      </c>
      <c r="N275" s="4">
        <v>0.46745599999999998</v>
      </c>
      <c r="O275" s="4">
        <v>5.9</v>
      </c>
      <c r="P275" s="4">
        <v>5.78</v>
      </c>
      <c r="Q275" s="4">
        <v>393</v>
      </c>
      <c r="R275" s="4">
        <v>395</v>
      </c>
      <c r="S275" s="4">
        <v>5.79</v>
      </c>
      <c r="T275" s="4">
        <v>0.19</v>
      </c>
      <c r="U275" s="4"/>
      <c r="V275" s="4" t="s">
        <v>3124</v>
      </c>
      <c r="W275" s="4" t="s">
        <v>3142</v>
      </c>
      <c r="X275" s="4" t="s">
        <v>4085</v>
      </c>
      <c r="Y275" s="4" t="s">
        <v>2957</v>
      </c>
      <c r="Z275" s="4" t="s">
        <v>2962</v>
      </c>
      <c r="AA275" s="4" t="s">
        <v>3041</v>
      </c>
      <c r="AB275" s="4" t="s">
        <v>3033</v>
      </c>
      <c r="AD275" s="10">
        <f t="shared" si="19"/>
        <v>0.20364007418589009</v>
      </c>
      <c r="AE275" s="10">
        <f t="shared" si="16"/>
        <v>9.9653586496127947E-2</v>
      </c>
      <c r="AF275" s="10">
        <f t="shared" si="17"/>
        <v>8.8445261399070176</v>
      </c>
      <c r="AG275" s="10">
        <f t="shared" ca="1" si="18"/>
        <v>0.92189427255513401</v>
      </c>
    </row>
    <row r="276" spans="1:33" x14ac:dyDescent="0.25">
      <c r="A276" s="50" t="s">
        <v>4086</v>
      </c>
      <c r="B276" s="4">
        <v>3000</v>
      </c>
      <c r="C276" s="53" t="s">
        <v>4087</v>
      </c>
      <c r="D276" s="4">
        <v>4</v>
      </c>
      <c r="E276" s="49">
        <v>43177</v>
      </c>
      <c r="F276" s="4">
        <v>6.38</v>
      </c>
      <c r="G276" s="4">
        <v>6.38</v>
      </c>
      <c r="H276" s="4" t="s">
        <v>3054</v>
      </c>
      <c r="I276" s="4" t="s">
        <v>3036</v>
      </c>
      <c r="J276" s="4">
        <f>IF(Z276="US",K276,VLOOKUP(Z276,'3032'!$AL$4:$AM$20,2,FALSE)*K276)</f>
        <v>99.67</v>
      </c>
      <c r="K276" s="4">
        <v>99.67</v>
      </c>
      <c r="L276" s="4">
        <v>3000668</v>
      </c>
      <c r="M276" s="4">
        <v>0.77</v>
      </c>
      <c r="N276" s="4">
        <v>0.71689700000000001</v>
      </c>
      <c r="O276" s="4">
        <v>4.0599999999999996</v>
      </c>
      <c r="P276" s="4">
        <v>2.78</v>
      </c>
      <c r="Q276" s="4">
        <v>300</v>
      </c>
      <c r="R276" s="4">
        <v>0</v>
      </c>
      <c r="S276" s="4">
        <v>0.25</v>
      </c>
      <c r="T276" s="4">
        <v>0.52</v>
      </c>
      <c r="U276" s="4" t="s">
        <v>3049</v>
      </c>
      <c r="V276" s="4" t="s">
        <v>3124</v>
      </c>
      <c r="W276" s="4" t="s">
        <v>3142</v>
      </c>
      <c r="X276" s="4" t="s">
        <v>4088</v>
      </c>
      <c r="Y276" s="4" t="s">
        <v>2957</v>
      </c>
      <c r="Z276" s="4" t="s">
        <v>2962</v>
      </c>
      <c r="AA276" s="4" t="s">
        <v>3032</v>
      </c>
      <c r="AB276" s="4" t="s">
        <v>2945</v>
      </c>
      <c r="AD276" s="10">
        <f t="shared" si="19"/>
        <v>5.266136793155355E-3</v>
      </c>
      <c r="AE276" s="10">
        <f t="shared" si="16"/>
        <v>0.10206443777785491</v>
      </c>
      <c r="AF276" s="10">
        <f t="shared" si="17"/>
        <v>0</v>
      </c>
      <c r="AG276" s="10">
        <f t="shared" ca="1" si="18"/>
        <v>2.9495028407583588</v>
      </c>
    </row>
    <row r="277" spans="1:33" x14ac:dyDescent="0.25">
      <c r="A277" s="50" t="s">
        <v>4089</v>
      </c>
      <c r="B277" s="4">
        <v>4</v>
      </c>
      <c r="C277" s="53" t="s">
        <v>4090</v>
      </c>
      <c r="D277" s="4">
        <v>0</v>
      </c>
      <c r="E277" s="4"/>
      <c r="F277" s="4">
        <v>0</v>
      </c>
      <c r="G277" s="4">
        <v>0</v>
      </c>
      <c r="H277" s="4" t="s">
        <v>3054</v>
      </c>
      <c r="I277" s="4" t="s">
        <v>3028</v>
      </c>
      <c r="J277" s="4">
        <f>IF(Z277="US",K277,VLOOKUP(Z277,'3032'!$AL$4:$AM$20,2,FALSE)*K277)</f>
        <v>67.91</v>
      </c>
      <c r="K277" s="4">
        <v>67.91</v>
      </c>
      <c r="L277" s="4">
        <v>290315</v>
      </c>
      <c r="M277" s="4">
        <v>0</v>
      </c>
      <c r="N277" s="4">
        <v>6.9360000000000005E-2</v>
      </c>
      <c r="O277" s="4">
        <v>6.63</v>
      </c>
      <c r="P277" s="4">
        <v>6.63</v>
      </c>
      <c r="Q277" s="4">
        <v>0</v>
      </c>
      <c r="R277" s="4">
        <v>0</v>
      </c>
      <c r="S277" s="4">
        <v>0</v>
      </c>
      <c r="T277" s="4">
        <v>0</v>
      </c>
      <c r="U277" s="4"/>
      <c r="V277" s="4" t="s">
        <v>3398</v>
      </c>
      <c r="W277" s="4" t="s">
        <v>4069</v>
      </c>
      <c r="X277" s="4" t="s">
        <v>4091</v>
      </c>
      <c r="Y277" s="4" t="s">
        <v>2961</v>
      </c>
      <c r="Z277" s="4" t="s">
        <v>2962</v>
      </c>
      <c r="AA277" s="4" t="s">
        <v>3024</v>
      </c>
      <c r="AB277" s="4" t="s">
        <v>2945</v>
      </c>
      <c r="AD277" s="10">
        <f t="shared" si="19"/>
        <v>0</v>
      </c>
      <c r="AE277" s="10">
        <f t="shared" si="16"/>
        <v>1.5752536527149818E-2</v>
      </c>
      <c r="AF277" s="10">
        <f t="shared" si="17"/>
        <v>0</v>
      </c>
      <c r="AG277" s="10">
        <f t="shared" ca="1" si="18"/>
        <v>1.0533745314315845</v>
      </c>
    </row>
    <row r="278" spans="1:33" x14ac:dyDescent="0.25">
      <c r="A278" s="50" t="s">
        <v>4092</v>
      </c>
      <c r="B278" s="4">
        <v>993</v>
      </c>
      <c r="C278" s="53" t="s">
        <v>4093</v>
      </c>
      <c r="D278" s="4">
        <v>4</v>
      </c>
      <c r="E278" s="49">
        <v>43176</v>
      </c>
      <c r="F278" s="4">
        <v>6.38</v>
      </c>
      <c r="G278" s="4">
        <v>6.38</v>
      </c>
      <c r="H278" s="4" t="s">
        <v>133</v>
      </c>
      <c r="I278" s="4" t="s">
        <v>3116</v>
      </c>
      <c r="J278" s="4">
        <f>IF(Z278="US",K278,VLOOKUP(Z278,'3032'!$AL$4:$AM$20,2,FALSE)*K278)</f>
        <v>98.17</v>
      </c>
      <c r="K278" s="4">
        <v>98.17</v>
      </c>
      <c r="L278" s="4">
        <v>974423</v>
      </c>
      <c r="M278" s="4">
        <v>0.26</v>
      </c>
      <c r="N278" s="4">
        <v>0.23280200000000001</v>
      </c>
      <c r="O278" s="4">
        <v>4.22</v>
      </c>
      <c r="P278" s="4">
        <v>4.22</v>
      </c>
      <c r="Q278" s="4">
        <v>375</v>
      </c>
      <c r="R278" s="4">
        <v>0</v>
      </c>
      <c r="S278" s="4">
        <v>0.25</v>
      </c>
      <c r="T278" s="4">
        <v>0.52</v>
      </c>
      <c r="U278" s="4" t="s">
        <v>3049</v>
      </c>
      <c r="V278" s="4" t="s">
        <v>3153</v>
      </c>
      <c r="W278" s="4" t="s">
        <v>3477</v>
      </c>
      <c r="X278" s="4" t="s">
        <v>4094</v>
      </c>
      <c r="Y278" s="4" t="s">
        <v>2961</v>
      </c>
      <c r="Z278" s="4" t="s">
        <v>2962</v>
      </c>
      <c r="AA278" s="4" t="s">
        <v>3024</v>
      </c>
      <c r="AB278" s="4" t="s">
        <v>2945</v>
      </c>
      <c r="AD278" s="10">
        <f t="shared" si="19"/>
        <v>1.7101008216826455E-3</v>
      </c>
      <c r="AE278" s="10">
        <f t="shared" si="16"/>
        <v>3.6234562597855777E-2</v>
      </c>
      <c r="AF278" s="10">
        <f t="shared" si="17"/>
        <v>0</v>
      </c>
      <c r="AG278" s="10">
        <f t="shared" ca="1" si="18"/>
        <v>0.94339317722919902</v>
      </c>
    </row>
    <row r="279" spans="1:33" x14ac:dyDescent="0.25">
      <c r="A279" s="50" t="s">
        <v>4095</v>
      </c>
      <c r="B279" s="4">
        <v>1992</v>
      </c>
      <c r="C279" s="53" t="s">
        <v>4096</v>
      </c>
      <c r="D279" s="4">
        <v>7.5</v>
      </c>
      <c r="E279" s="49">
        <v>42522</v>
      </c>
      <c r="F279" s="4">
        <v>4.59</v>
      </c>
      <c r="G279" s="4">
        <v>4.59</v>
      </c>
      <c r="H279" s="4" t="s">
        <v>3431</v>
      </c>
      <c r="I279" s="4" t="s">
        <v>3432</v>
      </c>
      <c r="J279" s="4">
        <f>IF(Z279="US",K279,VLOOKUP(Z279,'3032'!$AL$4:$AM$20,2,FALSE)*K279)</f>
        <v>95</v>
      </c>
      <c r="K279" s="4">
        <v>95</v>
      </c>
      <c r="L279" s="4">
        <v>1954650</v>
      </c>
      <c r="M279" s="4">
        <v>0.51</v>
      </c>
      <c r="N279" s="4">
        <v>0.46699000000000002</v>
      </c>
      <c r="O279" s="4">
        <v>8.85</v>
      </c>
      <c r="P279" s="4">
        <v>8.85</v>
      </c>
      <c r="Q279" s="4">
        <v>758</v>
      </c>
      <c r="R279" s="4">
        <v>762</v>
      </c>
      <c r="S279" s="4">
        <v>3.66</v>
      </c>
      <c r="T279" s="4">
        <v>0.17</v>
      </c>
      <c r="U279" s="4"/>
      <c r="V279" s="4" t="s">
        <v>3209</v>
      </c>
      <c r="W279" s="4" t="s">
        <v>3570</v>
      </c>
      <c r="X279" s="4" t="s">
        <v>4097</v>
      </c>
      <c r="Y279" s="4" t="s">
        <v>2961</v>
      </c>
      <c r="Z279" s="4" t="s">
        <v>2962</v>
      </c>
      <c r="AA279" s="4" t="s">
        <v>3024</v>
      </c>
      <c r="AB279" s="4" t="s">
        <v>2945</v>
      </c>
      <c r="AD279" s="10">
        <f t="shared" si="19"/>
        <v>7.1584799499504109E-2</v>
      </c>
      <c r="AE279" s="10">
        <f t="shared" si="16"/>
        <v>0.29007564688973603</v>
      </c>
      <c r="AF279" s="10">
        <f t="shared" si="17"/>
        <v>25.833638321782278</v>
      </c>
      <c r="AG279" s="10">
        <f t="shared" ca="1" si="18"/>
        <v>1.8312980071397169</v>
      </c>
    </row>
    <row r="280" spans="1:33" x14ac:dyDescent="0.25">
      <c r="A280" s="50" t="s">
        <v>4098</v>
      </c>
      <c r="B280" s="4">
        <v>1092</v>
      </c>
      <c r="C280" s="53" t="s">
        <v>4099</v>
      </c>
      <c r="D280" s="4">
        <v>14.95</v>
      </c>
      <c r="E280" s="49">
        <v>18263</v>
      </c>
      <c r="F280" s="4">
        <v>38.17</v>
      </c>
      <c r="G280" s="4">
        <v>2.67</v>
      </c>
      <c r="H280" s="4" t="s">
        <v>3161</v>
      </c>
      <c r="I280" s="4" t="s">
        <v>3020</v>
      </c>
      <c r="J280" s="4">
        <f>IF(Z280="US",K280,VLOOKUP(Z280,'3032'!$AL$4:$AM$20,2,FALSE)*K280)</f>
        <v>122.44</v>
      </c>
      <c r="K280" s="4">
        <v>122.44</v>
      </c>
      <c r="L280" s="4">
        <v>1391949</v>
      </c>
      <c r="M280" s="4">
        <v>0.28000000000000003</v>
      </c>
      <c r="N280" s="4">
        <v>0.33255400000000002</v>
      </c>
      <c r="O280" s="4">
        <v>12.18</v>
      </c>
      <c r="P280" s="4">
        <v>5.74</v>
      </c>
      <c r="Q280" s="4">
        <v>538</v>
      </c>
      <c r="R280" s="4">
        <v>539</v>
      </c>
      <c r="S280" s="4">
        <v>2.1800000000000002</v>
      </c>
      <c r="T280" s="4">
        <v>0.06</v>
      </c>
      <c r="U280" s="4"/>
      <c r="V280" s="4" t="s">
        <v>3029</v>
      </c>
      <c r="W280" s="4" t="s">
        <v>3030</v>
      </c>
      <c r="X280" s="4" t="s">
        <v>4100</v>
      </c>
      <c r="Y280" s="4" t="s">
        <v>3086</v>
      </c>
      <c r="Z280" s="4" t="s">
        <v>2962</v>
      </c>
      <c r="AA280" s="4" t="s">
        <v>3041</v>
      </c>
      <c r="AB280" s="4" t="s">
        <v>3033</v>
      </c>
      <c r="AD280" s="10">
        <f t="shared" si="19"/>
        <v>3.0363409766063918E-2</v>
      </c>
      <c r="AE280" s="10">
        <f t="shared" si="16"/>
        <v>7.0404150321498229E-2</v>
      </c>
      <c r="AF280" s="10">
        <f t="shared" si="17"/>
        <v>6.3183083973272929</v>
      </c>
      <c r="AG280" s="10">
        <f t="shared" ca="1" si="18"/>
        <v>9.0100159201575067</v>
      </c>
    </row>
    <row r="281" spans="1:33" x14ac:dyDescent="0.25">
      <c r="A281" s="50" t="s">
        <v>4101</v>
      </c>
      <c r="B281" s="4">
        <v>1079</v>
      </c>
      <c r="C281" s="53" t="s">
        <v>4102</v>
      </c>
      <c r="D281" s="4">
        <v>0.35499999999999998</v>
      </c>
      <c r="E281" s="49">
        <v>13599</v>
      </c>
      <c r="F281" s="4">
        <v>25.4</v>
      </c>
      <c r="G281" s="4">
        <v>1.8</v>
      </c>
      <c r="H281" s="4" t="s">
        <v>3559</v>
      </c>
      <c r="I281" s="4" t="s">
        <v>3538</v>
      </c>
      <c r="J281" s="4">
        <f>IF(Z281="US",K281,VLOOKUP(Z281,'3032'!$AL$4:$AM$20,2,FALSE)*K281)</f>
        <v>50.17</v>
      </c>
      <c r="K281" s="4">
        <v>50.17</v>
      </c>
      <c r="L281" s="4">
        <v>541541</v>
      </c>
      <c r="M281" s="4">
        <v>0.28000000000000003</v>
      </c>
      <c r="N281" s="4">
        <v>0.129381</v>
      </c>
      <c r="O281" s="4">
        <v>7.5</v>
      </c>
      <c r="P281" s="4">
        <v>7.5</v>
      </c>
      <c r="Q281" s="4">
        <v>900</v>
      </c>
      <c r="R281" s="4">
        <v>900</v>
      </c>
      <c r="S281" s="4">
        <v>0.1</v>
      </c>
      <c r="T281" s="4">
        <v>-0.01</v>
      </c>
      <c r="U281" s="4" t="s">
        <v>3049</v>
      </c>
      <c r="V281" s="4" t="s">
        <v>3520</v>
      </c>
      <c r="W281" s="4" t="s">
        <v>3589</v>
      </c>
      <c r="X281" s="4" t="s">
        <v>4103</v>
      </c>
      <c r="Y281" s="4" t="s">
        <v>2961</v>
      </c>
      <c r="Z281" s="4" t="s">
        <v>2962</v>
      </c>
      <c r="AA281" s="4" t="s">
        <v>3024</v>
      </c>
      <c r="AB281" s="4" t="s">
        <v>2945</v>
      </c>
      <c r="AD281" s="10">
        <f t="shared" si="19"/>
        <v>3.8015921589488002E-4</v>
      </c>
      <c r="AE281" s="10">
        <f t="shared" si="16"/>
        <v>3.3239929757407513E-2</v>
      </c>
      <c r="AF281" s="10">
        <f t="shared" si="17"/>
        <v>18.390892512796238</v>
      </c>
      <c r="AG281" s="10">
        <f t="shared" ca="1" si="18"/>
        <v>1.4516270466032393</v>
      </c>
    </row>
    <row r="282" spans="1:33" x14ac:dyDescent="0.25">
      <c r="A282" s="50" t="s">
        <v>4104</v>
      </c>
      <c r="B282" s="4">
        <v>815</v>
      </c>
      <c r="C282" s="53" t="s">
        <v>4105</v>
      </c>
      <c r="D282" s="4">
        <v>9</v>
      </c>
      <c r="E282" s="49">
        <v>44211</v>
      </c>
      <c r="F282" s="4">
        <v>9.2100000000000009</v>
      </c>
      <c r="G282" s="4">
        <v>4.21</v>
      </c>
      <c r="H282" s="4" t="s">
        <v>3559</v>
      </c>
      <c r="I282" s="4" t="s">
        <v>3432</v>
      </c>
      <c r="J282" s="4">
        <f>IF(Z282="US",K282,VLOOKUP(Z282,'3032'!$AL$4:$AM$20,2,FALSE)*K282)</f>
        <v>84.5</v>
      </c>
      <c r="K282" s="4">
        <v>84.5</v>
      </c>
      <c r="L282" s="4">
        <v>710273</v>
      </c>
      <c r="M282" s="4">
        <v>0.21</v>
      </c>
      <c r="N282" s="4">
        <v>0.16969300000000001</v>
      </c>
      <c r="O282" s="4">
        <v>11.8</v>
      </c>
      <c r="P282" s="4">
        <v>11.8</v>
      </c>
      <c r="Q282" s="4">
        <v>955</v>
      </c>
      <c r="R282" s="4">
        <v>983</v>
      </c>
      <c r="S282" s="4">
        <v>5.66</v>
      </c>
      <c r="T282" s="4">
        <v>0.45</v>
      </c>
      <c r="U282" s="4"/>
      <c r="V282" s="4" t="s">
        <v>3037</v>
      </c>
      <c r="W282" s="4" t="s">
        <v>3084</v>
      </c>
      <c r="X282" s="4" t="s">
        <v>4106</v>
      </c>
      <c r="Y282" s="4" t="s">
        <v>2961</v>
      </c>
      <c r="Z282" s="4" t="s">
        <v>2962</v>
      </c>
      <c r="AA282" s="4" t="s">
        <v>3024</v>
      </c>
      <c r="AB282" s="4" t="s">
        <v>2945</v>
      </c>
      <c r="AD282" s="10">
        <f t="shared" si="19"/>
        <v>7.2264394943084315E-2</v>
      </c>
      <c r="AE282" s="10">
        <f t="shared" si="16"/>
        <v>0.19724618092435767</v>
      </c>
      <c r="AF282" s="10">
        <f t="shared" si="17"/>
        <v>26.345580837276753</v>
      </c>
      <c r="AG282" s="10">
        <f t="shared" ca="1" si="18"/>
        <v>0.5919001206915494</v>
      </c>
    </row>
    <row r="283" spans="1:33" x14ac:dyDescent="0.25">
      <c r="A283" s="50" t="s">
        <v>4107</v>
      </c>
      <c r="B283" s="4">
        <v>344</v>
      </c>
      <c r="C283" s="53" t="s">
        <v>4108</v>
      </c>
      <c r="D283" s="4">
        <v>0.34499999999999997</v>
      </c>
      <c r="E283" s="49">
        <v>13448</v>
      </c>
      <c r="F283" s="4">
        <v>24.99</v>
      </c>
      <c r="G283" s="4">
        <v>1.1000000000000001</v>
      </c>
      <c r="H283" s="4" t="s">
        <v>3559</v>
      </c>
      <c r="I283" s="4" t="s">
        <v>3538</v>
      </c>
      <c r="J283" s="4">
        <f>IF(Z283="US",K283,VLOOKUP(Z283,'3032'!$AL$4:$AM$20,2,FALSE)*K283)</f>
        <v>57.73</v>
      </c>
      <c r="K283" s="4">
        <v>57.73</v>
      </c>
      <c r="L283" s="4">
        <v>198612</v>
      </c>
      <c r="M283" s="4">
        <v>0.09</v>
      </c>
      <c r="N283" s="4">
        <v>4.7451E-2</v>
      </c>
      <c r="O283" s="4">
        <v>6</v>
      </c>
      <c r="P283" s="4">
        <v>6</v>
      </c>
      <c r="Q283" s="4">
        <v>900</v>
      </c>
      <c r="R283" s="4">
        <v>900</v>
      </c>
      <c r="S283" s="4">
        <v>0.1</v>
      </c>
      <c r="T283" s="4">
        <v>-0.01</v>
      </c>
      <c r="U283" s="4" t="s">
        <v>3049</v>
      </c>
      <c r="V283" s="4" t="s">
        <v>3520</v>
      </c>
      <c r="W283" s="4" t="s">
        <v>3589</v>
      </c>
      <c r="X283" s="4" t="s">
        <v>4109</v>
      </c>
      <c r="Y283" s="4" t="s">
        <v>2961</v>
      </c>
      <c r="Z283" s="4" t="s">
        <v>2962</v>
      </c>
      <c r="AA283" s="4" t="s">
        <v>2945</v>
      </c>
      <c r="AB283" s="4" t="s">
        <v>2945</v>
      </c>
      <c r="AD283" s="10">
        <f t="shared" si="19"/>
        <v>1.3942468287223665E-4</v>
      </c>
      <c r="AE283" s="10">
        <f t="shared" si="16"/>
        <v>9.7526856566401768E-3</v>
      </c>
      <c r="AF283" s="10">
        <f t="shared" si="17"/>
        <v>6.7449222565816562</v>
      </c>
      <c r="AG283" s="10">
        <f t="shared" ca="1" si="18"/>
        <v>0.61261362264808827</v>
      </c>
    </row>
    <row r="284" spans="1:33" x14ac:dyDescent="0.25">
      <c r="A284" s="50" t="s">
        <v>4110</v>
      </c>
      <c r="B284" s="4">
        <v>1004</v>
      </c>
      <c r="C284" s="53" t="s">
        <v>4111</v>
      </c>
      <c r="D284" s="4">
        <v>0.34499999999999997</v>
      </c>
      <c r="E284" s="49">
        <v>13418</v>
      </c>
      <c r="F284" s="4">
        <v>24.9</v>
      </c>
      <c r="G284" s="4">
        <v>3</v>
      </c>
      <c r="H284" s="4" t="s">
        <v>3559</v>
      </c>
      <c r="I284" s="4" t="s">
        <v>3821</v>
      </c>
      <c r="J284" s="4">
        <f>IF(Z284="US",K284,VLOOKUP(Z284,'3032'!$AL$4:$AM$20,2,FALSE)*K284)</f>
        <v>80.8</v>
      </c>
      <c r="K284" s="4">
        <v>80.8</v>
      </c>
      <c r="L284" s="4">
        <v>811047</v>
      </c>
      <c r="M284" s="4">
        <v>0.26</v>
      </c>
      <c r="N284" s="4">
        <v>0.193769</v>
      </c>
      <c r="O284" s="4">
        <v>8</v>
      </c>
      <c r="P284" s="4">
        <v>8</v>
      </c>
      <c r="Q284" s="4">
        <v>900</v>
      </c>
      <c r="R284" s="4">
        <v>900</v>
      </c>
      <c r="S284" s="4">
        <v>0.1</v>
      </c>
      <c r="T284" s="4">
        <v>-0.01</v>
      </c>
      <c r="U284" s="4" t="s">
        <v>3049</v>
      </c>
      <c r="V284" s="4" t="s">
        <v>3520</v>
      </c>
      <c r="W284" s="4" t="s">
        <v>3589</v>
      </c>
      <c r="X284" s="4" t="s">
        <v>4112</v>
      </c>
      <c r="Y284" s="4" t="s">
        <v>2961</v>
      </c>
      <c r="Z284" s="4" t="s">
        <v>2962</v>
      </c>
      <c r="AA284" s="4" t="s">
        <v>3024</v>
      </c>
      <c r="AB284" s="4" t="s">
        <v>2945</v>
      </c>
      <c r="AD284" s="10">
        <f t="shared" si="19"/>
        <v>5.6935115083418374E-4</v>
      </c>
      <c r="AE284" s="10">
        <f t="shared" si="16"/>
        <v>0.10880153037722665</v>
      </c>
      <c r="AF284" s="10">
        <f t="shared" si="17"/>
        <v>27.543395975237058</v>
      </c>
      <c r="AG284" s="10">
        <f t="shared" ca="1" si="18"/>
        <v>0.64628458392776722</v>
      </c>
    </row>
    <row r="285" spans="1:33" x14ac:dyDescent="0.25">
      <c r="A285" s="50" t="s">
        <v>4113</v>
      </c>
      <c r="B285" s="4">
        <v>201</v>
      </c>
      <c r="C285" s="53" t="s">
        <v>4114</v>
      </c>
      <c r="D285" s="4">
        <v>0.35499999999999998</v>
      </c>
      <c r="E285" s="49">
        <v>13571</v>
      </c>
      <c r="F285" s="4">
        <v>25.32</v>
      </c>
      <c r="G285" s="4">
        <v>0.3</v>
      </c>
      <c r="H285" s="4" t="s">
        <v>3559</v>
      </c>
      <c r="I285" s="4" t="s">
        <v>3821</v>
      </c>
      <c r="J285" s="4">
        <f>IF(Z285="US",K285,VLOOKUP(Z285,'3032'!$AL$4:$AM$20,2,FALSE)*K285)</f>
        <v>91.97</v>
      </c>
      <c r="K285" s="4">
        <v>91.97</v>
      </c>
      <c r="L285" s="4">
        <v>184860</v>
      </c>
      <c r="M285" s="4">
        <v>0.05</v>
      </c>
      <c r="N285" s="4">
        <v>4.4165000000000003E-2</v>
      </c>
      <c r="O285" s="4">
        <v>5</v>
      </c>
      <c r="P285" s="4">
        <v>5</v>
      </c>
      <c r="Q285" s="4">
        <v>900</v>
      </c>
      <c r="R285" s="4">
        <v>900</v>
      </c>
      <c r="S285" s="4">
        <v>0.1</v>
      </c>
      <c r="T285" s="4">
        <v>-0.01</v>
      </c>
      <c r="U285" s="4" t="s">
        <v>3049</v>
      </c>
      <c r="V285" s="4" t="s">
        <v>3520</v>
      </c>
      <c r="W285" s="4" t="s">
        <v>3589</v>
      </c>
      <c r="X285" s="4" t="s">
        <v>4115</v>
      </c>
      <c r="Y285" s="4" t="s">
        <v>2961</v>
      </c>
      <c r="Z285" s="4" t="s">
        <v>2962</v>
      </c>
      <c r="AA285" s="4" t="s">
        <v>3024</v>
      </c>
      <c r="AB285" s="4" t="s">
        <v>2945</v>
      </c>
      <c r="AD285" s="10">
        <f t="shared" si="19"/>
        <v>1.297708440364211E-4</v>
      </c>
      <c r="AE285" s="10">
        <f t="shared" si="16"/>
        <v>8.1447170024100003E-3</v>
      </c>
      <c r="AF285" s="10">
        <f t="shared" si="17"/>
        <v>6.2779002696296544</v>
      </c>
      <c r="AG285" s="10">
        <f t="shared" ca="1" si="18"/>
        <v>0.16767007123740299</v>
      </c>
    </row>
    <row r="286" spans="1:33" x14ac:dyDescent="0.25">
      <c r="A286" s="50" t="s">
        <v>4116</v>
      </c>
      <c r="B286" s="4">
        <v>586</v>
      </c>
      <c r="C286" s="53" t="s">
        <v>4117</v>
      </c>
      <c r="D286" s="4">
        <v>0.39500000000000002</v>
      </c>
      <c r="E286" s="49">
        <v>13571</v>
      </c>
      <c r="F286" s="4">
        <v>25.32</v>
      </c>
      <c r="G286" s="4">
        <v>1.7</v>
      </c>
      <c r="H286" s="4" t="s">
        <v>3559</v>
      </c>
      <c r="I286" s="4" t="s">
        <v>3538</v>
      </c>
      <c r="J286" s="4">
        <f>IF(Z286="US",K286,VLOOKUP(Z286,'3032'!$AL$4:$AM$20,2,FALSE)*K286)</f>
        <v>57.81</v>
      </c>
      <c r="K286" s="4">
        <v>57.81</v>
      </c>
      <c r="L286" s="4">
        <v>338697</v>
      </c>
      <c r="M286" s="4">
        <v>0.15</v>
      </c>
      <c r="N286" s="4">
        <v>8.0919000000000005E-2</v>
      </c>
      <c r="O286" s="4">
        <v>5</v>
      </c>
      <c r="P286" s="4">
        <v>5</v>
      </c>
      <c r="Q286" s="4">
        <v>900</v>
      </c>
      <c r="R286" s="4">
        <v>900</v>
      </c>
      <c r="S286" s="4">
        <v>0.1</v>
      </c>
      <c r="T286" s="4">
        <v>-0.01</v>
      </c>
      <c r="U286" s="4" t="s">
        <v>3049</v>
      </c>
      <c r="V286" s="4" t="s">
        <v>3520</v>
      </c>
      <c r="W286" s="4" t="s">
        <v>3589</v>
      </c>
      <c r="X286" s="4" t="s">
        <v>4118</v>
      </c>
      <c r="Y286" s="4" t="s">
        <v>2961</v>
      </c>
      <c r="Z286" s="4" t="s">
        <v>2962</v>
      </c>
      <c r="AA286" s="4" t="s">
        <v>3024</v>
      </c>
      <c r="AB286" s="4" t="s">
        <v>2945</v>
      </c>
      <c r="AD286" s="10">
        <f t="shared" si="19"/>
        <v>2.3776368907607766E-4</v>
      </c>
      <c r="AE286" s="10">
        <f t="shared" si="16"/>
        <v>1.4922596638349345E-2</v>
      </c>
      <c r="AF286" s="10">
        <f t="shared" si="17"/>
        <v>11.502250284662747</v>
      </c>
      <c r="AG286" s="10">
        <f t="shared" ca="1" si="18"/>
        <v>1.0461499220172432</v>
      </c>
    </row>
    <row r="287" spans="1:33" x14ac:dyDescent="0.25">
      <c r="A287" s="50" t="s">
        <v>4119</v>
      </c>
      <c r="B287" s="4">
        <v>131</v>
      </c>
      <c r="C287" s="53" t="s">
        <v>4120</v>
      </c>
      <c r="D287" s="4">
        <v>0</v>
      </c>
      <c r="E287" s="49">
        <v>41440</v>
      </c>
      <c r="F287" s="4">
        <v>1.63</v>
      </c>
      <c r="G287" s="4">
        <v>1.63</v>
      </c>
      <c r="H287" s="4" t="s">
        <v>3050</v>
      </c>
      <c r="I287" s="4" t="s">
        <v>3051</v>
      </c>
      <c r="J287" s="4">
        <f>IF(Z287="US",K287,VLOOKUP(Z287,'3032'!$AL$4:$AM$20,2,FALSE)*K287)</f>
        <v>102</v>
      </c>
      <c r="K287" s="4">
        <v>102</v>
      </c>
      <c r="L287" s="4">
        <v>133620</v>
      </c>
      <c r="M287" s="4">
        <v>0.03</v>
      </c>
      <c r="N287" s="4">
        <v>3.1923E-2</v>
      </c>
      <c r="O287" s="4">
        <v>1</v>
      </c>
      <c r="P287" s="4">
        <v>1</v>
      </c>
      <c r="Q287" s="4">
        <v>0</v>
      </c>
      <c r="R287" s="4">
        <v>0</v>
      </c>
      <c r="S287" s="4">
        <v>1.63</v>
      </c>
      <c r="T287" s="4">
        <v>0.03</v>
      </c>
      <c r="U287" s="4"/>
      <c r="V287" s="4" t="s">
        <v>3426</v>
      </c>
      <c r="W287" s="4" t="s">
        <v>3807</v>
      </c>
      <c r="X287" s="4" t="s">
        <v>4121</v>
      </c>
      <c r="Y287" s="4" t="s">
        <v>2961</v>
      </c>
      <c r="Z287" s="4" t="s">
        <v>2962</v>
      </c>
      <c r="AA287" s="4" t="s">
        <v>3041</v>
      </c>
      <c r="AB287" s="4" t="s">
        <v>2945</v>
      </c>
      <c r="AD287" s="10">
        <f t="shared" si="19"/>
        <v>1.5289498914659164E-3</v>
      </c>
      <c r="AE287" s="10">
        <f t="shared" si="16"/>
        <v>-0.1380834080828707</v>
      </c>
      <c r="AF287" s="10">
        <f t="shared" si="17"/>
        <v>0</v>
      </c>
      <c r="AG287" s="10">
        <f t="shared" ca="1" si="18"/>
        <v>6.1599139187414054E-2</v>
      </c>
    </row>
    <row r="288" spans="1:33" x14ac:dyDescent="0.25">
      <c r="A288" s="50" t="s">
        <v>4122</v>
      </c>
      <c r="B288" s="4">
        <v>1956</v>
      </c>
      <c r="C288" s="53" t="s">
        <v>4123</v>
      </c>
      <c r="D288" s="4">
        <v>6.25</v>
      </c>
      <c r="E288" s="49">
        <v>42078</v>
      </c>
      <c r="F288" s="4">
        <v>3.38</v>
      </c>
      <c r="G288" s="4">
        <v>0.38</v>
      </c>
      <c r="H288" s="4" t="s">
        <v>3120</v>
      </c>
      <c r="I288" s="4" t="s">
        <v>3020</v>
      </c>
      <c r="J288" s="4">
        <f>IF(Z288="US",K288,VLOOKUP(Z288,'3032'!$AL$4:$AM$20,2,FALSE)*K288)</f>
        <v>96</v>
      </c>
      <c r="K288" s="4">
        <v>96</v>
      </c>
      <c r="L288" s="4">
        <v>1893381</v>
      </c>
      <c r="M288" s="4">
        <v>0.5</v>
      </c>
      <c r="N288" s="4">
        <v>0.45235199999999998</v>
      </c>
      <c r="O288" s="4">
        <v>7.61</v>
      </c>
      <c r="P288" s="4">
        <v>7.61</v>
      </c>
      <c r="Q288" s="4">
        <v>718</v>
      </c>
      <c r="R288" s="4">
        <v>716</v>
      </c>
      <c r="S288" s="4">
        <v>2.95</v>
      </c>
      <c r="T288" s="4">
        <v>0.14000000000000001</v>
      </c>
      <c r="U288" s="4"/>
      <c r="V288" s="4" t="s">
        <v>3209</v>
      </c>
      <c r="W288" s="4" t="s">
        <v>3244</v>
      </c>
      <c r="X288" s="4" t="s">
        <v>4124</v>
      </c>
      <c r="Y288" s="4" t="s">
        <v>2961</v>
      </c>
      <c r="Z288" s="4" t="s">
        <v>2962</v>
      </c>
      <c r="AA288" s="4" t="s">
        <v>3024</v>
      </c>
      <c r="AB288" s="4" t="s">
        <v>2945</v>
      </c>
      <c r="AD288" s="10">
        <f t="shared" si="19"/>
        <v>5.5889568202216584E-2</v>
      </c>
      <c r="AE288" s="10">
        <f t="shared" si="16"/>
        <v>0.11792073102225344</v>
      </c>
      <c r="AF288" s="10">
        <f t="shared" si="17"/>
        <v>23.513248668736477</v>
      </c>
      <c r="AG288" s="10">
        <f t="shared" ca="1" si="18"/>
        <v>1.7925680909216246</v>
      </c>
    </row>
    <row r="289" spans="1:33" x14ac:dyDescent="0.25">
      <c r="A289" s="50" t="s">
        <v>4125</v>
      </c>
      <c r="B289" s="4">
        <v>398</v>
      </c>
      <c r="C289" s="53" t="s">
        <v>4126</v>
      </c>
      <c r="D289" s="4">
        <v>5</v>
      </c>
      <c r="E289" s="49">
        <v>41774</v>
      </c>
      <c r="F289" s="4">
        <v>2.54</v>
      </c>
      <c r="G289" s="4">
        <v>2.54</v>
      </c>
      <c r="H289" s="4" t="s">
        <v>3054</v>
      </c>
      <c r="I289" s="4" t="s">
        <v>3083</v>
      </c>
      <c r="J289" s="4">
        <f>IF(Z289="US",K289,VLOOKUP(Z289,'3032'!$AL$4:$AM$20,2,FALSE)*K289)</f>
        <v>111.13</v>
      </c>
      <c r="K289" s="4">
        <v>111.13</v>
      </c>
      <c r="L289" s="4">
        <v>451454</v>
      </c>
      <c r="M289" s="4">
        <v>0.1</v>
      </c>
      <c r="N289" s="4">
        <v>0.107858</v>
      </c>
      <c r="O289" s="4">
        <v>4.5</v>
      </c>
      <c r="P289" s="4">
        <v>4.5</v>
      </c>
      <c r="Q289" s="4">
        <v>0</v>
      </c>
      <c r="R289" s="4">
        <v>0</v>
      </c>
      <c r="S289" s="4">
        <v>2.37</v>
      </c>
      <c r="T289" s="4">
        <v>7.0000000000000007E-2</v>
      </c>
      <c r="U289" s="4"/>
      <c r="V289" s="4" t="s">
        <v>3037</v>
      </c>
      <c r="W289" s="4" t="s">
        <v>3117</v>
      </c>
      <c r="X289" s="4" t="s">
        <v>4127</v>
      </c>
      <c r="Y289" s="4" t="s">
        <v>3040</v>
      </c>
      <c r="Z289" s="4" t="s">
        <v>2962</v>
      </c>
      <c r="AA289" s="4" t="s">
        <v>3024</v>
      </c>
      <c r="AB289" s="4" t="s">
        <v>2945</v>
      </c>
      <c r="AD289" s="10">
        <f t="shared" si="19"/>
        <v>1.0706131539991778E-2</v>
      </c>
      <c r="AE289" s="10">
        <f t="shared" si="16"/>
        <v>1.7901485246377819E-2</v>
      </c>
      <c r="AF289" s="10">
        <f t="shared" si="17"/>
        <v>0</v>
      </c>
      <c r="AG289" s="10">
        <f t="shared" ca="1" si="18"/>
        <v>0.22675027565683034</v>
      </c>
    </row>
    <row r="290" spans="1:33" x14ac:dyDescent="0.25">
      <c r="A290" s="50" t="s">
        <v>4128</v>
      </c>
      <c r="B290" s="4">
        <v>855</v>
      </c>
      <c r="C290" s="53" t="s">
        <v>4129</v>
      </c>
      <c r="D290" s="4">
        <v>4</v>
      </c>
      <c r="E290" s="49">
        <v>46433</v>
      </c>
      <c r="F290" s="4">
        <v>15.29</v>
      </c>
      <c r="G290" s="4">
        <v>7.29</v>
      </c>
      <c r="H290" s="4" t="s">
        <v>3431</v>
      </c>
      <c r="I290" s="4" t="s">
        <v>3028</v>
      </c>
      <c r="J290" s="4">
        <f>IF(Z290="US",K290,VLOOKUP(Z290,'3032'!$AL$4:$AM$20,2,FALSE)*K290)</f>
        <v>76</v>
      </c>
      <c r="K290" s="4">
        <v>76</v>
      </c>
      <c r="L290" s="4">
        <v>657020</v>
      </c>
      <c r="M290" s="4">
        <v>0.22</v>
      </c>
      <c r="N290" s="4">
        <v>0.15697</v>
      </c>
      <c r="O290" s="4">
        <v>3.79</v>
      </c>
      <c r="P290" s="4">
        <v>3.79</v>
      </c>
      <c r="Q290" s="4">
        <v>0</v>
      </c>
      <c r="R290" s="4">
        <v>0</v>
      </c>
      <c r="S290" s="4">
        <v>5.92</v>
      </c>
      <c r="T290" s="4">
        <v>1.64</v>
      </c>
      <c r="U290" s="4"/>
      <c r="V290" s="4" t="s">
        <v>3421</v>
      </c>
      <c r="W290" s="4" t="s">
        <v>3422</v>
      </c>
      <c r="X290" s="4" t="s">
        <v>4130</v>
      </c>
      <c r="Y290" s="4" t="s">
        <v>2961</v>
      </c>
      <c r="Z290" s="4" t="s">
        <v>2962</v>
      </c>
      <c r="AA290" s="4" t="s">
        <v>3024</v>
      </c>
      <c r="AB290" s="4" t="s">
        <v>2945</v>
      </c>
      <c r="AD290" s="10">
        <f t="shared" si="19"/>
        <v>6.9917023337896261E-2</v>
      </c>
      <c r="AE290" s="10">
        <f t="shared" si="16"/>
        <v>3.0466986819085506E-2</v>
      </c>
      <c r="AF290" s="10">
        <f t="shared" si="17"/>
        <v>0</v>
      </c>
      <c r="AG290" s="10">
        <f t="shared" ca="1" si="18"/>
        <v>2.6679137781220525</v>
      </c>
    </row>
    <row r="291" spans="1:33" x14ac:dyDescent="0.25">
      <c r="A291" s="50" t="s">
        <v>4131</v>
      </c>
      <c r="B291" s="4">
        <v>697</v>
      </c>
      <c r="C291" s="53" t="s">
        <v>4132</v>
      </c>
      <c r="D291" s="4">
        <v>8.75</v>
      </c>
      <c r="E291" s="49">
        <v>44075</v>
      </c>
      <c r="F291" s="4">
        <v>8.84</v>
      </c>
      <c r="G291" s="4">
        <v>3.84</v>
      </c>
      <c r="H291" s="4" t="s">
        <v>3120</v>
      </c>
      <c r="I291" s="4" t="s">
        <v>3311</v>
      </c>
      <c r="J291" s="4">
        <f>IF(Z291="US",K291,VLOOKUP(Z291,'3032'!$AL$4:$AM$20,2,FALSE)*K291)</f>
        <v>106.5</v>
      </c>
      <c r="K291" s="4">
        <v>106.5</v>
      </c>
      <c r="L291" s="4">
        <v>752470</v>
      </c>
      <c r="M291" s="4">
        <v>0.18</v>
      </c>
      <c r="N291" s="4">
        <v>0.17977399999999999</v>
      </c>
      <c r="O291" s="4">
        <v>7.72</v>
      </c>
      <c r="P291" s="4">
        <v>7.51</v>
      </c>
      <c r="Q291" s="4">
        <v>575</v>
      </c>
      <c r="R291" s="4">
        <v>550</v>
      </c>
      <c r="S291" s="4">
        <v>5.08</v>
      </c>
      <c r="T291" s="4">
        <v>0.15</v>
      </c>
      <c r="U291" s="4"/>
      <c r="V291" s="4" t="s">
        <v>3173</v>
      </c>
      <c r="W291" s="4" t="s">
        <v>3174</v>
      </c>
      <c r="X291" s="4" t="s">
        <v>4133</v>
      </c>
      <c r="Y291" s="4" t="s">
        <v>2961</v>
      </c>
      <c r="Z291" s="4" t="s">
        <v>2962</v>
      </c>
      <c r="AA291" s="4" t="s">
        <v>3024</v>
      </c>
      <c r="AB291" s="4" t="s">
        <v>2945</v>
      </c>
      <c r="AD291" s="10">
        <f t="shared" si="19"/>
        <v>6.8712466114255882E-2</v>
      </c>
      <c r="AE291" s="10">
        <f t="shared" si="16"/>
        <v>4.6248389954744902E-2</v>
      </c>
      <c r="AF291" s="10">
        <f t="shared" si="17"/>
        <v>3.4853035679166613</v>
      </c>
      <c r="AG291" s="10">
        <f t="shared" ca="1" si="18"/>
        <v>0.36219445868982003</v>
      </c>
    </row>
    <row r="292" spans="1:33" x14ac:dyDescent="0.25">
      <c r="A292" s="50" t="s">
        <v>4134</v>
      </c>
      <c r="B292" s="4">
        <v>1223</v>
      </c>
      <c r="C292" s="53" t="s">
        <v>4135</v>
      </c>
      <c r="D292" s="4">
        <v>6.75</v>
      </c>
      <c r="E292" s="49">
        <v>44136</v>
      </c>
      <c r="F292" s="4">
        <v>9</v>
      </c>
      <c r="G292" s="4">
        <v>4</v>
      </c>
      <c r="H292" s="4" t="s">
        <v>133</v>
      </c>
      <c r="I292" s="4" t="s">
        <v>3036</v>
      </c>
      <c r="J292" s="58">
        <f>IF(Z292="US",K292,VLOOKUP(Z292,'3032'!$AL$4:$AM$20,2,FALSE)*K292)</f>
        <v>105</v>
      </c>
      <c r="K292" s="67">
        <v>105</v>
      </c>
      <c r="L292" s="4">
        <v>1325426</v>
      </c>
      <c r="M292" s="4">
        <v>0.32</v>
      </c>
      <c r="N292" s="4">
        <v>0.31666100000000003</v>
      </c>
      <c r="O292" s="4">
        <v>6.02</v>
      </c>
      <c r="P292" s="4">
        <v>5.87</v>
      </c>
      <c r="Q292" s="4">
        <v>415</v>
      </c>
      <c r="R292" s="4">
        <v>380</v>
      </c>
      <c r="S292" s="4">
        <v>5.39</v>
      </c>
      <c r="T292" s="4">
        <v>0.16</v>
      </c>
      <c r="U292" s="4"/>
      <c r="V292" s="4" t="s">
        <v>3124</v>
      </c>
      <c r="W292" s="4" t="s">
        <v>3466</v>
      </c>
      <c r="X292" s="4" t="s">
        <v>4136</v>
      </c>
      <c r="Y292" s="4" t="s">
        <v>2961</v>
      </c>
      <c r="Z292" s="4" t="s">
        <v>2962</v>
      </c>
      <c r="AA292" s="4" t="s">
        <v>3024</v>
      </c>
      <c r="AB292" s="4" t="s">
        <v>2945</v>
      </c>
      <c r="AD292" s="10">
        <f t="shared" si="19"/>
        <v>0.12841829054357112</v>
      </c>
      <c r="AE292" s="10">
        <f t="shared" si="16"/>
        <v>6.8557762098588076E-2</v>
      </c>
      <c r="AF292" s="10">
        <f t="shared" si="17"/>
        <v>5.7638743821104175</v>
      </c>
      <c r="AG292" s="10">
        <f t="shared" ca="1" si="18"/>
        <v>0.62899586249452155</v>
      </c>
    </row>
    <row r="293" spans="1:33" x14ac:dyDescent="0.25">
      <c r="A293" s="50" t="s">
        <v>4137</v>
      </c>
      <c r="B293" s="4">
        <v>1800</v>
      </c>
      <c r="C293" s="53" t="s">
        <v>4138</v>
      </c>
      <c r="D293" s="4">
        <v>7.375</v>
      </c>
      <c r="E293" s="49">
        <v>43709</v>
      </c>
      <c r="F293" s="4">
        <v>7.84</v>
      </c>
      <c r="G293" s="4">
        <v>7.84</v>
      </c>
      <c r="H293" s="4" t="s">
        <v>3161</v>
      </c>
      <c r="I293" s="4" t="s">
        <v>3116</v>
      </c>
      <c r="J293" s="58">
        <f>IF(Z293="US",K293,VLOOKUP(Z293,'3032'!$AL$4:$AM$20,2,FALSE)*K293)</f>
        <v>109.62</v>
      </c>
      <c r="K293" s="67">
        <v>109.62</v>
      </c>
      <c r="L293" s="4">
        <v>1995308</v>
      </c>
      <c r="M293" s="4">
        <v>0.46</v>
      </c>
      <c r="N293" s="4">
        <v>0.47670400000000002</v>
      </c>
      <c r="O293" s="4">
        <v>5.83</v>
      </c>
      <c r="P293" s="4">
        <v>5.83</v>
      </c>
      <c r="Q293" s="4">
        <v>402</v>
      </c>
      <c r="R293" s="4">
        <v>432</v>
      </c>
      <c r="S293" s="4">
        <v>5.94</v>
      </c>
      <c r="T293" s="4">
        <v>0.46</v>
      </c>
      <c r="U293" s="4"/>
      <c r="V293" s="4" t="s">
        <v>3037</v>
      </c>
      <c r="W293" s="4" t="s">
        <v>3188</v>
      </c>
      <c r="X293" s="4" t="s">
        <v>4139</v>
      </c>
      <c r="Y293" s="4" t="s">
        <v>2961</v>
      </c>
      <c r="Z293" s="4" t="s">
        <v>2962</v>
      </c>
      <c r="AA293" s="4" t="s">
        <v>3024</v>
      </c>
      <c r="AB293" s="4" t="s">
        <v>2945</v>
      </c>
      <c r="AD293" s="10">
        <f t="shared" si="19"/>
        <v>0.21304876570399589</v>
      </c>
      <c r="AE293" s="10">
        <f t="shared" si="16"/>
        <v>0.10250417259236025</v>
      </c>
      <c r="AF293" s="10">
        <f t="shared" si="17"/>
        <v>7.2590940321989956</v>
      </c>
      <c r="AG293" s="10">
        <f t="shared" ca="1" si="18"/>
        <v>0.98855934421379732</v>
      </c>
    </row>
    <row r="294" spans="1:33" x14ac:dyDescent="0.25">
      <c r="A294" s="50" t="s">
        <v>4140</v>
      </c>
      <c r="B294" s="4">
        <v>2396</v>
      </c>
      <c r="C294" s="53" t="s">
        <v>4141</v>
      </c>
      <c r="D294" s="4">
        <v>8.25</v>
      </c>
      <c r="E294" s="49">
        <v>44501</v>
      </c>
      <c r="F294" s="4">
        <v>10</v>
      </c>
      <c r="G294" s="4">
        <v>3</v>
      </c>
      <c r="H294" s="4" t="s">
        <v>3019</v>
      </c>
      <c r="I294" s="4" t="s">
        <v>3020</v>
      </c>
      <c r="J294" s="4">
        <f>IF(Z294="US",K294,VLOOKUP(Z294,'3032'!$AL$4:$AM$20,2,FALSE)*K294)</f>
        <v>108.75</v>
      </c>
      <c r="K294" s="4">
        <v>108.75</v>
      </c>
      <c r="L294" s="4">
        <v>2704485</v>
      </c>
      <c r="M294" s="4">
        <v>0.62</v>
      </c>
      <c r="N294" s="4">
        <v>0.64613500000000001</v>
      </c>
      <c r="O294" s="4">
        <v>7.02</v>
      </c>
      <c r="P294" s="4">
        <v>6.28</v>
      </c>
      <c r="Q294" s="4">
        <v>577</v>
      </c>
      <c r="R294" s="4">
        <v>463</v>
      </c>
      <c r="S294" s="4">
        <v>2.5499999999999998</v>
      </c>
      <c r="T294" s="4">
        <v>-0.25</v>
      </c>
      <c r="U294" s="4"/>
      <c r="V294" s="4" t="s">
        <v>3421</v>
      </c>
      <c r="W294" s="4" t="s">
        <v>3783</v>
      </c>
      <c r="X294" s="4" t="s">
        <v>4142</v>
      </c>
      <c r="Y294" s="4" t="s">
        <v>2961</v>
      </c>
      <c r="Z294" s="4" t="s">
        <v>2962</v>
      </c>
      <c r="AA294" s="4" t="s">
        <v>3024</v>
      </c>
      <c r="AB294" s="4" t="s">
        <v>2945</v>
      </c>
      <c r="AD294" s="10">
        <f t="shared" si="19"/>
        <v>6.9007370823275932E-2</v>
      </c>
      <c r="AE294" s="10">
        <f t="shared" si="16"/>
        <v>0.13899901163043071</v>
      </c>
      <c r="AF294" s="10">
        <f t="shared" si="17"/>
        <v>10.545187340124929</v>
      </c>
      <c r="AG294" s="10">
        <f t="shared" ca="1" si="18"/>
        <v>1.3292811513370146</v>
      </c>
    </row>
    <row r="295" spans="1:33" x14ac:dyDescent="0.25">
      <c r="A295" s="50" t="s">
        <v>4143</v>
      </c>
      <c r="B295" s="4">
        <v>2853</v>
      </c>
      <c r="C295" s="53" t="s">
        <v>4144</v>
      </c>
      <c r="D295" s="4">
        <v>5</v>
      </c>
      <c r="E295" s="49">
        <v>44089</v>
      </c>
      <c r="F295" s="4">
        <v>8.8800000000000008</v>
      </c>
      <c r="G295" s="4">
        <v>8.8800000000000008</v>
      </c>
      <c r="H295" s="4" t="s">
        <v>3161</v>
      </c>
      <c r="I295" s="4" t="s">
        <v>3076</v>
      </c>
      <c r="J295" s="4">
        <f>IF(Z295="US",K295,VLOOKUP(Z295,'3032'!$AL$4:$AM$20,2,FALSE)*K295)</f>
        <v>103.8</v>
      </c>
      <c r="K295" s="4">
        <v>103.8</v>
      </c>
      <c r="L295" s="4">
        <v>2979710</v>
      </c>
      <c r="M295" s="4">
        <v>0.74</v>
      </c>
      <c r="N295" s="4">
        <v>0.71189000000000002</v>
      </c>
      <c r="O295" s="4">
        <v>4.4800000000000004</v>
      </c>
      <c r="P295" s="4">
        <v>4.4800000000000004</v>
      </c>
      <c r="Q295" s="4">
        <v>243</v>
      </c>
      <c r="R295" s="4">
        <v>252</v>
      </c>
      <c r="S295" s="4">
        <v>7.11</v>
      </c>
      <c r="T295" s="4">
        <v>0.63</v>
      </c>
      <c r="U295" s="4"/>
      <c r="V295" s="4" t="s">
        <v>3124</v>
      </c>
      <c r="W295" s="4" t="s">
        <v>3142</v>
      </c>
      <c r="X295" s="4" t="s">
        <v>4145</v>
      </c>
      <c r="Y295" s="4" t="s">
        <v>2961</v>
      </c>
      <c r="Z295" s="4" t="s">
        <v>2962</v>
      </c>
      <c r="AA295" s="4" t="s">
        <v>3024</v>
      </c>
      <c r="AB295" s="4" t="s">
        <v>3033</v>
      </c>
      <c r="AD295" s="10">
        <f t="shared" si="19"/>
        <v>0.32407154442742181</v>
      </c>
      <c r="AE295" s="10">
        <f t="shared" si="16"/>
        <v>0.11762917694757649</v>
      </c>
      <c r="AF295" s="10">
        <f t="shared" si="17"/>
        <v>8.5931019477785284</v>
      </c>
      <c r="AG295" s="10">
        <f t="shared" ca="1" si="18"/>
        <v>1.3978943706853679</v>
      </c>
    </row>
    <row r="296" spans="1:33" x14ac:dyDescent="0.25">
      <c r="A296" s="50" t="s">
        <v>4146</v>
      </c>
      <c r="B296" s="4">
        <v>1170</v>
      </c>
      <c r="C296" s="53" t="s">
        <v>4147</v>
      </c>
      <c r="D296" s="4">
        <v>7.875</v>
      </c>
      <c r="E296" s="49">
        <v>43388</v>
      </c>
      <c r="F296" s="4">
        <v>6.96</v>
      </c>
      <c r="G296" s="4">
        <v>2.96</v>
      </c>
      <c r="H296" s="4" t="s">
        <v>133</v>
      </c>
      <c r="I296" s="4" t="s">
        <v>3020</v>
      </c>
      <c r="J296" s="4">
        <f>IF(Z296="US",K296,VLOOKUP(Z296,'3032'!$AL$4:$AM$20,2,FALSE)*K296)</f>
        <v>104</v>
      </c>
      <c r="K296" s="4">
        <v>104</v>
      </c>
      <c r="L296" s="4">
        <v>1220895</v>
      </c>
      <c r="M296" s="4">
        <v>0.3</v>
      </c>
      <c r="N296" s="4">
        <v>0.29168699999999997</v>
      </c>
      <c r="O296" s="4">
        <v>7.13</v>
      </c>
      <c r="P296" s="4">
        <v>6.91</v>
      </c>
      <c r="Q296" s="4">
        <v>563</v>
      </c>
      <c r="R296" s="4">
        <v>529</v>
      </c>
      <c r="S296" s="4">
        <v>4.0599999999999996</v>
      </c>
      <c r="T296" s="4">
        <v>0.15</v>
      </c>
      <c r="U296" s="4"/>
      <c r="V296" s="4" t="s">
        <v>3124</v>
      </c>
      <c r="W296" s="4" t="s">
        <v>3466</v>
      </c>
      <c r="X296" s="4" t="s">
        <v>4148</v>
      </c>
      <c r="Y296" s="4" t="s">
        <v>2961</v>
      </c>
      <c r="Z296" s="4" t="s">
        <v>2962</v>
      </c>
      <c r="AA296" s="4" t="s">
        <v>3024</v>
      </c>
      <c r="AB296" s="4" t="s">
        <v>2945</v>
      </c>
      <c r="AD296" s="10">
        <f t="shared" si="19"/>
        <v>8.9101903569559618E-2</v>
      </c>
      <c r="AE296" s="10">
        <f t="shared" si="16"/>
        <v>6.9043667736942052E-2</v>
      </c>
      <c r="AF296" s="10">
        <f t="shared" si="17"/>
        <v>5.4390458358661302</v>
      </c>
      <c r="AG296" s="10">
        <f t="shared" ca="1" si="18"/>
        <v>0.57387150185737856</v>
      </c>
    </row>
    <row r="297" spans="1:33" x14ac:dyDescent="0.25">
      <c r="A297" s="50" t="s">
        <v>4149</v>
      </c>
      <c r="B297" s="4">
        <v>1223</v>
      </c>
      <c r="C297" s="53" t="s">
        <v>4150</v>
      </c>
      <c r="D297" s="4">
        <v>6.625</v>
      </c>
      <c r="E297" s="49">
        <v>43480</v>
      </c>
      <c r="F297" s="4">
        <v>7.21</v>
      </c>
      <c r="G297" s="4">
        <v>2.21</v>
      </c>
      <c r="H297" s="4" t="s">
        <v>3019</v>
      </c>
      <c r="I297" s="4" t="s">
        <v>3134</v>
      </c>
      <c r="J297" s="4">
        <f>IF(Z297="US",K297,VLOOKUP(Z297,'3032'!$AL$4:$AM$20,2,FALSE)*K297)</f>
        <v>111.5</v>
      </c>
      <c r="K297" s="4">
        <v>111.5</v>
      </c>
      <c r="L297" s="4">
        <v>1387502</v>
      </c>
      <c r="M297" s="4">
        <v>0.32</v>
      </c>
      <c r="N297" s="4">
        <v>0.33149099999999998</v>
      </c>
      <c r="O297" s="4">
        <v>4.72</v>
      </c>
      <c r="P297" s="4">
        <v>6.17</v>
      </c>
      <c r="Q297" s="4">
        <v>305</v>
      </c>
      <c r="R297" s="4">
        <v>222</v>
      </c>
      <c r="S297" s="4">
        <v>2.0299999999999998</v>
      </c>
      <c r="T297" s="4">
        <v>-0.59</v>
      </c>
      <c r="U297" s="4"/>
      <c r="V297" s="4" t="s">
        <v>3037</v>
      </c>
      <c r="W297" s="4" t="s">
        <v>3084</v>
      </c>
      <c r="X297" s="4" t="s">
        <v>4151</v>
      </c>
      <c r="Y297" s="4" t="s">
        <v>2961</v>
      </c>
      <c r="Z297" s="4" t="s">
        <v>2962</v>
      </c>
      <c r="AA297" s="4" t="s">
        <v>3041</v>
      </c>
      <c r="AB297" s="4" t="s">
        <v>2945</v>
      </c>
      <c r="AD297" s="10">
        <f t="shared" si="19"/>
        <v>2.8183853932254962E-2</v>
      </c>
      <c r="AE297" s="10">
        <f t="shared" si="16"/>
        <v>7.0062603777659008E-2</v>
      </c>
      <c r="AF297" s="10">
        <f t="shared" si="17"/>
        <v>3.5250235052725989</v>
      </c>
      <c r="AG297" s="10">
        <f t="shared" ca="1" si="18"/>
        <v>0.69921621187395</v>
      </c>
    </row>
    <row r="298" spans="1:33" x14ac:dyDescent="0.25">
      <c r="A298" s="50" t="s">
        <v>4152</v>
      </c>
      <c r="B298" s="4">
        <v>5</v>
      </c>
      <c r="C298" s="53" t="s">
        <v>4153</v>
      </c>
      <c r="D298" s="4">
        <v>0</v>
      </c>
      <c r="E298" s="4"/>
      <c r="F298" s="4">
        <v>0</v>
      </c>
      <c r="G298" s="4">
        <v>0</v>
      </c>
      <c r="H298" s="4" t="s">
        <v>135</v>
      </c>
      <c r="I298" s="4" t="s">
        <v>3028</v>
      </c>
      <c r="J298" s="4">
        <f>IF(Z298="US",K298,VLOOKUP(Z298,'3032'!$AL$4:$AM$20,2,FALSE)*K298)</f>
        <v>57.5</v>
      </c>
      <c r="K298" s="4">
        <v>57.5</v>
      </c>
      <c r="L298" s="4">
        <v>304750</v>
      </c>
      <c r="M298" s="4">
        <v>0</v>
      </c>
      <c r="N298" s="4">
        <v>7.2808999999999999E-2</v>
      </c>
      <c r="O298" s="4">
        <v>5.8</v>
      </c>
      <c r="P298" s="4">
        <v>5.8</v>
      </c>
      <c r="Q298" s="4">
        <v>0</v>
      </c>
      <c r="R298" s="4">
        <v>0</v>
      </c>
      <c r="S298" s="4">
        <v>0</v>
      </c>
      <c r="T298" s="4">
        <v>0</v>
      </c>
      <c r="U298" s="4"/>
      <c r="V298" s="4" t="s">
        <v>3393</v>
      </c>
      <c r="W298" s="4" t="s">
        <v>3394</v>
      </c>
      <c r="X298" s="4" t="s">
        <v>4154</v>
      </c>
      <c r="Y298" s="4" t="s">
        <v>3176</v>
      </c>
      <c r="Z298" s="4" t="s">
        <v>2962</v>
      </c>
      <c r="AA298" s="4" t="s">
        <v>3024</v>
      </c>
      <c r="AB298" s="4" t="s">
        <v>2945</v>
      </c>
      <c r="AD298" s="10">
        <f t="shared" si="19"/>
        <v>0</v>
      </c>
      <c r="AE298" s="10">
        <f t="shared" si="16"/>
        <v>1.55752402224492E-2</v>
      </c>
      <c r="AF298" s="10">
        <f t="shared" si="17"/>
        <v>0</v>
      </c>
      <c r="AG298" s="10">
        <f t="shared" ca="1" si="18"/>
        <v>0.93624856856185967</v>
      </c>
    </row>
    <row r="299" spans="1:33" x14ac:dyDescent="0.25">
      <c r="A299" s="50" t="s">
        <v>4155</v>
      </c>
      <c r="B299" s="4">
        <v>1970</v>
      </c>
      <c r="C299" s="53" t="s">
        <v>4156</v>
      </c>
      <c r="D299" s="4">
        <v>8.5</v>
      </c>
      <c r="E299" s="49">
        <v>43631</v>
      </c>
      <c r="F299" s="4">
        <v>7.63</v>
      </c>
      <c r="G299" s="4">
        <v>2.63</v>
      </c>
      <c r="H299" s="4" t="s">
        <v>3019</v>
      </c>
      <c r="I299" s="4" t="s">
        <v>3020</v>
      </c>
      <c r="J299" s="4">
        <f>IF(Z299="US",K299,VLOOKUP(Z299,'3032'!$AL$4:$AM$20,2,FALSE)*K299)</f>
        <v>104.5</v>
      </c>
      <c r="K299" s="4">
        <v>104.5</v>
      </c>
      <c r="L299" s="4">
        <v>2121909</v>
      </c>
      <c r="M299" s="4">
        <v>0.51</v>
      </c>
      <c r="N299" s="4">
        <v>0.50695000000000001</v>
      </c>
      <c r="O299" s="4">
        <v>7.71</v>
      </c>
      <c r="P299" s="4">
        <v>7.5</v>
      </c>
      <c r="Q299" s="4">
        <v>624</v>
      </c>
      <c r="R299" s="4">
        <v>589</v>
      </c>
      <c r="S299" s="4">
        <v>4.3099999999999996</v>
      </c>
      <c r="T299" s="4">
        <v>0.03</v>
      </c>
      <c r="U299" s="4"/>
      <c r="V299" s="4" t="s">
        <v>3021</v>
      </c>
      <c r="W299" s="4" t="s">
        <v>3684</v>
      </c>
      <c r="X299" s="4" t="s">
        <v>4157</v>
      </c>
      <c r="Y299" s="4" t="s">
        <v>2961</v>
      </c>
      <c r="Z299" s="4" t="s">
        <v>2962</v>
      </c>
      <c r="AA299" s="4" t="s">
        <v>3024</v>
      </c>
      <c r="AB299" s="4" t="s">
        <v>3033</v>
      </c>
      <c r="AD299" s="10">
        <f t="shared" si="19"/>
        <v>0.1643942634280732</v>
      </c>
      <c r="AE299" s="10">
        <f t="shared" si="16"/>
        <v>0.1302433354291011</v>
      </c>
      <c r="AF299" s="10">
        <f t="shared" si="17"/>
        <v>10.525210278400095</v>
      </c>
      <c r="AG299" s="10">
        <f t="shared" ca="1" si="18"/>
        <v>1.0021807333832096</v>
      </c>
    </row>
    <row r="300" spans="1:33" x14ac:dyDescent="0.25">
      <c r="A300" s="50" t="s">
        <v>4158</v>
      </c>
      <c r="B300" s="4">
        <v>1630</v>
      </c>
      <c r="C300" s="53" t="s">
        <v>4159</v>
      </c>
      <c r="D300" s="4">
        <v>7</v>
      </c>
      <c r="E300" s="49">
        <v>43374</v>
      </c>
      <c r="F300" s="4">
        <v>6.92</v>
      </c>
      <c r="G300" s="4">
        <v>2.92</v>
      </c>
      <c r="H300" s="4" t="s">
        <v>3120</v>
      </c>
      <c r="I300" s="4" t="s">
        <v>3036</v>
      </c>
      <c r="J300" s="4">
        <f>IF(Z300="US",K300,VLOOKUP(Z300,'3032'!$AL$4:$AM$20,2,FALSE)*K300)</f>
        <v>100.5</v>
      </c>
      <c r="K300" s="4">
        <v>100.5</v>
      </c>
      <c r="L300" s="4">
        <v>1647658</v>
      </c>
      <c r="M300" s="4">
        <v>0.42</v>
      </c>
      <c r="N300" s="4">
        <v>0.393646</v>
      </c>
      <c r="O300" s="4">
        <v>6.91</v>
      </c>
      <c r="P300" s="4">
        <v>6.88</v>
      </c>
      <c r="Q300" s="4">
        <v>579</v>
      </c>
      <c r="R300" s="4">
        <v>550</v>
      </c>
      <c r="S300" s="4">
        <v>4.08</v>
      </c>
      <c r="T300" s="4">
        <v>0.27</v>
      </c>
      <c r="U300" s="4"/>
      <c r="V300" s="4" t="s">
        <v>3124</v>
      </c>
      <c r="W300" s="4" t="s">
        <v>3466</v>
      </c>
      <c r="X300" s="4" t="s">
        <v>4160</v>
      </c>
      <c r="Y300" s="4" t="s">
        <v>2961</v>
      </c>
      <c r="Z300" s="4" t="s">
        <v>2962</v>
      </c>
      <c r="AA300" s="4" t="s">
        <v>3024</v>
      </c>
      <c r="AB300" s="4" t="s">
        <v>3033</v>
      </c>
      <c r="AD300" s="10">
        <f t="shared" si="19"/>
        <v>0.12083976391319785</v>
      </c>
      <c r="AE300" s="10">
        <f t="shared" si="16"/>
        <v>9.2773299146326552E-2</v>
      </c>
      <c r="AF300" s="10">
        <f t="shared" si="17"/>
        <v>7.6316508380485999</v>
      </c>
      <c r="AG300" s="10">
        <f t="shared" ca="1" si="18"/>
        <v>0.74840406396565429</v>
      </c>
    </row>
    <row r="301" spans="1:33" x14ac:dyDescent="0.25">
      <c r="A301" s="50" t="s">
        <v>4161</v>
      </c>
      <c r="B301" s="4">
        <v>815</v>
      </c>
      <c r="C301" s="53" t="s">
        <v>4162</v>
      </c>
      <c r="D301" s="4">
        <v>9.375</v>
      </c>
      <c r="E301" s="49">
        <v>44486</v>
      </c>
      <c r="F301" s="4">
        <v>9.9600000000000009</v>
      </c>
      <c r="G301" s="4">
        <v>9.9600000000000009</v>
      </c>
      <c r="H301" s="4" t="s">
        <v>133</v>
      </c>
      <c r="I301" s="4" t="s">
        <v>3538</v>
      </c>
      <c r="J301" s="12" t="e">
        <f ca="1">IF(Z301="US",K301,VLOOKUP(Z301,'3032'!$AL$4:$AM$20,2,FALSE)*K301)</f>
        <v>#NAME?</v>
      </c>
      <c r="K301" s="12">
        <v>77</v>
      </c>
      <c r="L301" s="4">
        <v>1017725</v>
      </c>
      <c r="M301" s="4">
        <v>0.21</v>
      </c>
      <c r="N301" s="4">
        <v>0.243147</v>
      </c>
      <c r="O301" s="4">
        <v>13.74</v>
      </c>
      <c r="P301" s="4">
        <v>13.3</v>
      </c>
      <c r="Q301" s="4">
        <v>1069</v>
      </c>
      <c r="R301" s="4">
        <v>1099</v>
      </c>
      <c r="S301" s="4">
        <v>6.1</v>
      </c>
      <c r="T301" s="4">
        <v>0.51</v>
      </c>
      <c r="U301" s="4" t="s">
        <v>3049</v>
      </c>
      <c r="V301" s="4" t="s">
        <v>3029</v>
      </c>
      <c r="W301" s="4" t="s">
        <v>3030</v>
      </c>
      <c r="X301" s="4" t="s">
        <v>4161</v>
      </c>
      <c r="Y301" s="4" t="s">
        <v>2990</v>
      </c>
      <c r="Z301" s="4" t="s">
        <v>2989</v>
      </c>
      <c r="AA301" s="4" t="s">
        <v>3024</v>
      </c>
      <c r="AB301" s="4" t="s">
        <v>2945</v>
      </c>
      <c r="AD301" s="10">
        <f t="shared" si="19"/>
        <v>9.4963689113556377E-2</v>
      </c>
      <c r="AE301" s="10">
        <f t="shared" si="16"/>
        <v>0.31855422815826312</v>
      </c>
      <c r="AF301" s="10">
        <f t="shared" si="17"/>
        <v>53.926159361070731</v>
      </c>
      <c r="AG301" s="10" t="e">
        <f t="shared" ca="1" si="18"/>
        <v>#NAME?</v>
      </c>
    </row>
    <row r="302" spans="1:33" x14ac:dyDescent="0.25">
      <c r="A302" s="50" t="s">
        <v>4163</v>
      </c>
      <c r="B302" s="4">
        <v>815</v>
      </c>
      <c r="C302" s="53" t="s">
        <v>4164</v>
      </c>
      <c r="D302" s="4">
        <v>7.125</v>
      </c>
      <c r="E302" s="49">
        <v>12342</v>
      </c>
      <c r="F302" s="4">
        <v>21.96</v>
      </c>
      <c r="G302" s="4">
        <v>21.96</v>
      </c>
      <c r="H302" s="4" t="s">
        <v>3064</v>
      </c>
      <c r="I302" s="4" t="s">
        <v>3432</v>
      </c>
      <c r="J302" s="4">
        <f>IF(Z302="US",K302,VLOOKUP(Z302,'3032'!$AL$4:$AM$20,2,FALSE)*K302)</f>
        <v>39</v>
      </c>
      <c r="K302" s="4">
        <v>39</v>
      </c>
      <c r="L302" s="4">
        <v>320431</v>
      </c>
      <c r="M302" s="4">
        <v>0.21</v>
      </c>
      <c r="N302" s="4">
        <v>7.6554999999999998E-2</v>
      </c>
      <c r="O302" s="4">
        <v>18.84</v>
      </c>
      <c r="P302" s="4">
        <v>18.84</v>
      </c>
      <c r="Q302" s="4">
        <v>1476</v>
      </c>
      <c r="R302" s="4">
        <v>1569</v>
      </c>
      <c r="S302" s="4">
        <v>5.62</v>
      </c>
      <c r="T302" s="4">
        <v>0.65</v>
      </c>
      <c r="U302" s="4"/>
      <c r="V302" s="4" t="s">
        <v>3037</v>
      </c>
      <c r="W302" s="4" t="s">
        <v>3188</v>
      </c>
      <c r="X302" s="4" t="s">
        <v>4165</v>
      </c>
      <c r="Y302" s="4" t="s">
        <v>3367</v>
      </c>
      <c r="Z302" s="4" t="s">
        <v>2962</v>
      </c>
      <c r="AA302" s="4" t="s">
        <v>3041</v>
      </c>
      <c r="AB302" s="4" t="s">
        <v>2945</v>
      </c>
      <c r="AD302" s="10">
        <f t="shared" si="19"/>
        <v>3.2370803118200293E-2</v>
      </c>
      <c r="AE302" s="10">
        <f t="shared" si="16"/>
        <v>0.14207468883183547</v>
      </c>
      <c r="AF302" s="10">
        <f t="shared" si="17"/>
        <v>24.239788389634999</v>
      </c>
      <c r="AG302" s="10">
        <f t="shared" ca="1" si="18"/>
        <v>0.3385432642934178</v>
      </c>
    </row>
    <row r="303" spans="1:33" x14ac:dyDescent="0.25">
      <c r="A303" s="50" t="s">
        <v>4166</v>
      </c>
      <c r="B303" s="4">
        <v>196</v>
      </c>
      <c r="C303" s="53" t="s">
        <v>4167</v>
      </c>
      <c r="D303" s="4">
        <v>1.75</v>
      </c>
      <c r="E303" s="49">
        <v>41426</v>
      </c>
      <c r="F303" s="4">
        <v>1.59</v>
      </c>
      <c r="G303" s="4">
        <v>1.59</v>
      </c>
      <c r="H303" s="4" t="s">
        <v>3028</v>
      </c>
      <c r="I303" s="4" t="s">
        <v>3028</v>
      </c>
      <c r="J303" s="4">
        <f>IF(Z303="US",K303,VLOOKUP(Z303,'3032'!$AL$4:$AM$20,2,FALSE)*K303)</f>
        <v>137.75</v>
      </c>
      <c r="K303" s="4">
        <v>137.75</v>
      </c>
      <c r="L303" s="4">
        <v>271419</v>
      </c>
      <c r="M303" s="4">
        <v>0.05</v>
      </c>
      <c r="N303" s="4">
        <v>6.4845E-2</v>
      </c>
      <c r="O303" s="4">
        <v>1.27</v>
      </c>
      <c r="P303" s="4">
        <v>1.27</v>
      </c>
      <c r="Q303" s="4">
        <v>0</v>
      </c>
      <c r="R303" s="4">
        <v>0</v>
      </c>
      <c r="S303" s="4">
        <v>1.72</v>
      </c>
      <c r="T303" s="4">
        <v>0.04</v>
      </c>
      <c r="U303" s="4"/>
      <c r="V303" s="4" t="s">
        <v>3426</v>
      </c>
      <c r="W303" s="4" t="s">
        <v>4168</v>
      </c>
      <c r="X303" s="4" t="s">
        <v>4169</v>
      </c>
      <c r="Y303" s="4" t="s">
        <v>2961</v>
      </c>
      <c r="Z303" s="4" t="s">
        <v>2962</v>
      </c>
      <c r="AA303" s="4" t="s">
        <v>3024</v>
      </c>
      <c r="AB303" s="4" t="s">
        <v>3033</v>
      </c>
      <c r="AD303" s="10">
        <f t="shared" si="19"/>
        <v>3.2771994522415213E-3</v>
      </c>
      <c r="AE303" s="10">
        <f t="shared" si="16"/>
        <v>-0.35621647121557215</v>
      </c>
      <c r="AF303" s="10">
        <f t="shared" si="17"/>
        <v>0</v>
      </c>
      <c r="AG303" s="10">
        <f t="shared" ca="1" si="18"/>
        <v>1.9765634838087971</v>
      </c>
    </row>
    <row r="304" spans="1:33" x14ac:dyDescent="0.25">
      <c r="A304" s="50">
        <v>656559309</v>
      </c>
      <c r="B304" s="4">
        <v>0</v>
      </c>
      <c r="C304" s="53" t="s">
        <v>4170</v>
      </c>
      <c r="D304" s="4">
        <v>0</v>
      </c>
      <c r="E304" s="4"/>
      <c r="F304" s="4">
        <v>0</v>
      </c>
      <c r="G304" s="4">
        <v>0</v>
      </c>
      <c r="H304" s="4" t="s">
        <v>3028</v>
      </c>
      <c r="I304" s="4" t="s">
        <v>3028</v>
      </c>
      <c r="J304" s="4">
        <f>IF(Z304="US",K304,VLOOKUP(Z304,'3032'!$AL$4:$AM$20,2,FALSE)*K304)</f>
        <v>21.75</v>
      </c>
      <c r="K304" s="4">
        <v>21.75</v>
      </c>
      <c r="L304" s="4">
        <v>4894</v>
      </c>
      <c r="M304" s="4">
        <v>0</v>
      </c>
      <c r="N304" s="4">
        <v>1.1689999999999999E-3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4">
        <v>0</v>
      </c>
      <c r="U304" s="4"/>
      <c r="V304" s="4" t="s">
        <v>3037</v>
      </c>
      <c r="W304" s="4" t="s">
        <v>3916</v>
      </c>
      <c r="X304" s="4" t="s">
        <v>4171</v>
      </c>
      <c r="Y304" s="4" t="s">
        <v>2961</v>
      </c>
      <c r="Z304" s="4" t="s">
        <v>2962</v>
      </c>
      <c r="AA304" s="4" t="s">
        <v>3024</v>
      </c>
      <c r="AB304" s="4" t="s">
        <v>3033</v>
      </c>
      <c r="AD304" s="10">
        <f t="shared" si="19"/>
        <v>0</v>
      </c>
      <c r="AE304" s="10">
        <f t="shared" si="16"/>
        <v>0</v>
      </c>
      <c r="AF304" s="10">
        <f t="shared" si="17"/>
        <v>0</v>
      </c>
      <c r="AG304" s="10">
        <f t="shared" ca="1" si="18"/>
        <v>2.8836216106112138E-3</v>
      </c>
    </row>
    <row r="305" spans="1:33" x14ac:dyDescent="0.25">
      <c r="A305" s="50" t="s">
        <v>4172</v>
      </c>
      <c r="B305" s="4">
        <v>408</v>
      </c>
      <c r="C305" s="53" t="s">
        <v>4173</v>
      </c>
      <c r="D305" s="4">
        <v>2.625</v>
      </c>
      <c r="E305" s="49">
        <v>15111</v>
      </c>
      <c r="F305" s="4">
        <v>29.54</v>
      </c>
      <c r="G305" s="4">
        <v>29.54</v>
      </c>
      <c r="H305" s="4" t="s">
        <v>3028</v>
      </c>
      <c r="I305" s="4" t="s">
        <v>3028</v>
      </c>
      <c r="J305" s="4">
        <f>IF(Z305="US",K305,VLOOKUP(Z305,'3032'!$AL$4:$AM$20,2,FALSE)*K305)</f>
        <v>104.13</v>
      </c>
      <c r="K305" s="4">
        <v>104.13</v>
      </c>
      <c r="L305" s="4">
        <v>429917</v>
      </c>
      <c r="M305" s="4">
        <v>0.11</v>
      </c>
      <c r="N305" s="4">
        <v>0.102713</v>
      </c>
      <c r="O305" s="4">
        <v>2.94</v>
      </c>
      <c r="P305" s="4">
        <v>2.94</v>
      </c>
      <c r="Q305" s="4">
        <v>0</v>
      </c>
      <c r="R305" s="4">
        <v>0</v>
      </c>
      <c r="S305" s="4">
        <v>20.440000000000001</v>
      </c>
      <c r="T305" s="4">
        <v>5.33</v>
      </c>
      <c r="U305" s="4"/>
      <c r="V305" s="4" t="s">
        <v>3426</v>
      </c>
      <c r="W305" s="4" t="s">
        <v>3766</v>
      </c>
      <c r="X305" s="4" t="s">
        <v>4174</v>
      </c>
      <c r="Y305" s="4" t="s">
        <v>2961</v>
      </c>
      <c r="Z305" s="4" t="s">
        <v>2962</v>
      </c>
      <c r="AA305" s="4" t="s">
        <v>3041</v>
      </c>
      <c r="AB305" s="4" t="s">
        <v>3033</v>
      </c>
      <c r="AD305" s="10">
        <f t="shared" si="19"/>
        <v>0.21517007513478947</v>
      </c>
      <c r="AE305" s="10">
        <f t="shared" si="16"/>
        <v>1.5464776710517401E-2</v>
      </c>
      <c r="AF305" s="10">
        <f t="shared" si="17"/>
        <v>0</v>
      </c>
      <c r="AG305" s="10">
        <f t="shared" ca="1" si="18"/>
        <v>0.20233149522039051</v>
      </c>
    </row>
    <row r="306" spans="1:33" x14ac:dyDescent="0.25">
      <c r="A306" s="50" t="s">
        <v>4175</v>
      </c>
      <c r="B306" s="4">
        <v>377</v>
      </c>
      <c r="C306" s="53" t="s">
        <v>4176</v>
      </c>
      <c r="D306" s="4">
        <v>7.0270000000000001</v>
      </c>
      <c r="E306" s="49">
        <v>43770</v>
      </c>
      <c r="F306" s="4">
        <v>8</v>
      </c>
      <c r="G306" s="4">
        <v>8</v>
      </c>
      <c r="H306" s="4" t="s">
        <v>3059</v>
      </c>
      <c r="I306" s="4" t="s">
        <v>3079</v>
      </c>
      <c r="J306" s="4">
        <f>IF(Z306="US",K306,VLOOKUP(Z306,'3032'!$AL$4:$AM$20,2,FALSE)*K306)</f>
        <v>100.5</v>
      </c>
      <c r="K306" s="4">
        <v>100.5</v>
      </c>
      <c r="L306" s="4">
        <v>392475</v>
      </c>
      <c r="M306" s="4">
        <v>0.1</v>
      </c>
      <c r="N306" s="4">
        <v>9.3767000000000003E-2</v>
      </c>
      <c r="O306" s="4">
        <v>6.93</v>
      </c>
      <c r="P306" s="4">
        <v>6.93</v>
      </c>
      <c r="Q306" s="4">
        <v>488</v>
      </c>
      <c r="R306" s="4">
        <v>517</v>
      </c>
      <c r="S306" s="4">
        <v>5.0999999999999996</v>
      </c>
      <c r="T306" s="4">
        <v>0.34</v>
      </c>
      <c r="U306" s="4" t="s">
        <v>3049</v>
      </c>
      <c r="V306" s="4" t="s">
        <v>3209</v>
      </c>
      <c r="W306" s="4" t="s">
        <v>3451</v>
      </c>
      <c r="X306" s="4" t="s">
        <v>4177</v>
      </c>
      <c r="Y306" s="4" t="s">
        <v>2961</v>
      </c>
      <c r="Z306" s="4" t="s">
        <v>2962</v>
      </c>
      <c r="AA306" s="4" t="s">
        <v>3024</v>
      </c>
      <c r="AB306" s="4" t="s">
        <v>2945</v>
      </c>
      <c r="AD306" s="10">
        <f t="shared" si="19"/>
        <v>3.5980302300168118E-2</v>
      </c>
      <c r="AE306" s="10">
        <f t="shared" si="16"/>
        <v>2.2259362601800396E-2</v>
      </c>
      <c r="AF306" s="10">
        <f t="shared" si="17"/>
        <v>1.7088001471806269</v>
      </c>
      <c r="AG306" s="10">
        <f t="shared" ca="1" si="18"/>
        <v>0.17827114911281355</v>
      </c>
    </row>
    <row r="307" spans="1:33" x14ac:dyDescent="0.25">
      <c r="A307" s="50" t="s">
        <v>4178</v>
      </c>
      <c r="B307" s="4">
        <v>1430</v>
      </c>
      <c r="C307" s="53" t="s">
        <v>4179</v>
      </c>
      <c r="D307" s="4">
        <v>8</v>
      </c>
      <c r="E307" s="49">
        <v>41122</v>
      </c>
      <c r="F307" s="4">
        <v>0.75</v>
      </c>
      <c r="G307" s="4">
        <v>0.75</v>
      </c>
      <c r="H307" s="4" t="s">
        <v>3064</v>
      </c>
      <c r="I307" s="4" t="s">
        <v>3821</v>
      </c>
      <c r="J307" s="4">
        <f>IF(Z307="US",K307,VLOOKUP(Z307,'3032'!$AL$4:$AM$20,2,FALSE)*K307)</f>
        <v>99.79</v>
      </c>
      <c r="K307" s="4">
        <v>99.79</v>
      </c>
      <c r="L307" s="4">
        <v>1455583</v>
      </c>
      <c r="M307" s="4">
        <v>0.37</v>
      </c>
      <c r="N307" s="4">
        <v>0.34775699999999998</v>
      </c>
      <c r="O307" s="4">
        <v>8.27</v>
      </c>
      <c r="P307" s="4">
        <v>8.27</v>
      </c>
      <c r="Q307" s="4">
        <v>0</v>
      </c>
      <c r="R307" s="4">
        <v>0</v>
      </c>
      <c r="S307" s="4">
        <v>0.7</v>
      </c>
      <c r="T307" s="4">
        <v>0.01</v>
      </c>
      <c r="U307" s="4"/>
      <c r="V307" s="4" t="s">
        <v>4180</v>
      </c>
      <c r="W307" s="4" t="s">
        <v>4181</v>
      </c>
      <c r="X307" s="4" t="s">
        <v>4182</v>
      </c>
      <c r="Y307" s="4" t="s">
        <v>2961</v>
      </c>
      <c r="Z307" s="4" t="s">
        <v>2962</v>
      </c>
      <c r="AA307" s="4" t="s">
        <v>3024</v>
      </c>
      <c r="AB307" s="4" t="s">
        <v>3033</v>
      </c>
      <c r="AD307" s="10">
        <f t="shared" si="19"/>
        <v>7.1526865807933649E-3</v>
      </c>
      <c r="AE307" s="10">
        <f t="shared" si="16"/>
        <v>0.20185591457495494</v>
      </c>
      <c r="AF307" s="10">
        <f t="shared" si="17"/>
        <v>0</v>
      </c>
      <c r="AG307" s="10">
        <f t="shared" ca="1" si="18"/>
        <v>1.4324860819112777</v>
      </c>
    </row>
    <row r="308" spans="1:33" x14ac:dyDescent="0.25">
      <c r="A308" s="50" t="s">
        <v>4183</v>
      </c>
      <c r="B308" s="4">
        <v>2115</v>
      </c>
      <c r="C308" s="53" t="s">
        <v>4184</v>
      </c>
      <c r="D308" s="4">
        <v>8.5</v>
      </c>
      <c r="E308" s="49">
        <v>43252</v>
      </c>
      <c r="F308" s="4">
        <v>6.59</v>
      </c>
      <c r="G308" s="4">
        <v>3.59</v>
      </c>
      <c r="H308" s="4" t="s">
        <v>135</v>
      </c>
      <c r="I308" s="4" t="s">
        <v>3020</v>
      </c>
      <c r="J308" s="4">
        <f>IF(Z308="US",K308,VLOOKUP(Z308,'3032'!$AL$4:$AM$20,2,FALSE)*K308)</f>
        <v>99</v>
      </c>
      <c r="K308" s="4">
        <v>99</v>
      </c>
      <c r="L308" s="4">
        <v>2167758</v>
      </c>
      <c r="M308" s="4">
        <v>0.55000000000000004</v>
      </c>
      <c r="N308" s="4">
        <v>0.51790400000000003</v>
      </c>
      <c r="O308" s="4">
        <v>8.6999999999999993</v>
      </c>
      <c r="P308" s="4">
        <v>8.6999999999999993</v>
      </c>
      <c r="Q308" s="4">
        <v>705</v>
      </c>
      <c r="R308" s="4">
        <v>746</v>
      </c>
      <c r="S308" s="4">
        <v>4.78</v>
      </c>
      <c r="T308" s="4">
        <v>0.27</v>
      </c>
      <c r="U308" s="4"/>
      <c r="V308" s="4" t="s">
        <v>3124</v>
      </c>
      <c r="W308" s="4" t="s">
        <v>3142</v>
      </c>
      <c r="X308" s="4" t="s">
        <v>4185</v>
      </c>
      <c r="Y308" s="4" t="s">
        <v>2953</v>
      </c>
      <c r="Z308" s="4" t="s">
        <v>2962</v>
      </c>
      <c r="AA308" s="4" t="s">
        <v>3041</v>
      </c>
      <c r="AB308" s="4" t="s">
        <v>2945</v>
      </c>
      <c r="AD308" s="10">
        <f t="shared" si="19"/>
        <v>0.18626074166045073</v>
      </c>
      <c r="AE308" s="10">
        <f t="shared" si="16"/>
        <v>0.31624891569493535</v>
      </c>
      <c r="AF308" s="10">
        <f t="shared" si="17"/>
        <v>28.048602320946344</v>
      </c>
      <c r="AG308" s="10">
        <f t="shared" ca="1" si="18"/>
        <v>2.1164714082922726</v>
      </c>
    </row>
    <row r="309" spans="1:33" x14ac:dyDescent="0.25">
      <c r="A309" s="50" t="s">
        <v>4186</v>
      </c>
      <c r="B309" s="4">
        <v>1243</v>
      </c>
      <c r="C309" s="53" t="s">
        <v>4187</v>
      </c>
      <c r="D309" s="4">
        <v>7.8</v>
      </c>
      <c r="E309" s="49">
        <v>43235</v>
      </c>
      <c r="F309" s="4">
        <v>6.54</v>
      </c>
      <c r="G309" s="4">
        <v>6.54</v>
      </c>
      <c r="H309" s="4" t="s">
        <v>3019</v>
      </c>
      <c r="I309" s="4" t="s">
        <v>3020</v>
      </c>
      <c r="J309" s="4">
        <f>IF(Z309="US",K309,VLOOKUP(Z309,'3032'!$AL$4:$AM$20,2,FALSE)*K309)</f>
        <v>107.75</v>
      </c>
      <c r="K309" s="4">
        <v>107.75</v>
      </c>
      <c r="L309" s="4">
        <v>1384039</v>
      </c>
      <c r="M309" s="4">
        <v>0.32</v>
      </c>
      <c r="N309" s="4">
        <v>0.33066400000000001</v>
      </c>
      <c r="O309" s="4">
        <v>6.33</v>
      </c>
      <c r="P309" s="4">
        <v>6.33</v>
      </c>
      <c r="Q309" s="4">
        <v>479</v>
      </c>
      <c r="R309" s="4">
        <v>510</v>
      </c>
      <c r="S309" s="4">
        <v>4.97</v>
      </c>
      <c r="T309" s="4">
        <v>0.32</v>
      </c>
      <c r="U309" s="4"/>
      <c r="V309" s="4" t="s">
        <v>3173</v>
      </c>
      <c r="W309" s="4" t="s">
        <v>3470</v>
      </c>
      <c r="X309" s="4" t="s">
        <v>4188</v>
      </c>
      <c r="Y309" s="4" t="s">
        <v>2961</v>
      </c>
      <c r="Z309" s="4" t="s">
        <v>2962</v>
      </c>
      <c r="AA309" s="4" t="s">
        <v>3024</v>
      </c>
      <c r="AB309" s="4" t="s">
        <v>2945</v>
      </c>
      <c r="AD309" s="10">
        <f t="shared" si="19"/>
        <v>0.1236480724150809</v>
      </c>
      <c r="AE309" s="10">
        <f t="shared" si="16"/>
        <v>7.1700061704352183E-2</v>
      </c>
      <c r="AF309" s="10">
        <f t="shared" si="17"/>
        <v>5.9443891887354301</v>
      </c>
      <c r="AG309" s="10">
        <f t="shared" ca="1" si="18"/>
        <v>0.67401352426437255</v>
      </c>
    </row>
    <row r="310" spans="1:33" x14ac:dyDescent="0.25">
      <c r="A310" s="50" t="s">
        <v>4189</v>
      </c>
      <c r="B310" s="4">
        <v>652</v>
      </c>
      <c r="C310" s="53" t="s">
        <v>4190</v>
      </c>
      <c r="D310" s="4">
        <v>3.351</v>
      </c>
      <c r="E310" s="49">
        <v>18261</v>
      </c>
      <c r="F310" s="4">
        <v>38.159999999999997</v>
      </c>
      <c r="G310" s="4">
        <v>38.159999999999997</v>
      </c>
      <c r="H310" s="4" t="s">
        <v>3161</v>
      </c>
      <c r="I310" s="4" t="s">
        <v>3079</v>
      </c>
      <c r="J310" s="4">
        <f>IF(Z310="US",K310,VLOOKUP(Z310,'3032'!$AL$4:$AM$20,2,FALSE)*K310)</f>
        <v>94.48</v>
      </c>
      <c r="K310" s="4">
        <v>94.48</v>
      </c>
      <c r="L310" s="4">
        <v>617964</v>
      </c>
      <c r="M310" s="4">
        <v>0.17</v>
      </c>
      <c r="N310" s="4">
        <v>0.14763899999999999</v>
      </c>
      <c r="O310" s="4">
        <v>3.62</v>
      </c>
      <c r="P310" s="4">
        <v>3.79</v>
      </c>
      <c r="Q310" s="4">
        <v>30</v>
      </c>
      <c r="R310" s="4">
        <v>312</v>
      </c>
      <c r="S310" s="4">
        <v>0.3</v>
      </c>
      <c r="T310" s="4">
        <v>-0.19</v>
      </c>
      <c r="U310" s="4" t="s">
        <v>3049</v>
      </c>
      <c r="V310" s="4" t="s">
        <v>3398</v>
      </c>
      <c r="W310" s="4" t="s">
        <v>3407</v>
      </c>
      <c r="X310" s="4" t="s">
        <v>4191</v>
      </c>
      <c r="Y310" s="4" t="s">
        <v>3073</v>
      </c>
      <c r="Z310" s="4" t="s">
        <v>2962</v>
      </c>
      <c r="AA310" s="4" t="s">
        <v>3041</v>
      </c>
      <c r="AB310" s="4" t="s">
        <v>2945</v>
      </c>
      <c r="AD310" s="10">
        <f t="shared" si="19"/>
        <v>1.3014233992879407E-3</v>
      </c>
      <c r="AE310" s="10">
        <f t="shared" si="16"/>
        <v>2.8655902472785238E-2</v>
      </c>
      <c r="AF310" s="10">
        <f t="shared" si="17"/>
        <v>2.2064454491253982</v>
      </c>
      <c r="AG310" s="10">
        <f t="shared" ca="1" si="18"/>
        <v>0.57579710091758329</v>
      </c>
    </row>
    <row r="311" spans="1:33" x14ac:dyDescent="0.25">
      <c r="A311" s="50" t="s">
        <v>4192</v>
      </c>
      <c r="B311" s="4">
        <v>720</v>
      </c>
      <c r="C311" s="53" t="s">
        <v>4193</v>
      </c>
      <c r="D311" s="4">
        <v>7.75</v>
      </c>
      <c r="E311" s="49">
        <v>12936</v>
      </c>
      <c r="F311" s="4">
        <v>23.59</v>
      </c>
      <c r="G311" s="4">
        <v>3.09</v>
      </c>
      <c r="H311" s="4" t="s">
        <v>3028</v>
      </c>
      <c r="I311" s="4" t="s">
        <v>3821</v>
      </c>
      <c r="J311" s="4">
        <f>IF(Z311="US",K311,VLOOKUP(Z311,'3032'!$AL$4:$AM$20,2,FALSE)*K311)</f>
        <v>92.02</v>
      </c>
      <c r="K311" s="4">
        <v>92.02</v>
      </c>
      <c r="L311" s="4">
        <v>685758</v>
      </c>
      <c r="M311" s="4">
        <v>0.19</v>
      </c>
      <c r="N311" s="4">
        <v>0.16383600000000001</v>
      </c>
      <c r="O311" s="4">
        <v>8.5399999999999991</v>
      </c>
      <c r="P311" s="4">
        <v>10.86</v>
      </c>
      <c r="Q311" s="4">
        <v>0</v>
      </c>
      <c r="R311" s="4">
        <v>0</v>
      </c>
      <c r="S311" s="4">
        <v>2.56</v>
      </c>
      <c r="T311" s="4">
        <v>1.62</v>
      </c>
      <c r="U311" s="4"/>
      <c r="V311" s="4" t="s">
        <v>4180</v>
      </c>
      <c r="W311" s="4" t="s">
        <v>4181</v>
      </c>
      <c r="X311" s="4" t="s">
        <v>4194</v>
      </c>
      <c r="Y311" s="4" t="s">
        <v>2961</v>
      </c>
      <c r="Z311" s="4" t="s">
        <v>2962</v>
      </c>
      <c r="AA311" s="4" t="s">
        <v>3024</v>
      </c>
      <c r="AB311" s="4" t="s">
        <v>2945</v>
      </c>
      <c r="AD311" s="10">
        <f t="shared" si="19"/>
        <v>1.7566351623341116E-2</v>
      </c>
      <c r="AE311" s="10">
        <f t="shared" si="16"/>
        <v>0.17526774455644575</v>
      </c>
      <c r="AF311" s="10">
        <f t="shared" si="17"/>
        <v>0</v>
      </c>
      <c r="AG311" s="10">
        <f t="shared" ca="1" si="18"/>
        <v>0.62232826365709004</v>
      </c>
    </row>
    <row r="312" spans="1:33" x14ac:dyDescent="0.25">
      <c r="A312" s="50" t="s">
        <v>4195</v>
      </c>
      <c r="B312" s="4">
        <v>541</v>
      </c>
      <c r="C312" s="53" t="s">
        <v>4196</v>
      </c>
      <c r="D312" s="4">
        <v>2.625</v>
      </c>
      <c r="E312" s="49">
        <v>46371</v>
      </c>
      <c r="F312" s="4">
        <v>15.13</v>
      </c>
      <c r="G312" s="4">
        <v>2.13</v>
      </c>
      <c r="H312" s="4" t="s">
        <v>133</v>
      </c>
      <c r="I312" s="4" t="s">
        <v>3028</v>
      </c>
      <c r="J312" s="4">
        <f>IF(Z312="US",K312,VLOOKUP(Z312,'3032'!$AL$4:$AM$20,2,FALSE)*K312)</f>
        <v>109.63</v>
      </c>
      <c r="K312" s="4">
        <v>109.63</v>
      </c>
      <c r="L312" s="4">
        <v>598436</v>
      </c>
      <c r="M312" s="4">
        <v>0.14000000000000001</v>
      </c>
      <c r="N312" s="4">
        <v>0.14297399999999999</v>
      </c>
      <c r="O312" s="4">
        <v>2.39</v>
      </c>
      <c r="P312" s="4">
        <v>2.39</v>
      </c>
      <c r="Q312" s="4">
        <v>0</v>
      </c>
      <c r="R312" s="4">
        <v>0</v>
      </c>
      <c r="S312" s="4">
        <v>2.09</v>
      </c>
      <c r="T312" s="4">
        <v>1.82</v>
      </c>
      <c r="U312" s="4"/>
      <c r="V312" s="4" t="s">
        <v>3426</v>
      </c>
      <c r="W312" s="4" t="s">
        <v>3766</v>
      </c>
      <c r="X312" s="4" t="s">
        <v>4197</v>
      </c>
      <c r="Y312" s="4" t="s">
        <v>2961</v>
      </c>
      <c r="Z312" s="4" t="s">
        <v>2962</v>
      </c>
      <c r="AA312" s="4" t="s">
        <v>3024</v>
      </c>
      <c r="AB312" s="4" t="s">
        <v>2945</v>
      </c>
      <c r="AD312" s="10">
        <f t="shared" si="19"/>
        <v>1.2515111441997307E-2</v>
      </c>
      <c r="AE312" s="10">
        <f t="shared" si="16"/>
        <v>1.7499567576814746E-2</v>
      </c>
      <c r="AF312" s="10">
        <f t="shared" si="17"/>
        <v>0</v>
      </c>
      <c r="AG312" s="10">
        <f t="shared" ca="1" si="18"/>
        <v>0.29651736323916689</v>
      </c>
    </row>
    <row r="313" spans="1:33" x14ac:dyDescent="0.25">
      <c r="A313" s="50" t="s">
        <v>4198</v>
      </c>
      <c r="B313" s="4">
        <v>974</v>
      </c>
      <c r="C313" s="53" t="s">
        <v>4199</v>
      </c>
      <c r="D313" s="4">
        <v>5.1420000000000003</v>
      </c>
      <c r="E313" s="49">
        <v>45275</v>
      </c>
      <c r="F313" s="4">
        <v>12.13</v>
      </c>
      <c r="G313" s="4">
        <v>12.13</v>
      </c>
      <c r="H313" s="4" t="s">
        <v>3306</v>
      </c>
      <c r="I313" s="4" t="s">
        <v>3051</v>
      </c>
      <c r="J313" s="4">
        <f>IF(Z313="US",K313,VLOOKUP(Z313,'3032'!$AL$4:$AM$20,2,FALSE)*K313)</f>
        <v>115.71</v>
      </c>
      <c r="K313" s="4">
        <v>115.71</v>
      </c>
      <c r="L313" s="4">
        <v>1133289</v>
      </c>
      <c r="M313" s="4">
        <v>0.25</v>
      </c>
      <c r="N313" s="4">
        <v>0.27075700000000003</v>
      </c>
      <c r="O313" s="4">
        <v>2.5499999999999998</v>
      </c>
      <c r="P313" s="4">
        <v>2.19</v>
      </c>
      <c r="Q313" s="4">
        <v>0</v>
      </c>
      <c r="R313" s="4">
        <v>0</v>
      </c>
      <c r="S313" s="4">
        <v>5.0999999999999996</v>
      </c>
      <c r="T313" s="4">
        <v>0.47</v>
      </c>
      <c r="U313" s="4" t="s">
        <v>3049</v>
      </c>
      <c r="V313" s="4" t="s">
        <v>3128</v>
      </c>
      <c r="W313" s="4" t="s">
        <v>3129</v>
      </c>
      <c r="X313" s="4" t="s">
        <v>4200</v>
      </c>
      <c r="Y313" s="4" t="s">
        <v>2961</v>
      </c>
      <c r="Z313" s="4" t="s">
        <v>2962</v>
      </c>
      <c r="AA313" s="4" t="s">
        <v>3024</v>
      </c>
      <c r="AB313" s="4" t="s">
        <v>2945</v>
      </c>
      <c r="AD313" s="10">
        <f t="shared" si="19"/>
        <v>0.10389472148150895</v>
      </c>
      <c r="AE313" s="10">
        <f t="shared" si="16"/>
        <v>3.0366622673309689E-2</v>
      </c>
      <c r="AF313" s="10">
        <f t="shared" si="17"/>
        <v>0</v>
      </c>
      <c r="AG313" s="10">
        <f t="shared" ca="1" si="18"/>
        <v>0.59267221964532935</v>
      </c>
    </row>
    <row r="314" spans="1:33" x14ac:dyDescent="0.25">
      <c r="A314" s="50" t="s">
        <v>4201</v>
      </c>
      <c r="B314" s="4">
        <v>2037</v>
      </c>
      <c r="C314" s="53" t="s">
        <v>4202</v>
      </c>
      <c r="D314" s="4">
        <v>5</v>
      </c>
      <c r="E314" s="49">
        <v>44228</v>
      </c>
      <c r="F314" s="4">
        <v>9.25</v>
      </c>
      <c r="G314" s="4">
        <v>9.25</v>
      </c>
      <c r="H314" s="4" t="s">
        <v>3054</v>
      </c>
      <c r="I314" s="4" t="s">
        <v>3083</v>
      </c>
      <c r="J314" s="4">
        <f>IF(Z314="US",K314,VLOOKUP(Z314,'3032'!$AL$4:$AM$20,2,FALSE)*K314)</f>
        <v>107.46</v>
      </c>
      <c r="K314" s="4">
        <v>107.46</v>
      </c>
      <c r="L314" s="4">
        <v>2214390</v>
      </c>
      <c r="M314" s="4">
        <v>0.53</v>
      </c>
      <c r="N314" s="4">
        <v>0.52904499999999999</v>
      </c>
      <c r="O314" s="4">
        <v>4.03</v>
      </c>
      <c r="P314" s="4">
        <v>4.03</v>
      </c>
      <c r="Q314" s="4">
        <v>190</v>
      </c>
      <c r="R314" s="4">
        <v>221</v>
      </c>
      <c r="S314" s="4">
        <v>7.36</v>
      </c>
      <c r="T314" s="4">
        <v>0.69</v>
      </c>
      <c r="U314" s="4"/>
      <c r="V314" s="4" t="s">
        <v>3124</v>
      </c>
      <c r="W314" s="4" t="s">
        <v>3466</v>
      </c>
      <c r="X314" s="4" t="s">
        <v>4203</v>
      </c>
      <c r="Y314" s="4" t="s">
        <v>2961</v>
      </c>
      <c r="Z314" s="4" t="s">
        <v>2962</v>
      </c>
      <c r="AA314" s="4" t="s">
        <v>3024</v>
      </c>
      <c r="AB314" s="4" t="s">
        <v>3033</v>
      </c>
      <c r="AD314" s="10">
        <f t="shared" si="19"/>
        <v>0.24930398786850574</v>
      </c>
      <c r="AE314" s="10">
        <f t="shared" si="16"/>
        <v>7.8636142949643759E-2</v>
      </c>
      <c r="AF314" s="10">
        <f t="shared" si="17"/>
        <v>5.6004356340275923</v>
      </c>
      <c r="AG314" s="10">
        <f t="shared" ca="1" si="18"/>
        <v>1.075483995108891</v>
      </c>
    </row>
    <row r="315" spans="1:33" x14ac:dyDescent="0.25">
      <c r="A315" s="50" t="s">
        <v>4204</v>
      </c>
      <c r="B315" s="4">
        <v>1150</v>
      </c>
      <c r="C315" s="53" t="s">
        <v>4205</v>
      </c>
      <c r="D315" s="4">
        <v>7.9</v>
      </c>
      <c r="E315" s="49">
        <v>45290</v>
      </c>
      <c r="F315" s="4">
        <v>12.17</v>
      </c>
      <c r="G315" s="4">
        <v>12.17</v>
      </c>
      <c r="H315" s="4" t="s">
        <v>3232</v>
      </c>
      <c r="I315" s="4" t="s">
        <v>3060</v>
      </c>
      <c r="J315" s="4">
        <f>IF(Z315="US",K315,VLOOKUP(Z315,'3032'!$AL$4:$AM$20,2,FALSE)*K315)</f>
        <v>120.42</v>
      </c>
      <c r="K315" s="4">
        <v>120.42</v>
      </c>
      <c r="L315" s="4">
        <v>1415360</v>
      </c>
      <c r="M315" s="4">
        <v>0.3</v>
      </c>
      <c r="N315" s="4">
        <v>0.33814699999999998</v>
      </c>
      <c r="O315" s="4">
        <v>5.57</v>
      </c>
      <c r="P315" s="4">
        <v>5.57</v>
      </c>
      <c r="Q315" s="4">
        <v>294</v>
      </c>
      <c r="R315" s="4">
        <v>319</v>
      </c>
      <c r="S315" s="4">
        <v>8.0299999999999994</v>
      </c>
      <c r="T315" s="4">
        <v>0.9</v>
      </c>
      <c r="U315" s="4"/>
      <c r="V315" s="4" t="s">
        <v>3398</v>
      </c>
      <c r="W315" s="4" t="s">
        <v>4069</v>
      </c>
      <c r="X315" s="4" t="s">
        <v>4206</v>
      </c>
      <c r="Y315" s="4" t="s">
        <v>2961</v>
      </c>
      <c r="Z315" s="4" t="s">
        <v>2962</v>
      </c>
      <c r="AA315" s="4" t="s">
        <v>3041</v>
      </c>
      <c r="AB315" s="4" t="s">
        <v>2945</v>
      </c>
      <c r="AD315" s="10">
        <f t="shared" si="19"/>
        <v>0.79310612216301213</v>
      </c>
      <c r="AE315" s="10">
        <f t="shared" si="16"/>
        <v>6.9468058073004199E-2</v>
      </c>
      <c r="AF315" s="10">
        <f t="shared" si="17"/>
        <v>5.1669353283257262</v>
      </c>
      <c r="AG315" s="10">
        <f t="shared" ca="1" si="18"/>
        <v>9.0104079576046114</v>
      </c>
    </row>
    <row r="316" spans="1:33" x14ac:dyDescent="0.25">
      <c r="A316" s="50" t="s">
        <v>4207</v>
      </c>
      <c r="B316" s="4">
        <v>204</v>
      </c>
      <c r="C316" s="53" t="s">
        <v>4208</v>
      </c>
      <c r="D316" s="4">
        <v>9.25</v>
      </c>
      <c r="E316" s="49">
        <v>14411</v>
      </c>
      <c r="F316" s="4">
        <v>27.63</v>
      </c>
      <c r="G316" s="4">
        <v>27.63</v>
      </c>
      <c r="H316" s="4" t="s">
        <v>3232</v>
      </c>
      <c r="I316" s="4" t="s">
        <v>3060</v>
      </c>
      <c r="J316" s="4">
        <f>IF(Z316="US",K316,VLOOKUP(Z316,'3032'!$AL$4:$AM$20,2,FALSE)*K316)</f>
        <v>133.76</v>
      </c>
      <c r="K316" s="4">
        <v>133.76</v>
      </c>
      <c r="L316" s="4">
        <v>279997</v>
      </c>
      <c r="M316" s="4">
        <v>0.05</v>
      </c>
      <c r="N316" s="4">
        <v>6.6894999999999996E-2</v>
      </c>
      <c r="O316" s="4">
        <v>6.58</v>
      </c>
      <c r="P316" s="4">
        <v>6.58</v>
      </c>
      <c r="Q316" s="4">
        <v>337</v>
      </c>
      <c r="R316" s="4">
        <v>372</v>
      </c>
      <c r="S316" s="4">
        <v>11.64</v>
      </c>
      <c r="T316" s="4">
        <v>2.2000000000000002</v>
      </c>
      <c r="U316" s="4"/>
      <c r="V316" s="4" t="s">
        <v>3398</v>
      </c>
      <c r="W316" s="4" t="s">
        <v>4069</v>
      </c>
      <c r="X316" s="4" t="s">
        <v>4209</v>
      </c>
      <c r="Y316" s="4" t="s">
        <v>2961</v>
      </c>
      <c r="Z316" s="4" t="s">
        <v>2962</v>
      </c>
      <c r="AA316" s="4" t="s">
        <v>3041</v>
      </c>
      <c r="AB316" s="4" t="s">
        <v>2945</v>
      </c>
      <c r="AD316" s="10">
        <f t="shared" si="19"/>
        <v>7.9803643519044398E-2</v>
      </c>
      <c r="AE316" s="10">
        <f t="shared" si="16"/>
        <v>1.5078104995148832E-2</v>
      </c>
      <c r="AF316" s="10">
        <f t="shared" si="17"/>
        <v>1.1919876150976736</v>
      </c>
      <c r="AG316" s="10">
        <f t="shared" ca="1" si="18"/>
        <v>1.9799697372153691</v>
      </c>
    </row>
    <row r="317" spans="1:33" x14ac:dyDescent="0.25">
      <c r="A317" s="50" t="s">
        <v>4210</v>
      </c>
      <c r="B317" s="4">
        <v>1386</v>
      </c>
      <c r="C317" s="53" t="s">
        <v>4211</v>
      </c>
      <c r="D317" s="4">
        <v>7.875</v>
      </c>
      <c r="E317" s="49">
        <v>43344</v>
      </c>
      <c r="F317" s="4">
        <v>6.84</v>
      </c>
      <c r="G317" s="4">
        <v>2.84</v>
      </c>
      <c r="H317" s="4" t="s">
        <v>135</v>
      </c>
      <c r="I317" s="4" t="s">
        <v>3311</v>
      </c>
      <c r="J317" s="4">
        <f>IF(Z317="US",K317,VLOOKUP(Z317,'3032'!$AL$4:$AM$20,2,FALSE)*K317)</f>
        <v>101.75</v>
      </c>
      <c r="K317" s="4">
        <v>101.75</v>
      </c>
      <c r="L317" s="4">
        <v>1428446</v>
      </c>
      <c r="M317" s="4">
        <v>0.36</v>
      </c>
      <c r="N317" s="4">
        <v>0.34127400000000002</v>
      </c>
      <c r="O317" s="4">
        <v>7.54</v>
      </c>
      <c r="P317" s="4">
        <v>7.43</v>
      </c>
      <c r="Q317" s="4">
        <v>618</v>
      </c>
      <c r="R317" s="4">
        <v>615</v>
      </c>
      <c r="S317" s="4">
        <v>3.92</v>
      </c>
      <c r="T317" s="4">
        <v>0.19</v>
      </c>
      <c r="U317" s="4"/>
      <c r="V317" s="4" t="s">
        <v>3153</v>
      </c>
      <c r="W317" s="4" t="s">
        <v>3477</v>
      </c>
      <c r="X317" s="4" t="s">
        <v>4212</v>
      </c>
      <c r="Y317" s="4" t="s">
        <v>2961</v>
      </c>
      <c r="Z317" s="4" t="s">
        <v>2962</v>
      </c>
      <c r="AA317" s="4" t="s">
        <v>3024</v>
      </c>
      <c r="AB317" s="4" t="s">
        <v>2945</v>
      </c>
      <c r="AD317" s="10">
        <f t="shared" si="19"/>
        <v>5.6029999414735278E-2</v>
      </c>
      <c r="AE317" s="10">
        <f t="shared" si="16"/>
        <v>8.6860061475853914E-2</v>
      </c>
      <c r="AF317" s="10">
        <f t="shared" si="17"/>
        <v>15.237037727861754</v>
      </c>
      <c r="AG317" s="10">
        <f t="shared" ca="1" si="18"/>
        <v>0.65690300592901507</v>
      </c>
    </row>
    <row r="318" spans="1:33" x14ac:dyDescent="0.25">
      <c r="A318" s="50" t="s">
        <v>4213</v>
      </c>
      <c r="B318" s="4">
        <v>643</v>
      </c>
      <c r="C318" s="53" t="s">
        <v>4214</v>
      </c>
      <c r="D318" s="4">
        <v>6.5</v>
      </c>
      <c r="E318" s="49">
        <v>44545</v>
      </c>
      <c r="F318" s="4">
        <v>10.130000000000001</v>
      </c>
      <c r="G318" s="4">
        <v>5.13</v>
      </c>
      <c r="H318" s="4" t="s">
        <v>3181</v>
      </c>
      <c r="I318" s="4" t="s">
        <v>3116</v>
      </c>
      <c r="J318" s="4">
        <f>IF(Z318="US",K318,VLOOKUP(Z318,'3032'!$AL$4:$AM$20,2,FALSE)*K318)</f>
        <v>105.5</v>
      </c>
      <c r="K318" s="4">
        <v>105.5</v>
      </c>
      <c r="L318" s="4">
        <v>689046</v>
      </c>
      <c r="M318" s="4">
        <v>0.17</v>
      </c>
      <c r="N318" s="4">
        <v>0.16462199999999999</v>
      </c>
      <c r="O318" s="4">
        <v>5.77</v>
      </c>
      <c r="P318" s="4">
        <v>5.65</v>
      </c>
      <c r="Q318" s="4">
        <v>364</v>
      </c>
      <c r="R318" s="4">
        <v>335</v>
      </c>
      <c r="S318" s="4">
        <v>6.21</v>
      </c>
      <c r="T318" s="4">
        <v>0.37</v>
      </c>
      <c r="U318" s="4"/>
      <c r="V318" s="4" t="s">
        <v>3124</v>
      </c>
      <c r="W318" s="4" t="s">
        <v>3513</v>
      </c>
      <c r="X318" s="4" t="s">
        <v>4215</v>
      </c>
      <c r="Y318" s="4" t="s">
        <v>2957</v>
      </c>
      <c r="Z318" s="4" t="s">
        <v>2962</v>
      </c>
      <c r="AA318" s="4" t="s">
        <v>3041</v>
      </c>
      <c r="AB318" s="4" t="s">
        <v>2945</v>
      </c>
      <c r="AD318" s="10">
        <f t="shared" si="19"/>
        <v>6.5454139202426306E-2</v>
      </c>
      <c r="AE318" s="10">
        <f t="shared" si="16"/>
        <v>3.4305180563432541E-2</v>
      </c>
      <c r="AF318" s="10">
        <f t="shared" si="17"/>
        <v>2.6416084671943896</v>
      </c>
      <c r="AG318" s="10">
        <f t="shared" ca="1" si="18"/>
        <v>0.32855167042226929</v>
      </c>
    </row>
    <row r="319" spans="1:33" x14ac:dyDescent="0.25">
      <c r="A319" s="50" t="s">
        <v>4216</v>
      </c>
      <c r="B319" s="4">
        <v>1630</v>
      </c>
      <c r="C319" s="53" t="s">
        <v>4217</v>
      </c>
      <c r="D319" s="4">
        <v>6.625</v>
      </c>
      <c r="E319" s="49">
        <v>44150</v>
      </c>
      <c r="F319" s="4">
        <v>9.0399999999999991</v>
      </c>
      <c r="G319" s="4">
        <v>4.04</v>
      </c>
      <c r="H319" s="4" t="s">
        <v>3181</v>
      </c>
      <c r="I319" s="4" t="s">
        <v>3116</v>
      </c>
      <c r="J319" s="4">
        <f>IF(Z319="US",K319,VLOOKUP(Z319,'3032'!$AL$4:$AM$20,2,FALSE)*K319)</f>
        <v>106.25</v>
      </c>
      <c r="K319" s="4">
        <v>106.25</v>
      </c>
      <c r="L319" s="4">
        <v>1781669</v>
      </c>
      <c r="M319" s="4">
        <v>0.42</v>
      </c>
      <c r="N319" s="4">
        <v>0.42566300000000001</v>
      </c>
      <c r="O319" s="4">
        <v>5.73</v>
      </c>
      <c r="P319" s="4">
        <v>5.54</v>
      </c>
      <c r="Q319" s="4">
        <v>381</v>
      </c>
      <c r="R319" s="4">
        <v>345</v>
      </c>
      <c r="S319" s="4">
        <v>5.47</v>
      </c>
      <c r="T319" s="4">
        <v>0.11</v>
      </c>
      <c r="U319" s="4"/>
      <c r="V319" s="4" t="s">
        <v>3124</v>
      </c>
      <c r="W319" s="4" t="s">
        <v>3513</v>
      </c>
      <c r="X319" s="4" t="s">
        <v>4218</v>
      </c>
      <c r="Y319" s="4" t="s">
        <v>2957</v>
      </c>
      <c r="Z319" s="4" t="s">
        <v>2962</v>
      </c>
      <c r="AA319" s="4" t="s">
        <v>3024</v>
      </c>
      <c r="AB319" s="4" t="s">
        <v>3033</v>
      </c>
      <c r="AD319" s="10">
        <f t="shared" si="19"/>
        <v>0.17518502666064412</v>
      </c>
      <c r="AE319" s="10">
        <f t="shared" si="16"/>
        <v>8.6976080791081045E-2</v>
      </c>
      <c r="AF319" s="10">
        <f t="shared" si="17"/>
        <v>7.0343106485299209</v>
      </c>
      <c r="AG319" s="10">
        <f t="shared" ca="1" si="18"/>
        <v>0.85557673437188786</v>
      </c>
    </row>
    <row r="320" spans="1:33" x14ac:dyDescent="0.25">
      <c r="A320" s="50" t="s">
        <v>3260</v>
      </c>
      <c r="B320" s="4">
        <v>325</v>
      </c>
      <c r="C320" s="53" t="s">
        <v>3261</v>
      </c>
      <c r="D320" s="4">
        <v>9.75</v>
      </c>
      <c r="E320" s="49">
        <v>43691</v>
      </c>
      <c r="F320" s="4">
        <v>7.79</v>
      </c>
      <c r="G320" s="4">
        <v>7.79</v>
      </c>
      <c r="H320" s="4" t="s">
        <v>3161</v>
      </c>
      <c r="I320" s="4" t="s">
        <v>3083</v>
      </c>
      <c r="J320" s="4">
        <f>IF(Z320="US",K320,VLOOKUP(Z320,'3032'!$AL$4:$AM$20,2,FALSE)*K320)</f>
        <v>116.28</v>
      </c>
      <c r="K320" s="4">
        <v>116.28</v>
      </c>
      <c r="L320" s="4">
        <v>384678</v>
      </c>
      <c r="M320" s="4">
        <v>0.08</v>
      </c>
      <c r="N320" s="4">
        <v>9.1904E-2</v>
      </c>
      <c r="O320" s="4">
        <v>7</v>
      </c>
      <c r="P320" s="4">
        <v>7</v>
      </c>
      <c r="Q320" s="4">
        <v>0</v>
      </c>
      <c r="R320" s="4">
        <v>555</v>
      </c>
      <c r="S320" s="4">
        <v>5.51</v>
      </c>
      <c r="T320" s="4">
        <v>0.39</v>
      </c>
      <c r="U320" s="4"/>
      <c r="V320" s="4" t="s">
        <v>3124</v>
      </c>
      <c r="W320" s="4" t="s">
        <v>3125</v>
      </c>
      <c r="X320" s="4" t="s">
        <v>3262</v>
      </c>
      <c r="Y320" s="4" t="s">
        <v>3263</v>
      </c>
      <c r="Z320" s="4" t="s">
        <v>2962</v>
      </c>
      <c r="AA320" s="4" t="s">
        <v>3041</v>
      </c>
      <c r="AB320" s="4" t="s">
        <v>2945</v>
      </c>
      <c r="AD320" s="10">
        <f t="shared" si="19"/>
        <v>3.8100579561088387E-2</v>
      </c>
      <c r="AE320" s="10">
        <f t="shared" si="16"/>
        <v>2.203752818827262E-2</v>
      </c>
      <c r="AF320" s="10">
        <f t="shared" si="17"/>
        <v>1.7979560194461881</v>
      </c>
      <c r="AG320" s="10">
        <f t="shared" ca="1" si="18"/>
        <v>0.20216472367417385</v>
      </c>
    </row>
    <row r="321" spans="1:33" x14ac:dyDescent="0.25">
      <c r="A321" s="50" t="s">
        <v>4219</v>
      </c>
      <c r="B321" s="4">
        <v>612</v>
      </c>
      <c r="C321" s="53" t="s">
        <v>4220</v>
      </c>
      <c r="D321" s="4">
        <v>6.7</v>
      </c>
      <c r="E321" s="49">
        <v>13681</v>
      </c>
      <c r="F321" s="4">
        <v>25.63</v>
      </c>
      <c r="G321" s="4">
        <v>5.63</v>
      </c>
      <c r="H321" s="4" t="s">
        <v>3232</v>
      </c>
      <c r="I321" s="4" t="s">
        <v>3688</v>
      </c>
      <c r="J321" s="4">
        <f>IF(Z321="US",K321,VLOOKUP(Z321,'3032'!$AL$4:$AM$20,2,FALSE)*K321)</f>
        <v>99.25</v>
      </c>
      <c r="K321" s="4">
        <v>99.25</v>
      </c>
      <c r="L321" s="4">
        <v>622900</v>
      </c>
      <c r="M321" s="4">
        <v>0.16</v>
      </c>
      <c r="N321" s="4">
        <v>0.14881900000000001</v>
      </c>
      <c r="O321" s="4">
        <v>6.76</v>
      </c>
      <c r="P321" s="4">
        <v>6.9</v>
      </c>
      <c r="Q321" s="4">
        <v>555</v>
      </c>
      <c r="R321" s="4">
        <v>561</v>
      </c>
      <c r="S321" s="4">
        <v>4.5</v>
      </c>
      <c r="T321" s="4">
        <v>0.26</v>
      </c>
      <c r="U321" s="4" t="s">
        <v>3049</v>
      </c>
      <c r="V321" s="4" t="s">
        <v>3398</v>
      </c>
      <c r="W321" s="4" t="s">
        <v>3407</v>
      </c>
      <c r="X321" s="4" t="s">
        <v>4221</v>
      </c>
      <c r="Y321" s="4" t="s">
        <v>2961</v>
      </c>
      <c r="Z321" s="4" t="s">
        <v>2962</v>
      </c>
      <c r="AA321" s="4" t="s">
        <v>3024</v>
      </c>
      <c r="AB321" s="4" t="s">
        <v>2945</v>
      </c>
      <c r="AD321" s="10">
        <f t="shared" si="19"/>
        <v>5.0386417200289392E-2</v>
      </c>
      <c r="AE321" s="10">
        <f t="shared" si="16"/>
        <v>3.5175065352795104E-2</v>
      </c>
      <c r="AF321" s="10">
        <f t="shared" si="17"/>
        <v>2.9428621796276184</v>
      </c>
      <c r="AG321" s="10">
        <f t="shared" ca="1" si="18"/>
        <v>0.60969868730434962</v>
      </c>
    </row>
    <row r="322" spans="1:33" x14ac:dyDescent="0.25">
      <c r="A322" s="50" t="s">
        <v>4222</v>
      </c>
      <c r="B322" s="4">
        <v>669</v>
      </c>
      <c r="C322" s="53" t="s">
        <v>4223</v>
      </c>
      <c r="D322" s="4">
        <v>8.625</v>
      </c>
      <c r="E322" s="49">
        <v>43388</v>
      </c>
      <c r="F322" s="4">
        <v>6.96</v>
      </c>
      <c r="G322" s="4">
        <v>2.96</v>
      </c>
      <c r="H322" s="4" t="s">
        <v>3120</v>
      </c>
      <c r="I322" s="4" t="s">
        <v>3311</v>
      </c>
      <c r="J322" s="4">
        <f>IF(Z322="US",K322,VLOOKUP(Z322,'3032'!$AL$4:$AM$20,2,FALSE)*K322)</f>
        <v>100.5</v>
      </c>
      <c r="K322" s="4">
        <v>100.5</v>
      </c>
      <c r="L322" s="4">
        <v>674910</v>
      </c>
      <c r="M322" s="4">
        <v>0.17</v>
      </c>
      <c r="N322" s="4">
        <v>0.161244</v>
      </c>
      <c r="O322" s="4">
        <v>8.5299999999999994</v>
      </c>
      <c r="P322" s="4">
        <v>8.5</v>
      </c>
      <c r="Q322" s="4">
        <v>739</v>
      </c>
      <c r="R322" s="4">
        <v>692</v>
      </c>
      <c r="S322" s="4">
        <v>3.96</v>
      </c>
      <c r="T322" s="4">
        <v>0.26</v>
      </c>
      <c r="U322" s="4"/>
      <c r="V322" s="4" t="s">
        <v>3124</v>
      </c>
      <c r="W322" s="4" t="s">
        <v>3513</v>
      </c>
      <c r="X322" s="4" t="s">
        <v>4224</v>
      </c>
      <c r="Y322" s="4" t="s">
        <v>2961</v>
      </c>
      <c r="Z322" s="4" t="s">
        <v>2962</v>
      </c>
      <c r="AA322" s="4" t="s">
        <v>3024</v>
      </c>
      <c r="AB322" s="4" t="s">
        <v>2945</v>
      </c>
      <c r="AD322" s="10">
        <f t="shared" si="19"/>
        <v>2.6743101498560858E-2</v>
      </c>
      <c r="AE322" s="10">
        <f t="shared" si="16"/>
        <v>9.6197499554372207E-2</v>
      </c>
      <c r="AF322" s="10">
        <f t="shared" si="17"/>
        <v>8.100532286868404</v>
      </c>
      <c r="AG322" s="10">
        <f t="shared" ca="1" si="18"/>
        <v>0.30655960570158353</v>
      </c>
    </row>
    <row r="323" spans="1:33" x14ac:dyDescent="0.25">
      <c r="A323" s="50" t="s">
        <v>4225</v>
      </c>
      <c r="B323" s="4">
        <v>300</v>
      </c>
      <c r="C323" s="53" t="s">
        <v>3265</v>
      </c>
      <c r="D323" s="4">
        <v>6.5</v>
      </c>
      <c r="E323" s="49">
        <v>43850</v>
      </c>
      <c r="F323" s="4">
        <v>8.2200000000000006</v>
      </c>
      <c r="G323" s="4">
        <v>8.2200000000000006</v>
      </c>
      <c r="H323" s="4" t="s">
        <v>133</v>
      </c>
      <c r="I323" s="4" t="s">
        <v>3134</v>
      </c>
      <c r="J323" s="4">
        <f>IF(Z323="US",K323,VLOOKUP(Z323,'3032'!$AL$4:$AM$20,2,FALSE)*K323)</f>
        <v>118.75</v>
      </c>
      <c r="K323" s="4">
        <v>118.75</v>
      </c>
      <c r="L323" s="4">
        <v>361721</v>
      </c>
      <c r="M323" s="4">
        <v>0.08</v>
      </c>
      <c r="N323" s="4">
        <v>8.6419999999999997E-2</v>
      </c>
      <c r="O323" s="4">
        <v>3.82</v>
      </c>
      <c r="P323" s="4">
        <v>3.82</v>
      </c>
      <c r="Q323" s="4">
        <v>0</v>
      </c>
      <c r="R323" s="4">
        <v>0</v>
      </c>
      <c r="S323" s="4">
        <v>6.44</v>
      </c>
      <c r="T323" s="4">
        <v>0.51</v>
      </c>
      <c r="U323" s="4"/>
      <c r="V323" s="4" t="s">
        <v>3045</v>
      </c>
      <c r="W323" s="4" t="s">
        <v>3046</v>
      </c>
      <c r="X323" s="4" t="s">
        <v>675</v>
      </c>
      <c r="Y323" s="4" t="s">
        <v>3266</v>
      </c>
      <c r="Z323" s="4" t="s">
        <v>2962</v>
      </c>
      <c r="AA323" s="4" t="s">
        <v>2945</v>
      </c>
      <c r="AB323" s="4" t="s">
        <v>2945</v>
      </c>
      <c r="AD323" s="10">
        <f t="shared" si="19"/>
        <v>3.5633369379969561E-2</v>
      </c>
      <c r="AE323" s="10">
        <f t="shared" si="16"/>
        <v>1.6906308538252535E-2</v>
      </c>
      <c r="AF323" s="10">
        <f t="shared" si="17"/>
        <v>0</v>
      </c>
      <c r="AG323" s="10">
        <f t="shared" ca="1" si="18"/>
        <v>0.19413790786124233</v>
      </c>
    </row>
    <row r="324" spans="1:33" x14ac:dyDescent="0.25">
      <c r="A324" s="50" t="s">
        <v>4226</v>
      </c>
      <c r="B324" s="4">
        <v>1646</v>
      </c>
      <c r="C324" s="53" t="s">
        <v>4227</v>
      </c>
      <c r="D324" s="4">
        <v>9.25</v>
      </c>
      <c r="E324" s="49">
        <v>43374</v>
      </c>
      <c r="F324" s="4">
        <v>6.92</v>
      </c>
      <c r="G324" s="4">
        <v>2.92</v>
      </c>
      <c r="H324" s="4" t="s">
        <v>3120</v>
      </c>
      <c r="I324" s="4" t="s">
        <v>3020</v>
      </c>
      <c r="J324" s="4">
        <f>IF(Z324="US",K324,VLOOKUP(Z324,'3032'!$AL$4:$AM$20,2,FALSE)*K324)</f>
        <v>109</v>
      </c>
      <c r="K324" s="4">
        <v>109</v>
      </c>
      <c r="L324" s="4">
        <v>1806828</v>
      </c>
      <c r="M324" s="4">
        <v>0.42</v>
      </c>
      <c r="N324" s="4">
        <v>0.431674</v>
      </c>
      <c r="O324" s="4">
        <v>7.55</v>
      </c>
      <c r="P324" s="4">
        <v>7.05</v>
      </c>
      <c r="Q324" s="4">
        <v>596</v>
      </c>
      <c r="R324" s="4">
        <v>592</v>
      </c>
      <c r="S324" s="4">
        <v>3.94</v>
      </c>
      <c r="T324" s="4">
        <v>-0.06</v>
      </c>
      <c r="U324" s="4"/>
      <c r="V324" s="4" t="s">
        <v>3421</v>
      </c>
      <c r="W324" s="4" t="s">
        <v>3422</v>
      </c>
      <c r="X324" s="4" t="s">
        <v>4228</v>
      </c>
      <c r="Y324" s="4" t="s">
        <v>2961</v>
      </c>
      <c r="Z324" s="4" t="s">
        <v>2962</v>
      </c>
      <c r="AA324" s="4" t="s">
        <v>3041</v>
      </c>
      <c r="AB324" s="4" t="s">
        <v>2945</v>
      </c>
      <c r="AD324" s="10">
        <f t="shared" si="19"/>
        <v>7.1233413726431896E-2</v>
      </c>
      <c r="AE324" s="10">
        <f t="shared" ref="AE324:AE387" si="20">IF(P324&lt;1.99,($L324/$L$441)*P324,IF(AND(P324&gt;1.99,P324&lt;3.99),($L324/$L$442)*P324,IF(AND(P324&gt;3.99,P324&lt;5.99),($L324/$L$443)*P324,IF(AND(P324&gt;5.99,P324&lt;7.99),($L324/$L$444)*P324,IF(AND(P324&gt;7.99,P324&lt;9.99),($L324/$L$445)*P324,IF(P324&gt;9.99,($L324/$L$446)*P324))))))</f>
        <v>0.10424936552448306</v>
      </c>
      <c r="AF324" s="10">
        <f t="shared" ref="AF324:AF387" si="21">IF(R324&lt;199.99,($L324/$L$449)*R324,IF(AND(R324&gt;199.99,R324&lt;399.99),($L324/$L$450)*R324,IF(AND(R324&gt;399.99,R324&lt;599.99),($L324/$L$451)*R324,IF(AND(R324&gt;599.99,R324&lt;799.99),($L324/$L$452)*R324,IF(AND(R324&gt;799.99,R324&lt;999.99),($L324/$L$453)*R324,IF(R324&gt;999.99,($L324/$L$454)*R324))))))</f>
        <v>9.0079766210116308</v>
      </c>
      <c r="AG324" s="10">
        <f t="shared" ref="AG324:AG387" ca="1" si="22">IF(J324&lt;49.999,($L324/$L$465)*J324,IF(AND(J324&gt;49.999,J324&lt;79.999),($L324/$L$466)*J324,IF(AND(J324&gt;79.999,J324&lt;99.999),($L324/$L$467)*J324,IF(AND(J324&gt;99.999,J324&lt;119.999),($L324/$L$468)*J324,IF(AND(J324&gt;119.999,J324&lt;139.999),($L324/$L$469)*J324,IF(J324&gt;139.999,($L324/$L$470)*J324))))))</f>
        <v>0.89011539829874209</v>
      </c>
    </row>
    <row r="325" spans="1:33" x14ac:dyDescent="0.25">
      <c r="A325" s="50" t="s">
        <v>3273</v>
      </c>
      <c r="B325" s="4">
        <v>200</v>
      </c>
      <c r="C325" s="53" t="s">
        <v>3274</v>
      </c>
      <c r="D325" s="4">
        <v>8</v>
      </c>
      <c r="E325" s="49">
        <v>43684</v>
      </c>
      <c r="F325" s="4">
        <v>7.77</v>
      </c>
      <c r="G325" s="4">
        <v>7.77</v>
      </c>
      <c r="H325" s="4" t="s">
        <v>133</v>
      </c>
      <c r="I325" s="4" t="s">
        <v>3116</v>
      </c>
      <c r="J325" s="4">
        <f>IF(Z325="US",K325,VLOOKUP(Z325,'3032'!$AL$4:$AM$20,2,FALSE)*K325)</f>
        <v>117.5</v>
      </c>
      <c r="K325" s="4">
        <v>117.5</v>
      </c>
      <c r="L325" s="4">
        <v>238733</v>
      </c>
      <c r="M325" s="4">
        <v>0.05</v>
      </c>
      <c r="N325" s="4">
        <v>5.7036000000000003E-2</v>
      </c>
      <c r="O325" s="4">
        <v>5.23</v>
      </c>
      <c r="P325" s="4">
        <v>5.23</v>
      </c>
      <c r="Q325" s="4">
        <v>0</v>
      </c>
      <c r="R325" s="4">
        <v>0</v>
      </c>
      <c r="S325" s="4">
        <v>5.85</v>
      </c>
      <c r="T325" s="4">
        <v>0.43</v>
      </c>
      <c r="U325" s="4"/>
      <c r="V325" s="4" t="s">
        <v>3021</v>
      </c>
      <c r="W325" s="4" t="s">
        <v>3275</v>
      </c>
      <c r="X325" s="4" t="s">
        <v>3276</v>
      </c>
      <c r="Y325" s="4" t="s">
        <v>3176</v>
      </c>
      <c r="Z325" s="4" t="s">
        <v>2962</v>
      </c>
      <c r="AA325" s="4" t="s">
        <v>3041</v>
      </c>
      <c r="AB325" s="4" t="s">
        <v>2945</v>
      </c>
      <c r="AD325" s="10">
        <f t="shared" ref="AD325:AD388" si="23">ABS(IF(S325&lt;1.99,($L325/$L$457)*S325,IF(AND(S325&gt;1.99,S325&lt;3.99),($L325/$L$458)*S325,IF(AND(S325&gt;3.99,S325&lt;5.99),($L325/$L$459)*S325,IF(AND(S325&gt;5.999,S325&lt;7.9999),($L325/$L$460)*S325,IF(AND(S325&gt;7.999,S325&lt;9.999),($L325/$L$461)*S325,IF(S325&gt;9.99,($L325/$L$462)*S325)))))))</f>
        <v>2.5104464117385924E-2</v>
      </c>
      <c r="AE325" s="10">
        <f t="shared" si="20"/>
        <v>1.1002140589887584E-2</v>
      </c>
      <c r="AF325" s="10">
        <f t="shared" si="21"/>
        <v>0</v>
      </c>
      <c r="AG325" s="10">
        <f t="shared" ca="1" si="22"/>
        <v>0.12678075279592976</v>
      </c>
    </row>
    <row r="326" spans="1:33" x14ac:dyDescent="0.25">
      <c r="A326" s="50" t="s">
        <v>4229</v>
      </c>
      <c r="B326" s="4">
        <v>2180</v>
      </c>
      <c r="C326" s="53" t="s">
        <v>4230</v>
      </c>
      <c r="D326" s="4">
        <v>5.625</v>
      </c>
      <c r="E326" s="49">
        <v>42767</v>
      </c>
      <c r="F326" s="4">
        <v>5.25</v>
      </c>
      <c r="G326" s="4">
        <v>5.25</v>
      </c>
      <c r="H326" s="4" t="s">
        <v>3232</v>
      </c>
      <c r="I326" s="4" t="s">
        <v>3079</v>
      </c>
      <c r="J326" s="4">
        <f>IF(Z326="US",K326,VLOOKUP(Z326,'3032'!$AL$4:$AM$20,2,FALSE)*K326)</f>
        <v>109.69</v>
      </c>
      <c r="K326" s="4">
        <v>109.69</v>
      </c>
      <c r="L326" s="4">
        <v>2421970</v>
      </c>
      <c r="M326" s="4">
        <v>0.56000000000000005</v>
      </c>
      <c r="N326" s="4">
        <v>0.57863900000000001</v>
      </c>
      <c r="O326" s="4">
        <v>3.58</v>
      </c>
      <c r="P326" s="4">
        <v>3.58</v>
      </c>
      <c r="Q326" s="4">
        <v>240</v>
      </c>
      <c r="R326" s="4">
        <v>243</v>
      </c>
      <c r="S326" s="4">
        <v>4.51</v>
      </c>
      <c r="T326" s="4">
        <v>0.25</v>
      </c>
      <c r="U326" s="4"/>
      <c r="V326" s="4" t="s">
        <v>3029</v>
      </c>
      <c r="W326" s="4" t="s">
        <v>3030</v>
      </c>
      <c r="X326" s="4" t="s">
        <v>4231</v>
      </c>
      <c r="Y326" s="4" t="s">
        <v>2961</v>
      </c>
      <c r="Z326" s="4" t="s">
        <v>2962</v>
      </c>
      <c r="AA326" s="4" t="s">
        <v>3024</v>
      </c>
      <c r="AB326" s="4" t="s">
        <v>2945</v>
      </c>
      <c r="AD326" s="10">
        <f t="shared" si="23"/>
        <v>0.19634865693023595</v>
      </c>
      <c r="AE326" s="10">
        <f t="shared" si="20"/>
        <v>0.10608732306758592</v>
      </c>
      <c r="AF326" s="10">
        <f t="shared" si="21"/>
        <v>6.7351994029194993</v>
      </c>
      <c r="AG326" s="10">
        <f t="shared" ca="1" si="22"/>
        <v>1.2007118586464711</v>
      </c>
    </row>
    <row r="327" spans="1:33" x14ac:dyDescent="0.25">
      <c r="A327" s="50" t="s">
        <v>4232</v>
      </c>
      <c r="B327" s="4">
        <v>1488</v>
      </c>
      <c r="C327" s="53" t="s">
        <v>4233</v>
      </c>
      <c r="D327" s="4">
        <v>7.5</v>
      </c>
      <c r="E327" s="49">
        <v>42170</v>
      </c>
      <c r="F327" s="4">
        <v>3.63</v>
      </c>
      <c r="G327" s="4">
        <v>0.63</v>
      </c>
      <c r="H327" s="4" t="s">
        <v>135</v>
      </c>
      <c r="I327" s="4" t="s">
        <v>3432</v>
      </c>
      <c r="J327" s="4">
        <f>IF(Z327="US",K327,VLOOKUP(Z327,'3032'!$AL$4:$AM$20,2,FALSE)*K327)</f>
        <v>98.25</v>
      </c>
      <c r="K327" s="4">
        <v>98.25</v>
      </c>
      <c r="L327" s="4">
        <v>1504120</v>
      </c>
      <c r="M327" s="4">
        <v>0.38</v>
      </c>
      <c r="N327" s="4">
        <v>0.35935299999999998</v>
      </c>
      <c r="O327" s="4">
        <v>8.06</v>
      </c>
      <c r="P327" s="4">
        <v>8.06</v>
      </c>
      <c r="Q327" s="4">
        <v>721</v>
      </c>
      <c r="R327" s="4">
        <v>755</v>
      </c>
      <c r="S327" s="4">
        <v>3.02</v>
      </c>
      <c r="T327" s="4">
        <v>0.01</v>
      </c>
      <c r="U327" s="4"/>
      <c r="V327" s="4" t="s">
        <v>3209</v>
      </c>
      <c r="W327" s="4" t="s">
        <v>3570</v>
      </c>
      <c r="X327" s="4" t="s">
        <v>4234</v>
      </c>
      <c r="Y327" s="4" t="s">
        <v>2961</v>
      </c>
      <c r="Z327" s="4" t="s">
        <v>2962</v>
      </c>
      <c r="AA327" s="4" t="s">
        <v>3024</v>
      </c>
      <c r="AB327" s="4" t="s">
        <v>2945</v>
      </c>
      <c r="AD327" s="10">
        <f t="shared" si="23"/>
        <v>4.5452748789463128E-2</v>
      </c>
      <c r="AE327" s="10">
        <f t="shared" si="20"/>
        <v>0.20329023725508708</v>
      </c>
      <c r="AF327" s="10">
        <f t="shared" si="21"/>
        <v>19.696589668624622</v>
      </c>
      <c r="AG327" s="10">
        <f t="shared" ca="1" si="22"/>
        <v>1.4574090390258363</v>
      </c>
    </row>
    <row r="328" spans="1:33" x14ac:dyDescent="0.25">
      <c r="A328" s="50" t="s">
        <v>4235</v>
      </c>
      <c r="B328" s="4">
        <v>815</v>
      </c>
      <c r="C328" s="53" t="s">
        <v>4236</v>
      </c>
      <c r="D328" s="4">
        <v>7.5</v>
      </c>
      <c r="E328" s="49">
        <v>43054</v>
      </c>
      <c r="F328" s="4">
        <v>6.04</v>
      </c>
      <c r="G328" s="4">
        <v>2.04</v>
      </c>
      <c r="H328" s="4" t="s">
        <v>135</v>
      </c>
      <c r="I328" s="4" t="s">
        <v>3065</v>
      </c>
      <c r="J328" s="4">
        <f>IF(Z328="US",K328,VLOOKUP(Z328,'3032'!$AL$4:$AM$20,2,FALSE)*K328)</f>
        <v>102</v>
      </c>
      <c r="K328" s="4">
        <v>102</v>
      </c>
      <c r="L328" s="4">
        <v>859485</v>
      </c>
      <c r="M328" s="4">
        <v>0.21</v>
      </c>
      <c r="N328" s="4">
        <v>0.205342</v>
      </c>
      <c r="O328" s="4">
        <v>7.09</v>
      </c>
      <c r="P328" s="4">
        <v>7.02</v>
      </c>
      <c r="Q328" s="4">
        <v>571</v>
      </c>
      <c r="R328" s="4">
        <v>554</v>
      </c>
      <c r="S328" s="4">
        <v>4.0199999999999996</v>
      </c>
      <c r="T328" s="4">
        <v>0.19</v>
      </c>
      <c r="U328" s="4"/>
      <c r="V328" s="4" t="s">
        <v>3037</v>
      </c>
      <c r="W328" s="4" t="s">
        <v>3084</v>
      </c>
      <c r="X328" s="4" t="s">
        <v>4237</v>
      </c>
      <c r="Y328" s="4" t="s">
        <v>2961</v>
      </c>
      <c r="Z328" s="4" t="s">
        <v>2962</v>
      </c>
      <c r="AA328" s="4" t="s">
        <v>3024</v>
      </c>
      <c r="AB328" s="4" t="s">
        <v>2945</v>
      </c>
      <c r="AD328" s="10">
        <f t="shared" si="23"/>
        <v>6.2107920495642496E-2</v>
      </c>
      <c r="AE328" s="10">
        <f t="shared" si="20"/>
        <v>4.9379069879810562E-2</v>
      </c>
      <c r="AF328" s="10">
        <f t="shared" si="21"/>
        <v>4.0099300604850496</v>
      </c>
      <c r="AG328" s="10">
        <f t="shared" ca="1" si="22"/>
        <v>0.39622463811176895</v>
      </c>
    </row>
    <row r="329" spans="1:33" x14ac:dyDescent="0.25">
      <c r="A329" s="50" t="s">
        <v>4238</v>
      </c>
      <c r="B329" s="4">
        <v>769</v>
      </c>
      <c r="C329" s="53" t="s">
        <v>4239</v>
      </c>
      <c r="D329" s="4">
        <v>3.68</v>
      </c>
      <c r="E329" s="49">
        <v>41850</v>
      </c>
      <c r="F329" s="4">
        <v>2.75</v>
      </c>
      <c r="G329" s="4">
        <v>2.75</v>
      </c>
      <c r="H329" s="4" t="s">
        <v>3120</v>
      </c>
      <c r="I329" s="4" t="s">
        <v>3065</v>
      </c>
      <c r="J329" s="4">
        <f>IF(Z329="US",K329,VLOOKUP(Z329,'3032'!$AL$4:$AM$20,2,FALSE)*K329)</f>
        <v>94.17</v>
      </c>
      <c r="K329" s="4">
        <v>94.17</v>
      </c>
      <c r="L329" s="4">
        <v>724040</v>
      </c>
      <c r="M329" s="4">
        <v>0.2</v>
      </c>
      <c r="N329" s="4">
        <v>0.172982</v>
      </c>
      <c r="O329" s="4">
        <v>5.19</v>
      </c>
      <c r="P329" s="4">
        <v>5.19</v>
      </c>
      <c r="Q329" s="4">
        <v>325</v>
      </c>
      <c r="R329" s="4">
        <v>0</v>
      </c>
      <c r="S329" s="4">
        <v>0.25</v>
      </c>
      <c r="T329" s="4">
        <v>0.13</v>
      </c>
      <c r="U329" s="4" t="s">
        <v>3049</v>
      </c>
      <c r="V329" s="4" t="s">
        <v>3037</v>
      </c>
      <c r="W329" s="4" t="s">
        <v>3084</v>
      </c>
      <c r="X329" s="4" t="s">
        <v>4240</v>
      </c>
      <c r="Y329" s="4" t="s">
        <v>2961</v>
      </c>
      <c r="Z329" s="4" t="s">
        <v>2962</v>
      </c>
      <c r="AA329" s="4" t="s">
        <v>3032</v>
      </c>
      <c r="AB329" s="4" t="s">
        <v>2945</v>
      </c>
      <c r="AD329" s="10">
        <f t="shared" si="23"/>
        <v>1.2706816227973916E-3</v>
      </c>
      <c r="AE329" s="10">
        <f t="shared" si="20"/>
        <v>3.3112575638672967E-2</v>
      </c>
      <c r="AF329" s="10">
        <f t="shared" si="21"/>
        <v>0</v>
      </c>
      <c r="AG329" s="10">
        <f t="shared" ca="1" si="22"/>
        <v>0.67242142672441085</v>
      </c>
    </row>
    <row r="330" spans="1:33" x14ac:dyDescent="0.25">
      <c r="A330" s="50" t="s">
        <v>4241</v>
      </c>
      <c r="B330" s="4">
        <v>1172</v>
      </c>
      <c r="C330" s="53" t="s">
        <v>4242</v>
      </c>
      <c r="D330" s="4">
        <v>9.25</v>
      </c>
      <c r="E330" s="49">
        <v>42917</v>
      </c>
      <c r="F330" s="4">
        <v>5.67</v>
      </c>
      <c r="G330" s="4">
        <v>1.67</v>
      </c>
      <c r="H330" s="4" t="s">
        <v>3181</v>
      </c>
      <c r="I330" s="4" t="s">
        <v>3020</v>
      </c>
      <c r="J330" s="4">
        <f>IF(Z330="US",K330,VLOOKUP(Z330,'3032'!$AL$4:$AM$20,2,FALSE)*K330)</f>
        <v>108.75</v>
      </c>
      <c r="K330" s="4">
        <v>108.75</v>
      </c>
      <c r="L330" s="4">
        <v>1310687</v>
      </c>
      <c r="M330" s="4">
        <v>0.3</v>
      </c>
      <c r="N330" s="4">
        <v>0.313139</v>
      </c>
      <c r="O330" s="4">
        <v>7.33</v>
      </c>
      <c r="P330" s="4">
        <v>6.3</v>
      </c>
      <c r="Q330" s="4">
        <v>579</v>
      </c>
      <c r="R330" s="4">
        <v>521</v>
      </c>
      <c r="S330" s="4">
        <v>1.5</v>
      </c>
      <c r="T330" s="4">
        <v>-0.74</v>
      </c>
      <c r="U330" s="4"/>
      <c r="V330" s="4" t="s">
        <v>3209</v>
      </c>
      <c r="W330" s="4" t="s">
        <v>3210</v>
      </c>
      <c r="X330" s="4" t="s">
        <v>4243</v>
      </c>
      <c r="Y330" s="4" t="s">
        <v>2961</v>
      </c>
      <c r="Z330" s="4" t="s">
        <v>2962</v>
      </c>
      <c r="AA330" s="4" t="s">
        <v>3024</v>
      </c>
      <c r="AB330" s="4" t="s">
        <v>2945</v>
      </c>
      <c r="AD330" s="10">
        <f t="shared" si="23"/>
        <v>1.3801440949169479E-2</v>
      </c>
      <c r="AE330" s="10">
        <f t="shared" si="20"/>
        <v>6.7578264256474826E-2</v>
      </c>
      <c r="AF330" s="10">
        <f t="shared" si="21"/>
        <v>5.7507626939858776</v>
      </c>
      <c r="AG330" s="10">
        <f t="shared" ca="1" si="22"/>
        <v>0.6442156360277308</v>
      </c>
    </row>
    <row r="331" spans="1:33" x14ac:dyDescent="0.25">
      <c r="A331" s="50" t="s">
        <v>4244</v>
      </c>
      <c r="B331" s="4">
        <v>934</v>
      </c>
      <c r="C331" s="53" t="s">
        <v>4245</v>
      </c>
      <c r="D331" s="4">
        <v>5.8929999999999998</v>
      </c>
      <c r="E331" s="49">
        <v>13691</v>
      </c>
      <c r="F331" s="4">
        <v>25.65</v>
      </c>
      <c r="G331" s="4">
        <v>1.4</v>
      </c>
      <c r="H331" s="4" t="s">
        <v>3559</v>
      </c>
      <c r="I331" s="4" t="s">
        <v>3538</v>
      </c>
      <c r="J331" s="4">
        <f>IF(Z331="US",K331,VLOOKUP(Z331,'3032'!$AL$4:$AM$20,2,FALSE)*K331)</f>
        <v>52.95</v>
      </c>
      <c r="K331" s="4">
        <v>52.95</v>
      </c>
      <c r="L331" s="4">
        <v>499236</v>
      </c>
      <c r="M331" s="4">
        <v>0.24</v>
      </c>
      <c r="N331" s="4">
        <v>0.11927400000000001</v>
      </c>
      <c r="O331" s="4">
        <v>10.5</v>
      </c>
      <c r="P331" s="4">
        <v>10.5</v>
      </c>
      <c r="Q331" s="4">
        <v>900</v>
      </c>
      <c r="R331" s="4">
        <v>900</v>
      </c>
      <c r="S331" s="4">
        <v>0.7</v>
      </c>
      <c r="T331" s="4">
        <v>-0.01</v>
      </c>
      <c r="U331" s="4" t="s">
        <v>3049</v>
      </c>
      <c r="V331" s="4" t="s">
        <v>3520</v>
      </c>
      <c r="W331" s="4" t="s">
        <v>3589</v>
      </c>
      <c r="X331" s="4" t="s">
        <v>4246</v>
      </c>
      <c r="Y331" s="4" t="s">
        <v>2961</v>
      </c>
      <c r="Z331" s="4" t="s">
        <v>2962</v>
      </c>
      <c r="AA331" s="4" t="s">
        <v>3024</v>
      </c>
      <c r="AB331" s="4" t="s">
        <v>2945</v>
      </c>
      <c r="AD331" s="10">
        <f t="shared" si="23"/>
        <v>2.4532291445070161E-3</v>
      </c>
      <c r="AE331" s="10">
        <f t="shared" si="20"/>
        <v>0.12336628417780522</v>
      </c>
      <c r="AF331" s="10">
        <f t="shared" si="21"/>
        <v>16.954202201713894</v>
      </c>
      <c r="AG331" s="10">
        <f t="shared" ca="1" si="22"/>
        <v>1.4123797005575405</v>
      </c>
    </row>
    <row r="332" spans="1:33" x14ac:dyDescent="0.25">
      <c r="A332" s="50" t="s">
        <v>4247</v>
      </c>
      <c r="B332" s="4">
        <v>2037</v>
      </c>
      <c r="C332" s="53" t="s">
        <v>4248</v>
      </c>
      <c r="D332" s="4">
        <v>6.125</v>
      </c>
      <c r="E332" s="49">
        <v>44207</v>
      </c>
      <c r="F332" s="4">
        <v>9.1999999999999993</v>
      </c>
      <c r="G332" s="4">
        <v>9.1999999999999993</v>
      </c>
      <c r="H332" s="4" t="s">
        <v>3446</v>
      </c>
      <c r="I332" s="4" t="s">
        <v>3688</v>
      </c>
      <c r="J332" s="4">
        <f>IF(Z332="US",K332,VLOOKUP(Z332,'3032'!$AL$4:$AM$20,2,FALSE)*K332)</f>
        <v>105.6</v>
      </c>
      <c r="K332" s="4">
        <v>105.6</v>
      </c>
      <c r="L332" s="4">
        <v>2189112</v>
      </c>
      <c r="M332" s="4">
        <v>0.53</v>
      </c>
      <c r="N332" s="4">
        <v>0.52300599999999997</v>
      </c>
      <c r="O332" s="4">
        <v>5.35</v>
      </c>
      <c r="P332" s="4">
        <v>5.35</v>
      </c>
      <c r="Q332" s="4">
        <v>296</v>
      </c>
      <c r="R332" s="4">
        <v>358</v>
      </c>
      <c r="S332" s="4">
        <v>6.92</v>
      </c>
      <c r="T332" s="4">
        <v>0.63</v>
      </c>
      <c r="U332" s="4"/>
      <c r="V332" s="4" t="s">
        <v>3029</v>
      </c>
      <c r="W332" s="4" t="s">
        <v>3030</v>
      </c>
      <c r="X332" s="4" t="s">
        <v>4249</v>
      </c>
      <c r="Y332" s="4" t="s">
        <v>2990</v>
      </c>
      <c r="Z332" s="4" t="s">
        <v>2962</v>
      </c>
      <c r="AA332" s="4" t="s">
        <v>3024</v>
      </c>
      <c r="AB332" s="4" t="s">
        <v>2945</v>
      </c>
      <c r="AD332" s="10">
        <f t="shared" si="23"/>
        <v>0.23172419160657171</v>
      </c>
      <c r="AE332" s="10">
        <f t="shared" si="20"/>
        <v>0.10320121479736202</v>
      </c>
      <c r="AF332" s="10">
        <f t="shared" si="21"/>
        <v>8.9686367257745196</v>
      </c>
      <c r="AG332" s="10">
        <f t="shared" ca="1" si="22"/>
        <v>1.0448041858004502</v>
      </c>
    </row>
    <row r="333" spans="1:33" x14ac:dyDescent="0.25">
      <c r="A333" s="50" t="s">
        <v>4250</v>
      </c>
      <c r="B333" s="4">
        <v>856</v>
      </c>
      <c r="C333" s="53" t="s">
        <v>4251</v>
      </c>
      <c r="D333" s="4">
        <v>6.4</v>
      </c>
      <c r="E333" s="49">
        <v>43759</v>
      </c>
      <c r="F333" s="4">
        <v>7.98</v>
      </c>
      <c r="G333" s="4">
        <v>7.98</v>
      </c>
      <c r="H333" s="4" t="s">
        <v>3027</v>
      </c>
      <c r="I333" s="4" t="s">
        <v>3060</v>
      </c>
      <c r="J333" s="4">
        <f>IF(Z333="US",K333,VLOOKUP(Z333,'3032'!$AL$4:$AM$20,2,FALSE)*K333)</f>
        <v>100.77</v>
      </c>
      <c r="K333" s="4">
        <v>100.77</v>
      </c>
      <c r="L333" s="4">
        <v>864124</v>
      </c>
      <c r="M333" s="4">
        <v>0.22</v>
      </c>
      <c r="N333" s="4">
        <v>0.20644999999999999</v>
      </c>
      <c r="O333" s="4">
        <v>6.28</v>
      </c>
      <c r="P333" s="4">
        <v>6.28</v>
      </c>
      <c r="Q333" s="4">
        <v>408</v>
      </c>
      <c r="R333" s="4">
        <v>473</v>
      </c>
      <c r="S333" s="4">
        <v>6.17</v>
      </c>
      <c r="T333" s="4">
        <v>0.49</v>
      </c>
      <c r="U333" s="4"/>
      <c r="V333" s="4" t="s">
        <v>3029</v>
      </c>
      <c r="W333" s="4" t="s">
        <v>3030</v>
      </c>
      <c r="X333" s="4" t="s">
        <v>4252</v>
      </c>
      <c r="Y333" s="4" t="s">
        <v>2990</v>
      </c>
      <c r="Z333" s="4" t="s">
        <v>2962</v>
      </c>
      <c r="AA333" s="4" t="s">
        <v>3024</v>
      </c>
      <c r="AB333" s="4" t="s">
        <v>2945</v>
      </c>
      <c r="AD333" s="10">
        <f t="shared" si="23"/>
        <v>8.1556490845814081E-2</v>
      </c>
      <c r="AE333" s="10">
        <f t="shared" si="20"/>
        <v>4.4412293625638269E-2</v>
      </c>
      <c r="AF333" s="10">
        <f t="shared" si="21"/>
        <v>3.4421194677226716</v>
      </c>
      <c r="AG333" s="10">
        <f t="shared" ca="1" si="22"/>
        <v>0.39355943632388229</v>
      </c>
    </row>
    <row r="334" spans="1:33" x14ac:dyDescent="0.25">
      <c r="A334" s="50" t="s">
        <v>4253</v>
      </c>
      <c r="B334" s="4">
        <v>525</v>
      </c>
      <c r="C334" s="53" t="s">
        <v>4254</v>
      </c>
      <c r="D334" s="4">
        <v>5.625</v>
      </c>
      <c r="E334" s="49">
        <v>41666</v>
      </c>
      <c r="F334" s="4">
        <v>2.2400000000000002</v>
      </c>
      <c r="G334" s="4">
        <v>2.2400000000000002</v>
      </c>
      <c r="H334" s="4" t="s">
        <v>133</v>
      </c>
      <c r="I334" s="4" t="s">
        <v>3134</v>
      </c>
      <c r="J334" s="12" t="e">
        <f ca="1">IF(Z334="US",K334,VLOOKUP(Z334,'3032'!$AL$4:$AM$20,2,FALSE)*K334)</f>
        <v>#NAME?</v>
      </c>
      <c r="K334" s="12">
        <v>98.9</v>
      </c>
      <c r="L334" s="4">
        <v>755565</v>
      </c>
      <c r="M334" s="4">
        <v>0.14000000000000001</v>
      </c>
      <c r="N334" s="4">
        <v>0.18051400000000001</v>
      </c>
      <c r="O334" s="4">
        <v>6.15</v>
      </c>
      <c r="P334" s="4">
        <v>6.15</v>
      </c>
      <c r="Q334" s="4">
        <v>505</v>
      </c>
      <c r="R334" s="4">
        <v>503</v>
      </c>
      <c r="S334" s="4">
        <v>1.96</v>
      </c>
      <c r="T334" s="4">
        <v>0.05</v>
      </c>
      <c r="U334" s="4"/>
      <c r="V334" s="4" t="s">
        <v>3209</v>
      </c>
      <c r="W334" s="4" t="s">
        <v>4255</v>
      </c>
      <c r="X334" s="4" t="s">
        <v>4253</v>
      </c>
      <c r="Y334" s="4" t="s">
        <v>4256</v>
      </c>
      <c r="Z334" s="4" t="s">
        <v>2985</v>
      </c>
      <c r="AA334" s="4" t="s">
        <v>3067</v>
      </c>
      <c r="AB334" s="4" t="s">
        <v>2945</v>
      </c>
      <c r="AD334" s="10">
        <f t="shared" si="23"/>
        <v>1.0395899774844848E-2</v>
      </c>
      <c r="AE334" s="10">
        <f t="shared" si="20"/>
        <v>3.8028959159634453E-2</v>
      </c>
      <c r="AF334" s="10">
        <f t="shared" si="21"/>
        <v>3.2005789788474925</v>
      </c>
      <c r="AG334" s="10" t="e">
        <f t="shared" ca="1" si="22"/>
        <v>#NAME?</v>
      </c>
    </row>
    <row r="335" spans="1:33" x14ac:dyDescent="0.25">
      <c r="A335" s="50" t="s">
        <v>4257</v>
      </c>
      <c r="B335" s="4">
        <v>675</v>
      </c>
      <c r="C335" s="53" t="s">
        <v>4258</v>
      </c>
      <c r="D335" s="4">
        <v>7.25</v>
      </c>
      <c r="E335" s="49">
        <v>43174</v>
      </c>
      <c r="F335" s="4">
        <v>6.38</v>
      </c>
      <c r="G335" s="4">
        <v>6.38</v>
      </c>
      <c r="H335" s="4" t="s">
        <v>133</v>
      </c>
      <c r="I335" s="4" t="s">
        <v>3134</v>
      </c>
      <c r="J335" s="4">
        <f>IF(Z335="US",K335,VLOOKUP(Z335,'3032'!$AL$4:$AM$20,2,FALSE)*K335)</f>
        <v>104</v>
      </c>
      <c r="K335" s="4">
        <v>104</v>
      </c>
      <c r="L335" s="4">
        <v>708253</v>
      </c>
      <c r="M335" s="4">
        <v>0.17</v>
      </c>
      <c r="N335" s="4">
        <v>0.16921</v>
      </c>
      <c r="O335" s="4">
        <v>6.47</v>
      </c>
      <c r="P335" s="4">
        <v>6.47</v>
      </c>
      <c r="Q335" s="4">
        <v>494</v>
      </c>
      <c r="R335" s="4">
        <v>503</v>
      </c>
      <c r="S335" s="4">
        <v>5.03</v>
      </c>
      <c r="T335" s="4">
        <v>0.32</v>
      </c>
      <c r="U335" s="4"/>
      <c r="V335" s="4" t="s">
        <v>3209</v>
      </c>
      <c r="W335" s="4" t="s">
        <v>4255</v>
      </c>
      <c r="X335" s="4" t="s">
        <v>4259</v>
      </c>
      <c r="Y335" s="4" t="s">
        <v>4256</v>
      </c>
      <c r="Z335" s="4" t="s">
        <v>2962</v>
      </c>
      <c r="AA335" s="4" t="s">
        <v>3024</v>
      </c>
      <c r="AB335" s="4" t="s">
        <v>2945</v>
      </c>
      <c r="AD335" s="10">
        <f t="shared" si="23"/>
        <v>6.4038188987361452E-2</v>
      </c>
      <c r="AE335" s="10">
        <f t="shared" si="20"/>
        <v>3.750249784939922E-2</v>
      </c>
      <c r="AF335" s="10">
        <f t="shared" si="21"/>
        <v>3.0001649937539101</v>
      </c>
      <c r="AG335" s="10">
        <f t="shared" ca="1" si="22"/>
        <v>0.33290840965438795</v>
      </c>
    </row>
    <row r="336" spans="1:33" x14ac:dyDescent="0.25">
      <c r="A336" s="50" t="s">
        <v>4260</v>
      </c>
      <c r="B336" s="4">
        <v>144</v>
      </c>
      <c r="C336" s="53" t="s">
        <v>4261</v>
      </c>
      <c r="D336" s="4">
        <v>4.5220000000000002</v>
      </c>
      <c r="E336" s="49">
        <v>42653</v>
      </c>
      <c r="F336" s="4">
        <v>4.9400000000000004</v>
      </c>
      <c r="G336" s="4">
        <v>4.9400000000000004</v>
      </c>
      <c r="H336" s="4" t="s">
        <v>3064</v>
      </c>
      <c r="I336" s="4" t="s">
        <v>3020</v>
      </c>
      <c r="J336" s="4">
        <f>IF(Z336="US",K336,VLOOKUP(Z336,'3032'!$AL$4:$AM$20,2,FALSE)*K336)</f>
        <v>87.25</v>
      </c>
      <c r="K336" s="4">
        <v>87.25</v>
      </c>
      <c r="L336" s="4">
        <v>125846</v>
      </c>
      <c r="M336" s="4">
        <v>0.04</v>
      </c>
      <c r="N336" s="4">
        <v>3.0065999999999999E-2</v>
      </c>
      <c r="O336" s="4">
        <v>8.06</v>
      </c>
      <c r="P336" s="4">
        <v>8.06</v>
      </c>
      <c r="Q336" s="4">
        <v>425</v>
      </c>
      <c r="R336" s="4">
        <v>0</v>
      </c>
      <c r="S336" s="4">
        <v>0.25</v>
      </c>
      <c r="T336" s="4">
        <v>0.25</v>
      </c>
      <c r="U336" s="4" t="s">
        <v>3049</v>
      </c>
      <c r="V336" s="4" t="s">
        <v>4262</v>
      </c>
      <c r="W336" s="4" t="s">
        <v>4263</v>
      </c>
      <c r="X336" s="4" t="s">
        <v>4264</v>
      </c>
      <c r="Y336" s="4" t="s">
        <v>2961</v>
      </c>
      <c r="Z336" s="4" t="s">
        <v>2962</v>
      </c>
      <c r="AA336" s="4" t="s">
        <v>3032</v>
      </c>
      <c r="AB336" s="4" t="s">
        <v>2945</v>
      </c>
      <c r="AD336" s="10">
        <f t="shared" si="23"/>
        <v>2.2085823918921682E-4</v>
      </c>
      <c r="AE336" s="10">
        <f t="shared" si="20"/>
        <v>1.700879131824834E-2</v>
      </c>
      <c r="AF336" s="10">
        <f t="shared" si="21"/>
        <v>0</v>
      </c>
      <c r="AG336" s="10">
        <f t="shared" ca="1" si="22"/>
        <v>0.10828573916621251</v>
      </c>
    </row>
    <row r="337" spans="1:33" x14ac:dyDescent="0.25">
      <c r="A337" s="50" t="s">
        <v>4265</v>
      </c>
      <c r="B337" s="4">
        <v>853</v>
      </c>
      <c r="C337" s="53" t="s">
        <v>4266</v>
      </c>
      <c r="D337" s="4">
        <v>4.5220000000000002</v>
      </c>
      <c r="E337" s="49">
        <v>42653</v>
      </c>
      <c r="F337" s="4">
        <v>4.9400000000000004</v>
      </c>
      <c r="G337" s="4">
        <v>4.9400000000000004</v>
      </c>
      <c r="H337" s="4" t="s">
        <v>3064</v>
      </c>
      <c r="I337" s="4" t="s">
        <v>3020</v>
      </c>
      <c r="J337" s="4">
        <f>IF(Z337="US",K337,VLOOKUP(Z337,'3032'!$AL$4:$AM$20,2,FALSE)*K337)</f>
        <v>87.25</v>
      </c>
      <c r="K337" s="4">
        <v>87.25</v>
      </c>
      <c r="L337" s="4">
        <v>753165</v>
      </c>
      <c r="M337" s="4">
        <v>0.22</v>
      </c>
      <c r="N337" s="4">
        <v>0.17993999999999999</v>
      </c>
      <c r="O337" s="4">
        <v>8.09</v>
      </c>
      <c r="P337" s="4">
        <v>8.09</v>
      </c>
      <c r="Q337" s="4">
        <v>425</v>
      </c>
      <c r="R337" s="4">
        <v>0</v>
      </c>
      <c r="S337" s="4">
        <v>0.25</v>
      </c>
      <c r="T337" s="4">
        <v>0.25</v>
      </c>
      <c r="U337" s="4" t="s">
        <v>3049</v>
      </c>
      <c r="V337" s="4" t="s">
        <v>4262</v>
      </c>
      <c r="W337" s="4" t="s">
        <v>4263</v>
      </c>
      <c r="X337" s="4" t="s">
        <v>4267</v>
      </c>
      <c r="Y337" s="4" t="s">
        <v>2961</v>
      </c>
      <c r="Z337" s="4" t="s">
        <v>2962</v>
      </c>
      <c r="AA337" s="4" t="s">
        <v>3032</v>
      </c>
      <c r="AB337" s="4" t="s">
        <v>3033</v>
      </c>
      <c r="AD337" s="10">
        <f t="shared" si="23"/>
        <v>1.3217956527736001E-3</v>
      </c>
      <c r="AE337" s="10">
        <f t="shared" si="20"/>
        <v>0.10217335315168265</v>
      </c>
      <c r="AF337" s="10">
        <f t="shared" si="21"/>
        <v>0</v>
      </c>
      <c r="AG337" s="10">
        <f t="shared" ca="1" si="22"/>
        <v>0.64807009153346518</v>
      </c>
    </row>
    <row r="338" spans="1:33" x14ac:dyDescent="0.25">
      <c r="A338" s="50" t="s">
        <v>4268</v>
      </c>
      <c r="B338" s="4">
        <v>978</v>
      </c>
      <c r="C338" s="53" t="s">
        <v>4269</v>
      </c>
      <c r="D338" s="4">
        <v>6.75</v>
      </c>
      <c r="E338" s="49">
        <v>24652</v>
      </c>
      <c r="F338" s="4">
        <v>55.66</v>
      </c>
      <c r="G338" s="4">
        <v>5.66</v>
      </c>
      <c r="H338" s="4" t="s">
        <v>133</v>
      </c>
      <c r="I338" s="4" t="s">
        <v>3134</v>
      </c>
      <c r="J338" s="12" t="e">
        <f ca="1">IF(Z338="US",K338,VLOOKUP(Z338,'3032'!$AL$4:$AM$20,2,FALSE)*K338)</f>
        <v>#NAME?</v>
      </c>
      <c r="K338" s="12">
        <v>92</v>
      </c>
      <c r="L338" s="4">
        <v>1286432</v>
      </c>
      <c r="M338" s="4">
        <v>0.25</v>
      </c>
      <c r="N338" s="4">
        <v>0.30734499999999998</v>
      </c>
      <c r="O338" s="4">
        <v>7.35</v>
      </c>
      <c r="P338" s="4">
        <v>8.6</v>
      </c>
      <c r="Q338" s="4">
        <v>639</v>
      </c>
      <c r="R338" s="4">
        <v>645</v>
      </c>
      <c r="S338" s="4">
        <v>4.4000000000000004</v>
      </c>
      <c r="T338" s="4">
        <v>0.26</v>
      </c>
      <c r="U338" s="4" t="s">
        <v>3049</v>
      </c>
      <c r="V338" s="4" t="s">
        <v>3173</v>
      </c>
      <c r="W338" s="4" t="s">
        <v>3470</v>
      </c>
      <c r="X338" s="4" t="s">
        <v>4268</v>
      </c>
      <c r="Y338" s="4" t="s">
        <v>2990</v>
      </c>
      <c r="Z338" s="4" t="s">
        <v>2985</v>
      </c>
      <c r="AA338" s="4" t="s">
        <v>3024</v>
      </c>
      <c r="AB338" s="4" t="s">
        <v>2945</v>
      </c>
      <c r="AD338" s="10">
        <f t="shared" si="23"/>
        <v>0.10174712459211638</v>
      </c>
      <c r="AE338" s="10">
        <f t="shared" si="20"/>
        <v>0.18551724265141745</v>
      </c>
      <c r="AF338" s="10">
        <f t="shared" si="21"/>
        <v>14.391569161277053</v>
      </c>
      <c r="AG338" s="10" t="e">
        <f t="shared" ca="1" si="22"/>
        <v>#NAME?</v>
      </c>
    </row>
    <row r="339" spans="1:33" x14ac:dyDescent="0.25">
      <c r="A339" s="50" t="s">
        <v>4270</v>
      </c>
      <c r="B339" s="4">
        <v>612</v>
      </c>
      <c r="C339" s="53" t="s">
        <v>4271</v>
      </c>
      <c r="D339" s="4">
        <v>7.75</v>
      </c>
      <c r="E339" s="49">
        <v>42658</v>
      </c>
      <c r="F339" s="4">
        <v>4.96</v>
      </c>
      <c r="G339" s="4">
        <v>0.96</v>
      </c>
      <c r="H339" s="4" t="s">
        <v>3019</v>
      </c>
      <c r="I339" s="4" t="s">
        <v>3036</v>
      </c>
      <c r="J339" s="4">
        <f>IF(Z339="US",K339,VLOOKUP(Z339,'3032'!$AL$4:$AM$20,2,FALSE)*K339)</f>
        <v>105.13</v>
      </c>
      <c r="K339" s="4">
        <v>105.13</v>
      </c>
      <c r="L339" s="4">
        <v>645473</v>
      </c>
      <c r="M339" s="4">
        <v>0.16</v>
      </c>
      <c r="N339" s="4">
        <v>0.15421199999999999</v>
      </c>
      <c r="O339" s="4">
        <v>6.52</v>
      </c>
      <c r="P339" s="4">
        <v>6.14</v>
      </c>
      <c r="Q339" s="4">
        <v>655</v>
      </c>
      <c r="R339" s="4">
        <v>589</v>
      </c>
      <c r="S339" s="4">
        <v>0.91</v>
      </c>
      <c r="T339" s="4">
        <v>-1.53</v>
      </c>
      <c r="U339" s="4"/>
      <c r="V339" s="4" t="s">
        <v>3173</v>
      </c>
      <c r="W339" s="4" t="s">
        <v>3470</v>
      </c>
      <c r="X339" s="4" t="s">
        <v>4272</v>
      </c>
      <c r="Y339" s="4" t="s">
        <v>2961</v>
      </c>
      <c r="Z339" s="4" t="s">
        <v>2962</v>
      </c>
      <c r="AA339" s="4" t="s">
        <v>3041</v>
      </c>
      <c r="AB339" s="4" t="s">
        <v>2945</v>
      </c>
      <c r="AD339" s="10">
        <f t="shared" si="23"/>
        <v>4.1233827854363272E-3</v>
      </c>
      <c r="AE339" s="10">
        <f t="shared" si="20"/>
        <v>3.243500304675264E-2</v>
      </c>
      <c r="AF339" s="10">
        <f t="shared" si="21"/>
        <v>3.2017108434102237</v>
      </c>
      <c r="AG339" s="10">
        <f t="shared" ca="1" si="22"/>
        <v>0.30669574372945907</v>
      </c>
    </row>
    <row r="340" spans="1:33" x14ac:dyDescent="0.25">
      <c r="A340" s="50" t="s">
        <v>4273</v>
      </c>
      <c r="B340" s="4">
        <v>1025</v>
      </c>
      <c r="C340" s="53" t="s">
        <v>4271</v>
      </c>
      <c r="D340" s="4">
        <v>7.875</v>
      </c>
      <c r="E340" s="49">
        <v>43692</v>
      </c>
      <c r="F340" s="4">
        <v>7.79</v>
      </c>
      <c r="G340" s="4">
        <v>3.79</v>
      </c>
      <c r="H340" s="4" t="s">
        <v>3019</v>
      </c>
      <c r="I340" s="4" t="s">
        <v>3036</v>
      </c>
      <c r="J340" s="4">
        <f>IF(Z340="US",K340,VLOOKUP(Z340,'3032'!$AL$4:$AM$20,2,FALSE)*K340)</f>
        <v>104.5</v>
      </c>
      <c r="K340" s="4">
        <v>104.5</v>
      </c>
      <c r="L340" s="4">
        <v>1089511</v>
      </c>
      <c r="M340" s="4">
        <v>0.26</v>
      </c>
      <c r="N340" s="4">
        <v>0.26029799999999997</v>
      </c>
      <c r="O340" s="4">
        <v>7.11</v>
      </c>
      <c r="P340" s="4">
        <v>6.91</v>
      </c>
      <c r="Q340" s="4">
        <v>545</v>
      </c>
      <c r="R340" s="4">
        <v>551</v>
      </c>
      <c r="S340" s="4">
        <v>4.55</v>
      </c>
      <c r="T340" s="4">
        <v>0.26</v>
      </c>
      <c r="U340" s="4"/>
      <c r="V340" s="4" t="s">
        <v>3173</v>
      </c>
      <c r="W340" s="4" t="s">
        <v>3470</v>
      </c>
      <c r="X340" s="4" t="s">
        <v>4274</v>
      </c>
      <c r="Y340" s="4" t="s">
        <v>2961</v>
      </c>
      <c r="Z340" s="4" t="s">
        <v>2962</v>
      </c>
      <c r="AA340" s="4" t="s">
        <v>3041</v>
      </c>
      <c r="AB340" s="4" t="s">
        <v>2945</v>
      </c>
      <c r="AD340" s="10">
        <f t="shared" si="23"/>
        <v>8.9109837086703933E-2</v>
      </c>
      <c r="AE340" s="10">
        <f t="shared" si="20"/>
        <v>6.1613681340118097E-2</v>
      </c>
      <c r="AF340" s="10">
        <f t="shared" si="21"/>
        <v>5.055591206045138</v>
      </c>
      <c r="AG340" s="10">
        <f t="shared" ca="1" si="22"/>
        <v>0.51457764353187341</v>
      </c>
    </row>
    <row r="341" spans="1:33" x14ac:dyDescent="0.25">
      <c r="A341" s="50" t="s">
        <v>4275</v>
      </c>
      <c r="B341" s="4">
        <v>2089</v>
      </c>
      <c r="C341" s="53" t="s">
        <v>4276</v>
      </c>
      <c r="D341" s="4">
        <v>9.875</v>
      </c>
      <c r="E341" s="49">
        <v>43692</v>
      </c>
      <c r="F341" s="4">
        <v>7.79</v>
      </c>
      <c r="G341" s="4">
        <v>3.79</v>
      </c>
      <c r="H341" s="4" t="s">
        <v>3064</v>
      </c>
      <c r="I341" s="4" t="s">
        <v>3432</v>
      </c>
      <c r="J341" s="4">
        <f>IF(Z341="US",K341,VLOOKUP(Z341,'3032'!$AL$4:$AM$20,2,FALSE)*K341)</f>
        <v>100</v>
      </c>
      <c r="K341" s="4">
        <v>100</v>
      </c>
      <c r="L341" s="4">
        <v>2135988</v>
      </c>
      <c r="M341" s="4">
        <v>0.54</v>
      </c>
      <c r="N341" s="4">
        <v>0.51031400000000005</v>
      </c>
      <c r="O341" s="4">
        <v>9.8699999999999992</v>
      </c>
      <c r="P341" s="4">
        <v>9.8699999999999992</v>
      </c>
      <c r="Q341" s="4">
        <v>828</v>
      </c>
      <c r="R341" s="4">
        <v>792</v>
      </c>
      <c r="S341" s="4">
        <v>4.24</v>
      </c>
      <c r="T341" s="4">
        <v>0.28999999999999998</v>
      </c>
      <c r="U341" s="4"/>
      <c r="V341" s="4" t="s">
        <v>3173</v>
      </c>
      <c r="W341" s="4" t="s">
        <v>3470</v>
      </c>
      <c r="X341" s="4" t="s">
        <v>4277</v>
      </c>
      <c r="Y341" s="4" t="s">
        <v>2961</v>
      </c>
      <c r="Z341" s="4" t="s">
        <v>2962</v>
      </c>
      <c r="AA341" s="4" t="s">
        <v>3041</v>
      </c>
      <c r="AB341" s="4" t="s">
        <v>3033</v>
      </c>
      <c r="AD341" s="10">
        <f t="shared" si="23"/>
        <v>0.16279733783269004</v>
      </c>
      <c r="AE341" s="10">
        <f t="shared" si="20"/>
        <v>0.35352078755133098</v>
      </c>
      <c r="AF341" s="10">
        <f t="shared" si="21"/>
        <v>29.34172145372726</v>
      </c>
      <c r="AG341" s="10">
        <f t="shared" ca="1" si="22"/>
        <v>0.96538781410149177</v>
      </c>
    </row>
    <row r="342" spans="1:33" x14ac:dyDescent="0.25">
      <c r="A342" s="50" t="s">
        <v>4278</v>
      </c>
      <c r="B342" s="4">
        <v>1750</v>
      </c>
      <c r="C342" s="53" t="s">
        <v>4279</v>
      </c>
      <c r="D342" s="4">
        <v>6.875</v>
      </c>
      <c r="E342" s="49">
        <v>43435</v>
      </c>
      <c r="F342" s="4">
        <v>7.09</v>
      </c>
      <c r="G342" s="4">
        <v>3.09</v>
      </c>
      <c r="H342" s="4" t="s">
        <v>3019</v>
      </c>
      <c r="I342" s="4" t="s">
        <v>3020</v>
      </c>
      <c r="J342" s="4">
        <f>IF(Z342="US",K342,VLOOKUP(Z342,'3032'!$AL$4:$AM$20,2,FALSE)*K342)</f>
        <v>105.5</v>
      </c>
      <c r="K342" s="4">
        <v>105.5</v>
      </c>
      <c r="L342" s="4">
        <v>1896380</v>
      </c>
      <c r="M342" s="4">
        <v>0.45</v>
      </c>
      <c r="N342" s="4">
        <v>0.453069</v>
      </c>
      <c r="O342" s="4">
        <v>5.91</v>
      </c>
      <c r="P342" s="4">
        <v>5.61</v>
      </c>
      <c r="Q342" s="4">
        <v>447</v>
      </c>
      <c r="R342" s="4">
        <v>434</v>
      </c>
      <c r="S342" s="4">
        <v>4.17</v>
      </c>
      <c r="T342" s="4">
        <v>0.03</v>
      </c>
      <c r="U342" s="4"/>
      <c r="V342" s="4" t="s">
        <v>3124</v>
      </c>
      <c r="W342" s="4" t="s">
        <v>3466</v>
      </c>
      <c r="X342" s="4" t="s">
        <v>4280</v>
      </c>
      <c r="Y342" s="4" t="s">
        <v>2961</v>
      </c>
      <c r="Z342" s="4" t="s">
        <v>2962</v>
      </c>
      <c r="AA342" s="4" t="s">
        <v>3024</v>
      </c>
      <c r="AB342" s="4" t="s">
        <v>2945</v>
      </c>
      <c r="AD342" s="10">
        <f t="shared" si="23"/>
        <v>0.14214908059281411</v>
      </c>
      <c r="AE342" s="10">
        <f t="shared" si="20"/>
        <v>9.3745682123617724E-2</v>
      </c>
      <c r="AF342" s="10">
        <f t="shared" si="21"/>
        <v>6.931126535699029</v>
      </c>
      <c r="AG342" s="10">
        <f t="shared" ca="1" si="22"/>
        <v>0.90423399418236683</v>
      </c>
    </row>
    <row r="343" spans="1:33" x14ac:dyDescent="0.25">
      <c r="A343" s="50" t="s">
        <v>4281</v>
      </c>
      <c r="B343" s="4">
        <v>126</v>
      </c>
      <c r="C343" s="53" t="s">
        <v>4282</v>
      </c>
      <c r="D343" s="4">
        <v>1.5</v>
      </c>
      <c r="E343" s="49">
        <v>13864</v>
      </c>
      <c r="F343" s="4">
        <v>26.13</v>
      </c>
      <c r="G343" s="4">
        <v>1.1200000000000001</v>
      </c>
      <c r="H343" s="4" t="s">
        <v>3054</v>
      </c>
      <c r="I343" s="4" t="s">
        <v>3083</v>
      </c>
      <c r="J343" s="4">
        <f>IF(Z343="US",K343,VLOOKUP(Z343,'3032'!$AL$4:$AM$20,2,FALSE)*K343)</f>
        <v>97.63</v>
      </c>
      <c r="K343" s="4">
        <v>97.63</v>
      </c>
      <c r="L343" s="4">
        <v>123722</v>
      </c>
      <c r="M343" s="4">
        <v>0.03</v>
      </c>
      <c r="N343" s="4">
        <v>2.9558999999999998E-2</v>
      </c>
      <c r="O343" s="4">
        <v>2.79</v>
      </c>
      <c r="P343" s="4">
        <v>2.79</v>
      </c>
      <c r="Q343" s="4">
        <v>0</v>
      </c>
      <c r="R343" s="4">
        <v>0</v>
      </c>
      <c r="S343" s="4">
        <v>1.0900000000000001</v>
      </c>
      <c r="T343" s="4">
        <v>5.27</v>
      </c>
      <c r="U343" s="4"/>
      <c r="V343" s="4" t="s">
        <v>3124</v>
      </c>
      <c r="W343" s="4" t="s">
        <v>3142</v>
      </c>
      <c r="X343" s="4" t="s">
        <v>4283</v>
      </c>
      <c r="Y343" s="4" t="s">
        <v>3086</v>
      </c>
      <c r="Z343" s="4" t="s">
        <v>2962</v>
      </c>
      <c r="AA343" s="4" t="s">
        <v>3024</v>
      </c>
      <c r="AB343" s="4" t="s">
        <v>2945</v>
      </c>
      <c r="AD343" s="10">
        <f t="shared" si="23"/>
        <v>9.4668960936940163E-4</v>
      </c>
      <c r="AE343" s="10">
        <f t="shared" si="20"/>
        <v>4.2234060719886692E-3</v>
      </c>
      <c r="AF343" s="10">
        <f t="shared" si="21"/>
        <v>0</v>
      </c>
      <c r="AG343" s="10">
        <f t="shared" ca="1" si="22"/>
        <v>0.11912327776867182</v>
      </c>
    </row>
    <row r="344" spans="1:33" x14ac:dyDescent="0.25">
      <c r="A344" s="50" t="s">
        <v>4284</v>
      </c>
      <c r="B344" s="4">
        <v>1298</v>
      </c>
      <c r="C344" s="53" t="s">
        <v>4285</v>
      </c>
      <c r="D344" s="4">
        <v>9</v>
      </c>
      <c r="E344" s="49">
        <v>43586</v>
      </c>
      <c r="F344" s="4">
        <v>7.5</v>
      </c>
      <c r="G344" s="4">
        <v>7.5</v>
      </c>
      <c r="H344" s="4" t="s">
        <v>3232</v>
      </c>
      <c r="I344" s="4" t="s">
        <v>3060</v>
      </c>
      <c r="J344" s="4">
        <f>IF(Z344="US",K344,VLOOKUP(Z344,'3032'!$AL$4:$AM$20,2,FALSE)*K344)</f>
        <v>136.58000000000001</v>
      </c>
      <c r="K344" s="4">
        <v>136.58000000000001</v>
      </c>
      <c r="L344" s="4">
        <v>1831161</v>
      </c>
      <c r="M344" s="4">
        <v>0.33</v>
      </c>
      <c r="N344" s="4">
        <v>0.43748700000000001</v>
      </c>
      <c r="O344" s="4">
        <v>3.43</v>
      </c>
      <c r="P344" s="4">
        <v>3.43</v>
      </c>
      <c r="Q344" s="4">
        <v>171</v>
      </c>
      <c r="R344" s="4">
        <v>185</v>
      </c>
      <c r="S344" s="4">
        <v>5.63</v>
      </c>
      <c r="T344" s="4">
        <v>0.42</v>
      </c>
      <c r="U344" s="4"/>
      <c r="V344" s="4" t="s">
        <v>3037</v>
      </c>
      <c r="W344" s="4" t="s">
        <v>3038</v>
      </c>
      <c r="X344" s="4" t="s">
        <v>4286</v>
      </c>
      <c r="Y344" s="4" t="s">
        <v>2949</v>
      </c>
      <c r="Z344" s="4" t="s">
        <v>2962</v>
      </c>
      <c r="AA344" s="4" t="s">
        <v>3024</v>
      </c>
      <c r="AB344" s="4" t="s">
        <v>2945</v>
      </c>
      <c r="AD344" s="10">
        <f t="shared" si="23"/>
        <v>0.18531798043625411</v>
      </c>
      <c r="AE344" s="10">
        <f t="shared" si="20"/>
        <v>7.6847962088052002E-2</v>
      </c>
      <c r="AF344" s="10">
        <f t="shared" si="21"/>
        <v>3.1501464342684447</v>
      </c>
      <c r="AG344" s="10">
        <f t="shared" ca="1" si="22"/>
        <v>13.221859949559208</v>
      </c>
    </row>
    <row r="345" spans="1:33" x14ac:dyDescent="0.25">
      <c r="A345" s="50" t="s">
        <v>4287</v>
      </c>
      <c r="B345" s="4">
        <v>734</v>
      </c>
      <c r="C345" s="53" t="s">
        <v>4288</v>
      </c>
      <c r="D345" s="4">
        <v>8.5</v>
      </c>
      <c r="E345" s="49">
        <v>42036</v>
      </c>
      <c r="F345" s="4">
        <v>3.25</v>
      </c>
      <c r="G345" s="4">
        <v>0.25</v>
      </c>
      <c r="H345" s="4" t="s">
        <v>135</v>
      </c>
      <c r="I345" s="4" t="s">
        <v>3065</v>
      </c>
      <c r="J345" s="4">
        <f>IF(Z345="US",K345,VLOOKUP(Z345,'3032'!$AL$4:$AM$20,2,FALSE)*K345)</f>
        <v>103.75</v>
      </c>
      <c r="K345" s="4">
        <v>103.75</v>
      </c>
      <c r="L345" s="4">
        <v>777123</v>
      </c>
      <c r="M345" s="4">
        <v>0.19</v>
      </c>
      <c r="N345" s="4">
        <v>0.185664</v>
      </c>
      <c r="O345" s="4">
        <v>7.18</v>
      </c>
      <c r="P345" s="4">
        <v>1.68</v>
      </c>
      <c r="Q345" s="4">
        <v>14</v>
      </c>
      <c r="R345" s="4">
        <v>162</v>
      </c>
      <c r="S345" s="4">
        <v>0.2</v>
      </c>
      <c r="T345" s="4">
        <v>0</v>
      </c>
      <c r="U345" s="4" t="s">
        <v>3049</v>
      </c>
      <c r="V345" s="4" t="s">
        <v>3209</v>
      </c>
      <c r="W345" s="4" t="s">
        <v>3582</v>
      </c>
      <c r="X345" s="4" t="s">
        <v>4289</v>
      </c>
      <c r="Y345" s="4" t="s">
        <v>2961</v>
      </c>
      <c r="Z345" s="4" t="s">
        <v>2962</v>
      </c>
      <c r="AA345" s="4" t="s">
        <v>3024</v>
      </c>
      <c r="AB345" s="4" t="s">
        <v>2945</v>
      </c>
      <c r="AD345" s="10">
        <f t="shared" si="23"/>
        <v>1.0910733271677559E-3</v>
      </c>
      <c r="AE345" s="10">
        <f t="shared" si="20"/>
        <v>-1.3491774519570598</v>
      </c>
      <c r="AF345" s="10">
        <f t="shared" si="21"/>
        <v>1.1706774719366284</v>
      </c>
      <c r="AG345" s="10">
        <f t="shared" ca="1" si="22"/>
        <v>0.36440210082765839</v>
      </c>
    </row>
    <row r="346" spans="1:33" x14ac:dyDescent="0.25">
      <c r="A346" s="50" t="s">
        <v>4290</v>
      </c>
      <c r="B346" s="4">
        <v>2900</v>
      </c>
      <c r="C346" s="53" t="s">
        <v>4291</v>
      </c>
      <c r="D346" s="4">
        <v>8.625</v>
      </c>
      <c r="E346" s="49">
        <v>42491</v>
      </c>
      <c r="F346" s="4">
        <v>4.5</v>
      </c>
      <c r="G346" s="4">
        <v>0.5</v>
      </c>
      <c r="H346" s="4" t="s">
        <v>3064</v>
      </c>
      <c r="I346" s="4" t="s">
        <v>3065</v>
      </c>
      <c r="J346" s="4">
        <f>IF(Z346="US",K346,VLOOKUP(Z346,'3032'!$AL$4:$AM$20,2,FALSE)*K346)</f>
        <v>103.75</v>
      </c>
      <c r="K346" s="4">
        <v>103.75</v>
      </c>
      <c r="L346" s="4">
        <v>3142845</v>
      </c>
      <c r="M346" s="4">
        <v>0.75</v>
      </c>
      <c r="N346" s="4">
        <v>0.750865</v>
      </c>
      <c r="O346" s="4">
        <v>7.62</v>
      </c>
      <c r="P346" s="4">
        <v>4.9400000000000004</v>
      </c>
      <c r="Q346" s="4">
        <v>393</v>
      </c>
      <c r="R346" s="4">
        <v>391</v>
      </c>
      <c r="S346" s="4">
        <v>0.47</v>
      </c>
      <c r="T346" s="4">
        <v>-0.44</v>
      </c>
      <c r="U346" s="4"/>
      <c r="V346" s="4" t="s">
        <v>3209</v>
      </c>
      <c r="W346" s="4" t="s">
        <v>3582</v>
      </c>
      <c r="X346" s="4" t="s">
        <v>4292</v>
      </c>
      <c r="Y346" s="4" t="s">
        <v>2961</v>
      </c>
      <c r="Z346" s="4" t="s">
        <v>2962</v>
      </c>
      <c r="AA346" s="4" t="s">
        <v>3041</v>
      </c>
      <c r="AB346" s="4" t="s">
        <v>2945</v>
      </c>
      <c r="AD346" s="10">
        <f t="shared" si="23"/>
        <v>1.0369432798499055E-2</v>
      </c>
      <c r="AE346" s="10">
        <f t="shared" si="20"/>
        <v>0.13680846105241801</v>
      </c>
      <c r="AF346" s="10">
        <f t="shared" si="21"/>
        <v>14.062908312488396</v>
      </c>
      <c r="AG346" s="10">
        <f t="shared" ca="1" si="22"/>
        <v>1.4737169284343687</v>
      </c>
    </row>
    <row r="347" spans="1:33" x14ac:dyDescent="0.25">
      <c r="A347" s="50" t="s">
        <v>4293</v>
      </c>
      <c r="B347" s="4">
        <v>1687</v>
      </c>
      <c r="C347" s="53" t="s">
        <v>4294</v>
      </c>
      <c r="D347" s="4">
        <v>8</v>
      </c>
      <c r="E347" s="49">
        <v>43600</v>
      </c>
      <c r="F347" s="4">
        <v>7.54</v>
      </c>
      <c r="G347" s="4">
        <v>2.54</v>
      </c>
      <c r="H347" s="4" t="s">
        <v>133</v>
      </c>
      <c r="I347" s="4" t="s">
        <v>3036</v>
      </c>
      <c r="J347" s="4">
        <f>IF(Z347="US",K347,VLOOKUP(Z347,'3032'!$AL$4:$AM$20,2,FALSE)*K347)</f>
        <v>111.5</v>
      </c>
      <c r="K347" s="4">
        <v>111.5</v>
      </c>
      <c r="L347" s="4">
        <v>1943237</v>
      </c>
      <c r="M347" s="4">
        <v>0.43</v>
      </c>
      <c r="N347" s="4">
        <v>0.46426299999999998</v>
      </c>
      <c r="O347" s="4">
        <v>6.08</v>
      </c>
      <c r="P347" s="4">
        <v>4.6500000000000004</v>
      </c>
      <c r="Q347" s="4">
        <v>426</v>
      </c>
      <c r="R347" s="4">
        <v>358</v>
      </c>
      <c r="S347" s="4">
        <v>2.23</v>
      </c>
      <c r="T347" s="4">
        <v>-0.51</v>
      </c>
      <c r="U347" s="4"/>
      <c r="V347" s="4" t="s">
        <v>3124</v>
      </c>
      <c r="W347" s="4" t="s">
        <v>3142</v>
      </c>
      <c r="X347" s="4" t="s">
        <v>4295</v>
      </c>
      <c r="Y347" s="4" t="s">
        <v>2961</v>
      </c>
      <c r="Z347" s="4" t="s">
        <v>2962</v>
      </c>
      <c r="AA347" s="4" t="s">
        <v>3024</v>
      </c>
      <c r="AB347" s="4" t="s">
        <v>2945</v>
      </c>
      <c r="AD347" s="10">
        <f t="shared" si="23"/>
        <v>4.3361206503056512E-2</v>
      </c>
      <c r="AE347" s="10">
        <f t="shared" si="20"/>
        <v>7.9623592736445689E-2</v>
      </c>
      <c r="AF347" s="10">
        <f t="shared" si="21"/>
        <v>7.9613042754705567</v>
      </c>
      <c r="AG347" s="10">
        <f t="shared" ca="1" si="22"/>
        <v>0.97927268855345706</v>
      </c>
    </row>
    <row r="348" spans="1:33" x14ac:dyDescent="0.25">
      <c r="A348" s="50" t="s">
        <v>4296</v>
      </c>
      <c r="B348" s="4">
        <v>571</v>
      </c>
      <c r="C348" s="53" t="s">
        <v>4297</v>
      </c>
      <c r="D348" s="4">
        <v>6.8540000000000001</v>
      </c>
      <c r="E348" s="49">
        <v>18047</v>
      </c>
      <c r="F348" s="4">
        <v>37.58</v>
      </c>
      <c r="G348" s="4">
        <v>4.57</v>
      </c>
      <c r="H348" s="4" t="s">
        <v>3027</v>
      </c>
      <c r="I348" s="4" t="s">
        <v>3079</v>
      </c>
      <c r="J348" s="4">
        <f>IF(Z348="US",K348,VLOOKUP(Z348,'3032'!$AL$4:$AM$20,2,FALSE)*K348)</f>
        <v>90.17</v>
      </c>
      <c r="K348" s="4">
        <v>90.17</v>
      </c>
      <c r="L348" s="4">
        <v>531851</v>
      </c>
      <c r="M348" s="4">
        <v>0.15</v>
      </c>
      <c r="N348" s="4">
        <v>0.12706600000000001</v>
      </c>
      <c r="O348" s="4">
        <v>7.65</v>
      </c>
      <c r="P348" s="4">
        <v>10.5</v>
      </c>
      <c r="Q348" s="4">
        <v>866</v>
      </c>
      <c r="R348" s="4">
        <v>870</v>
      </c>
      <c r="S348" s="4">
        <v>3.6</v>
      </c>
      <c r="T348" s="4">
        <v>0.17</v>
      </c>
      <c r="U348" s="4" t="s">
        <v>3049</v>
      </c>
      <c r="V348" s="4" t="s">
        <v>3398</v>
      </c>
      <c r="W348" s="4" t="s">
        <v>3407</v>
      </c>
      <c r="X348" s="4" t="s">
        <v>4298</v>
      </c>
      <c r="Y348" s="4" t="s">
        <v>4299</v>
      </c>
      <c r="Z348" s="4" t="s">
        <v>2962</v>
      </c>
      <c r="AA348" s="4" t="s">
        <v>3041</v>
      </c>
      <c r="AB348" s="4" t="s">
        <v>2945</v>
      </c>
      <c r="AD348" s="10">
        <f t="shared" si="23"/>
        <v>1.9158575049213419E-2</v>
      </c>
      <c r="AE348" s="10">
        <f t="shared" si="20"/>
        <v>0.13142578180710102</v>
      </c>
      <c r="AF348" s="10">
        <f t="shared" si="21"/>
        <v>17.459756672217036</v>
      </c>
      <c r="AG348" s="10">
        <f t="shared" ca="1" si="22"/>
        <v>0.47295352152457548</v>
      </c>
    </row>
    <row r="349" spans="1:33" x14ac:dyDescent="0.25">
      <c r="A349" s="50" t="s">
        <v>4300</v>
      </c>
      <c r="B349" s="4">
        <v>1630</v>
      </c>
      <c r="C349" s="53" t="s">
        <v>4301</v>
      </c>
      <c r="D349" s="4">
        <v>5.95</v>
      </c>
      <c r="E349" s="49">
        <v>41713</v>
      </c>
      <c r="F349" s="4">
        <v>2.38</v>
      </c>
      <c r="G349" s="4">
        <v>0.38</v>
      </c>
      <c r="H349" s="4" t="s">
        <v>3019</v>
      </c>
      <c r="I349" s="4" t="s">
        <v>3020</v>
      </c>
      <c r="J349" s="4">
        <f>IF(Z349="US",K349,VLOOKUP(Z349,'3032'!$AL$4:$AM$20,2,FALSE)*K349)</f>
        <v>95.5</v>
      </c>
      <c r="K349" s="4">
        <v>95.5</v>
      </c>
      <c r="L349" s="4">
        <v>1569043</v>
      </c>
      <c r="M349" s="4">
        <v>0.42</v>
      </c>
      <c r="N349" s="4">
        <v>0.37486399999999998</v>
      </c>
      <c r="O349" s="4">
        <v>8.07</v>
      </c>
      <c r="P349" s="4">
        <v>8.07</v>
      </c>
      <c r="Q349" s="4">
        <v>747</v>
      </c>
      <c r="R349" s="4">
        <v>781</v>
      </c>
      <c r="S349" s="4">
        <v>2.14</v>
      </c>
      <c r="T349" s="4">
        <v>0.1</v>
      </c>
      <c r="U349" s="4"/>
      <c r="V349" s="4" t="s">
        <v>3153</v>
      </c>
      <c r="W349" s="4" t="s">
        <v>3477</v>
      </c>
      <c r="X349" s="4" t="s">
        <v>4302</v>
      </c>
      <c r="Y349" s="4" t="s">
        <v>2961</v>
      </c>
      <c r="Z349" s="4" t="s">
        <v>2962</v>
      </c>
      <c r="AA349" s="4" t="s">
        <v>3024</v>
      </c>
      <c r="AB349" s="4" t="s">
        <v>2945</v>
      </c>
      <c r="AD349" s="10">
        <f t="shared" si="23"/>
        <v>3.359845775091664E-2</v>
      </c>
      <c r="AE349" s="10">
        <f t="shared" si="20"/>
        <v>0.2123280519802391</v>
      </c>
      <c r="AF349" s="10">
        <f t="shared" si="21"/>
        <v>21.254332944776227</v>
      </c>
      <c r="AG349" s="10">
        <f t="shared" ca="1" si="22"/>
        <v>1.477762463685532</v>
      </c>
    </row>
    <row r="350" spans="1:33" x14ac:dyDescent="0.25">
      <c r="A350" s="50" t="s">
        <v>4303</v>
      </c>
      <c r="B350" s="4">
        <v>612</v>
      </c>
      <c r="C350" s="53" t="s">
        <v>4304</v>
      </c>
      <c r="D350" s="4">
        <v>6.9</v>
      </c>
      <c r="E350" s="49">
        <v>43586</v>
      </c>
      <c r="F350" s="4">
        <v>7.5</v>
      </c>
      <c r="G350" s="4">
        <v>7.5</v>
      </c>
      <c r="H350" s="4" t="s">
        <v>3019</v>
      </c>
      <c r="I350" s="4" t="s">
        <v>3311</v>
      </c>
      <c r="J350" s="4">
        <f>IF(Z350="US",K350,VLOOKUP(Z350,'3032'!$AL$4:$AM$20,2,FALSE)*K350)</f>
        <v>83.25</v>
      </c>
      <c r="K350" s="4">
        <v>83.25</v>
      </c>
      <c r="L350" s="4">
        <v>530604</v>
      </c>
      <c r="M350" s="4">
        <v>0.16</v>
      </c>
      <c r="N350" s="4">
        <v>0.12676799999999999</v>
      </c>
      <c r="O350" s="4">
        <v>10.14</v>
      </c>
      <c r="P350" s="4">
        <v>10.14</v>
      </c>
      <c r="Q350" s="4">
        <v>802</v>
      </c>
      <c r="R350" s="4">
        <v>817</v>
      </c>
      <c r="S350" s="4">
        <v>5.31</v>
      </c>
      <c r="T350" s="4">
        <v>0.38</v>
      </c>
      <c r="U350" s="4"/>
      <c r="V350" s="4" t="s">
        <v>3153</v>
      </c>
      <c r="W350" s="4" t="s">
        <v>3477</v>
      </c>
      <c r="X350" s="4" t="s">
        <v>4305</v>
      </c>
      <c r="Y350" s="4" t="s">
        <v>2961</v>
      </c>
      <c r="Z350" s="4" t="s">
        <v>2962</v>
      </c>
      <c r="AA350" s="4" t="s">
        <v>2945</v>
      </c>
      <c r="AB350" s="4" t="s">
        <v>3033</v>
      </c>
      <c r="AD350" s="10">
        <f t="shared" si="23"/>
        <v>5.0646294307798961E-2</v>
      </c>
      <c r="AE350" s="10">
        <f t="shared" si="20"/>
        <v>0.12662217365997813</v>
      </c>
      <c r="AF350" s="10">
        <f t="shared" si="21"/>
        <v>16.357673306181194</v>
      </c>
      <c r="AG350" s="10">
        <f t="shared" ca="1" si="22"/>
        <v>0.43563340577982146</v>
      </c>
    </row>
    <row r="351" spans="1:33" x14ac:dyDescent="0.25">
      <c r="A351" s="50" t="s">
        <v>4306</v>
      </c>
      <c r="B351" s="4">
        <v>3760</v>
      </c>
      <c r="C351" s="53" t="s">
        <v>4307</v>
      </c>
      <c r="D351" s="4">
        <v>8.75</v>
      </c>
      <c r="E351" s="49">
        <v>11763</v>
      </c>
      <c r="F351" s="4">
        <v>20.38</v>
      </c>
      <c r="G351" s="4">
        <v>20.38</v>
      </c>
      <c r="H351" s="4" t="s">
        <v>3019</v>
      </c>
      <c r="I351" s="4" t="s">
        <v>3311</v>
      </c>
      <c r="J351" s="4">
        <f>IF(Z351="US",K351,VLOOKUP(Z351,'3032'!$AL$4:$AM$20,2,FALSE)*K351)</f>
        <v>83</v>
      </c>
      <c r="K351" s="4">
        <v>83</v>
      </c>
      <c r="L351" s="4">
        <v>3162839</v>
      </c>
      <c r="M351" s="4">
        <v>0.97</v>
      </c>
      <c r="N351" s="4">
        <v>0.75564100000000001</v>
      </c>
      <c r="O351" s="4">
        <v>10.83</v>
      </c>
      <c r="P351" s="4">
        <v>10.83</v>
      </c>
      <c r="Q351" s="4">
        <v>747</v>
      </c>
      <c r="R351" s="4">
        <v>801</v>
      </c>
      <c r="S351" s="4">
        <v>8.35</v>
      </c>
      <c r="T351" s="4">
        <v>1.18</v>
      </c>
      <c r="U351" s="4"/>
      <c r="V351" s="4" t="s">
        <v>3153</v>
      </c>
      <c r="W351" s="4" t="s">
        <v>3477</v>
      </c>
      <c r="X351" s="4" t="s">
        <v>4308</v>
      </c>
      <c r="Y351" s="4" t="s">
        <v>2961</v>
      </c>
      <c r="Z351" s="4" t="s">
        <v>2962</v>
      </c>
      <c r="AA351" s="4" t="s">
        <v>3024</v>
      </c>
      <c r="AB351" s="4" t="s">
        <v>2945</v>
      </c>
      <c r="AD351" s="10">
        <f t="shared" si="23"/>
        <v>1.8429451086533273</v>
      </c>
      <c r="AE351" s="10">
        <f t="shared" si="20"/>
        <v>0.80613324504205253</v>
      </c>
      <c r="AF351" s="10">
        <f t="shared" si="21"/>
        <v>95.595743544826988</v>
      </c>
      <c r="AG351" s="10">
        <f t="shared" ca="1" si="22"/>
        <v>2.5889376500631465</v>
      </c>
    </row>
    <row r="352" spans="1:33" x14ac:dyDescent="0.25">
      <c r="A352" s="50" t="s">
        <v>4309</v>
      </c>
      <c r="B352" s="4">
        <v>635</v>
      </c>
      <c r="C352" s="53" t="s">
        <v>4310</v>
      </c>
      <c r="D352" s="4">
        <v>0.33500000000000002</v>
      </c>
      <c r="E352" s="49">
        <v>13660</v>
      </c>
      <c r="F352" s="4">
        <v>25.57</v>
      </c>
      <c r="G352" s="4">
        <v>4.3</v>
      </c>
      <c r="H352" s="4" t="s">
        <v>4311</v>
      </c>
      <c r="I352" s="4" t="s">
        <v>3821</v>
      </c>
      <c r="J352" s="4">
        <f>IF(Z352="US",K352,VLOOKUP(Z352,'3032'!$AL$4:$AM$20,2,FALSE)*K352)</f>
        <v>39.520000000000003</v>
      </c>
      <c r="K352" s="4">
        <v>39.520000000000003</v>
      </c>
      <c r="L352" s="4">
        <v>251062</v>
      </c>
      <c r="M352" s="4">
        <v>0.16</v>
      </c>
      <c r="N352" s="4">
        <v>5.9982000000000001E-2</v>
      </c>
      <c r="O352" s="4">
        <v>10</v>
      </c>
      <c r="P352" s="4">
        <v>10</v>
      </c>
      <c r="Q352" s="4">
        <v>900</v>
      </c>
      <c r="R352" s="4">
        <v>900</v>
      </c>
      <c r="S352" s="4">
        <v>0.1</v>
      </c>
      <c r="T352" s="4">
        <v>-0.01</v>
      </c>
      <c r="U352" s="4" t="s">
        <v>3049</v>
      </c>
      <c r="V352" s="4" t="s">
        <v>3520</v>
      </c>
      <c r="W352" s="4" t="s">
        <v>3589</v>
      </c>
      <c r="X352" s="4" t="s">
        <v>4312</v>
      </c>
      <c r="Y352" s="4" t="s">
        <v>2961</v>
      </c>
      <c r="Z352" s="4" t="s">
        <v>2962</v>
      </c>
      <c r="AA352" s="4" t="s">
        <v>3024</v>
      </c>
      <c r="AB352" s="4" t="s">
        <v>2945</v>
      </c>
      <c r="AD352" s="10">
        <f t="shared" si="23"/>
        <v>1.762443343366437E-4</v>
      </c>
      <c r="AE352" s="10">
        <f t="shared" si="20"/>
        <v>5.9085684904149033E-2</v>
      </c>
      <c r="AF352" s="10">
        <f t="shared" si="21"/>
        <v>8.5261397678987354</v>
      </c>
      <c r="AG352" s="10">
        <f t="shared" ca="1" si="22"/>
        <v>0.26878991215051351</v>
      </c>
    </row>
    <row r="353" spans="1:33" x14ac:dyDescent="0.25">
      <c r="A353" s="50" t="s">
        <v>4313</v>
      </c>
      <c r="B353" s="4">
        <v>1695</v>
      </c>
      <c r="C353" s="53" t="s">
        <v>4314</v>
      </c>
      <c r="D353" s="4">
        <v>7.625</v>
      </c>
      <c r="E353" s="49">
        <v>44362</v>
      </c>
      <c r="F353" s="4">
        <v>9.6300000000000008</v>
      </c>
      <c r="G353" s="4">
        <v>9.6300000000000008</v>
      </c>
      <c r="H353" s="4" t="s">
        <v>3064</v>
      </c>
      <c r="I353" s="4" t="s">
        <v>3065</v>
      </c>
      <c r="J353" s="4">
        <f>IF(Z353="US",K353,VLOOKUP(Z353,'3032'!$AL$4:$AM$20,2,FALSE)*K353)</f>
        <v>103.5</v>
      </c>
      <c r="K353" s="4">
        <v>103.5</v>
      </c>
      <c r="L353" s="4">
        <v>1808177</v>
      </c>
      <c r="M353" s="4">
        <v>0.44</v>
      </c>
      <c r="N353" s="4">
        <v>0.43199599999999999</v>
      </c>
      <c r="O353" s="4">
        <v>7.11</v>
      </c>
      <c r="P353" s="4">
        <v>7.11</v>
      </c>
      <c r="Q353" s="4">
        <v>475</v>
      </c>
      <c r="R353" s="4">
        <v>496</v>
      </c>
      <c r="S353" s="4">
        <v>6.6</v>
      </c>
      <c r="T353" s="4">
        <v>0.6</v>
      </c>
      <c r="U353" s="4"/>
      <c r="V353" s="4" t="s">
        <v>3153</v>
      </c>
      <c r="W353" s="4" t="s">
        <v>3154</v>
      </c>
      <c r="X353" s="4" t="s">
        <v>4315</v>
      </c>
      <c r="Y353" s="4" t="s">
        <v>2961</v>
      </c>
      <c r="Z353" s="4" t="s">
        <v>2962</v>
      </c>
      <c r="AA353" s="4" t="s">
        <v>3041</v>
      </c>
      <c r="AB353" s="4" t="s">
        <v>2945</v>
      </c>
      <c r="AD353" s="10">
        <f t="shared" si="23"/>
        <v>0.18255014233947028</v>
      </c>
      <c r="AE353" s="10">
        <f t="shared" si="20"/>
        <v>0.10521509044111885</v>
      </c>
      <c r="AF353" s="10">
        <f t="shared" si="21"/>
        <v>7.5528585054174879</v>
      </c>
      <c r="AG353" s="10">
        <f t="shared" ca="1" si="22"/>
        <v>0.84583235626438158</v>
      </c>
    </row>
    <row r="354" spans="1:33" x14ac:dyDescent="0.25">
      <c r="A354" s="50" t="s">
        <v>4316</v>
      </c>
      <c r="B354" s="4">
        <v>867</v>
      </c>
      <c r="C354" s="53" t="s">
        <v>4317</v>
      </c>
      <c r="D354" s="4">
        <v>1.875</v>
      </c>
      <c r="E354" s="49">
        <v>41395</v>
      </c>
      <c r="F354" s="4">
        <v>1.5</v>
      </c>
      <c r="G354" s="4">
        <v>1.5</v>
      </c>
      <c r="H354" s="4" t="s">
        <v>3028</v>
      </c>
      <c r="I354" s="4" t="s">
        <v>3028</v>
      </c>
      <c r="J354" s="4">
        <f>IF(Z354="US",K354,VLOOKUP(Z354,'3032'!$AL$4:$AM$20,2,FALSE)*K354)</f>
        <v>108.75</v>
      </c>
      <c r="K354" s="4">
        <v>108.75</v>
      </c>
      <c r="L354" s="4">
        <v>950991</v>
      </c>
      <c r="M354" s="4">
        <v>0.22</v>
      </c>
      <c r="N354" s="4">
        <v>0.22720299999999999</v>
      </c>
      <c r="O354" s="4">
        <v>1.72</v>
      </c>
      <c r="P354" s="4">
        <v>1.72</v>
      </c>
      <c r="Q354" s="4">
        <v>0</v>
      </c>
      <c r="R354" s="4">
        <v>0</v>
      </c>
      <c r="S354" s="4">
        <v>1.5</v>
      </c>
      <c r="T354" s="4">
        <v>0.03</v>
      </c>
      <c r="U354" s="4"/>
      <c r="V354" s="4" t="s">
        <v>3153</v>
      </c>
      <c r="W354" s="4" t="s">
        <v>3477</v>
      </c>
      <c r="X354" s="4" t="s">
        <v>4318</v>
      </c>
      <c r="Y354" s="4" t="s">
        <v>2961</v>
      </c>
      <c r="Z354" s="4" t="s">
        <v>2962</v>
      </c>
      <c r="AA354" s="4" t="s">
        <v>3024</v>
      </c>
      <c r="AB354" s="4" t="s">
        <v>2945</v>
      </c>
      <c r="AD354" s="10">
        <f t="shared" si="23"/>
        <v>1.0013867635592351E-2</v>
      </c>
      <c r="AE354" s="10">
        <f t="shared" si="20"/>
        <v>-1.6903431727148341</v>
      </c>
      <c r="AF354" s="10">
        <f t="shared" si="21"/>
        <v>0</v>
      </c>
      <c r="AG354" s="10">
        <f t="shared" ca="1" si="22"/>
        <v>0.46742149111240727</v>
      </c>
    </row>
    <row r="355" spans="1:33" x14ac:dyDescent="0.25">
      <c r="A355" s="50" t="s">
        <v>4319</v>
      </c>
      <c r="B355" s="4">
        <v>572</v>
      </c>
      <c r="C355" s="53" t="s">
        <v>4320</v>
      </c>
      <c r="D355" s="4">
        <v>10.25</v>
      </c>
      <c r="E355" s="49">
        <v>42231</v>
      </c>
      <c r="F355" s="4">
        <v>3.79</v>
      </c>
      <c r="G355" s="4">
        <v>0.79</v>
      </c>
      <c r="H355" s="4" t="s">
        <v>3064</v>
      </c>
      <c r="I355" s="4" t="s">
        <v>3432</v>
      </c>
      <c r="J355" s="4">
        <f>IF(Z355="US",K355,VLOOKUP(Z355,'3032'!$AL$4:$AM$20,2,FALSE)*K355)</f>
        <v>103.75</v>
      </c>
      <c r="K355" s="4">
        <v>103.75</v>
      </c>
      <c r="L355" s="4">
        <v>605827</v>
      </c>
      <c r="M355" s="4">
        <v>0.15</v>
      </c>
      <c r="N355" s="4">
        <v>0.14474000000000001</v>
      </c>
      <c r="O355" s="4">
        <v>9.0500000000000007</v>
      </c>
      <c r="P355" s="4">
        <v>5.48</v>
      </c>
      <c r="Q355" s="4">
        <v>727</v>
      </c>
      <c r="R355" s="4">
        <v>575</v>
      </c>
      <c r="S355" s="4">
        <v>0.5</v>
      </c>
      <c r="T355" s="4">
        <v>0</v>
      </c>
      <c r="U355" s="4" t="s">
        <v>3049</v>
      </c>
      <c r="V355" s="4" t="s">
        <v>3426</v>
      </c>
      <c r="W355" s="4" t="s">
        <v>3807</v>
      </c>
      <c r="X355" s="4" t="s">
        <v>4321</v>
      </c>
      <c r="Y355" s="4" t="s">
        <v>2961</v>
      </c>
      <c r="Z355" s="4" t="s">
        <v>2962</v>
      </c>
      <c r="AA355" s="4" t="s">
        <v>3024</v>
      </c>
      <c r="AB355" s="4" t="s">
        <v>2945</v>
      </c>
      <c r="AD355" s="10">
        <f t="shared" si="23"/>
        <v>2.1264384163705743E-3</v>
      </c>
      <c r="AE355" s="10">
        <f t="shared" si="20"/>
        <v>2.9254469632647797E-2</v>
      </c>
      <c r="AF355" s="10">
        <f t="shared" si="21"/>
        <v>2.9336290729032801</v>
      </c>
      <c r="AG355" s="10">
        <f t="shared" ca="1" si="22"/>
        <v>0.28407939481667355</v>
      </c>
    </row>
    <row r="356" spans="1:33" x14ac:dyDescent="0.25">
      <c r="A356" s="50" t="s">
        <v>4322</v>
      </c>
      <c r="B356" s="4">
        <v>3857</v>
      </c>
      <c r="C356" s="53" t="s">
        <v>4323</v>
      </c>
      <c r="D356" s="4">
        <v>7.375</v>
      </c>
      <c r="E356" s="49">
        <v>43419</v>
      </c>
      <c r="F356" s="4">
        <v>7.04</v>
      </c>
      <c r="G356" s="4">
        <v>2.04</v>
      </c>
      <c r="H356" s="4" t="s">
        <v>135</v>
      </c>
      <c r="I356" s="4" t="s">
        <v>3432</v>
      </c>
      <c r="J356" s="4">
        <f>IF(Z356="US",K356,VLOOKUP(Z356,'3032'!$AL$4:$AM$20,2,FALSE)*K356)</f>
        <v>102.25</v>
      </c>
      <c r="K356" s="4">
        <v>102.25</v>
      </c>
      <c r="L356" s="4">
        <v>4074947</v>
      </c>
      <c r="M356" s="4">
        <v>0.99</v>
      </c>
      <c r="N356" s="4">
        <v>0.97355499999999995</v>
      </c>
      <c r="O356" s="4">
        <v>6.96</v>
      </c>
      <c r="P356" s="4">
        <v>6.84</v>
      </c>
      <c r="Q356" s="4">
        <v>589</v>
      </c>
      <c r="R356" s="4">
        <v>543</v>
      </c>
      <c r="S356" s="4">
        <v>4.01</v>
      </c>
      <c r="T356" s="4">
        <v>0.21</v>
      </c>
      <c r="U356" s="4"/>
      <c r="V356" s="4" t="s">
        <v>3426</v>
      </c>
      <c r="W356" s="4" t="s">
        <v>3807</v>
      </c>
      <c r="X356" s="4" t="s">
        <v>4324</v>
      </c>
      <c r="Y356" s="4" t="s">
        <v>2961</v>
      </c>
      <c r="Z356" s="4" t="s">
        <v>2962</v>
      </c>
      <c r="AA356" s="4" t="s">
        <v>3024</v>
      </c>
      <c r="AB356" s="4" t="s">
        <v>3033</v>
      </c>
      <c r="AD356" s="10">
        <f t="shared" si="23"/>
        <v>0.29373045013124321</v>
      </c>
      <c r="AE356" s="10">
        <f t="shared" si="20"/>
        <v>0.228110647698299</v>
      </c>
      <c r="AF356" s="10">
        <f t="shared" si="21"/>
        <v>18.634190269783065</v>
      </c>
      <c r="AG356" s="10">
        <f t="shared" ca="1" si="22"/>
        <v>1.8831646155736332</v>
      </c>
    </row>
    <row r="357" spans="1:33" x14ac:dyDescent="0.25">
      <c r="A357" s="50" t="s">
        <v>4325</v>
      </c>
      <c r="B357" s="4">
        <v>2206</v>
      </c>
      <c r="C357" s="53" t="s">
        <v>4326</v>
      </c>
      <c r="D357" s="4">
        <v>7.75</v>
      </c>
      <c r="E357" s="49">
        <v>42917</v>
      </c>
      <c r="F357" s="4">
        <v>5.67</v>
      </c>
      <c r="G357" s="4">
        <v>5.67</v>
      </c>
      <c r="H357" s="4" t="s">
        <v>3019</v>
      </c>
      <c r="I357" s="4" t="s">
        <v>3311</v>
      </c>
      <c r="J357" s="4">
        <f>IF(Z357="US",K357,VLOOKUP(Z357,'3032'!$AL$4:$AM$20,2,FALSE)*K357)</f>
        <v>108</v>
      </c>
      <c r="K357" s="4">
        <v>108</v>
      </c>
      <c r="L357" s="4">
        <v>2439468</v>
      </c>
      <c r="M357" s="4">
        <v>0.56999999999999995</v>
      </c>
      <c r="N357" s="4">
        <v>0.58281899999999998</v>
      </c>
      <c r="O357" s="4">
        <v>6.06</v>
      </c>
      <c r="P357" s="4">
        <v>6.06</v>
      </c>
      <c r="Q357" s="4">
        <v>458</v>
      </c>
      <c r="R357" s="4">
        <v>504</v>
      </c>
      <c r="S357" s="4">
        <v>4.49</v>
      </c>
      <c r="T357" s="4">
        <v>0.26</v>
      </c>
      <c r="U357" s="4"/>
      <c r="V357" s="4" t="s">
        <v>3105</v>
      </c>
      <c r="W357" s="4" t="s">
        <v>3106</v>
      </c>
      <c r="X357" s="4" t="s">
        <v>4327</v>
      </c>
      <c r="Y357" s="4" t="s">
        <v>2961</v>
      </c>
      <c r="Z357" s="4" t="s">
        <v>2962</v>
      </c>
      <c r="AA357" s="4" t="s">
        <v>3024</v>
      </c>
      <c r="AB357" s="4" t="s">
        <v>2945</v>
      </c>
      <c r="AD357" s="10">
        <f t="shared" si="23"/>
        <v>0.19689020005082053</v>
      </c>
      <c r="AE357" s="10">
        <f t="shared" si="20"/>
        <v>0.12098603417299571</v>
      </c>
      <c r="AF357" s="10">
        <f t="shared" si="21"/>
        <v>10.354148599596567</v>
      </c>
      <c r="AG357" s="10">
        <f t="shared" ca="1" si="22"/>
        <v>1.1907535503466222</v>
      </c>
    </row>
    <row r="358" spans="1:33" x14ac:dyDescent="0.25">
      <c r="A358" s="50" t="s">
        <v>4328</v>
      </c>
      <c r="B358" s="4">
        <v>750</v>
      </c>
      <c r="C358" s="53" t="s">
        <v>4329</v>
      </c>
      <c r="D358" s="4">
        <v>7.125</v>
      </c>
      <c r="E358" s="49">
        <v>42887</v>
      </c>
      <c r="F358" s="4">
        <v>5.59</v>
      </c>
      <c r="G358" s="4">
        <v>0.59</v>
      </c>
      <c r="H358" s="4" t="s">
        <v>3019</v>
      </c>
      <c r="I358" s="4" t="s">
        <v>3065</v>
      </c>
      <c r="J358" s="4">
        <f>IF(Z358="US",K358,VLOOKUP(Z358,'3032'!$AL$4:$AM$20,2,FALSE)*K358)</f>
        <v>101.5</v>
      </c>
      <c r="K358" s="4">
        <v>101.5</v>
      </c>
      <c r="L358" s="4">
        <v>783516</v>
      </c>
      <c r="M358" s="4">
        <v>0.19</v>
      </c>
      <c r="N358" s="4">
        <v>0.187192</v>
      </c>
      <c r="O358" s="4">
        <v>6.8</v>
      </c>
      <c r="P358" s="4">
        <v>6.65</v>
      </c>
      <c r="Q358" s="4">
        <v>629</v>
      </c>
      <c r="R358" s="4">
        <v>571</v>
      </c>
      <c r="S358" s="4">
        <v>3.04</v>
      </c>
      <c r="T358" s="4">
        <v>0.06</v>
      </c>
      <c r="U358" s="4"/>
      <c r="V358" s="4" t="s">
        <v>3124</v>
      </c>
      <c r="W358" s="4" t="s">
        <v>3142</v>
      </c>
      <c r="X358" s="4" t="s">
        <v>4330</v>
      </c>
      <c r="Y358" s="4" t="s">
        <v>2961</v>
      </c>
      <c r="Z358" s="4" t="s">
        <v>2962</v>
      </c>
      <c r="AA358" s="4" t="s">
        <v>3024</v>
      </c>
      <c r="AB358" s="4" t="s">
        <v>2945</v>
      </c>
      <c r="AD358" s="10">
        <f t="shared" si="23"/>
        <v>2.3833738871052276E-2</v>
      </c>
      <c r="AE358" s="10">
        <f t="shared" si="20"/>
        <v>4.2641945053172987E-2</v>
      </c>
      <c r="AF358" s="10">
        <f t="shared" si="21"/>
        <v>3.7676687176718628</v>
      </c>
      <c r="AG358" s="10">
        <f t="shared" ca="1" si="22"/>
        <v>0.35943214593520545</v>
      </c>
    </row>
    <row r="359" spans="1:33" x14ac:dyDescent="0.25">
      <c r="A359" s="50" t="s">
        <v>4331</v>
      </c>
      <c r="B359" s="4">
        <v>658</v>
      </c>
      <c r="C359" s="53" t="s">
        <v>4332</v>
      </c>
      <c r="D359" s="4">
        <v>8.875</v>
      </c>
      <c r="E359" s="49">
        <v>43845</v>
      </c>
      <c r="F359" s="4">
        <v>8.2100000000000009</v>
      </c>
      <c r="G359" s="4">
        <v>3.21</v>
      </c>
      <c r="H359" s="4" t="s">
        <v>3019</v>
      </c>
      <c r="I359" s="4" t="s">
        <v>3065</v>
      </c>
      <c r="J359" s="4">
        <f>IF(Z359="US",K359,VLOOKUP(Z359,'3032'!$AL$4:$AM$20,2,FALSE)*K359)</f>
        <v>105.5</v>
      </c>
      <c r="K359" s="4">
        <v>105.5</v>
      </c>
      <c r="L359" s="4">
        <v>711385</v>
      </c>
      <c r="M359" s="4">
        <v>0.17</v>
      </c>
      <c r="N359" s="4">
        <v>0.169959</v>
      </c>
      <c r="O359" s="4">
        <v>7.95</v>
      </c>
      <c r="P359" s="4">
        <v>7.74</v>
      </c>
      <c r="Q359" s="4">
        <v>625</v>
      </c>
      <c r="R359" s="4">
        <v>596</v>
      </c>
      <c r="S359" s="4">
        <v>4.6500000000000004</v>
      </c>
      <c r="T359" s="4">
        <v>0.08</v>
      </c>
      <c r="U359" s="4"/>
      <c r="V359" s="4" t="s">
        <v>3124</v>
      </c>
      <c r="W359" s="4" t="s">
        <v>3142</v>
      </c>
      <c r="X359" s="4" t="s">
        <v>4333</v>
      </c>
      <c r="Y359" s="4" t="s">
        <v>2961</v>
      </c>
      <c r="Z359" s="4" t="s">
        <v>2962</v>
      </c>
      <c r="AA359" s="4" t="s">
        <v>3024</v>
      </c>
      <c r="AB359" s="4" t="s">
        <v>2945</v>
      </c>
      <c r="AD359" s="10">
        <f t="shared" si="23"/>
        <v>5.9462106459081933E-2</v>
      </c>
      <c r="AE359" s="10">
        <f t="shared" si="20"/>
        <v>4.506227936250163E-2</v>
      </c>
      <c r="AF359" s="10">
        <f t="shared" si="21"/>
        <v>3.5705876198816431</v>
      </c>
      <c r="AG359" s="10">
        <f t="shared" ca="1" si="22"/>
        <v>0.33920337693469821</v>
      </c>
    </row>
    <row r="360" spans="1:33" x14ac:dyDescent="0.25">
      <c r="A360" s="50" t="s">
        <v>4334</v>
      </c>
      <c r="B360" s="4">
        <v>2000</v>
      </c>
      <c r="C360" s="53" t="s">
        <v>4335</v>
      </c>
      <c r="D360" s="4">
        <v>8.625</v>
      </c>
      <c r="E360" s="49">
        <v>43600</v>
      </c>
      <c r="F360" s="4">
        <v>7.54</v>
      </c>
      <c r="G360" s="4">
        <v>3.54</v>
      </c>
      <c r="H360" s="4" t="s">
        <v>135</v>
      </c>
      <c r="I360" s="4" t="s">
        <v>3311</v>
      </c>
      <c r="J360" s="4">
        <f>IF(Z360="US",K360,VLOOKUP(Z360,'3032'!$AL$4:$AM$20,2,FALSE)*K360)</f>
        <v>90.5</v>
      </c>
      <c r="K360" s="4">
        <v>90.5</v>
      </c>
      <c r="L360" s="4">
        <v>1891938</v>
      </c>
      <c r="M360" s="4">
        <v>0.52</v>
      </c>
      <c r="N360" s="4">
        <v>0.45200699999999999</v>
      </c>
      <c r="O360" s="4">
        <v>10.48</v>
      </c>
      <c r="P360" s="4">
        <v>10.48</v>
      </c>
      <c r="Q360" s="4">
        <v>882</v>
      </c>
      <c r="R360" s="4">
        <v>908</v>
      </c>
      <c r="S360" s="4">
        <v>5.08</v>
      </c>
      <c r="T360" s="4">
        <v>0.35</v>
      </c>
      <c r="U360" s="4"/>
      <c r="V360" s="4" t="s">
        <v>3209</v>
      </c>
      <c r="W360" s="4" t="s">
        <v>3244</v>
      </c>
      <c r="X360" s="4" t="s">
        <v>4336</v>
      </c>
      <c r="Y360" s="4" t="s">
        <v>2961</v>
      </c>
      <c r="Z360" s="4" t="s">
        <v>2962</v>
      </c>
      <c r="AA360" s="4" t="s">
        <v>3041</v>
      </c>
      <c r="AB360" s="4" t="s">
        <v>3033</v>
      </c>
      <c r="AD360" s="10">
        <f t="shared" si="23"/>
        <v>0.17276399818633706</v>
      </c>
      <c r="AE360" s="10">
        <f t="shared" si="20"/>
        <v>0.46662657928098572</v>
      </c>
      <c r="AF360" s="10">
        <f t="shared" si="21"/>
        <v>64.821891983921233</v>
      </c>
      <c r="AG360" s="10">
        <f t="shared" ca="1" si="22"/>
        <v>1.6885809798086726</v>
      </c>
    </row>
    <row r="361" spans="1:33" x14ac:dyDescent="0.25">
      <c r="A361" s="50" t="s">
        <v>4337</v>
      </c>
      <c r="B361" s="4">
        <v>1223</v>
      </c>
      <c r="C361" s="53" t="s">
        <v>4338</v>
      </c>
      <c r="D361" s="4">
        <v>9.125</v>
      </c>
      <c r="E361" s="49">
        <v>43040</v>
      </c>
      <c r="F361" s="4">
        <v>6</v>
      </c>
      <c r="G361" s="4">
        <v>2</v>
      </c>
      <c r="H361" s="4" t="s">
        <v>135</v>
      </c>
      <c r="I361" s="4" t="s">
        <v>3065</v>
      </c>
      <c r="J361" s="4">
        <f>IF(Z361="US",K361,VLOOKUP(Z361,'3032'!$AL$4:$AM$20,2,FALSE)*K361)</f>
        <v>91</v>
      </c>
      <c r="K361" s="4">
        <v>91</v>
      </c>
      <c r="L361" s="4">
        <v>1168729</v>
      </c>
      <c r="M361" s="4">
        <v>0.32</v>
      </c>
      <c r="N361" s="4">
        <v>0.27922400000000003</v>
      </c>
      <c r="O361" s="4">
        <v>11.23</v>
      </c>
      <c r="P361" s="4">
        <v>11.23</v>
      </c>
      <c r="Q361" s="4">
        <v>1005</v>
      </c>
      <c r="R361" s="4">
        <v>1016</v>
      </c>
      <c r="S361" s="4">
        <v>4.22</v>
      </c>
      <c r="T361" s="4">
        <v>0.23</v>
      </c>
      <c r="U361" s="4"/>
      <c r="V361" s="4" t="s">
        <v>3037</v>
      </c>
      <c r="W361" s="4" t="s">
        <v>3916</v>
      </c>
      <c r="X361" s="4" t="s">
        <v>4339</v>
      </c>
      <c r="Y361" s="4" t="s">
        <v>2961</v>
      </c>
      <c r="Z361" s="4" t="s">
        <v>2962</v>
      </c>
      <c r="AA361" s="4" t="s">
        <v>3024</v>
      </c>
      <c r="AB361" s="4" t="s">
        <v>3042</v>
      </c>
      <c r="AD361" s="10">
        <f t="shared" si="23"/>
        <v>8.8656157646023082E-2</v>
      </c>
      <c r="AE361" s="10">
        <f t="shared" si="20"/>
        <v>0.3088836116358476</v>
      </c>
      <c r="AF361" s="10">
        <f t="shared" si="21"/>
        <v>57.250447255308941</v>
      </c>
      <c r="AG361" s="10">
        <f t="shared" ca="1" si="22"/>
        <v>1.0488699097367646</v>
      </c>
    </row>
    <row r="362" spans="1:33" x14ac:dyDescent="0.25">
      <c r="A362" s="50" t="s">
        <v>4340</v>
      </c>
      <c r="B362" s="4">
        <v>129</v>
      </c>
      <c r="C362" s="53" t="s">
        <v>4341</v>
      </c>
      <c r="D362" s="4">
        <v>1.5</v>
      </c>
      <c r="E362" s="49">
        <v>42180</v>
      </c>
      <c r="F362" s="4">
        <v>3.65</v>
      </c>
      <c r="G362" s="4">
        <v>1.65</v>
      </c>
      <c r="H362" s="4" t="s">
        <v>3028</v>
      </c>
      <c r="I362" s="4" t="s">
        <v>3028</v>
      </c>
      <c r="J362" s="4">
        <f>IF(Z362="US",K362,VLOOKUP(Z362,'3032'!$AL$4:$AM$20,2,FALSE)*K362)</f>
        <v>144.86000000000001</v>
      </c>
      <c r="K362" s="4">
        <v>144.86000000000001</v>
      </c>
      <c r="L362" s="4">
        <v>188092</v>
      </c>
      <c r="M362" s="4">
        <v>0.03</v>
      </c>
      <c r="N362" s="4">
        <v>4.4936999999999998E-2</v>
      </c>
      <c r="O362" s="4">
        <v>1.04</v>
      </c>
      <c r="P362" s="4">
        <v>1.04</v>
      </c>
      <c r="Q362" s="4">
        <v>0</v>
      </c>
      <c r="R362" s="4">
        <v>0</v>
      </c>
      <c r="S362" s="4">
        <v>1.81</v>
      </c>
      <c r="T362" s="4">
        <v>0.16</v>
      </c>
      <c r="U362" s="4"/>
      <c r="V362" s="4" t="s">
        <v>3029</v>
      </c>
      <c r="W362" s="4" t="s">
        <v>3513</v>
      </c>
      <c r="X362" s="4" t="s">
        <v>4342</v>
      </c>
      <c r="Y362" s="4" t="s">
        <v>2961</v>
      </c>
      <c r="Z362" s="4" t="s">
        <v>2962</v>
      </c>
      <c r="AA362" s="4" t="s">
        <v>3041</v>
      </c>
      <c r="AB362" s="4" t="s">
        <v>3033</v>
      </c>
      <c r="AD362" s="10">
        <f t="shared" si="23"/>
        <v>2.3899184382593485E-3</v>
      </c>
      <c r="AE362" s="10">
        <f t="shared" si="20"/>
        <v>-0.20214997581835242</v>
      </c>
      <c r="AF362" s="10">
        <f t="shared" si="21"/>
        <v>0</v>
      </c>
      <c r="AG362" s="10">
        <f t="shared" ca="1" si="22"/>
        <v>6.2090586374985843</v>
      </c>
    </row>
    <row r="363" spans="1:33" x14ac:dyDescent="0.25">
      <c r="A363" s="50" t="s">
        <v>4343</v>
      </c>
      <c r="B363" s="4">
        <v>454</v>
      </c>
      <c r="C363" s="53" t="s">
        <v>4344</v>
      </c>
      <c r="D363" s="4">
        <v>3</v>
      </c>
      <c r="E363" s="49">
        <v>43023</v>
      </c>
      <c r="F363" s="4">
        <v>5.96</v>
      </c>
      <c r="G363" s="4">
        <v>5.96</v>
      </c>
      <c r="H363" s="4" t="s">
        <v>3028</v>
      </c>
      <c r="I363" s="4" t="s">
        <v>3028</v>
      </c>
      <c r="J363" s="4">
        <f>IF(Z363="US",K363,VLOOKUP(Z363,'3032'!$AL$4:$AM$20,2,FALSE)*K363)</f>
        <v>105.5</v>
      </c>
      <c r="K363" s="4">
        <v>105.5</v>
      </c>
      <c r="L363" s="4">
        <v>479575</v>
      </c>
      <c r="M363" s="4">
        <v>0.12</v>
      </c>
      <c r="N363" s="4">
        <v>0.114576</v>
      </c>
      <c r="O363" s="4">
        <v>3.22</v>
      </c>
      <c r="P363" s="4">
        <v>3.22</v>
      </c>
      <c r="Q363" s="4">
        <v>0</v>
      </c>
      <c r="R363" s="4">
        <v>0</v>
      </c>
      <c r="S363" s="4">
        <v>5.45</v>
      </c>
      <c r="T363" s="4">
        <v>0.34</v>
      </c>
      <c r="U363" s="4"/>
      <c r="V363" s="4" t="s">
        <v>4262</v>
      </c>
      <c r="W363" s="4" t="s">
        <v>4345</v>
      </c>
      <c r="X363" s="4" t="s">
        <v>4346</v>
      </c>
      <c r="Y363" s="4" t="s">
        <v>2961</v>
      </c>
      <c r="Z363" s="4" t="s">
        <v>2962</v>
      </c>
      <c r="AA363" s="4" t="s">
        <v>3041</v>
      </c>
      <c r="AB363" s="4" t="s">
        <v>2945</v>
      </c>
      <c r="AD363" s="10">
        <f t="shared" si="23"/>
        <v>4.6982451207476454E-2</v>
      </c>
      <c r="AE363" s="10">
        <f t="shared" si="20"/>
        <v>1.8894008742968531E-2</v>
      </c>
      <c r="AF363" s="10">
        <f t="shared" si="21"/>
        <v>0</v>
      </c>
      <c r="AG363" s="10">
        <f t="shared" ca="1" si="22"/>
        <v>0.22867147816366368</v>
      </c>
    </row>
    <row r="364" spans="1:33" x14ac:dyDescent="0.25">
      <c r="A364" s="50" t="s">
        <v>4347</v>
      </c>
      <c r="B364" s="4">
        <v>815</v>
      </c>
      <c r="C364" s="53" t="s">
        <v>4348</v>
      </c>
      <c r="D364" s="4">
        <v>4.75</v>
      </c>
      <c r="E364" s="49">
        <v>41715</v>
      </c>
      <c r="F364" s="4">
        <v>2.38</v>
      </c>
      <c r="G364" s="4">
        <v>2.38</v>
      </c>
      <c r="H364" s="4" t="s">
        <v>3054</v>
      </c>
      <c r="I364" s="4" t="s">
        <v>3116</v>
      </c>
      <c r="J364" s="12" t="e">
        <f ca="1">IF(Z364="US",K364,VLOOKUP(Z364,'3032'!$AL$4:$AM$20,2,FALSE)*K364)</f>
        <v>#NAME?</v>
      </c>
      <c r="K364" s="12">
        <v>97.58</v>
      </c>
      <c r="L364" s="4">
        <v>1143074</v>
      </c>
      <c r="M364" s="4">
        <v>0.21</v>
      </c>
      <c r="N364" s="4">
        <v>0.27309499999999998</v>
      </c>
      <c r="O364" s="4">
        <v>5.85</v>
      </c>
      <c r="P364" s="4">
        <v>5.85</v>
      </c>
      <c r="Q364" s="4">
        <v>502</v>
      </c>
      <c r="R364" s="4">
        <v>503</v>
      </c>
      <c r="S364" s="4">
        <v>2.12</v>
      </c>
      <c r="T364" s="4">
        <v>7.0000000000000007E-2</v>
      </c>
      <c r="U364" s="4"/>
      <c r="V364" s="4" t="s">
        <v>3437</v>
      </c>
      <c r="W364" s="4" t="s">
        <v>3438</v>
      </c>
      <c r="X364" s="4" t="s">
        <v>4347</v>
      </c>
      <c r="Y364" s="4" t="s">
        <v>2961</v>
      </c>
      <c r="Z364" s="4" t="s">
        <v>2985</v>
      </c>
      <c r="AA364" s="4" t="s">
        <v>3024</v>
      </c>
      <c r="AB364" s="4" t="s">
        <v>2945</v>
      </c>
      <c r="AD364" s="10">
        <f t="shared" si="23"/>
        <v>2.4248279600398579E-2</v>
      </c>
      <c r="AE364" s="10">
        <f t="shared" si="20"/>
        <v>5.8924140777296262E-2</v>
      </c>
      <c r="AF364" s="10">
        <f t="shared" si="21"/>
        <v>4.8420699948609567</v>
      </c>
      <c r="AG364" s="10" t="e">
        <f t="shared" ca="1" si="22"/>
        <v>#NAME?</v>
      </c>
    </row>
    <row r="365" spans="1:33" x14ac:dyDescent="0.25">
      <c r="A365" s="50" t="s">
        <v>4349</v>
      </c>
      <c r="B365" s="4">
        <v>408</v>
      </c>
      <c r="C365" s="53" t="s">
        <v>4350</v>
      </c>
      <c r="D365" s="4">
        <v>6.25</v>
      </c>
      <c r="E365" s="49">
        <v>42394</v>
      </c>
      <c r="F365" s="4">
        <v>4.24</v>
      </c>
      <c r="G365" s="4">
        <v>4.24</v>
      </c>
      <c r="H365" s="4" t="s">
        <v>3054</v>
      </c>
      <c r="I365" s="4" t="s">
        <v>3116</v>
      </c>
      <c r="J365" s="4">
        <f>IF(Z365="US",K365,VLOOKUP(Z365,'3032'!$AL$4:$AM$20,2,FALSE)*K365)</f>
        <v>100</v>
      </c>
      <c r="K365" s="4">
        <v>100</v>
      </c>
      <c r="L365" s="4">
        <v>414800</v>
      </c>
      <c r="M365" s="4">
        <v>0.11</v>
      </c>
      <c r="N365" s="4">
        <v>9.9100999999999995E-2</v>
      </c>
      <c r="O365" s="4">
        <v>6.25</v>
      </c>
      <c r="P365" s="4">
        <v>6.25</v>
      </c>
      <c r="Q365" s="4">
        <v>516</v>
      </c>
      <c r="R365" s="4">
        <v>557</v>
      </c>
      <c r="S365" s="4">
        <v>3.61</v>
      </c>
      <c r="T365" s="4">
        <v>0.16</v>
      </c>
      <c r="U365" s="4"/>
      <c r="V365" s="4" t="s">
        <v>3437</v>
      </c>
      <c r="W365" s="4" t="s">
        <v>3438</v>
      </c>
      <c r="X365" s="4" t="s">
        <v>4351</v>
      </c>
      <c r="Y365" s="4" t="s">
        <v>2961</v>
      </c>
      <c r="Z365" s="4" t="s">
        <v>2962</v>
      </c>
      <c r="AA365" s="4" t="s">
        <v>3024</v>
      </c>
      <c r="AB365" s="4" t="s">
        <v>2945</v>
      </c>
      <c r="AD365" s="10">
        <f t="shared" si="23"/>
        <v>1.4983617340818278E-2</v>
      </c>
      <c r="AE365" s="10">
        <f t="shared" si="20"/>
        <v>2.1217111390415867E-2</v>
      </c>
      <c r="AF365" s="10">
        <f t="shared" si="21"/>
        <v>1.9457304451263171</v>
      </c>
      <c r="AG365" s="10">
        <f t="shared" ca="1" si="22"/>
        <v>0.18747430476636515</v>
      </c>
    </row>
    <row r="366" spans="1:33" x14ac:dyDescent="0.25">
      <c r="A366" s="50" t="s">
        <v>4352</v>
      </c>
      <c r="B366" s="4">
        <v>408</v>
      </c>
      <c r="C366" s="53" t="s">
        <v>4353</v>
      </c>
      <c r="D366" s="4">
        <v>8</v>
      </c>
      <c r="E366" s="49">
        <v>43915</v>
      </c>
      <c r="F366" s="4">
        <v>8.4</v>
      </c>
      <c r="G366" s="4">
        <v>8.4</v>
      </c>
      <c r="H366" s="4" t="s">
        <v>3054</v>
      </c>
      <c r="I366" s="4" t="s">
        <v>3116</v>
      </c>
      <c r="J366" s="4">
        <f>IF(Z366="US",K366,VLOOKUP(Z366,'3032'!$AL$4:$AM$20,2,FALSE)*K366)</f>
        <v>104</v>
      </c>
      <c r="K366" s="4">
        <v>104</v>
      </c>
      <c r="L366" s="4">
        <v>427584</v>
      </c>
      <c r="M366" s="4">
        <v>0.11</v>
      </c>
      <c r="N366" s="4">
        <v>0.102155</v>
      </c>
      <c r="O366" s="4">
        <v>7.35</v>
      </c>
      <c r="P366" s="4">
        <v>7.35</v>
      </c>
      <c r="Q366" s="4">
        <v>528</v>
      </c>
      <c r="R366" s="4">
        <v>577</v>
      </c>
      <c r="S366" s="4">
        <v>6.05</v>
      </c>
      <c r="T366" s="4">
        <v>0.49</v>
      </c>
      <c r="U366" s="4"/>
      <c r="V366" s="4" t="s">
        <v>3437</v>
      </c>
      <c r="W366" s="4" t="s">
        <v>3438</v>
      </c>
      <c r="X366" s="4" t="s">
        <v>4354</v>
      </c>
      <c r="Y366" s="4" t="s">
        <v>2961</v>
      </c>
      <c r="Z366" s="4" t="s">
        <v>2962</v>
      </c>
      <c r="AA366" s="4" t="s">
        <v>3024</v>
      </c>
      <c r="AB366" s="4" t="s">
        <v>2945</v>
      </c>
      <c r="AD366" s="10">
        <f t="shared" si="23"/>
        <v>3.957073527107139E-2</v>
      </c>
      <c r="AE366" s="10">
        <f t="shared" si="20"/>
        <v>2.5720314589077298E-2</v>
      </c>
      <c r="AF366" s="10">
        <f t="shared" si="21"/>
        <v>2.0777150729836715</v>
      </c>
      <c r="AG366" s="10">
        <f t="shared" ca="1" si="22"/>
        <v>0.20098228942717053</v>
      </c>
    </row>
    <row r="367" spans="1:33" x14ac:dyDescent="0.25">
      <c r="A367" s="50" t="s">
        <v>4355</v>
      </c>
      <c r="B367" s="4">
        <v>589</v>
      </c>
      <c r="C367" s="53" t="s">
        <v>4356</v>
      </c>
      <c r="D367" s="4">
        <v>3.5</v>
      </c>
      <c r="E367" s="49">
        <v>46478</v>
      </c>
      <c r="F367" s="4">
        <v>15.42</v>
      </c>
      <c r="G367" s="4">
        <v>0.42</v>
      </c>
      <c r="H367" s="4" t="s">
        <v>3028</v>
      </c>
      <c r="I367" s="4" t="s">
        <v>3028</v>
      </c>
      <c r="J367" s="4">
        <f>IF(Z367="US",K367,VLOOKUP(Z367,'3032'!$AL$4:$AM$20,2,FALSE)*K367)</f>
        <v>156.88</v>
      </c>
      <c r="K367" s="4">
        <v>156.88</v>
      </c>
      <c r="L367" s="4">
        <v>925712</v>
      </c>
      <c r="M367" s="4">
        <v>0.15</v>
      </c>
      <c r="N367" s="4">
        <v>0.221164</v>
      </c>
      <c r="O367" s="4">
        <v>2.23</v>
      </c>
      <c r="P367" s="4">
        <v>2.23</v>
      </c>
      <c r="Q367" s="4">
        <v>0</v>
      </c>
      <c r="R367" s="4">
        <v>0</v>
      </c>
      <c r="S367" s="4">
        <v>0.71</v>
      </c>
      <c r="T367" s="4">
        <v>1.9</v>
      </c>
      <c r="U367" s="4"/>
      <c r="V367" s="4" t="s">
        <v>3124</v>
      </c>
      <c r="W367" s="4" t="s">
        <v>3142</v>
      </c>
      <c r="X367" s="4" t="s">
        <v>4357</v>
      </c>
      <c r="Y367" s="4" t="s">
        <v>2961</v>
      </c>
      <c r="Z367" s="4" t="s">
        <v>2962</v>
      </c>
      <c r="AA367" s="4" t="s">
        <v>3024</v>
      </c>
      <c r="AB367" s="4" t="s">
        <v>2945</v>
      </c>
      <c r="AD367" s="10">
        <f t="shared" si="23"/>
        <v>4.6139026061882953E-3</v>
      </c>
      <c r="AE367" s="10">
        <f t="shared" si="20"/>
        <v>2.5257622115518345E-2</v>
      </c>
      <c r="AF367" s="10">
        <f t="shared" si="21"/>
        <v>0</v>
      </c>
      <c r="AG367" s="10">
        <f t="shared" ca="1" si="22"/>
        <v>33.094088978633252</v>
      </c>
    </row>
    <row r="368" spans="1:33" x14ac:dyDescent="0.25">
      <c r="A368" s="50" t="s">
        <v>4358</v>
      </c>
      <c r="B368" s="4">
        <v>266</v>
      </c>
      <c r="C368" s="53" t="s">
        <v>4359</v>
      </c>
      <c r="D368" s="4">
        <v>1.5</v>
      </c>
      <c r="E368" s="49">
        <v>42962</v>
      </c>
      <c r="F368" s="4">
        <v>5.79</v>
      </c>
      <c r="G368" s="4">
        <v>5.79</v>
      </c>
      <c r="H368" s="4" t="s">
        <v>3019</v>
      </c>
      <c r="I368" s="4" t="s">
        <v>3028</v>
      </c>
      <c r="J368" s="4">
        <f>IF(Z368="US",K368,VLOOKUP(Z368,'3032'!$AL$4:$AM$20,2,FALSE)*K368)</f>
        <v>119.88</v>
      </c>
      <c r="K368" s="4">
        <v>119.88</v>
      </c>
      <c r="L368" s="4">
        <v>319710</v>
      </c>
      <c r="M368" s="4">
        <v>7.0000000000000007E-2</v>
      </c>
      <c r="N368" s="4">
        <v>7.6383000000000006E-2</v>
      </c>
      <c r="O368" s="4">
        <v>1.25</v>
      </c>
      <c r="P368" s="4">
        <v>1.25</v>
      </c>
      <c r="Q368" s="4">
        <v>0</v>
      </c>
      <c r="R368" s="4">
        <v>0</v>
      </c>
      <c r="S368" s="4">
        <v>5.62</v>
      </c>
      <c r="T368" s="4">
        <v>0.35</v>
      </c>
      <c r="U368" s="4"/>
      <c r="V368" s="4" t="s">
        <v>3426</v>
      </c>
      <c r="W368" s="4" t="s">
        <v>3766</v>
      </c>
      <c r="X368" s="4" t="s">
        <v>4360</v>
      </c>
      <c r="Y368" s="4" t="s">
        <v>2961</v>
      </c>
      <c r="Z368" s="4" t="s">
        <v>2962</v>
      </c>
      <c r="AA368" s="4" t="s">
        <v>3024</v>
      </c>
      <c r="AB368" s="4" t="s">
        <v>2945</v>
      </c>
      <c r="AD368" s="10">
        <f t="shared" si="23"/>
        <v>3.2297965755247821E-2</v>
      </c>
      <c r="AE368" s="10">
        <f t="shared" si="20"/>
        <v>-0.41298688817331419</v>
      </c>
      <c r="AF368" s="10">
        <f t="shared" si="21"/>
        <v>0</v>
      </c>
      <c r="AG368" s="10">
        <f t="shared" ca="1" si="22"/>
        <v>0.17322316075278038</v>
      </c>
    </row>
    <row r="369" spans="1:33" x14ac:dyDescent="0.25">
      <c r="A369" s="50" t="s">
        <v>4361</v>
      </c>
      <c r="B369" s="4">
        <v>277</v>
      </c>
      <c r="C369" s="53" t="s">
        <v>4362</v>
      </c>
      <c r="D369" s="4">
        <v>4</v>
      </c>
      <c r="E369" s="49">
        <v>43600</v>
      </c>
      <c r="F369" s="4">
        <v>7.54</v>
      </c>
      <c r="G369" s="4">
        <v>1.56</v>
      </c>
      <c r="H369" s="4" t="s">
        <v>3028</v>
      </c>
      <c r="I369" s="4" t="s">
        <v>3028</v>
      </c>
      <c r="J369" s="4">
        <f>IF(Z369="US",K369,VLOOKUP(Z369,'3032'!$AL$4:$AM$20,2,FALSE)*K369)</f>
        <v>114.5</v>
      </c>
      <c r="K369" s="4">
        <v>114.5</v>
      </c>
      <c r="L369" s="4">
        <v>322274</v>
      </c>
      <c r="M369" s="4">
        <v>7.0000000000000007E-2</v>
      </c>
      <c r="N369" s="4">
        <v>7.6994999999999994E-2</v>
      </c>
      <c r="O369" s="4">
        <v>3.49</v>
      </c>
      <c r="P369" s="4">
        <v>3.49</v>
      </c>
      <c r="Q369" s="4">
        <v>0</v>
      </c>
      <c r="R369" s="4">
        <v>0</v>
      </c>
      <c r="S369" s="4">
        <v>1.54</v>
      </c>
      <c r="T369" s="4">
        <v>0.49</v>
      </c>
      <c r="U369" s="4"/>
      <c r="V369" s="4" t="s">
        <v>3426</v>
      </c>
      <c r="W369" s="4" t="s">
        <v>3807</v>
      </c>
      <c r="X369" s="4" t="s">
        <v>4363</v>
      </c>
      <c r="Y369" s="4" t="s">
        <v>2961</v>
      </c>
      <c r="Z369" s="4" t="s">
        <v>2962</v>
      </c>
      <c r="AA369" s="4" t="s">
        <v>3024</v>
      </c>
      <c r="AB369" s="4" t="s">
        <v>2945</v>
      </c>
      <c r="AD369" s="10">
        <f t="shared" si="23"/>
        <v>3.4840162418116466E-3</v>
      </c>
      <c r="AE369" s="10">
        <f t="shared" si="20"/>
        <v>1.3761393113645022E-2</v>
      </c>
      <c r="AF369" s="10">
        <f t="shared" si="21"/>
        <v>0</v>
      </c>
      <c r="AG369" s="10">
        <f t="shared" ca="1" si="22"/>
        <v>0.16677607940681177</v>
      </c>
    </row>
    <row r="370" spans="1:33" x14ac:dyDescent="0.25">
      <c r="A370" s="50" t="s">
        <v>3287</v>
      </c>
      <c r="B370" s="4">
        <v>300</v>
      </c>
      <c r="C370" s="53" t="s">
        <v>3288</v>
      </c>
      <c r="D370" s="4">
        <v>5.5</v>
      </c>
      <c r="E370" s="49">
        <v>43899</v>
      </c>
      <c r="F370" s="4">
        <v>8.36</v>
      </c>
      <c r="G370" s="4">
        <v>8.36</v>
      </c>
      <c r="H370" s="4" t="s">
        <v>3059</v>
      </c>
      <c r="I370" s="4" t="s">
        <v>3060</v>
      </c>
      <c r="J370" s="4">
        <f>IF(Z370="US",K370,VLOOKUP(Z370,'3032'!$AL$4:$AM$20,2,FALSE)*K370)</f>
        <v>111.25</v>
      </c>
      <c r="K370" s="4">
        <v>111.25</v>
      </c>
      <c r="L370" s="4">
        <v>336133</v>
      </c>
      <c r="M370" s="4">
        <v>0.08</v>
      </c>
      <c r="N370" s="4">
        <v>8.0306000000000002E-2</v>
      </c>
      <c r="O370" s="4">
        <v>3.91</v>
      </c>
      <c r="P370" s="4">
        <v>3.91</v>
      </c>
      <c r="Q370" s="4">
        <v>0</v>
      </c>
      <c r="R370" s="4">
        <v>0</v>
      </c>
      <c r="S370" s="4">
        <v>6.73</v>
      </c>
      <c r="T370" s="4">
        <v>0.55000000000000004</v>
      </c>
      <c r="U370" s="4"/>
      <c r="V370" s="4" t="s">
        <v>3045</v>
      </c>
      <c r="W370" s="4" t="s">
        <v>3046</v>
      </c>
      <c r="X370" s="4" t="s">
        <v>969</v>
      </c>
      <c r="Y370" s="4" t="s">
        <v>3147</v>
      </c>
      <c r="Z370" s="4" t="s">
        <v>2962</v>
      </c>
      <c r="AA370" s="4" t="s">
        <v>2945</v>
      </c>
      <c r="AB370" s="4" t="s">
        <v>2945</v>
      </c>
      <c r="AD370" s="10">
        <f t="shared" si="23"/>
        <v>3.4603777867977227E-2</v>
      </c>
      <c r="AE370" s="10">
        <f t="shared" si="20"/>
        <v>1.608050242306865E-2</v>
      </c>
      <c r="AF370" s="10">
        <f t="shared" si="21"/>
        <v>0</v>
      </c>
      <c r="AG370" s="10">
        <f t="shared" ca="1" si="22"/>
        <v>0.16901069018439319</v>
      </c>
    </row>
    <row r="371" spans="1:33" x14ac:dyDescent="0.25">
      <c r="A371" s="50" t="s">
        <v>4676</v>
      </c>
      <c r="B371" s="4">
        <v>1500</v>
      </c>
      <c r="C371" s="53" t="s">
        <v>4677</v>
      </c>
      <c r="D371" s="4">
        <v>5.75</v>
      </c>
      <c r="E371" s="49">
        <v>17986</v>
      </c>
      <c r="F371" s="4">
        <v>37.409999999999997</v>
      </c>
      <c r="G371" s="4">
        <v>0.41</v>
      </c>
      <c r="H371" s="4" t="s">
        <v>3161</v>
      </c>
      <c r="I371" s="4" t="s">
        <v>3060</v>
      </c>
      <c r="J371" s="12" t="e">
        <f ca="1">IF(Z371="US",K371,VLOOKUP(Z371,'3032'!$AL$4:$AM$20,2,FALSE)*K371)</f>
        <v>#NAME?</v>
      </c>
      <c r="K371" s="12">
        <v>86</v>
      </c>
      <c r="L371" s="4">
        <v>2165492</v>
      </c>
      <c r="M371" s="4">
        <v>0.39</v>
      </c>
      <c r="N371" s="4">
        <v>0.51736300000000002</v>
      </c>
      <c r="O371" s="4">
        <v>6.78</v>
      </c>
      <c r="P371" s="4">
        <v>41.8</v>
      </c>
      <c r="Q371" s="4">
        <v>0</v>
      </c>
      <c r="R371" s="4">
        <v>0</v>
      </c>
      <c r="S371" s="4">
        <v>0.3</v>
      </c>
      <c r="T371" s="4">
        <v>3.11</v>
      </c>
      <c r="U371" s="4" t="s">
        <v>3049</v>
      </c>
      <c r="V371" s="4" t="s">
        <v>3029</v>
      </c>
      <c r="W371" s="4" t="s">
        <v>3030</v>
      </c>
      <c r="X371" s="4" t="s">
        <v>4676</v>
      </c>
      <c r="Y371" s="4" t="s">
        <v>3150</v>
      </c>
      <c r="Z371" s="4" t="s">
        <v>2989</v>
      </c>
      <c r="AA371" s="4" t="s">
        <v>2945</v>
      </c>
      <c r="AB371" s="4" t="s">
        <v>2945</v>
      </c>
      <c r="AD371" s="10">
        <f t="shared" si="23"/>
        <v>4.5604953682914246E-3</v>
      </c>
      <c r="AE371" s="10">
        <f t="shared" si="20"/>
        <v>2.1302675671078219</v>
      </c>
      <c r="AF371" s="10">
        <f t="shared" si="21"/>
        <v>0</v>
      </c>
      <c r="AG371" s="10" t="e">
        <f t="shared" ca="1" si="22"/>
        <v>#NAME?</v>
      </c>
    </row>
    <row r="372" spans="1:33" x14ac:dyDescent="0.25">
      <c r="A372" s="50">
        <v>784210304</v>
      </c>
      <c r="B372" s="4">
        <v>2</v>
      </c>
      <c r="C372" s="53" t="s">
        <v>4364</v>
      </c>
      <c r="D372" s="4">
        <v>0</v>
      </c>
      <c r="E372" s="4"/>
      <c r="F372" s="4">
        <v>0</v>
      </c>
      <c r="G372" s="4">
        <v>0.1</v>
      </c>
      <c r="H372" s="4" t="s">
        <v>3059</v>
      </c>
      <c r="I372" s="4" t="s">
        <v>3076</v>
      </c>
      <c r="J372" s="4">
        <f>IF(Z372="US",K372,VLOOKUP(Z372,'3032'!$AL$4:$AM$20,2,FALSE)*K372)</f>
        <v>100.46899999999999</v>
      </c>
      <c r="K372" s="4">
        <v>100.46899999999999</v>
      </c>
      <c r="L372" s="4">
        <v>1858672</v>
      </c>
      <c r="M372" s="4">
        <v>0</v>
      </c>
      <c r="N372" s="4">
        <v>0.44406000000000001</v>
      </c>
      <c r="O372" s="4">
        <v>2.4</v>
      </c>
      <c r="P372" s="4">
        <v>2.4</v>
      </c>
      <c r="Q372" s="4">
        <v>0</v>
      </c>
      <c r="R372" s="4">
        <v>0</v>
      </c>
      <c r="S372" s="4">
        <v>0.12</v>
      </c>
      <c r="T372" s="4">
        <v>0</v>
      </c>
      <c r="U372" s="4" t="s">
        <v>3049</v>
      </c>
      <c r="V372" s="4" t="s">
        <v>3029</v>
      </c>
      <c r="W372" s="4" t="s">
        <v>3030</v>
      </c>
      <c r="X372" s="4" t="s">
        <v>4365</v>
      </c>
      <c r="Y372" s="4" t="s">
        <v>2961</v>
      </c>
      <c r="Z372" s="4" t="s">
        <v>2962</v>
      </c>
      <c r="AA372" s="4" t="s">
        <v>3041</v>
      </c>
      <c r="AB372" s="4" t="s">
        <v>2945</v>
      </c>
      <c r="AD372" s="10">
        <f t="shared" si="23"/>
        <v>1.5657347239653545E-3</v>
      </c>
      <c r="AE372" s="10">
        <f t="shared" si="20"/>
        <v>5.4579016192809117E-2</v>
      </c>
      <c r="AF372" s="10">
        <f t="shared" si="21"/>
        <v>0</v>
      </c>
      <c r="AG372" s="10">
        <f t="shared" ca="1" si="22"/>
        <v>0.84399104794827984</v>
      </c>
    </row>
    <row r="373" spans="1:33" x14ac:dyDescent="0.25">
      <c r="A373" s="50" t="s">
        <v>4366</v>
      </c>
      <c r="B373" s="4">
        <v>815</v>
      </c>
      <c r="C373" s="53" t="s">
        <v>4367</v>
      </c>
      <c r="D373" s="4">
        <v>8.375</v>
      </c>
      <c r="E373" s="49">
        <v>43235</v>
      </c>
      <c r="F373" s="4">
        <v>6.54</v>
      </c>
      <c r="G373" s="4">
        <v>6.54</v>
      </c>
      <c r="H373" s="4" t="s">
        <v>135</v>
      </c>
      <c r="I373" s="4" t="s">
        <v>3065</v>
      </c>
      <c r="J373" s="4">
        <f>IF(Z373="US",K373,VLOOKUP(Z373,'3032'!$AL$4:$AM$20,2,FALSE)*K373)</f>
        <v>96.5</v>
      </c>
      <c r="K373" s="4">
        <v>96.5</v>
      </c>
      <c r="L373" s="4">
        <v>817949</v>
      </c>
      <c r="M373" s="4">
        <v>0.21</v>
      </c>
      <c r="N373" s="4">
        <v>0.19541800000000001</v>
      </c>
      <c r="O373" s="4">
        <v>9.1</v>
      </c>
      <c r="P373" s="4">
        <v>9.1</v>
      </c>
      <c r="Q373" s="4">
        <v>826</v>
      </c>
      <c r="R373" s="4">
        <v>840</v>
      </c>
      <c r="S373" s="4">
        <v>4.7300000000000004</v>
      </c>
      <c r="T373" s="4">
        <v>0.28999999999999998</v>
      </c>
      <c r="U373" s="4"/>
      <c r="V373" s="4" t="s">
        <v>3209</v>
      </c>
      <c r="W373" s="4" t="s">
        <v>3244</v>
      </c>
      <c r="X373" s="4" t="s">
        <v>4368</v>
      </c>
      <c r="Y373" s="4" t="s">
        <v>2961</v>
      </c>
      <c r="Z373" s="4" t="s">
        <v>2962</v>
      </c>
      <c r="AA373" s="4" t="s">
        <v>3024</v>
      </c>
      <c r="AB373" s="4" t="s">
        <v>2945</v>
      </c>
      <c r="AD373" s="10">
        <f t="shared" si="23"/>
        <v>6.9545654744263025E-2</v>
      </c>
      <c r="AE373" s="10">
        <f t="shared" si="20"/>
        <v>0.12481495169696573</v>
      </c>
      <c r="AF373" s="10">
        <f t="shared" si="21"/>
        <v>25.925937273975364</v>
      </c>
      <c r="AG373" s="10">
        <f t="shared" ca="1" si="22"/>
        <v>0.77843069525945918</v>
      </c>
    </row>
    <row r="374" spans="1:33" x14ac:dyDescent="0.25">
      <c r="A374" s="50" t="s">
        <v>4369</v>
      </c>
      <c r="B374" s="4">
        <v>129</v>
      </c>
      <c r="C374" s="53" t="s">
        <v>4370</v>
      </c>
      <c r="D374" s="4">
        <v>3.375</v>
      </c>
      <c r="E374" s="49">
        <v>46522</v>
      </c>
      <c r="F374" s="4">
        <v>15.54</v>
      </c>
      <c r="G374" s="4">
        <v>0.56000000000000005</v>
      </c>
      <c r="H374" s="4" t="s">
        <v>3028</v>
      </c>
      <c r="I374" s="4" t="s">
        <v>3028</v>
      </c>
      <c r="J374" s="4">
        <f>IF(Z374="US",K374,VLOOKUP(Z374,'3032'!$AL$4:$AM$20,2,FALSE)*K374)</f>
        <v>90.13</v>
      </c>
      <c r="K374" s="4">
        <v>90.13</v>
      </c>
      <c r="L374" s="4">
        <v>118269</v>
      </c>
      <c r="M374" s="4">
        <v>0.03</v>
      </c>
      <c r="N374" s="4">
        <v>2.8256E-2</v>
      </c>
      <c r="O374" s="4">
        <v>6.54</v>
      </c>
      <c r="P374" s="4">
        <v>6.54</v>
      </c>
      <c r="Q374" s="4">
        <v>0</v>
      </c>
      <c r="R374" s="4">
        <v>0</v>
      </c>
      <c r="S374" s="4">
        <v>2.3199999999999998</v>
      </c>
      <c r="T374" s="4">
        <v>1.65</v>
      </c>
      <c r="U374" s="4"/>
      <c r="V374" s="4" t="s">
        <v>3105</v>
      </c>
      <c r="W374" s="4" t="s">
        <v>3106</v>
      </c>
      <c r="X374" s="4" t="s">
        <v>4371</v>
      </c>
      <c r="Y374" s="4" t="s">
        <v>2961</v>
      </c>
      <c r="Z374" s="4" t="s">
        <v>2962</v>
      </c>
      <c r="AA374" s="4" t="s">
        <v>3024</v>
      </c>
      <c r="AB374" s="4" t="s">
        <v>2945</v>
      </c>
      <c r="AD374" s="10">
        <f t="shared" si="23"/>
        <v>2.7455517454812312E-3</v>
      </c>
      <c r="AE374" s="10">
        <f t="shared" si="20"/>
        <v>6.3301815304132826E-3</v>
      </c>
      <c r="AF374" s="10">
        <f t="shared" si="21"/>
        <v>0</v>
      </c>
      <c r="AG374" s="10">
        <f t="shared" ca="1" si="22"/>
        <v>0.10512516960229777</v>
      </c>
    </row>
    <row r="375" spans="1:33" x14ac:dyDescent="0.25">
      <c r="A375" s="50" t="s">
        <v>4372</v>
      </c>
      <c r="B375" s="4">
        <v>815</v>
      </c>
      <c r="C375" s="53" t="s">
        <v>4373</v>
      </c>
      <c r="D375" s="4">
        <v>6.875</v>
      </c>
      <c r="E375" s="49">
        <v>42979</v>
      </c>
      <c r="F375" s="4">
        <v>5.84</v>
      </c>
      <c r="G375" s="4">
        <v>5.84</v>
      </c>
      <c r="H375" s="4" t="s">
        <v>3181</v>
      </c>
      <c r="I375" s="4" t="s">
        <v>3116</v>
      </c>
      <c r="J375" s="4">
        <f>IF(Z375="US",K375,VLOOKUP(Z375,'3032'!$AL$4:$AM$20,2,FALSE)*K375)</f>
        <v>106.5</v>
      </c>
      <c r="K375" s="4">
        <v>106.5</v>
      </c>
      <c r="L375" s="4">
        <v>877314</v>
      </c>
      <c r="M375" s="4">
        <v>0.21</v>
      </c>
      <c r="N375" s="4">
        <v>0.20960100000000001</v>
      </c>
      <c r="O375" s="4">
        <v>5.55</v>
      </c>
      <c r="P375" s="4">
        <v>5.55</v>
      </c>
      <c r="Q375" s="4">
        <v>418</v>
      </c>
      <c r="R375" s="4">
        <v>424</v>
      </c>
      <c r="S375" s="4">
        <v>4.75</v>
      </c>
      <c r="T375" s="4">
        <v>0.28000000000000003</v>
      </c>
      <c r="U375" s="4"/>
      <c r="V375" s="4" t="s">
        <v>3173</v>
      </c>
      <c r="W375" s="4" t="s">
        <v>3174</v>
      </c>
      <c r="X375" s="4" t="s">
        <v>4374</v>
      </c>
      <c r="Y375" s="4" t="s">
        <v>2961</v>
      </c>
      <c r="Z375" s="4" t="s">
        <v>2962</v>
      </c>
      <c r="AA375" s="4" t="s">
        <v>3024</v>
      </c>
      <c r="AB375" s="4" t="s">
        <v>2945</v>
      </c>
      <c r="AD375" s="10">
        <f t="shared" si="23"/>
        <v>7.4908534914953265E-2</v>
      </c>
      <c r="AE375" s="10">
        <f t="shared" si="20"/>
        <v>4.2905314400087005E-2</v>
      </c>
      <c r="AF375" s="10">
        <f t="shared" si="21"/>
        <v>3.1326339328502204</v>
      </c>
      <c r="AG375" s="10">
        <f t="shared" ca="1" si="22"/>
        <v>0.42228696071737176</v>
      </c>
    </row>
    <row r="376" spans="1:33" x14ac:dyDescent="0.25">
      <c r="A376" s="50" t="s">
        <v>4375</v>
      </c>
      <c r="B376" s="4">
        <v>2030</v>
      </c>
      <c r="C376" s="53" t="s">
        <v>4376</v>
      </c>
      <c r="D376" s="4">
        <v>6.5</v>
      </c>
      <c r="E376" s="49">
        <v>43570</v>
      </c>
      <c r="F376" s="4">
        <v>7.46</v>
      </c>
      <c r="G376" s="4">
        <v>2.46</v>
      </c>
      <c r="H376" s="4" t="s">
        <v>3019</v>
      </c>
      <c r="I376" s="4" t="s">
        <v>3020</v>
      </c>
      <c r="J376" s="58">
        <f>IF(Z376="US",K376,VLOOKUP(Z376,'3032'!$AL$4:$AM$20,2,FALSE)*K376)</f>
        <v>98</v>
      </c>
      <c r="K376" s="67">
        <v>98</v>
      </c>
      <c r="L376" s="4">
        <v>1995264</v>
      </c>
      <c r="M376" s="4">
        <v>0.52</v>
      </c>
      <c r="N376" s="4">
        <v>0.47669299999999998</v>
      </c>
      <c r="O376" s="4">
        <v>6.85</v>
      </c>
      <c r="P376" s="4">
        <v>6.85</v>
      </c>
      <c r="Q376" s="4">
        <v>501</v>
      </c>
      <c r="R376" s="4">
        <v>510</v>
      </c>
      <c r="S376" s="4">
        <v>5.79</v>
      </c>
      <c r="T376" s="4">
        <v>0.37</v>
      </c>
      <c r="U376" s="4"/>
      <c r="V376" s="4" t="s">
        <v>3416</v>
      </c>
      <c r="W376" s="4" t="s">
        <v>4377</v>
      </c>
      <c r="X376" s="4" t="s">
        <v>4378</v>
      </c>
      <c r="Y376" s="4" t="s">
        <v>2961</v>
      </c>
      <c r="Z376" s="4" t="s">
        <v>2962</v>
      </c>
      <c r="AA376" s="4" t="s">
        <v>3024</v>
      </c>
      <c r="AB376" s="4" t="s">
        <v>2945</v>
      </c>
      <c r="AD376" s="10">
        <f t="shared" si="23"/>
        <v>0.20766416691221293</v>
      </c>
      <c r="AE376" s="10">
        <f t="shared" si="20"/>
        <v>0.11185577975229084</v>
      </c>
      <c r="AF376" s="10">
        <f t="shared" si="21"/>
        <v>8.5695748098666353</v>
      </c>
      <c r="AG376" s="10">
        <f t="shared" ca="1" si="22"/>
        <v>1.928381054720669</v>
      </c>
    </row>
    <row r="377" spans="1:33" x14ac:dyDescent="0.25">
      <c r="A377" s="50" t="s">
        <v>4379</v>
      </c>
      <c r="B377" s="4">
        <v>36</v>
      </c>
      <c r="C377" s="53" t="s">
        <v>4380</v>
      </c>
      <c r="D377" s="4">
        <v>5.125</v>
      </c>
      <c r="E377" s="49">
        <v>41805</v>
      </c>
      <c r="F377" s="4">
        <v>2.63</v>
      </c>
      <c r="G377" s="4">
        <v>2.63</v>
      </c>
      <c r="H377" s="4" t="s">
        <v>3181</v>
      </c>
      <c r="I377" s="4" t="s">
        <v>3028</v>
      </c>
      <c r="J377" s="4">
        <f>IF(Z377="US",K377,VLOOKUP(Z377,'3032'!$AL$4:$AM$20,2,FALSE)*K377)</f>
        <v>107</v>
      </c>
      <c r="K377" s="4">
        <v>107</v>
      </c>
      <c r="L377" s="4">
        <v>39217</v>
      </c>
      <c r="M377" s="4">
        <v>0.01</v>
      </c>
      <c r="N377" s="4">
        <v>9.3690000000000006E-3</v>
      </c>
      <c r="O377" s="4">
        <v>4.79</v>
      </c>
      <c r="P377" s="4">
        <v>4.79</v>
      </c>
      <c r="Q377" s="4">
        <v>0</v>
      </c>
      <c r="R377" s="4">
        <v>0</v>
      </c>
      <c r="S377" s="4">
        <v>2.42</v>
      </c>
      <c r="T377" s="4">
        <v>7.0000000000000007E-2</v>
      </c>
      <c r="U377" s="4"/>
      <c r="V377" s="4" t="s">
        <v>3037</v>
      </c>
      <c r="W377" s="4" t="s">
        <v>3117</v>
      </c>
      <c r="X377" s="4" t="s">
        <v>4381</v>
      </c>
      <c r="Y377" s="4" t="s">
        <v>2961</v>
      </c>
      <c r="Z377" s="4" t="s">
        <v>2962</v>
      </c>
      <c r="AA377" s="4" t="s">
        <v>3024</v>
      </c>
      <c r="AB377" s="4" t="s">
        <v>2945</v>
      </c>
      <c r="AD377" s="10">
        <f t="shared" si="23"/>
        <v>9.4964318914618029E-4</v>
      </c>
      <c r="AE377" s="10">
        <f t="shared" si="20"/>
        <v>1.6552855635767903E-3</v>
      </c>
      <c r="AF377" s="10">
        <f t="shared" si="21"/>
        <v>0</v>
      </c>
      <c r="AG377" s="10">
        <f t="shared" ca="1" si="22"/>
        <v>1.8965362576480523E-2</v>
      </c>
    </row>
    <row r="378" spans="1:33" x14ac:dyDescent="0.25">
      <c r="A378" s="50" t="s">
        <v>4382</v>
      </c>
      <c r="B378" s="4">
        <v>2037</v>
      </c>
      <c r="C378" s="53" t="s">
        <v>4383</v>
      </c>
      <c r="D378" s="4">
        <v>8.125</v>
      </c>
      <c r="E378" s="49">
        <v>43617</v>
      </c>
      <c r="F378" s="4">
        <v>7.59</v>
      </c>
      <c r="G378" s="4">
        <v>7.59</v>
      </c>
      <c r="H378" s="4" t="s">
        <v>3054</v>
      </c>
      <c r="I378" s="4" t="s">
        <v>3083</v>
      </c>
      <c r="J378" s="4">
        <f>IF(Z378="US",K378,VLOOKUP(Z378,'3032'!$AL$4:$AM$20,2,FALSE)*K378)</f>
        <v>121.44</v>
      </c>
      <c r="K378" s="4">
        <v>121.44</v>
      </c>
      <c r="L378" s="4">
        <v>2542702</v>
      </c>
      <c r="M378" s="4">
        <v>0.53</v>
      </c>
      <c r="N378" s="4">
        <v>0.607483</v>
      </c>
      <c r="O378" s="4">
        <v>4.7300000000000004</v>
      </c>
      <c r="P378" s="4">
        <v>4.7300000000000004</v>
      </c>
      <c r="Q378" s="4">
        <v>298</v>
      </c>
      <c r="R378" s="4">
        <v>327</v>
      </c>
      <c r="S378" s="4">
        <v>5.7</v>
      </c>
      <c r="T378" s="4">
        <v>0.42</v>
      </c>
      <c r="U378" s="4"/>
      <c r="V378" s="4" t="s">
        <v>3124</v>
      </c>
      <c r="W378" s="4" t="s">
        <v>3466</v>
      </c>
      <c r="X378" s="4" t="s">
        <v>4384</v>
      </c>
      <c r="Y378" s="4" t="s">
        <v>2961</v>
      </c>
      <c r="Z378" s="4" t="s">
        <v>2962</v>
      </c>
      <c r="AA378" s="4" t="s">
        <v>3024</v>
      </c>
      <c r="AB378" s="4" t="s">
        <v>2945</v>
      </c>
      <c r="AD378" s="10">
        <f t="shared" si="23"/>
        <v>0.2605271292312511</v>
      </c>
      <c r="AE378" s="10">
        <f>IF(P378&lt;1.99,($L378/$L$441)*P378,IF(AND(P378&gt;1.99,P378&lt;3.99),($L378/$L$442)*P378,IF(AND(P378&gt;3.99,P378&lt;5.99),($L378/$L$443)*P378,IF(AND(P378&gt;5.99,P378&lt;7.99),($L378/$L$444)*P378,IF(AND(P378&gt;7.99,P378&lt;9.99),($L378/$L$445)*P378,IF(P378&gt;9.99,($L378/$L$446)*P378))))))</f>
        <v>0.10597895947226536</v>
      </c>
      <c r="AF378" s="10">
        <f t="shared" si="21"/>
        <v>9.5152158002489333</v>
      </c>
      <c r="AG378" s="10">
        <f t="shared" ca="1" si="22"/>
        <v>16.32435900827474</v>
      </c>
    </row>
    <row r="379" spans="1:33" x14ac:dyDescent="0.25">
      <c r="A379" s="50" t="s">
        <v>4385</v>
      </c>
      <c r="B379" s="4">
        <v>1027</v>
      </c>
      <c r="C379" s="53" t="s">
        <v>4386</v>
      </c>
      <c r="D379" s="4">
        <v>0.32500000000000001</v>
      </c>
      <c r="E379" s="49">
        <v>13691</v>
      </c>
      <c r="F379" s="4">
        <v>25.65</v>
      </c>
      <c r="G379" s="4">
        <v>0.8</v>
      </c>
      <c r="H379" s="4" t="s">
        <v>3559</v>
      </c>
      <c r="I379" s="4" t="s">
        <v>3432</v>
      </c>
      <c r="J379" s="4">
        <f>IF(Z379="US",K379,VLOOKUP(Z379,'3032'!$AL$4:$AM$20,2,FALSE)*K379)</f>
        <v>85.68</v>
      </c>
      <c r="K379" s="4">
        <v>85.68</v>
      </c>
      <c r="L379" s="4">
        <v>879675</v>
      </c>
      <c r="M379" s="4">
        <v>0.26</v>
      </c>
      <c r="N379" s="4">
        <v>0.21016499999999999</v>
      </c>
      <c r="O379" s="4">
        <v>9</v>
      </c>
      <c r="P379" s="4">
        <v>9</v>
      </c>
      <c r="Q379" s="4">
        <v>900</v>
      </c>
      <c r="R379" s="4">
        <v>900</v>
      </c>
      <c r="S379" s="4">
        <v>0.1</v>
      </c>
      <c r="T379" s="4">
        <v>-0.01</v>
      </c>
      <c r="U379" s="4" t="s">
        <v>3049</v>
      </c>
      <c r="V379" s="4" t="s">
        <v>3520</v>
      </c>
      <c r="W379" s="4" t="s">
        <v>3589</v>
      </c>
      <c r="X379" s="4" t="s">
        <v>4387</v>
      </c>
      <c r="Y379" s="4" t="s">
        <v>2961</v>
      </c>
      <c r="Z379" s="4" t="s">
        <v>2962</v>
      </c>
      <c r="AA379" s="4" t="s">
        <v>3024</v>
      </c>
      <c r="AB379" s="4" t="s">
        <v>3033</v>
      </c>
      <c r="AD379" s="10">
        <f t="shared" si="23"/>
        <v>6.1752768163874684E-4</v>
      </c>
      <c r="AE379" s="10">
        <f t="shared" si="20"/>
        <v>0.13275893322324134</v>
      </c>
      <c r="AF379" s="10">
        <f t="shared" si="21"/>
        <v>29.874023150960003</v>
      </c>
      <c r="AG379" s="10">
        <f t="shared" ca="1" si="22"/>
        <v>0.7433068261633401</v>
      </c>
    </row>
    <row r="380" spans="1:33" x14ac:dyDescent="0.25">
      <c r="A380" s="50" t="s">
        <v>4388</v>
      </c>
      <c r="B380" s="4">
        <v>531</v>
      </c>
      <c r="C380" s="53" t="s">
        <v>4389</v>
      </c>
      <c r="D380" s="4">
        <v>0.35499999999999998</v>
      </c>
      <c r="E380" s="49">
        <v>13540</v>
      </c>
      <c r="F380" s="4">
        <v>25.24</v>
      </c>
      <c r="G380" s="4">
        <v>1.3</v>
      </c>
      <c r="H380" s="4" t="s">
        <v>3559</v>
      </c>
      <c r="I380" s="4" t="s">
        <v>3538</v>
      </c>
      <c r="J380" s="4">
        <f>IF(Z380="US",K380,VLOOKUP(Z380,'3032'!$AL$4:$AM$20,2,FALSE)*K380)</f>
        <v>82.3</v>
      </c>
      <c r="K380" s="4">
        <v>82.3</v>
      </c>
      <c r="L380" s="4">
        <v>436827</v>
      </c>
      <c r="M380" s="4">
        <v>0.14000000000000001</v>
      </c>
      <c r="N380" s="4">
        <v>0.104363</v>
      </c>
      <c r="O380" s="4">
        <v>7</v>
      </c>
      <c r="P380" s="4">
        <v>7</v>
      </c>
      <c r="Q380" s="4">
        <v>900</v>
      </c>
      <c r="R380" s="4">
        <v>900</v>
      </c>
      <c r="S380" s="4">
        <v>0.1</v>
      </c>
      <c r="T380" s="4">
        <v>-0.01</v>
      </c>
      <c r="U380" s="4" t="s">
        <v>3049</v>
      </c>
      <c r="V380" s="4" t="s">
        <v>3520</v>
      </c>
      <c r="W380" s="4" t="s">
        <v>3589</v>
      </c>
      <c r="X380" s="4" t="s">
        <v>4390</v>
      </c>
      <c r="Y380" s="4" t="s">
        <v>2961</v>
      </c>
      <c r="Z380" s="4" t="s">
        <v>2962</v>
      </c>
      <c r="AA380" s="4" t="s">
        <v>3024</v>
      </c>
      <c r="AB380" s="4" t="s">
        <v>3042</v>
      </c>
      <c r="AD380" s="10">
        <f t="shared" si="23"/>
        <v>3.0665048408470038E-4</v>
      </c>
      <c r="AE380" s="10">
        <f t="shared" si="20"/>
        <v>2.5025052968712956E-2</v>
      </c>
      <c r="AF380" s="10">
        <f t="shared" si="21"/>
        <v>14.834774105168846</v>
      </c>
      <c r="AG380" s="10">
        <f t="shared" ca="1" si="22"/>
        <v>0.3545485575890408</v>
      </c>
    </row>
    <row r="381" spans="1:33" x14ac:dyDescent="0.25">
      <c r="A381" s="50">
        <v>854502309</v>
      </c>
      <c r="B381" s="4">
        <v>6</v>
      </c>
      <c r="C381" s="53" t="s">
        <v>4391</v>
      </c>
      <c r="D381" s="4">
        <v>0</v>
      </c>
      <c r="E381" s="4"/>
      <c r="F381" s="4">
        <v>0</v>
      </c>
      <c r="G381" s="4">
        <v>0</v>
      </c>
      <c r="H381" s="4" t="s">
        <v>3059</v>
      </c>
      <c r="I381" s="4" t="s">
        <v>3083</v>
      </c>
      <c r="J381" s="4">
        <f>IF(Z381="US",K381,VLOOKUP(Z381,'3032'!$AL$4:$AM$20,2,FALSE)*K381)</f>
        <v>114.47</v>
      </c>
      <c r="K381" s="4">
        <v>114.47</v>
      </c>
      <c r="L381" s="4">
        <v>641032</v>
      </c>
      <c r="M381" s="4">
        <v>0</v>
      </c>
      <c r="N381" s="4">
        <v>0.15315000000000001</v>
      </c>
      <c r="O381" s="4">
        <v>4.62</v>
      </c>
      <c r="P381" s="4">
        <v>4.62</v>
      </c>
      <c r="Q381" s="4">
        <v>0</v>
      </c>
      <c r="R381" s="4">
        <v>0</v>
      </c>
      <c r="S381" s="4">
        <v>0</v>
      </c>
      <c r="T381" s="4">
        <v>0</v>
      </c>
      <c r="U381" s="4"/>
      <c r="V381" s="4" t="s">
        <v>3226</v>
      </c>
      <c r="W381" s="4" t="s">
        <v>3227</v>
      </c>
      <c r="X381" s="4" t="s">
        <v>4392</v>
      </c>
      <c r="Y381" s="4" t="s">
        <v>2961</v>
      </c>
      <c r="Z381" s="4" t="s">
        <v>2962</v>
      </c>
      <c r="AA381" s="4" t="s">
        <v>3024</v>
      </c>
      <c r="AB381" s="4" t="s">
        <v>2945</v>
      </c>
      <c r="AD381" s="10">
        <f t="shared" si="23"/>
        <v>0</v>
      </c>
      <c r="AE381" s="10">
        <f t="shared" si="20"/>
        <v>2.609664820971401E-2</v>
      </c>
      <c r="AF381" s="10">
        <f t="shared" si="21"/>
        <v>0</v>
      </c>
      <c r="AG381" s="10">
        <f t="shared" ca="1" si="22"/>
        <v>0.33164571977270157</v>
      </c>
    </row>
    <row r="382" spans="1:33" x14ac:dyDescent="0.25">
      <c r="A382" s="50" t="s">
        <v>4393</v>
      </c>
      <c r="B382" s="4">
        <v>499</v>
      </c>
      <c r="C382" s="53" t="s">
        <v>4394</v>
      </c>
      <c r="D382" s="4">
        <v>1</v>
      </c>
      <c r="E382" s="49">
        <v>41440</v>
      </c>
      <c r="F382" s="4">
        <v>1.63</v>
      </c>
      <c r="G382" s="4">
        <v>1.63</v>
      </c>
      <c r="H382" s="4" t="s">
        <v>3161</v>
      </c>
      <c r="I382" s="4" t="s">
        <v>3028</v>
      </c>
      <c r="J382" s="4">
        <f>IF(Z382="US",K382,VLOOKUP(Z382,'3032'!$AL$4:$AM$20,2,FALSE)*K382)</f>
        <v>116.5</v>
      </c>
      <c r="K382" s="4">
        <v>116.5</v>
      </c>
      <c r="L382" s="4">
        <v>583220</v>
      </c>
      <c r="M382" s="4">
        <v>0.13</v>
      </c>
      <c r="N382" s="4">
        <v>0.13933899999999999</v>
      </c>
      <c r="O382" s="4">
        <v>0.87</v>
      </c>
      <c r="P382" s="4">
        <v>0.87</v>
      </c>
      <c r="Q382" s="4">
        <v>0</v>
      </c>
      <c r="R382" s="4">
        <v>0</v>
      </c>
      <c r="S382" s="4">
        <v>1.68</v>
      </c>
      <c r="T382" s="4">
        <v>0.04</v>
      </c>
      <c r="U382" s="4"/>
      <c r="V382" s="4" t="s">
        <v>3426</v>
      </c>
      <c r="W382" s="4" t="s">
        <v>3807</v>
      </c>
      <c r="X382" s="4" t="s">
        <v>4395</v>
      </c>
      <c r="Y382" s="4" t="s">
        <v>2961</v>
      </c>
      <c r="Z382" s="4" t="s">
        <v>2962</v>
      </c>
      <c r="AA382" s="4" t="s">
        <v>3024</v>
      </c>
      <c r="AB382" s="4" t="s">
        <v>2945</v>
      </c>
      <c r="AD382" s="10">
        <f t="shared" si="23"/>
        <v>6.878216963485239E-3</v>
      </c>
      <c r="AE382" s="10">
        <f t="shared" si="20"/>
        <v>-0.52435050574779163</v>
      </c>
      <c r="AF382" s="10">
        <f t="shared" si="21"/>
        <v>0</v>
      </c>
      <c r="AG382" s="10">
        <f t="shared" ca="1" si="22"/>
        <v>0.3070869336791297</v>
      </c>
    </row>
    <row r="383" spans="1:33" x14ac:dyDescent="0.25">
      <c r="A383" s="50" t="s">
        <v>4396</v>
      </c>
      <c r="B383" s="4">
        <v>70</v>
      </c>
      <c r="C383" s="53" t="s">
        <v>4397</v>
      </c>
      <c r="D383" s="4">
        <v>2.125</v>
      </c>
      <c r="E383" s="49">
        <v>44423</v>
      </c>
      <c r="F383" s="4">
        <v>9.7899999999999991</v>
      </c>
      <c r="G383" s="4">
        <v>9.7899999999999991</v>
      </c>
      <c r="H383" s="4" t="s">
        <v>3306</v>
      </c>
      <c r="I383" s="4" t="s">
        <v>3051</v>
      </c>
      <c r="J383" s="4">
        <f>IF(Z383="US",K383,VLOOKUP(Z383,'3032'!$AL$4:$AM$20,2,FALSE)*K383)</f>
        <v>99.56</v>
      </c>
      <c r="K383" s="4">
        <v>99.56</v>
      </c>
      <c r="L383" s="4">
        <v>70009</v>
      </c>
      <c r="M383" s="4">
        <v>0.02</v>
      </c>
      <c r="N383" s="4">
        <v>1.6726000000000001E-2</v>
      </c>
      <c r="O383" s="4">
        <v>2.17</v>
      </c>
      <c r="P383" s="4">
        <v>2.17</v>
      </c>
      <c r="Q383" s="4">
        <v>0</v>
      </c>
      <c r="R383" s="4">
        <v>0</v>
      </c>
      <c r="S383" s="4">
        <v>8.75</v>
      </c>
      <c r="T383" s="4">
        <v>0.86</v>
      </c>
      <c r="U383" s="4"/>
      <c r="V383" s="4" t="s">
        <v>4398</v>
      </c>
      <c r="W383" s="4" t="s">
        <v>3307</v>
      </c>
      <c r="X383" s="4" t="s">
        <v>4399</v>
      </c>
      <c r="Y383" s="4" t="s">
        <v>2961</v>
      </c>
      <c r="Z383" s="4" t="s">
        <v>2962</v>
      </c>
      <c r="AA383" s="4" t="s">
        <v>3024</v>
      </c>
      <c r="AB383" s="4" t="s">
        <v>2945</v>
      </c>
      <c r="AD383" s="10">
        <f t="shared" si="23"/>
        <v>4.2747504494714782E-2</v>
      </c>
      <c r="AE383" s="10">
        <f t="shared" si="20"/>
        <v>1.8587685382973145E-3</v>
      </c>
      <c r="AF383" s="10">
        <f t="shared" si="21"/>
        <v>0</v>
      </c>
      <c r="AG383" s="10">
        <f t="shared" ca="1" si="22"/>
        <v>6.8739311184392582E-2</v>
      </c>
    </row>
    <row r="384" spans="1:33" x14ac:dyDescent="0.25">
      <c r="A384" s="50" t="s">
        <v>4400</v>
      </c>
      <c r="B384" s="4">
        <v>465</v>
      </c>
      <c r="C384" s="53" t="s">
        <v>4401</v>
      </c>
      <c r="D384" s="4">
        <v>3.5</v>
      </c>
      <c r="E384" s="49">
        <v>14291</v>
      </c>
      <c r="F384" s="4">
        <v>27.29</v>
      </c>
      <c r="G384" s="4">
        <v>27.29</v>
      </c>
      <c r="H384" s="4" t="s">
        <v>3306</v>
      </c>
      <c r="I384" s="4" t="s">
        <v>3051</v>
      </c>
      <c r="J384" s="4">
        <f>IF(Z384="US",K384,VLOOKUP(Z384,'3032'!$AL$4:$AM$20,2,FALSE)*K384)</f>
        <v>105.77</v>
      </c>
      <c r="K384" s="4">
        <v>105.77</v>
      </c>
      <c r="L384" s="4">
        <v>494727</v>
      </c>
      <c r="M384" s="4">
        <v>0.12</v>
      </c>
      <c r="N384" s="4">
        <v>0.118196</v>
      </c>
      <c r="O384" s="4">
        <v>3.18</v>
      </c>
      <c r="P384" s="4">
        <v>3.18</v>
      </c>
      <c r="Q384" s="4">
        <v>0</v>
      </c>
      <c r="R384" s="4">
        <v>0</v>
      </c>
      <c r="S384" s="4">
        <v>17.68</v>
      </c>
      <c r="T384" s="4">
        <v>4.12</v>
      </c>
      <c r="U384" s="4"/>
      <c r="V384" s="4" t="s">
        <v>4398</v>
      </c>
      <c r="W384" s="4" t="s">
        <v>3307</v>
      </c>
      <c r="X384" s="4" t="s">
        <v>4402</v>
      </c>
      <c r="Y384" s="4" t="s">
        <v>2961</v>
      </c>
      <c r="Z384" s="4" t="s">
        <v>2962</v>
      </c>
      <c r="AA384" s="4" t="s">
        <v>3024</v>
      </c>
      <c r="AB384" s="4" t="s">
        <v>2945</v>
      </c>
      <c r="AD384" s="10">
        <f t="shared" si="23"/>
        <v>0.21417276082355247</v>
      </c>
      <c r="AE384" s="10">
        <f t="shared" si="20"/>
        <v>1.9248834463975538E-2</v>
      </c>
      <c r="AF384" s="10">
        <f t="shared" si="21"/>
        <v>0</v>
      </c>
      <c r="AG384" s="10">
        <f t="shared" ca="1" si="22"/>
        <v>0.236499987019619</v>
      </c>
    </row>
    <row r="385" spans="1:33" x14ac:dyDescent="0.25">
      <c r="A385" s="50" t="s">
        <v>4403</v>
      </c>
      <c r="B385" s="4">
        <v>4276</v>
      </c>
      <c r="C385" s="53" t="s">
        <v>4401</v>
      </c>
      <c r="D385" s="4">
        <v>3.75</v>
      </c>
      <c r="E385" s="49">
        <v>15203</v>
      </c>
      <c r="F385" s="4">
        <v>29.79</v>
      </c>
      <c r="G385" s="4">
        <v>29.79</v>
      </c>
      <c r="H385" s="4" t="s">
        <v>3306</v>
      </c>
      <c r="I385" s="4" t="s">
        <v>3051</v>
      </c>
      <c r="J385" s="4">
        <f>IF(Z385="US",K385,VLOOKUP(Z385,'3032'!$AL$4:$AM$20,2,FALSE)*K385)</f>
        <v>110.5</v>
      </c>
      <c r="K385" s="4">
        <v>110.5</v>
      </c>
      <c r="L385" s="4">
        <v>4758745</v>
      </c>
      <c r="M385" s="4">
        <v>1.1000000000000001</v>
      </c>
      <c r="N385" s="4">
        <v>1.1369229999999999</v>
      </c>
      <c r="O385" s="4">
        <v>3.2</v>
      </c>
      <c r="P385" s="4">
        <v>3.2</v>
      </c>
      <c r="Q385" s="4">
        <v>0</v>
      </c>
      <c r="R385" s="4">
        <v>0</v>
      </c>
      <c r="S385" s="4">
        <v>18.37</v>
      </c>
      <c r="T385" s="4">
        <v>4.5599999999999996</v>
      </c>
      <c r="U385" s="4"/>
      <c r="V385" s="4" t="s">
        <v>4398</v>
      </c>
      <c r="W385" s="4" t="s">
        <v>3307</v>
      </c>
      <c r="X385" s="4" t="s">
        <v>4404</v>
      </c>
      <c r="Y385" s="4" t="s">
        <v>2961</v>
      </c>
      <c r="Z385" s="4" t="s">
        <v>2962</v>
      </c>
      <c r="AA385" s="4" t="s">
        <v>3024</v>
      </c>
      <c r="AB385" s="4" t="s">
        <v>3033</v>
      </c>
      <c r="AD385" s="10">
        <f t="shared" si="23"/>
        <v>2.140513401839867</v>
      </c>
      <c r="AE385" s="10">
        <f t="shared" si="20"/>
        <v>0.18631770096244304</v>
      </c>
      <c r="AF385" s="10">
        <f t="shared" si="21"/>
        <v>0</v>
      </c>
      <c r="AG385" s="10">
        <f t="shared" ca="1" si="22"/>
        <v>2.3766088802582814</v>
      </c>
    </row>
    <row r="386" spans="1:33" x14ac:dyDescent="0.25">
      <c r="A386" s="50" t="s">
        <v>4405</v>
      </c>
      <c r="B386" s="4">
        <v>1638</v>
      </c>
      <c r="C386" s="53" t="s">
        <v>4401</v>
      </c>
      <c r="D386" s="4">
        <v>3.875</v>
      </c>
      <c r="E386" s="49">
        <v>14838</v>
      </c>
      <c r="F386" s="4">
        <v>28.79</v>
      </c>
      <c r="G386" s="4">
        <v>28.79</v>
      </c>
      <c r="H386" s="4" t="s">
        <v>3306</v>
      </c>
      <c r="I386" s="4" t="s">
        <v>3051</v>
      </c>
      <c r="J386" s="4">
        <f>IF(Z386="US",K386,VLOOKUP(Z386,'3032'!$AL$4:$AM$20,2,FALSE)*K386)</f>
        <v>112.8</v>
      </c>
      <c r="K386" s="4">
        <v>112.8</v>
      </c>
      <c r="L386" s="4">
        <v>1860839</v>
      </c>
      <c r="M386" s="4">
        <v>0.42</v>
      </c>
      <c r="N386" s="4">
        <v>0.44457799999999997</v>
      </c>
      <c r="O386" s="4">
        <v>3.19</v>
      </c>
      <c r="P386" s="4">
        <v>3.19</v>
      </c>
      <c r="Q386" s="4">
        <v>0</v>
      </c>
      <c r="R386" s="4">
        <v>0</v>
      </c>
      <c r="S386" s="4">
        <v>17.88</v>
      </c>
      <c r="T386" s="4">
        <v>4.3</v>
      </c>
      <c r="U386" s="4"/>
      <c r="V386" s="4" t="s">
        <v>4398</v>
      </c>
      <c r="W386" s="4" t="s">
        <v>3307</v>
      </c>
      <c r="X386" s="4" t="s">
        <v>4406</v>
      </c>
      <c r="Y386" s="4" t="s">
        <v>2961</v>
      </c>
      <c r="Z386" s="4" t="s">
        <v>2962</v>
      </c>
      <c r="AA386" s="4" t="s">
        <v>3024</v>
      </c>
      <c r="AB386" s="4" t="s">
        <v>2945</v>
      </c>
      <c r="AD386" s="10">
        <f t="shared" si="23"/>
        <v>0.81469054392843177</v>
      </c>
      <c r="AE386" s="10">
        <f t="shared" si="20"/>
        <v>7.2629187780115373E-2</v>
      </c>
      <c r="AF386" s="10">
        <f t="shared" si="21"/>
        <v>0</v>
      </c>
      <c r="AG386" s="10">
        <f t="shared" ca="1" si="22"/>
        <v>0.94868253019877502</v>
      </c>
    </row>
    <row r="387" spans="1:33" x14ac:dyDescent="0.25">
      <c r="A387" s="50" t="s">
        <v>4407</v>
      </c>
      <c r="B387" s="4">
        <v>65</v>
      </c>
      <c r="C387" s="53" t="s">
        <v>4397</v>
      </c>
      <c r="D387" s="4">
        <v>4.75</v>
      </c>
      <c r="E387" s="49">
        <v>42962</v>
      </c>
      <c r="F387" s="4">
        <v>5.79</v>
      </c>
      <c r="G387" s="4">
        <v>5.79</v>
      </c>
      <c r="H387" s="4" t="s">
        <v>3306</v>
      </c>
      <c r="I387" s="4" t="s">
        <v>3051</v>
      </c>
      <c r="J387" s="4">
        <f>IF(Z387="US",K387,VLOOKUP(Z387,'3032'!$AL$4:$AM$20,2,FALSE)*K387)</f>
        <v>119.66</v>
      </c>
      <c r="K387" s="4">
        <v>119.66</v>
      </c>
      <c r="L387" s="4">
        <v>78672</v>
      </c>
      <c r="M387" s="4">
        <v>0.02</v>
      </c>
      <c r="N387" s="4">
        <v>1.8796E-2</v>
      </c>
      <c r="O387" s="4">
        <v>1.22</v>
      </c>
      <c r="P387" s="4">
        <v>1.22</v>
      </c>
      <c r="Q387" s="4">
        <v>0</v>
      </c>
      <c r="R387" s="4">
        <v>0</v>
      </c>
      <c r="S387" s="4">
        <v>5.13</v>
      </c>
      <c r="T387" s="4">
        <v>0.31</v>
      </c>
      <c r="U387" s="4"/>
      <c r="V387" s="4" t="s">
        <v>4398</v>
      </c>
      <c r="W387" s="4" t="s">
        <v>3307</v>
      </c>
      <c r="X387" s="4" t="s">
        <v>4408</v>
      </c>
      <c r="Y387" s="4" t="s">
        <v>2961</v>
      </c>
      <c r="Z387" s="4" t="s">
        <v>2962</v>
      </c>
      <c r="AA387" s="4" t="s">
        <v>3024</v>
      </c>
      <c r="AB387" s="4" t="s">
        <v>2945</v>
      </c>
      <c r="AD387" s="10">
        <f t="shared" si="23"/>
        <v>7.2547122233721792E-3</v>
      </c>
      <c r="AE387" s="10">
        <f t="shared" si="20"/>
        <v>-9.9185925867749117E-2</v>
      </c>
      <c r="AF387" s="10">
        <f t="shared" si="21"/>
        <v>0</v>
      </c>
      <c r="AG387" s="10">
        <f t="shared" ca="1" si="22"/>
        <v>4.2547318415091143E-2</v>
      </c>
    </row>
    <row r="388" spans="1:33" x14ac:dyDescent="0.25">
      <c r="A388" s="50" t="s">
        <v>4409</v>
      </c>
      <c r="B388" s="4">
        <v>220</v>
      </c>
      <c r="C388" s="53" t="s">
        <v>4397</v>
      </c>
      <c r="D388" s="4">
        <v>4.875</v>
      </c>
      <c r="E388" s="49">
        <v>42597</v>
      </c>
      <c r="F388" s="4">
        <v>4.79</v>
      </c>
      <c r="G388" s="4">
        <v>4.79</v>
      </c>
      <c r="H388" s="4" t="s">
        <v>3306</v>
      </c>
      <c r="I388" s="4" t="s">
        <v>3051</v>
      </c>
      <c r="J388" s="4">
        <f>IF(Z388="US",K388,VLOOKUP(Z388,'3032'!$AL$4:$AM$20,2,FALSE)*K388)</f>
        <v>118.5</v>
      </c>
      <c r="K388" s="4">
        <v>118.5</v>
      </c>
      <c r="L388" s="4">
        <v>262973</v>
      </c>
      <c r="M388" s="4">
        <v>0.06</v>
      </c>
      <c r="N388" s="4">
        <v>6.2827999999999995E-2</v>
      </c>
      <c r="O388" s="4">
        <v>0.92</v>
      </c>
      <c r="P388" s="4">
        <v>0.92</v>
      </c>
      <c r="Q388" s="4">
        <v>0</v>
      </c>
      <c r="R388" s="4">
        <v>0</v>
      </c>
      <c r="S388" s="4">
        <v>4.32</v>
      </c>
      <c r="T388" s="4">
        <v>0.22</v>
      </c>
      <c r="U388" s="4"/>
      <c r="V388" s="4" t="s">
        <v>4398</v>
      </c>
      <c r="W388" s="4" t="s">
        <v>3307</v>
      </c>
      <c r="X388" s="4" t="s">
        <v>4410</v>
      </c>
      <c r="Y388" s="4" t="s">
        <v>2961</v>
      </c>
      <c r="Z388" s="4" t="s">
        <v>2962</v>
      </c>
      <c r="AA388" s="4" t="s">
        <v>3024</v>
      </c>
      <c r="AB388" s="4" t="s">
        <v>2945</v>
      </c>
      <c r="AD388" s="10">
        <f t="shared" si="23"/>
        <v>2.0421025202753629E-2</v>
      </c>
      <c r="AE388" s="10">
        <f t="shared" ref="AE388:AE435" si="24">IF(P388&lt;1.99,($L388/$L$441)*P388,IF(AND(P388&gt;1.99,P388&lt;3.99),($L388/$L$442)*P388,IF(AND(P388&gt;3.99,P388&lt;5.99),($L388/$L$443)*P388,IF(AND(P388&gt;5.99,P388&lt;7.99),($L388/$L$444)*P388,IF(AND(P388&gt;7.99,P388&lt;9.99),($L388/$L$445)*P388,IF(P388&gt;9.99,($L388/$L$446)*P388))))))</f>
        <v>-0.25001669980447999</v>
      </c>
      <c r="AF388" s="10">
        <f t="shared" ref="AF388:AF435" si="25">IF(R388&lt;199.99,($L388/$L$449)*R388,IF(AND(R388&gt;199.99,R388&lt;399.99),($L388/$L$450)*R388,IF(AND(R388&gt;399.99,R388&lt;599.99),($L388/$L$451)*R388,IF(AND(R388&gt;599.99,R388&lt;799.99),($L388/$L$452)*R388,IF(AND(R388&gt;799.99,R388&lt;999.99),($L388/$L$453)*R388,IF(R388&gt;999.99,($L388/$L$454)*R388))))))</f>
        <v>0</v>
      </c>
      <c r="AG388" s="10">
        <f t="shared" ref="AG388:AG435" ca="1" si="26">IF(J388&lt;49.999,($L388/$L$465)*J388,IF(AND(J388&gt;49.999,J388&lt;79.999),($L388/$L$466)*J388,IF(AND(J388&gt;79.999,J388&lt;99.999),($L388/$L$467)*J388,IF(AND(J388&gt;99.999,J388&lt;119.999),($L388/$L$468)*J388,IF(AND(J388&gt;119.999,J388&lt;139.999),($L388/$L$469)*J388,IF(J388&gt;139.999,($L388/$L$470)*J388))))))</f>
        <v>0.14084210754961554</v>
      </c>
    </row>
    <row r="389" spans="1:33" x14ac:dyDescent="0.25">
      <c r="A389" s="50" t="s">
        <v>4411</v>
      </c>
      <c r="B389" s="4">
        <v>122</v>
      </c>
      <c r="C389" s="53" t="s">
        <v>4397</v>
      </c>
      <c r="D389" s="4">
        <v>2.375</v>
      </c>
      <c r="E389" s="49">
        <v>41943</v>
      </c>
      <c r="F389" s="4">
        <v>3</v>
      </c>
      <c r="G389" s="4">
        <v>3</v>
      </c>
      <c r="H389" s="4" t="s">
        <v>3306</v>
      </c>
      <c r="I389" s="4" t="s">
        <v>3051</v>
      </c>
      <c r="J389" s="4">
        <f>IF(Z389="US",K389,VLOOKUP(Z389,'3032'!$AL$4:$AM$20,2,FALSE)*K389)</f>
        <v>105.76</v>
      </c>
      <c r="K389" s="4">
        <v>105.76</v>
      </c>
      <c r="L389" s="4">
        <v>129350</v>
      </c>
      <c r="M389" s="4">
        <v>0.03</v>
      </c>
      <c r="N389" s="4">
        <v>3.0903E-2</v>
      </c>
      <c r="O389" s="4">
        <v>0.44</v>
      </c>
      <c r="P389" s="4">
        <v>0.44</v>
      </c>
      <c r="Q389" s="4">
        <v>0</v>
      </c>
      <c r="R389" s="4">
        <v>0</v>
      </c>
      <c r="S389" s="4">
        <v>2.91</v>
      </c>
      <c r="T389" s="4">
        <v>0.1</v>
      </c>
      <c r="U389" s="4"/>
      <c r="V389" s="4" t="s">
        <v>4398</v>
      </c>
      <c r="W389" s="4" t="s">
        <v>3307</v>
      </c>
      <c r="X389" s="4" t="s">
        <v>4412</v>
      </c>
      <c r="Y389" s="4" t="s">
        <v>2961</v>
      </c>
      <c r="Z389" s="4" t="s">
        <v>2962</v>
      </c>
      <c r="AA389" s="4" t="s">
        <v>3024</v>
      </c>
      <c r="AB389" s="4" t="s">
        <v>2945</v>
      </c>
      <c r="AD389" s="10">
        <f t="shared" ref="AD389:AD435" si="27">ABS(IF(S389&lt;1.99,($L389/$L$457)*S389,IF(AND(S389&gt;1.99,S389&lt;3.99),($L389/$L$458)*S389,IF(AND(S389&gt;3.99,S389&lt;5.99),($L389/$L$459)*S389,IF(AND(S389&gt;5.999,S389&lt;7.9999),($L389/$L$460)*S389,IF(AND(S389&gt;7.999,S389&lt;9.999),($L389/$L$461)*S389,IF(S389&gt;9.99,($L389/$L$462)*S389)))))))</f>
        <v>3.7664321275088998E-3</v>
      </c>
      <c r="AE389" s="10">
        <f t="shared" si="24"/>
        <v>-5.8815140604913212E-2</v>
      </c>
      <c r="AF389" s="10">
        <f t="shared" si="25"/>
        <v>0</v>
      </c>
      <c r="AG389" s="10">
        <f t="shared" ca="1" si="26"/>
        <v>6.1828808769646637E-2</v>
      </c>
    </row>
    <row r="390" spans="1:33" x14ac:dyDescent="0.25">
      <c r="A390" s="50" t="s">
        <v>4413</v>
      </c>
      <c r="B390" s="4">
        <v>1000</v>
      </c>
      <c r="C390" s="53" t="s">
        <v>4414</v>
      </c>
      <c r="D390" s="4">
        <v>10.75</v>
      </c>
      <c r="E390" s="49">
        <v>43600</v>
      </c>
      <c r="F390" s="4">
        <v>7.54</v>
      </c>
      <c r="G390" s="4">
        <v>2.54</v>
      </c>
      <c r="H390" s="4" t="s">
        <v>3161</v>
      </c>
      <c r="I390" s="4" t="s">
        <v>3076</v>
      </c>
      <c r="J390" s="4">
        <f>IF(Z390="US",K390,VLOOKUP(Z390,'3032'!$AL$4:$AM$20,2,FALSE)*K390)</f>
        <v>123.5</v>
      </c>
      <c r="K390" s="4">
        <v>123.5</v>
      </c>
      <c r="L390" s="4">
        <v>1284569</v>
      </c>
      <c r="M390" s="4">
        <v>0.26</v>
      </c>
      <c r="N390" s="4">
        <v>0.30690000000000001</v>
      </c>
      <c r="O390" s="4">
        <v>6.72</v>
      </c>
      <c r="P390" s="4">
        <v>3.1</v>
      </c>
      <c r="Q390" s="4">
        <v>275</v>
      </c>
      <c r="R390" s="4">
        <v>256</v>
      </c>
      <c r="S390" s="4">
        <v>2.2000000000000002</v>
      </c>
      <c r="T390" s="4">
        <v>-0.28000000000000003</v>
      </c>
      <c r="U390" s="4"/>
      <c r="V390" s="4" t="s">
        <v>3037</v>
      </c>
      <c r="W390" s="4" t="s">
        <v>3038</v>
      </c>
      <c r="X390" s="4" t="s">
        <v>4415</v>
      </c>
      <c r="Y390" s="4" t="s">
        <v>2957</v>
      </c>
      <c r="Z390" s="4" t="s">
        <v>2962</v>
      </c>
      <c r="AA390" s="4" t="s">
        <v>3024</v>
      </c>
      <c r="AB390" s="4" t="s">
        <v>2945</v>
      </c>
      <c r="AD390" s="10">
        <f t="shared" si="27"/>
        <v>2.827814008855899E-2</v>
      </c>
      <c r="AE390" s="10">
        <f t="shared" si="24"/>
        <v>4.8722642649456152E-2</v>
      </c>
      <c r="AF390" s="10">
        <f t="shared" si="25"/>
        <v>3.7633345487556427</v>
      </c>
      <c r="AG390" s="10">
        <f t="shared" ca="1" si="26"/>
        <v>8.3869356112787514</v>
      </c>
    </row>
    <row r="391" spans="1:33" x14ac:dyDescent="0.25">
      <c r="A391" s="50" t="s">
        <v>4416</v>
      </c>
      <c r="B391" s="4">
        <v>815</v>
      </c>
      <c r="C391" s="53" t="s">
        <v>4417</v>
      </c>
      <c r="D391" s="4">
        <v>7.75</v>
      </c>
      <c r="E391" s="49">
        <v>43449</v>
      </c>
      <c r="F391" s="4">
        <v>7.13</v>
      </c>
      <c r="G391" s="4">
        <v>3.13</v>
      </c>
      <c r="H391" s="4" t="s">
        <v>3064</v>
      </c>
      <c r="I391" s="4" t="s">
        <v>3065</v>
      </c>
      <c r="J391" s="4">
        <f>IF(Z391="US",K391,VLOOKUP(Z391,'3032'!$AL$4:$AM$20,2,FALSE)*K391)</f>
        <v>108.5</v>
      </c>
      <c r="K391" s="4">
        <v>108.5</v>
      </c>
      <c r="L391" s="4">
        <v>908136</v>
      </c>
      <c r="M391" s="4">
        <v>0.21</v>
      </c>
      <c r="N391" s="4">
        <v>0.21696499999999999</v>
      </c>
      <c r="O391" s="4">
        <v>6.25</v>
      </c>
      <c r="P391" s="4">
        <v>5.82</v>
      </c>
      <c r="Q391" s="4">
        <v>498</v>
      </c>
      <c r="R391" s="4">
        <v>435</v>
      </c>
      <c r="S391" s="4">
        <v>3.44</v>
      </c>
      <c r="T391" s="4">
        <v>-0.12</v>
      </c>
      <c r="U391" s="4"/>
      <c r="V391" s="4" t="s">
        <v>3173</v>
      </c>
      <c r="W391" s="4" t="s">
        <v>3525</v>
      </c>
      <c r="X391" s="4" t="s">
        <v>4418</v>
      </c>
      <c r="Y391" s="4" t="s">
        <v>2961</v>
      </c>
      <c r="Z391" s="4" t="s">
        <v>2962</v>
      </c>
      <c r="AA391" s="4" t="s">
        <v>3024</v>
      </c>
      <c r="AB391" s="4" t="s">
        <v>2945</v>
      </c>
      <c r="AD391" s="10">
        <f t="shared" si="27"/>
        <v>3.1259358294308266E-2</v>
      </c>
      <c r="AE391" s="10">
        <f t="shared" si="24"/>
        <v>4.6573290477829217E-2</v>
      </c>
      <c r="AF391" s="10">
        <f t="shared" si="25"/>
        <v>3.3268167593870874</v>
      </c>
      <c r="AG391" s="10">
        <f t="shared" ca="1" si="26"/>
        <v>0.44533172439281332</v>
      </c>
    </row>
    <row r="392" spans="1:33" x14ac:dyDescent="0.25">
      <c r="A392" s="50" t="s">
        <v>4419</v>
      </c>
      <c r="B392" s="4">
        <v>456</v>
      </c>
      <c r="C392" s="53" t="s">
        <v>4420</v>
      </c>
      <c r="D392" s="4">
        <v>0.25</v>
      </c>
      <c r="E392" s="49">
        <v>46054</v>
      </c>
      <c r="F392" s="4">
        <v>14.25</v>
      </c>
      <c r="G392" s="4">
        <v>4.25</v>
      </c>
      <c r="H392" s="4" t="s">
        <v>3232</v>
      </c>
      <c r="I392" s="4" t="s">
        <v>3060</v>
      </c>
      <c r="J392" s="4">
        <f>IF(Z392="US",K392,VLOOKUP(Z392,'3032'!$AL$4:$AM$20,2,FALSE)*K392)</f>
        <v>105.63</v>
      </c>
      <c r="K392" s="4">
        <v>105.63</v>
      </c>
      <c r="L392" s="4">
        <v>481935</v>
      </c>
      <c r="M392" s="4">
        <v>0.12</v>
      </c>
      <c r="N392" s="4">
        <v>0.11514000000000001</v>
      </c>
      <c r="O392" s="4">
        <v>1</v>
      </c>
      <c r="P392" s="4">
        <v>1</v>
      </c>
      <c r="Q392" s="4">
        <v>0</v>
      </c>
      <c r="R392" s="4">
        <v>0</v>
      </c>
      <c r="S392" s="4">
        <v>14.02</v>
      </c>
      <c r="T392" s="4">
        <v>2.06</v>
      </c>
      <c r="U392" s="4"/>
      <c r="V392" s="4" t="s">
        <v>3416</v>
      </c>
      <c r="W392" s="4" t="s">
        <v>3447</v>
      </c>
      <c r="X392" s="4" t="s">
        <v>4421</v>
      </c>
      <c r="Y392" s="4" t="s">
        <v>2961</v>
      </c>
      <c r="Z392" s="4" t="s">
        <v>2962</v>
      </c>
      <c r="AA392" s="4" t="s">
        <v>3024</v>
      </c>
      <c r="AB392" s="4" t="s">
        <v>2945</v>
      </c>
      <c r="AD392" s="10">
        <f t="shared" si="27"/>
        <v>0.16544469374644141</v>
      </c>
      <c r="AE392" s="10">
        <f t="shared" si="24"/>
        <v>-0.49803343267787981</v>
      </c>
      <c r="AF392" s="10">
        <f t="shared" si="25"/>
        <v>0</v>
      </c>
      <c r="AG392" s="10">
        <f t="shared" ca="1" si="26"/>
        <v>0.23007993785940897</v>
      </c>
    </row>
    <row r="393" spans="1:33" x14ac:dyDescent="0.25">
      <c r="A393" s="50" t="s">
        <v>4422</v>
      </c>
      <c r="B393" s="4">
        <v>1182</v>
      </c>
      <c r="C393" s="53" t="s">
        <v>4423</v>
      </c>
      <c r="D393" s="4">
        <v>8</v>
      </c>
      <c r="E393" s="49">
        <v>43054</v>
      </c>
      <c r="F393" s="4">
        <v>6.04</v>
      </c>
      <c r="G393" s="4">
        <v>1.04</v>
      </c>
      <c r="H393" s="4" t="s">
        <v>135</v>
      </c>
      <c r="I393" s="4" t="s">
        <v>3432</v>
      </c>
      <c r="J393" s="4">
        <f>IF(Z393="US",K393,VLOOKUP(Z393,'3032'!$AL$4:$AM$20,2,FALSE)*K393)</f>
        <v>98.25</v>
      </c>
      <c r="K393" s="4">
        <v>98.25</v>
      </c>
      <c r="L393" s="4">
        <v>1204918</v>
      </c>
      <c r="M393" s="4">
        <v>0.3</v>
      </c>
      <c r="N393" s="4">
        <v>0.28787000000000001</v>
      </c>
      <c r="O393" s="4">
        <v>8.3699999999999992</v>
      </c>
      <c r="P393" s="4">
        <v>8.3699999999999992</v>
      </c>
      <c r="Q393" s="4">
        <v>699</v>
      </c>
      <c r="R393" s="4">
        <v>724</v>
      </c>
      <c r="S393" s="4">
        <v>4.53</v>
      </c>
      <c r="T393" s="4">
        <v>0.2</v>
      </c>
      <c r="U393" s="4"/>
      <c r="V393" s="4" t="s">
        <v>3173</v>
      </c>
      <c r="W393" s="4" t="s">
        <v>3669</v>
      </c>
      <c r="X393" s="4" t="s">
        <v>4424</v>
      </c>
      <c r="Y393" s="4" t="s">
        <v>2961</v>
      </c>
      <c r="Z393" s="4" t="s">
        <v>2962</v>
      </c>
      <c r="AA393" s="4" t="s">
        <v>3024</v>
      </c>
      <c r="AB393" s="4" t="s">
        <v>2945</v>
      </c>
      <c r="AD393" s="10">
        <f t="shared" si="27"/>
        <v>9.8115659624989374E-2</v>
      </c>
      <c r="AE393" s="10">
        <f t="shared" si="24"/>
        <v>0.16911492803635181</v>
      </c>
      <c r="AF393" s="10">
        <f t="shared" si="25"/>
        <v>15.130652541959407</v>
      </c>
      <c r="AG393" s="10">
        <f t="shared" ca="1" si="26"/>
        <v>1.1674988594559828</v>
      </c>
    </row>
    <row r="394" spans="1:33" x14ac:dyDescent="0.25">
      <c r="A394" s="50" t="s">
        <v>4425</v>
      </c>
      <c r="B394" s="4">
        <v>307</v>
      </c>
      <c r="C394" s="53" t="s">
        <v>4426</v>
      </c>
      <c r="D394" s="4">
        <v>4.7720000000000002</v>
      </c>
      <c r="E394" s="49">
        <v>43018</v>
      </c>
      <c r="F394" s="4">
        <v>5.94</v>
      </c>
      <c r="G394" s="4">
        <v>5.94</v>
      </c>
      <c r="H394" s="4" t="s">
        <v>3559</v>
      </c>
      <c r="I394" s="4" t="s">
        <v>3311</v>
      </c>
      <c r="J394" s="4">
        <f>IF(Z394="US",K394,VLOOKUP(Z394,'3032'!$AL$4:$AM$20,2,FALSE)*K394)</f>
        <v>67.95</v>
      </c>
      <c r="K394" s="4">
        <v>67.95</v>
      </c>
      <c r="L394" s="4">
        <v>209425</v>
      </c>
      <c r="M394" s="4">
        <v>0.08</v>
      </c>
      <c r="N394" s="4">
        <v>5.0034000000000002E-2</v>
      </c>
      <c r="O394" s="4">
        <v>14.81</v>
      </c>
      <c r="P394" s="4">
        <v>14.81</v>
      </c>
      <c r="Q394" s="4">
        <v>450</v>
      </c>
      <c r="R394" s="4">
        <v>0</v>
      </c>
      <c r="S394" s="4">
        <v>0.25</v>
      </c>
      <c r="T394" s="4">
        <v>0.2</v>
      </c>
      <c r="U394" s="4" t="s">
        <v>3049</v>
      </c>
      <c r="V394" s="4" t="s">
        <v>3021</v>
      </c>
      <c r="W394" s="4" t="s">
        <v>3684</v>
      </c>
      <c r="X394" s="4" t="s">
        <v>4427</v>
      </c>
      <c r="Y394" s="4" t="s">
        <v>2961</v>
      </c>
      <c r="Z394" s="4" t="s">
        <v>2962</v>
      </c>
      <c r="AA394" s="4" t="s">
        <v>3032</v>
      </c>
      <c r="AB394" s="4" t="s">
        <v>2945</v>
      </c>
      <c r="AD394" s="10">
        <f t="shared" si="27"/>
        <v>3.6753839408643687E-4</v>
      </c>
      <c r="AE394" s="10">
        <f t="shared" si="24"/>
        <v>7.299361500313524E-2</v>
      </c>
      <c r="AF394" s="10">
        <f t="shared" si="25"/>
        <v>0</v>
      </c>
      <c r="AG394" s="10">
        <f t="shared" ca="1" si="26"/>
        <v>0.7603220628289209</v>
      </c>
    </row>
    <row r="395" spans="1:33" x14ac:dyDescent="0.25">
      <c r="A395" s="50" t="s">
        <v>4428</v>
      </c>
      <c r="B395" s="4">
        <v>788</v>
      </c>
      <c r="C395" s="53" t="s">
        <v>4429</v>
      </c>
      <c r="D395" s="4">
        <v>3.875</v>
      </c>
      <c r="E395" s="49">
        <v>42948</v>
      </c>
      <c r="F395" s="4">
        <v>5.75</v>
      </c>
      <c r="G395" s="4">
        <v>5.75</v>
      </c>
      <c r="H395" s="4" t="s">
        <v>3019</v>
      </c>
      <c r="I395" s="4" t="s">
        <v>3311</v>
      </c>
      <c r="J395" s="4">
        <f>IF(Z395="US",K395,VLOOKUP(Z395,'3032'!$AL$4:$AM$20,2,FALSE)*K395)</f>
        <v>118.38</v>
      </c>
      <c r="K395" s="4">
        <v>118.38</v>
      </c>
      <c r="L395" s="4">
        <v>940429</v>
      </c>
      <c r="M395" s="4">
        <v>0.2</v>
      </c>
      <c r="N395" s="4">
        <v>0.22467999999999999</v>
      </c>
      <c r="O395" s="4">
        <v>3.55</v>
      </c>
      <c r="P395" s="4">
        <v>3.55</v>
      </c>
      <c r="Q395" s="4">
        <v>0</v>
      </c>
      <c r="R395" s="4">
        <v>0</v>
      </c>
      <c r="S395" s="4">
        <v>5.2</v>
      </c>
      <c r="T395" s="4">
        <v>0.31</v>
      </c>
      <c r="U395" s="4"/>
      <c r="V395" s="4" t="s">
        <v>3416</v>
      </c>
      <c r="W395" s="4" t="s">
        <v>3417</v>
      </c>
      <c r="X395" s="4" t="s">
        <v>4430</v>
      </c>
      <c r="Y395" s="4" t="s">
        <v>2961</v>
      </c>
      <c r="Z395" s="4" t="s">
        <v>2962</v>
      </c>
      <c r="AA395" s="4" t="s">
        <v>3024</v>
      </c>
      <c r="AB395" s="4" t="s">
        <v>2945</v>
      </c>
      <c r="AD395" s="10">
        <f t="shared" si="27"/>
        <v>8.790467858029824E-2</v>
      </c>
      <c r="AE395" s="10">
        <f t="shared" si="24"/>
        <v>4.0847555438353042E-2</v>
      </c>
      <c r="AF395" s="10">
        <f t="shared" si="25"/>
        <v>0</v>
      </c>
      <c r="AG395" s="10">
        <f t="shared" ca="1" si="26"/>
        <v>0.50316144148179398</v>
      </c>
    </row>
    <row r="396" spans="1:33" x14ac:dyDescent="0.25">
      <c r="A396" s="50">
        <v>896818101</v>
      </c>
      <c r="B396" s="4">
        <v>1</v>
      </c>
      <c r="C396" s="53" t="s">
        <v>4431</v>
      </c>
      <c r="D396" s="4">
        <v>0</v>
      </c>
      <c r="E396" s="4"/>
      <c r="F396" s="4">
        <v>0</v>
      </c>
      <c r="G396" s="4">
        <v>0</v>
      </c>
      <c r="H396" s="4" t="s">
        <v>3028</v>
      </c>
      <c r="I396" s="4" t="s">
        <v>3028</v>
      </c>
      <c r="J396" s="4">
        <f>IF(Z396="US",K396,VLOOKUP(Z396,'3032'!$AL$4:$AM$20,2,FALSE)*K396)</f>
        <v>58.1</v>
      </c>
      <c r="K396" s="4">
        <v>58.1</v>
      </c>
      <c r="L396" s="4">
        <v>77854</v>
      </c>
      <c r="M396" s="4">
        <v>0</v>
      </c>
      <c r="N396" s="4">
        <v>1.8599999999999998E-2</v>
      </c>
      <c r="O396" s="4">
        <v>0.36</v>
      </c>
      <c r="P396" s="4">
        <v>0.36</v>
      </c>
      <c r="Q396" s="4">
        <v>0</v>
      </c>
      <c r="R396" s="4">
        <v>0</v>
      </c>
      <c r="S396" s="4">
        <v>0</v>
      </c>
      <c r="T396" s="4">
        <v>0</v>
      </c>
      <c r="U396" s="4"/>
      <c r="V396" s="4" t="s">
        <v>3173</v>
      </c>
      <c r="W396" s="4" t="s">
        <v>3525</v>
      </c>
      <c r="X396" s="4" t="s">
        <v>4432</v>
      </c>
      <c r="Y396" s="4" t="s">
        <v>2961</v>
      </c>
      <c r="Z396" s="4" t="s">
        <v>2962</v>
      </c>
      <c r="AA396" s="4" t="s">
        <v>3024</v>
      </c>
      <c r="AB396" s="4" t="s">
        <v>2945</v>
      </c>
      <c r="AD396" s="10">
        <f t="shared" si="27"/>
        <v>0</v>
      </c>
      <c r="AE396" s="10">
        <f t="shared" si="24"/>
        <v>-2.8963661390796095E-2</v>
      </c>
      <c r="AF396" s="10">
        <f t="shared" si="25"/>
        <v>0</v>
      </c>
      <c r="AG396" s="10">
        <f t="shared" ca="1" si="26"/>
        <v>0.24167775102334502</v>
      </c>
    </row>
    <row r="397" spans="1:33" x14ac:dyDescent="0.25">
      <c r="A397" s="50" t="s">
        <v>4433</v>
      </c>
      <c r="B397" s="4">
        <v>1305</v>
      </c>
      <c r="C397" s="53" t="s">
        <v>4434</v>
      </c>
      <c r="D397" s="4">
        <v>8.625</v>
      </c>
      <c r="E397" s="49">
        <v>43296</v>
      </c>
      <c r="F397" s="4">
        <v>6.71</v>
      </c>
      <c r="G397" s="4">
        <v>2.71</v>
      </c>
      <c r="H397" s="4" t="s">
        <v>3120</v>
      </c>
      <c r="I397" s="4" t="s">
        <v>3036</v>
      </c>
      <c r="J397" s="4">
        <f>IF(Z397="US",K397,VLOOKUP(Z397,'3032'!$AL$4:$AM$20,2,FALSE)*K397)</f>
        <v>110</v>
      </c>
      <c r="K397" s="4">
        <v>110</v>
      </c>
      <c r="L397" s="4">
        <v>1468642</v>
      </c>
      <c r="M397" s="4">
        <v>0.34</v>
      </c>
      <c r="N397" s="4">
        <v>0.35087699999999999</v>
      </c>
      <c r="O397" s="4">
        <v>6.74</v>
      </c>
      <c r="P397" s="4">
        <v>6.05</v>
      </c>
      <c r="Q397" s="4">
        <v>562</v>
      </c>
      <c r="R397" s="4">
        <v>501</v>
      </c>
      <c r="S397" s="4">
        <v>2.36</v>
      </c>
      <c r="T397" s="4">
        <v>-0.24</v>
      </c>
      <c r="U397" s="4"/>
      <c r="V397" s="4" t="s">
        <v>3173</v>
      </c>
      <c r="W397" s="4" t="s">
        <v>3525</v>
      </c>
      <c r="X397" s="4" t="s">
        <v>4435</v>
      </c>
      <c r="Y397" s="4" t="s">
        <v>2961</v>
      </c>
      <c r="Z397" s="4" t="s">
        <v>2962</v>
      </c>
      <c r="AA397" s="4" t="s">
        <v>3024</v>
      </c>
      <c r="AB397" s="4" t="s">
        <v>3033</v>
      </c>
      <c r="AD397" s="10">
        <f t="shared" si="27"/>
        <v>3.4681563710057192E-2</v>
      </c>
      <c r="AE397" s="10">
        <f t="shared" si="24"/>
        <v>7.2717478297084276E-2</v>
      </c>
      <c r="AF397" s="10">
        <f t="shared" si="25"/>
        <v>6.1964421764896045</v>
      </c>
      <c r="AG397" s="10">
        <f t="shared" ca="1" si="26"/>
        <v>0.73014923261994336</v>
      </c>
    </row>
    <row r="398" spans="1:33" x14ac:dyDescent="0.25">
      <c r="A398" s="50" t="s">
        <v>4436</v>
      </c>
      <c r="B398" s="4">
        <v>6761</v>
      </c>
      <c r="C398" s="53" t="s">
        <v>4437</v>
      </c>
      <c r="D398" s="4">
        <v>1.25</v>
      </c>
      <c r="E398" s="49">
        <v>44027</v>
      </c>
      <c r="F398" s="4">
        <v>8.7100000000000009</v>
      </c>
      <c r="G398" s="4">
        <v>8.7100000000000009</v>
      </c>
      <c r="H398" s="4" t="s">
        <v>3306</v>
      </c>
      <c r="I398" s="4" t="s">
        <v>3051</v>
      </c>
      <c r="J398" s="4">
        <f>IF(Z398="US",K398,VLOOKUP(Z398,'3032'!$AL$4:$AM$20,2,FALSE)*K398)</f>
        <v>111.34</v>
      </c>
      <c r="K398" s="4">
        <v>111.34</v>
      </c>
      <c r="L398" s="4">
        <v>7552641</v>
      </c>
      <c r="M398" s="4">
        <v>1.74</v>
      </c>
      <c r="N398" s="4">
        <v>1.8044199999999999</v>
      </c>
      <c r="O398" s="4">
        <v>2.2999999999999998</v>
      </c>
      <c r="P398" s="4">
        <v>2.2999999999999998</v>
      </c>
      <c r="Q398" s="4">
        <v>29</v>
      </c>
      <c r="R398" s="4">
        <v>26</v>
      </c>
      <c r="S398" s="4">
        <v>8.3000000000000007</v>
      </c>
      <c r="T398" s="4">
        <v>0.25</v>
      </c>
      <c r="U398" s="4" t="s">
        <v>3049</v>
      </c>
      <c r="V398" s="4" t="s">
        <v>4398</v>
      </c>
      <c r="W398" s="4" t="s">
        <v>3307</v>
      </c>
      <c r="X398" s="4" t="s">
        <v>4438</v>
      </c>
      <c r="Y398" s="4" t="s">
        <v>2961</v>
      </c>
      <c r="Z398" s="4" t="s">
        <v>2962</v>
      </c>
      <c r="AA398" s="4" t="s">
        <v>3024</v>
      </c>
      <c r="AB398" s="4" t="s">
        <v>3033</v>
      </c>
      <c r="AD398" s="10">
        <f t="shared" si="27"/>
        <v>4.3744733347085223</v>
      </c>
      <c r="AE398" s="10">
        <f t="shared" si="24"/>
        <v>0.21253887755751377</v>
      </c>
      <c r="AF398" s="10">
        <f t="shared" si="25"/>
        <v>1.8260163995556717</v>
      </c>
      <c r="AG398" s="10">
        <f t="shared" ca="1" si="26"/>
        <v>3.8006078657276126</v>
      </c>
    </row>
    <row r="399" spans="1:33" x14ac:dyDescent="0.25">
      <c r="A399" s="50" t="s">
        <v>4439</v>
      </c>
      <c r="B399" s="4">
        <v>400</v>
      </c>
      <c r="C399" s="53" t="s">
        <v>4440</v>
      </c>
      <c r="D399" s="4">
        <v>7.875</v>
      </c>
      <c r="E399" s="49">
        <v>43172</v>
      </c>
      <c r="F399" s="4">
        <v>6.37</v>
      </c>
      <c r="G399" s="4">
        <v>6.37</v>
      </c>
      <c r="H399" s="4" t="s">
        <v>3054</v>
      </c>
      <c r="I399" s="4" t="s">
        <v>3076</v>
      </c>
      <c r="J399" s="4">
        <f>IF(Z399="US",K399,VLOOKUP(Z399,'3032'!$AL$4:$AM$20,2,FALSE)*K399)</f>
        <v>113.5</v>
      </c>
      <c r="K399" s="4">
        <v>113.5</v>
      </c>
      <c r="L399" s="4">
        <v>458200</v>
      </c>
      <c r="M399" s="4">
        <v>0.1</v>
      </c>
      <c r="N399" s="4">
        <v>0.10947</v>
      </c>
      <c r="O399" s="4">
        <v>5.34</v>
      </c>
      <c r="P399" s="4">
        <v>5.34</v>
      </c>
      <c r="Q399" s="4">
        <v>0</v>
      </c>
      <c r="R399" s="4">
        <v>0</v>
      </c>
      <c r="S399" s="4">
        <v>5.03</v>
      </c>
      <c r="T399" s="4">
        <v>0.31</v>
      </c>
      <c r="U399" s="4"/>
      <c r="V399" s="4" t="s">
        <v>3124</v>
      </c>
      <c r="W399" s="4" t="s">
        <v>3125</v>
      </c>
      <c r="X399" s="4" t="s">
        <v>4441</v>
      </c>
      <c r="Y399" s="4" t="s">
        <v>3040</v>
      </c>
      <c r="Z399" s="4" t="s">
        <v>2962</v>
      </c>
      <c r="AA399" s="4" t="s">
        <v>3041</v>
      </c>
      <c r="AB399" s="4" t="s">
        <v>2945</v>
      </c>
      <c r="AD399" s="10">
        <f t="shared" si="27"/>
        <v>4.1429119529333473E-2</v>
      </c>
      <c r="AE399" s="10">
        <f t="shared" si="24"/>
        <v>2.1560527777661757E-2</v>
      </c>
      <c r="AF399" s="10">
        <f t="shared" si="25"/>
        <v>0</v>
      </c>
      <c r="AG399" s="10">
        <f t="shared" ca="1" si="26"/>
        <v>0.23504658754551971</v>
      </c>
    </row>
    <row r="400" spans="1:33" x14ac:dyDescent="0.25">
      <c r="A400" s="50" t="s">
        <v>4442</v>
      </c>
      <c r="B400" s="4">
        <v>815</v>
      </c>
      <c r="C400" s="53" t="s">
        <v>4443</v>
      </c>
      <c r="D400" s="4">
        <v>6.125</v>
      </c>
      <c r="E400" s="49">
        <v>41320</v>
      </c>
      <c r="F400" s="4">
        <v>1.29</v>
      </c>
      <c r="G400" s="4">
        <v>1.29</v>
      </c>
      <c r="H400" s="4" t="s">
        <v>4444</v>
      </c>
      <c r="I400" s="4" t="s">
        <v>3821</v>
      </c>
      <c r="J400" s="4">
        <f>IF(Z400="US",K400,VLOOKUP(Z400,'3032'!$AL$4:$AM$20,2,FALSE)*K400)</f>
        <v>69.5</v>
      </c>
      <c r="K400" s="4">
        <v>69.5</v>
      </c>
      <c r="L400" s="4">
        <v>576963</v>
      </c>
      <c r="M400" s="4">
        <v>0.21</v>
      </c>
      <c r="N400" s="4">
        <v>0.13784399999999999</v>
      </c>
      <c r="O400" s="4">
        <v>38.17</v>
      </c>
      <c r="P400" s="4">
        <v>38.17</v>
      </c>
      <c r="Q400" s="4">
        <v>3784</v>
      </c>
      <c r="R400" s="4">
        <v>3764</v>
      </c>
      <c r="S400" s="4">
        <v>1.04</v>
      </c>
      <c r="T400" s="4">
        <v>0.01</v>
      </c>
      <c r="U400" s="4"/>
      <c r="V400" s="4" t="s">
        <v>3209</v>
      </c>
      <c r="W400" s="4" t="s">
        <v>3570</v>
      </c>
      <c r="X400" s="4" t="s">
        <v>4445</v>
      </c>
      <c r="Y400" s="4" t="s">
        <v>2961</v>
      </c>
      <c r="Z400" s="4" t="s">
        <v>2962</v>
      </c>
      <c r="AA400" s="4" t="s">
        <v>3024</v>
      </c>
      <c r="AB400" s="4" t="s">
        <v>2945</v>
      </c>
      <c r="AD400" s="10">
        <f t="shared" si="27"/>
        <v>4.2122630372875176E-3</v>
      </c>
      <c r="AE400" s="10">
        <f t="shared" si="24"/>
        <v>0.51828830962817407</v>
      </c>
      <c r="AF400" s="10">
        <f t="shared" si="25"/>
        <v>104.70536460480353</v>
      </c>
      <c r="AG400" s="10">
        <f t="shared" ca="1" si="26"/>
        <v>2.1424582892029451</v>
      </c>
    </row>
    <row r="401" spans="1:33" x14ac:dyDescent="0.25">
      <c r="A401" s="50" t="s">
        <v>4446</v>
      </c>
      <c r="B401" s="4">
        <v>3025</v>
      </c>
      <c r="C401" s="53" t="s">
        <v>4447</v>
      </c>
      <c r="D401" s="4">
        <v>6.5</v>
      </c>
      <c r="E401" s="49">
        <v>42887</v>
      </c>
      <c r="F401" s="4">
        <v>5.59</v>
      </c>
      <c r="G401" s="4">
        <v>0.59</v>
      </c>
      <c r="H401" s="4" t="s">
        <v>3181</v>
      </c>
      <c r="I401" s="4" t="s">
        <v>3116</v>
      </c>
      <c r="J401" s="4">
        <f>IF(Z401="US",K401,VLOOKUP(Z401,'3032'!$AL$4:$AM$20,2,FALSE)*K401)</f>
        <v>101</v>
      </c>
      <c r="K401" s="4">
        <v>101</v>
      </c>
      <c r="L401" s="4">
        <v>3137177</v>
      </c>
      <c r="M401" s="4">
        <v>0.78</v>
      </c>
      <c r="N401" s="4">
        <v>0.74951100000000004</v>
      </c>
      <c r="O401" s="4">
        <v>6.28</v>
      </c>
      <c r="P401" s="4">
        <v>6.18</v>
      </c>
      <c r="Q401" s="4">
        <v>535</v>
      </c>
      <c r="R401" s="4">
        <v>513</v>
      </c>
      <c r="S401" s="4">
        <v>3.08</v>
      </c>
      <c r="T401" s="4">
        <v>-0.36</v>
      </c>
      <c r="U401" s="4"/>
      <c r="V401" s="4" t="s">
        <v>3124</v>
      </c>
      <c r="W401" s="4" t="s">
        <v>3888</v>
      </c>
      <c r="X401" s="4" t="s">
        <v>4448</v>
      </c>
      <c r="Y401" s="4" t="s">
        <v>2961</v>
      </c>
      <c r="Z401" s="4" t="s">
        <v>2962</v>
      </c>
      <c r="AA401" s="4" t="s">
        <v>3024</v>
      </c>
      <c r="AB401" s="4" t="s">
        <v>3033</v>
      </c>
      <c r="AD401" s="10">
        <f t="shared" si="27"/>
        <v>9.6685302980258223E-2</v>
      </c>
      <c r="AE401" s="10">
        <f t="shared" si="24"/>
        <v>0.15867006104439157</v>
      </c>
      <c r="AF401" s="10">
        <f t="shared" si="25"/>
        <v>13.553302107193069</v>
      </c>
      <c r="AG401" s="10">
        <f t="shared" ca="1" si="26"/>
        <v>1.4320672077484848</v>
      </c>
    </row>
    <row r="402" spans="1:33" x14ac:dyDescent="0.25">
      <c r="A402" s="50" t="s">
        <v>4449</v>
      </c>
      <c r="B402" s="4">
        <v>541</v>
      </c>
      <c r="C402" s="53" t="s">
        <v>4450</v>
      </c>
      <c r="D402" s="4">
        <v>3.25</v>
      </c>
      <c r="E402" s="49">
        <v>42139</v>
      </c>
      <c r="F402" s="4">
        <v>3.54</v>
      </c>
      <c r="G402" s="4">
        <v>3.54</v>
      </c>
      <c r="H402" s="4" t="s">
        <v>3019</v>
      </c>
      <c r="I402" s="4" t="s">
        <v>3028</v>
      </c>
      <c r="J402" s="4">
        <f>IF(Z402="US",K402,VLOOKUP(Z402,'3032'!$AL$4:$AM$20,2,FALSE)*K402)</f>
        <v>107.13</v>
      </c>
      <c r="K402" s="4">
        <v>107.13</v>
      </c>
      <c r="L402" s="4">
        <v>587654</v>
      </c>
      <c r="M402" s="4">
        <v>0.14000000000000001</v>
      </c>
      <c r="N402" s="4">
        <v>0.140398</v>
      </c>
      <c r="O402" s="4">
        <v>3.03</v>
      </c>
      <c r="P402" s="4">
        <v>3.03</v>
      </c>
      <c r="Q402" s="4">
        <v>0</v>
      </c>
      <c r="R402" s="4">
        <v>0</v>
      </c>
      <c r="S402" s="4">
        <v>3.31</v>
      </c>
      <c r="T402" s="4">
        <v>0.13</v>
      </c>
      <c r="U402" s="4"/>
      <c r="V402" s="4" t="s">
        <v>3426</v>
      </c>
      <c r="W402" s="4" t="s">
        <v>3766</v>
      </c>
      <c r="X402" s="4" t="s">
        <v>4451</v>
      </c>
      <c r="Y402" s="4" t="s">
        <v>2961</v>
      </c>
      <c r="Z402" s="4" t="s">
        <v>2962</v>
      </c>
      <c r="AA402" s="4" t="s">
        <v>3024</v>
      </c>
      <c r="AB402" s="4" t="s">
        <v>2945</v>
      </c>
      <c r="AD402" s="10">
        <f t="shared" si="27"/>
        <v>1.9463476454622229E-2</v>
      </c>
      <c r="AE402" s="10">
        <f t="shared" si="24"/>
        <v>2.1785926291450791E-2</v>
      </c>
      <c r="AF402" s="10">
        <f t="shared" si="25"/>
        <v>0</v>
      </c>
      <c r="AG402" s="10">
        <f t="shared" ca="1" si="26"/>
        <v>0.28453507204030093</v>
      </c>
    </row>
    <row r="403" spans="1:33" x14ac:dyDescent="0.25">
      <c r="A403" s="50" t="s">
        <v>3297</v>
      </c>
      <c r="B403" s="4">
        <v>200</v>
      </c>
      <c r="C403" s="53" t="s">
        <v>3298</v>
      </c>
      <c r="D403" s="4">
        <v>5.125</v>
      </c>
      <c r="E403" s="49">
        <v>44645</v>
      </c>
      <c r="F403" s="4">
        <v>10.4</v>
      </c>
      <c r="G403" s="4">
        <v>10.4</v>
      </c>
      <c r="H403" s="4" t="s">
        <v>133</v>
      </c>
      <c r="I403" s="4" t="s">
        <v>3134</v>
      </c>
      <c r="J403" s="4">
        <f>IF(Z403="US",K403,VLOOKUP(Z403,'3032'!$AL$4:$AM$20,2,FALSE)*K403)</f>
        <v>100.13</v>
      </c>
      <c r="K403" s="4">
        <v>100.13</v>
      </c>
      <c r="L403" s="4">
        <v>200421</v>
      </c>
      <c r="M403" s="4">
        <v>0.05</v>
      </c>
      <c r="N403" s="4">
        <v>4.7883000000000002E-2</v>
      </c>
      <c r="O403" s="4">
        <v>5.1100000000000003</v>
      </c>
      <c r="P403" s="4">
        <v>5.1100000000000003</v>
      </c>
      <c r="Q403" s="4">
        <v>0</v>
      </c>
      <c r="R403" s="4">
        <v>0</v>
      </c>
      <c r="S403" s="4">
        <v>7.98</v>
      </c>
      <c r="T403" s="4">
        <v>0.78</v>
      </c>
      <c r="U403" s="4"/>
      <c r="V403" s="4" t="s">
        <v>3045</v>
      </c>
      <c r="W403" s="4" t="s">
        <v>3046</v>
      </c>
      <c r="X403" s="4" t="s">
        <v>3299</v>
      </c>
      <c r="Y403" s="4" t="s">
        <v>3016</v>
      </c>
      <c r="Z403" s="4" t="s">
        <v>2962</v>
      </c>
      <c r="AA403" s="4" t="s">
        <v>3024</v>
      </c>
      <c r="AB403" s="4" t="s">
        <v>3033</v>
      </c>
      <c r="AD403" s="10">
        <f t="shared" si="27"/>
        <v>2.4464898354681002E-2</v>
      </c>
      <c r="AE403" s="10">
        <f t="shared" si="24"/>
        <v>9.0245835633425038E-3</v>
      </c>
      <c r="AF403" s="10">
        <f t="shared" si="25"/>
        <v>0</v>
      </c>
      <c r="AG403" s="10">
        <f t="shared" ca="1" si="26"/>
        <v>9.0700659497362404E-2</v>
      </c>
    </row>
    <row r="404" spans="1:33" x14ac:dyDescent="0.25">
      <c r="A404" s="50" t="s">
        <v>4452</v>
      </c>
      <c r="B404" s="4">
        <v>840</v>
      </c>
      <c r="C404" s="53" t="s">
        <v>4453</v>
      </c>
      <c r="D404" s="4">
        <v>9.25</v>
      </c>
      <c r="E404" s="49">
        <v>44058</v>
      </c>
      <c r="F404" s="4">
        <v>8.7899999999999991</v>
      </c>
      <c r="G404" s="4">
        <v>3.79</v>
      </c>
      <c r="H404" s="4" t="s">
        <v>3064</v>
      </c>
      <c r="I404" s="4" t="s">
        <v>3821</v>
      </c>
      <c r="J404" s="4">
        <f>IF(Z404="US",K404,VLOOKUP(Z404,'3032'!$AL$4:$AM$20,2,FALSE)*K404)</f>
        <v>91</v>
      </c>
      <c r="K404" s="4">
        <v>91</v>
      </c>
      <c r="L404" s="4">
        <v>780803</v>
      </c>
      <c r="M404" s="4">
        <v>0.22</v>
      </c>
      <c r="N404" s="4">
        <v>0.18654399999999999</v>
      </c>
      <c r="O404" s="4">
        <v>10.86</v>
      </c>
      <c r="P404" s="4">
        <v>10.86</v>
      </c>
      <c r="Q404" s="4">
        <v>870</v>
      </c>
      <c r="R404" s="4">
        <v>895</v>
      </c>
      <c r="S404" s="4">
        <v>5.63</v>
      </c>
      <c r="T404" s="4">
        <v>0.44</v>
      </c>
      <c r="U404" s="4"/>
      <c r="V404" s="4" t="s">
        <v>3037</v>
      </c>
      <c r="W404" s="4" t="s">
        <v>3916</v>
      </c>
      <c r="X404" s="4" t="s">
        <v>4454</v>
      </c>
      <c r="Y404" s="4" t="s">
        <v>2961</v>
      </c>
      <c r="Z404" s="4" t="s">
        <v>2962</v>
      </c>
      <c r="AA404" s="4" t="s">
        <v>3024</v>
      </c>
      <c r="AB404" s="4" t="s">
        <v>2945</v>
      </c>
      <c r="AD404" s="10">
        <f t="shared" si="27"/>
        <v>7.9019176947613304E-2</v>
      </c>
      <c r="AE404" s="10">
        <f t="shared" si="24"/>
        <v>0.19955958334121729</v>
      </c>
      <c r="AF404" s="10">
        <f t="shared" si="25"/>
        <v>26.368988008845978</v>
      </c>
      <c r="AG404" s="10">
        <f t="shared" ca="1" si="26"/>
        <v>0.70072768976571564</v>
      </c>
    </row>
    <row r="405" spans="1:33" x14ac:dyDescent="0.25">
      <c r="A405" s="50" t="s">
        <v>4455</v>
      </c>
      <c r="B405" s="4">
        <v>1724</v>
      </c>
      <c r="C405" s="53" t="s">
        <v>4456</v>
      </c>
      <c r="D405" s="4">
        <v>10</v>
      </c>
      <c r="E405" s="49">
        <v>44166</v>
      </c>
      <c r="F405" s="4">
        <v>9.09</v>
      </c>
      <c r="G405" s="4">
        <v>4.09</v>
      </c>
      <c r="H405" s="4" t="s">
        <v>3064</v>
      </c>
      <c r="I405" s="4" t="s">
        <v>3538</v>
      </c>
      <c r="J405" s="4">
        <f>IF(Z405="US",K405,VLOOKUP(Z405,'3032'!$AL$4:$AM$20,2,FALSE)*K405)</f>
        <v>105</v>
      </c>
      <c r="K405" s="4">
        <v>105</v>
      </c>
      <c r="L405" s="4">
        <v>1882033</v>
      </c>
      <c r="M405" s="4">
        <v>0.44</v>
      </c>
      <c r="N405" s="4">
        <v>0.44964100000000001</v>
      </c>
      <c r="O405" s="4">
        <v>9.17</v>
      </c>
      <c r="P405" s="4">
        <v>9.0299999999999994</v>
      </c>
      <c r="Q405" s="4">
        <v>729</v>
      </c>
      <c r="R405" s="4">
        <v>712</v>
      </c>
      <c r="S405" s="4">
        <v>4.87</v>
      </c>
      <c r="T405" s="4">
        <v>0.26</v>
      </c>
      <c r="U405" s="4"/>
      <c r="V405" s="4" t="s">
        <v>3021</v>
      </c>
      <c r="W405" s="4" t="s">
        <v>3684</v>
      </c>
      <c r="X405" s="4" t="s">
        <v>4457</v>
      </c>
      <c r="Y405" s="4" t="s">
        <v>2961</v>
      </c>
      <c r="Z405" s="4" t="s">
        <v>2962</v>
      </c>
      <c r="AA405" s="4" t="s">
        <v>3024</v>
      </c>
      <c r="AB405" s="4" t="s">
        <v>3033</v>
      </c>
      <c r="AD405" s="10">
        <f t="shared" si="27"/>
        <v>0.1647550855759293</v>
      </c>
      <c r="AE405" s="10">
        <f t="shared" si="24"/>
        <v>0.28497973571547031</v>
      </c>
      <c r="AF405" s="10">
        <f t="shared" si="25"/>
        <v>23.241750122439107</v>
      </c>
      <c r="AG405" s="10">
        <f t="shared" ca="1" si="26"/>
        <v>0.89313999429477908</v>
      </c>
    </row>
    <row r="406" spans="1:33" x14ac:dyDescent="0.25">
      <c r="A406" s="50" t="s">
        <v>4458</v>
      </c>
      <c r="B406" s="4">
        <v>48</v>
      </c>
      <c r="C406" s="53" t="s">
        <v>4459</v>
      </c>
      <c r="D406" s="4">
        <v>9.3000000000000007</v>
      </c>
      <c r="E406" s="49">
        <v>42186</v>
      </c>
      <c r="F406" s="4">
        <v>3.67</v>
      </c>
      <c r="G406" s="4">
        <v>3.67</v>
      </c>
      <c r="H406" s="4" t="s">
        <v>3028</v>
      </c>
      <c r="I406" s="4" t="s">
        <v>3028</v>
      </c>
      <c r="J406" s="4">
        <f>IF(Z406="US",K406,VLOOKUP(Z406,'3032'!$AL$4:$AM$20,2,FALSE)*K406)</f>
        <v>70</v>
      </c>
      <c r="K406" s="4">
        <v>70</v>
      </c>
      <c r="L406" s="4">
        <v>35031</v>
      </c>
      <c r="M406" s="4">
        <v>0.01</v>
      </c>
      <c r="N406" s="4">
        <v>8.3689999999999997E-3</v>
      </c>
      <c r="O406" s="4">
        <v>21.55</v>
      </c>
      <c r="P406" s="4">
        <v>21.55</v>
      </c>
      <c r="Q406" s="4">
        <v>0</v>
      </c>
      <c r="R406" s="4">
        <v>0</v>
      </c>
      <c r="S406" s="4">
        <v>2.6</v>
      </c>
      <c r="T406" s="4">
        <v>0.03</v>
      </c>
      <c r="U406" s="4" t="s">
        <v>3049</v>
      </c>
      <c r="V406" s="4" t="s">
        <v>3209</v>
      </c>
      <c r="W406" s="4" t="s">
        <v>3433</v>
      </c>
      <c r="X406" s="4" t="s">
        <v>4460</v>
      </c>
      <c r="Y406" s="4" t="s">
        <v>2961</v>
      </c>
      <c r="Z406" s="4" t="s">
        <v>2962</v>
      </c>
      <c r="AA406" s="4" t="s">
        <v>3024</v>
      </c>
      <c r="AB406" s="4" t="s">
        <v>2945</v>
      </c>
      <c r="AD406" s="10">
        <f t="shared" si="27"/>
        <v>9.1137394089874991E-4</v>
      </c>
      <c r="AE406" s="10">
        <f t="shared" si="24"/>
        <v>1.7766468055999962E-2</v>
      </c>
      <c r="AF406" s="10">
        <f t="shared" si="25"/>
        <v>0</v>
      </c>
      <c r="AG406" s="10">
        <f t="shared" ca="1" si="26"/>
        <v>0.13101776380470581</v>
      </c>
    </row>
    <row r="407" spans="1:33" x14ac:dyDescent="0.25">
      <c r="A407" s="50" t="s">
        <v>4461</v>
      </c>
      <c r="B407" s="4">
        <v>725</v>
      </c>
      <c r="C407" s="53" t="s">
        <v>4462</v>
      </c>
      <c r="D407" s="4">
        <v>9.75</v>
      </c>
      <c r="E407" s="49">
        <v>42750</v>
      </c>
      <c r="F407" s="4">
        <v>5.21</v>
      </c>
      <c r="G407" s="4">
        <v>3.4</v>
      </c>
      <c r="H407" s="4" t="s">
        <v>3059</v>
      </c>
      <c r="I407" s="4" t="s">
        <v>3076</v>
      </c>
      <c r="J407" s="4">
        <f>IF(Z407="US",K407,VLOOKUP(Z407,'3032'!$AL$4:$AM$20,2,FALSE)*K407)</f>
        <v>108</v>
      </c>
      <c r="K407" s="4">
        <v>108</v>
      </c>
      <c r="L407" s="4">
        <v>803607</v>
      </c>
      <c r="M407" s="4">
        <v>0.19</v>
      </c>
      <c r="N407" s="4">
        <v>0.191992</v>
      </c>
      <c r="O407" s="4">
        <v>6.99</v>
      </c>
      <c r="P407" s="4">
        <v>6.99</v>
      </c>
      <c r="Q407" s="4">
        <v>666</v>
      </c>
      <c r="R407" s="4">
        <v>617</v>
      </c>
      <c r="S407" s="4">
        <v>2.7</v>
      </c>
      <c r="T407" s="4">
        <v>0.12</v>
      </c>
      <c r="U407" s="4" t="s">
        <v>3049</v>
      </c>
      <c r="V407" s="4" t="s">
        <v>3209</v>
      </c>
      <c r="W407" s="4" t="s">
        <v>3451</v>
      </c>
      <c r="X407" s="4" t="s">
        <v>4463</v>
      </c>
      <c r="Y407" s="4" t="s">
        <v>2961</v>
      </c>
      <c r="Z407" s="4" t="s">
        <v>2962</v>
      </c>
      <c r="AA407" s="4" t="s">
        <v>3024</v>
      </c>
      <c r="AB407" s="4" t="s">
        <v>2945</v>
      </c>
      <c r="AD407" s="10">
        <f t="shared" si="27"/>
        <v>2.1710918593139686E-2</v>
      </c>
      <c r="AE407" s="10">
        <f t="shared" si="24"/>
        <v>4.597146863625623E-2</v>
      </c>
      <c r="AF407" s="10">
        <f t="shared" si="25"/>
        <v>8.5998420541124236</v>
      </c>
      <c r="AG407" s="10">
        <f t="shared" ca="1" si="26"/>
        <v>0.39225679055162771</v>
      </c>
    </row>
    <row r="408" spans="1:33" x14ac:dyDescent="0.25">
      <c r="A408" s="50" t="s">
        <v>4464</v>
      </c>
      <c r="B408" s="4">
        <v>750</v>
      </c>
      <c r="C408" s="53" t="s">
        <v>4465</v>
      </c>
      <c r="D408" s="4">
        <v>9.875</v>
      </c>
      <c r="E408" s="49">
        <v>41487</v>
      </c>
      <c r="F408" s="4">
        <v>1.75</v>
      </c>
      <c r="G408" s="4">
        <v>0.25</v>
      </c>
      <c r="H408" s="4" t="s">
        <v>3019</v>
      </c>
      <c r="I408" s="4" t="s">
        <v>3036</v>
      </c>
      <c r="J408" s="4">
        <f>IF(Z408="US",K408,VLOOKUP(Z408,'3032'!$AL$4:$AM$20,2,FALSE)*K408)</f>
        <v>104.75</v>
      </c>
      <c r="K408" s="4">
        <v>104.75</v>
      </c>
      <c r="L408" s="4">
        <v>804141</v>
      </c>
      <c r="M408" s="4">
        <v>0.19</v>
      </c>
      <c r="N408" s="4">
        <v>0.19211900000000001</v>
      </c>
      <c r="O408" s="4">
        <v>6.93</v>
      </c>
      <c r="P408" s="4">
        <v>5.86</v>
      </c>
      <c r="Q408" s="4">
        <v>550</v>
      </c>
      <c r="R408" s="4">
        <v>570</v>
      </c>
      <c r="S408" s="4">
        <v>1.1499999999999999</v>
      </c>
      <c r="T408" s="4">
        <v>0.02</v>
      </c>
      <c r="U408" s="4"/>
      <c r="V408" s="4" t="s">
        <v>3209</v>
      </c>
      <c r="W408" s="4" t="s">
        <v>3451</v>
      </c>
      <c r="X408" s="4" t="s">
        <v>4466</v>
      </c>
      <c r="Y408" s="4" t="s">
        <v>2961</v>
      </c>
      <c r="Z408" s="4" t="s">
        <v>2962</v>
      </c>
      <c r="AA408" s="4" t="s">
        <v>3041</v>
      </c>
      <c r="AB408" s="4" t="s">
        <v>2945</v>
      </c>
      <c r="AD408" s="10">
        <f t="shared" si="27"/>
        <v>6.4917864729219649E-3</v>
      </c>
      <c r="AE408" s="10">
        <f t="shared" si="24"/>
        <v>4.1523396221686666E-2</v>
      </c>
      <c r="AF408" s="10">
        <f t="shared" si="25"/>
        <v>3.8600754435455622</v>
      </c>
      <c r="AG408" s="10">
        <f t="shared" ca="1" si="26"/>
        <v>0.38070557911599157</v>
      </c>
    </row>
    <row r="409" spans="1:33" x14ac:dyDescent="0.25">
      <c r="A409" s="50" t="s">
        <v>4467</v>
      </c>
      <c r="B409" s="4">
        <v>734</v>
      </c>
      <c r="C409" s="53" t="s">
        <v>4468</v>
      </c>
      <c r="D409" s="4">
        <v>10.75</v>
      </c>
      <c r="E409" s="49">
        <v>42887</v>
      </c>
      <c r="F409" s="4">
        <v>5.59</v>
      </c>
      <c r="G409" s="4">
        <v>5.59</v>
      </c>
      <c r="H409" s="4" t="s">
        <v>3054</v>
      </c>
      <c r="I409" s="4" t="s">
        <v>3083</v>
      </c>
      <c r="J409" s="4">
        <f>IF(Z409="US",K409,VLOOKUP(Z409,'3032'!$AL$4:$AM$20,2,FALSE)*K409)</f>
        <v>125.5</v>
      </c>
      <c r="K409" s="4">
        <v>125.5</v>
      </c>
      <c r="L409" s="4">
        <v>954047</v>
      </c>
      <c r="M409" s="4">
        <v>0.19</v>
      </c>
      <c r="N409" s="4">
        <v>0.227934</v>
      </c>
      <c r="O409" s="4">
        <v>5.4</v>
      </c>
      <c r="P409" s="4">
        <v>5.4</v>
      </c>
      <c r="Q409" s="4">
        <v>410</v>
      </c>
      <c r="R409" s="4">
        <v>420</v>
      </c>
      <c r="S409" s="4">
        <v>4.22</v>
      </c>
      <c r="T409" s="4">
        <v>0.23</v>
      </c>
      <c r="U409" s="4"/>
      <c r="V409" s="4" t="s">
        <v>3037</v>
      </c>
      <c r="W409" s="4" t="s">
        <v>3188</v>
      </c>
      <c r="X409" s="4" t="s">
        <v>4469</v>
      </c>
      <c r="Y409" s="4" t="s">
        <v>2961</v>
      </c>
      <c r="Z409" s="4" t="s">
        <v>2962</v>
      </c>
      <c r="AA409" s="4" t="s">
        <v>3024</v>
      </c>
      <c r="AB409" s="4" t="s">
        <v>2945</v>
      </c>
      <c r="AD409" s="10">
        <f t="shared" si="27"/>
        <v>7.2371046866908734E-2</v>
      </c>
      <c r="AE409" s="10">
        <f t="shared" si="24"/>
        <v>4.5396939563767801E-2</v>
      </c>
      <c r="AF409" s="10">
        <f t="shared" si="25"/>
        <v>3.3744872546662168</v>
      </c>
      <c r="AG409" s="10">
        <f t="shared" ca="1" si="26"/>
        <v>6.3298353024444003</v>
      </c>
    </row>
    <row r="410" spans="1:33" x14ac:dyDescent="0.25">
      <c r="A410" s="50" t="s">
        <v>3309</v>
      </c>
      <c r="B410" s="4">
        <v>400</v>
      </c>
      <c r="C410" s="53" t="s">
        <v>3310</v>
      </c>
      <c r="D410" s="4">
        <v>7.65</v>
      </c>
      <c r="E410" s="49">
        <v>41436</v>
      </c>
      <c r="F410" s="4">
        <v>1.61</v>
      </c>
      <c r="G410" s="4">
        <v>1.61</v>
      </c>
      <c r="H410" s="4" t="s">
        <v>3120</v>
      </c>
      <c r="I410" s="4" t="s">
        <v>3311</v>
      </c>
      <c r="J410" s="4">
        <f>IF(Z410="US",K410,VLOOKUP(Z410,'3032'!$AL$4:$AM$20,2,FALSE)*K410)</f>
        <v>98.5</v>
      </c>
      <c r="K410" s="4">
        <v>98.5</v>
      </c>
      <c r="L410" s="4">
        <v>405900</v>
      </c>
      <c r="M410" s="4">
        <v>0.1</v>
      </c>
      <c r="N410" s="4">
        <v>9.6975000000000006E-2</v>
      </c>
      <c r="O410" s="4">
        <v>8.66</v>
      </c>
      <c r="P410" s="4">
        <v>8.66</v>
      </c>
      <c r="Q410" s="4">
        <v>0</v>
      </c>
      <c r="R410" s="4">
        <v>0</v>
      </c>
      <c r="S410" s="4">
        <v>1.44</v>
      </c>
      <c r="T410" s="4">
        <v>0.03</v>
      </c>
      <c r="U410" s="4"/>
      <c r="V410" s="4" t="s">
        <v>3045</v>
      </c>
      <c r="W410" s="4" t="s">
        <v>3046</v>
      </c>
      <c r="X410" s="4" t="s">
        <v>3312</v>
      </c>
      <c r="Y410" s="4" t="s">
        <v>3313</v>
      </c>
      <c r="Z410" s="4" t="s">
        <v>2962</v>
      </c>
      <c r="AA410" s="4" t="s">
        <v>3041</v>
      </c>
      <c r="AB410" s="4" t="s">
        <v>2945</v>
      </c>
      <c r="AD410" s="10">
        <f t="shared" si="27"/>
        <v>4.1031342235157402E-3</v>
      </c>
      <c r="AE410" s="10">
        <f t="shared" si="24"/>
        <v>5.8943502444958051E-2</v>
      </c>
      <c r="AF410" s="10">
        <f t="shared" si="25"/>
        <v>0</v>
      </c>
      <c r="AG410" s="10">
        <f t="shared" ca="1" si="26"/>
        <v>0.3942953864032952</v>
      </c>
    </row>
    <row r="411" spans="1:33" x14ac:dyDescent="0.25">
      <c r="A411" s="50" t="s">
        <v>4470</v>
      </c>
      <c r="B411" s="4">
        <v>2384</v>
      </c>
      <c r="C411" s="53" t="s">
        <v>4471</v>
      </c>
      <c r="D411" s="4">
        <v>9.25</v>
      </c>
      <c r="E411" s="49">
        <v>43814</v>
      </c>
      <c r="F411" s="4">
        <v>8.1300000000000008</v>
      </c>
      <c r="G411" s="4">
        <v>3.13</v>
      </c>
      <c r="H411" s="4" t="s">
        <v>135</v>
      </c>
      <c r="I411" s="4" t="s">
        <v>3065</v>
      </c>
      <c r="J411" s="4">
        <f>IF(Z411="US",K411,VLOOKUP(Z411,'3032'!$AL$4:$AM$20,2,FALSE)*K411)</f>
        <v>112.5</v>
      </c>
      <c r="K411" s="4">
        <v>112.5</v>
      </c>
      <c r="L411" s="4">
        <v>2765308</v>
      </c>
      <c r="M411" s="4">
        <v>0.61</v>
      </c>
      <c r="N411" s="4">
        <v>0.66066599999999998</v>
      </c>
      <c r="O411" s="4">
        <v>7.19</v>
      </c>
      <c r="P411" s="4">
        <v>6.15</v>
      </c>
      <c r="Q411" s="4">
        <v>545</v>
      </c>
      <c r="R411" s="4">
        <v>508</v>
      </c>
      <c r="S411" s="4">
        <v>2.65</v>
      </c>
      <c r="T411" s="4">
        <v>-0.28999999999999998</v>
      </c>
      <c r="U411" s="4"/>
      <c r="V411" s="4" t="s">
        <v>3209</v>
      </c>
      <c r="W411" s="4" t="s">
        <v>3582</v>
      </c>
      <c r="X411" s="4" t="s">
        <v>4472</v>
      </c>
      <c r="Y411" s="4" t="s">
        <v>2961</v>
      </c>
      <c r="Z411" s="4" t="s">
        <v>2962</v>
      </c>
      <c r="AA411" s="4" t="s">
        <v>3024</v>
      </c>
      <c r="AB411" s="4" t="s">
        <v>2945</v>
      </c>
      <c r="AD411" s="10">
        <f t="shared" si="27"/>
        <v>7.3326356785758176E-2</v>
      </c>
      <c r="AE411" s="10">
        <f t="shared" si="24"/>
        <v>0.13918297564843585</v>
      </c>
      <c r="AF411" s="10">
        <f t="shared" si="25"/>
        <v>11.830305338913062</v>
      </c>
      <c r="AG411" s="10">
        <f t="shared" ca="1" si="26"/>
        <v>1.4060444047986409</v>
      </c>
    </row>
    <row r="412" spans="1:33" x14ac:dyDescent="0.25">
      <c r="A412" s="50" t="s">
        <v>4473</v>
      </c>
      <c r="B412" s="4">
        <v>1972</v>
      </c>
      <c r="C412" s="53" t="s">
        <v>4474</v>
      </c>
      <c r="D412" s="4">
        <v>2.746</v>
      </c>
      <c r="E412" s="49">
        <v>41721</v>
      </c>
      <c r="F412" s="4">
        <v>2.4</v>
      </c>
      <c r="G412" s="4">
        <v>2.4</v>
      </c>
      <c r="H412" s="4" t="s">
        <v>3120</v>
      </c>
      <c r="I412" s="4" t="s">
        <v>3065</v>
      </c>
      <c r="J412" s="4">
        <f>IF(Z412="US",K412,VLOOKUP(Z412,'3032'!$AL$4:$AM$20,2,FALSE)*K412)</f>
        <v>86.35</v>
      </c>
      <c r="K412" s="4">
        <v>86.35</v>
      </c>
      <c r="L412" s="4">
        <v>1703164</v>
      </c>
      <c r="M412" s="4">
        <v>0.51</v>
      </c>
      <c r="N412" s="4">
        <v>0.40690700000000002</v>
      </c>
      <c r="O412" s="4">
        <v>9.1199999999999992</v>
      </c>
      <c r="P412" s="4">
        <v>9.1199999999999992</v>
      </c>
      <c r="Q412" s="4">
        <v>250</v>
      </c>
      <c r="R412" s="4">
        <v>0</v>
      </c>
      <c r="S412" s="4">
        <v>0.25</v>
      </c>
      <c r="T412" s="4">
        <v>0.08</v>
      </c>
      <c r="U412" s="4" t="s">
        <v>3049</v>
      </c>
      <c r="V412" s="4" t="s">
        <v>3209</v>
      </c>
      <c r="W412" s="4" t="s">
        <v>3451</v>
      </c>
      <c r="X412" s="4" t="s">
        <v>4475</v>
      </c>
      <c r="Y412" s="4" t="s">
        <v>2961</v>
      </c>
      <c r="Z412" s="4" t="s">
        <v>2962</v>
      </c>
      <c r="AA412" s="4" t="s">
        <v>3032</v>
      </c>
      <c r="AB412" s="4" t="s">
        <v>2945</v>
      </c>
      <c r="AD412" s="10">
        <f t="shared" si="27"/>
        <v>2.9890326437905317E-3</v>
      </c>
      <c r="AE412" s="10">
        <f t="shared" si="24"/>
        <v>0.2604655570380936</v>
      </c>
      <c r="AF412" s="10">
        <f t="shared" si="25"/>
        <v>0</v>
      </c>
      <c r="AG412" s="10">
        <f t="shared" ca="1" si="26"/>
        <v>1.4503914280005579</v>
      </c>
    </row>
    <row r="413" spans="1:33" x14ac:dyDescent="0.25">
      <c r="A413" s="50" t="s">
        <v>4476</v>
      </c>
      <c r="B413" s="4">
        <v>20</v>
      </c>
      <c r="C413" s="53" t="s">
        <v>4477</v>
      </c>
      <c r="D413" s="4">
        <v>0</v>
      </c>
      <c r="E413" s="4"/>
      <c r="F413" s="4">
        <v>0</v>
      </c>
      <c r="G413" s="4">
        <v>0</v>
      </c>
      <c r="H413" s="4" t="s">
        <v>3028</v>
      </c>
      <c r="I413" s="4" t="s">
        <v>3028</v>
      </c>
      <c r="J413" s="4">
        <f>IF(Z413="US",K413,VLOOKUP(Z413,'3032'!$AL$4:$AM$20,2,FALSE)*K413)</f>
        <v>3.62</v>
      </c>
      <c r="K413" s="4">
        <v>3.62</v>
      </c>
      <c r="L413" s="4">
        <v>70999</v>
      </c>
      <c r="M413" s="4">
        <v>0.01</v>
      </c>
      <c r="N413" s="4">
        <v>1.6962999999999999E-2</v>
      </c>
      <c r="O413" s="4">
        <v>0</v>
      </c>
      <c r="P413" s="4">
        <v>0</v>
      </c>
      <c r="Q413" s="4">
        <v>0</v>
      </c>
      <c r="R413" s="4">
        <v>0</v>
      </c>
      <c r="S413" s="4">
        <v>0</v>
      </c>
      <c r="T413" s="4">
        <v>0</v>
      </c>
      <c r="U413" s="4"/>
      <c r="V413" s="4" t="s">
        <v>3037</v>
      </c>
      <c r="W413" s="4" t="s">
        <v>3916</v>
      </c>
      <c r="X413" s="4" t="s">
        <v>4478</v>
      </c>
      <c r="Y413" s="4" t="s">
        <v>2961</v>
      </c>
      <c r="Z413" s="4" t="s">
        <v>2962</v>
      </c>
      <c r="AA413" s="4" t="s">
        <v>3024</v>
      </c>
      <c r="AB413" s="4" t="s">
        <v>2945</v>
      </c>
      <c r="AD413" s="10">
        <f t="shared" si="27"/>
        <v>0</v>
      </c>
      <c r="AE413" s="10">
        <f t="shared" si="24"/>
        <v>0</v>
      </c>
      <c r="AF413" s="10">
        <f t="shared" si="25"/>
        <v>0</v>
      </c>
      <c r="AG413" s="10">
        <f t="shared" ca="1" si="26"/>
        <v>6.9626705715096961E-3</v>
      </c>
    </row>
    <row r="414" spans="1:33" x14ac:dyDescent="0.25">
      <c r="A414" s="50" t="s">
        <v>4479</v>
      </c>
      <c r="B414" s="4">
        <v>615</v>
      </c>
      <c r="C414" s="53" t="s">
        <v>4480</v>
      </c>
      <c r="D414" s="4">
        <v>6.3</v>
      </c>
      <c r="E414" s="49">
        <v>42689</v>
      </c>
      <c r="F414" s="4">
        <v>5.04</v>
      </c>
      <c r="G414" s="4">
        <v>5.04</v>
      </c>
      <c r="H414" s="4" t="s">
        <v>3064</v>
      </c>
      <c r="I414" s="4" t="s">
        <v>3821</v>
      </c>
      <c r="J414" s="4">
        <f>IF(Z414="US",K414,VLOOKUP(Z414,'3032'!$AL$4:$AM$20,2,FALSE)*K414)</f>
        <v>77.25</v>
      </c>
      <c r="K414" s="4">
        <v>77.25</v>
      </c>
      <c r="L414" s="4">
        <v>492953</v>
      </c>
      <c r="M414" s="4">
        <v>0.16</v>
      </c>
      <c r="N414" s="4">
        <v>0.117773</v>
      </c>
      <c r="O414" s="4">
        <v>12.52</v>
      </c>
      <c r="P414" s="4">
        <v>12.52</v>
      </c>
      <c r="Q414" s="4">
        <v>1131</v>
      </c>
      <c r="R414" s="4">
        <v>1167</v>
      </c>
      <c r="S414" s="4">
        <v>3.89</v>
      </c>
      <c r="T414" s="4">
        <v>0.2</v>
      </c>
      <c r="U414" s="4"/>
      <c r="V414" s="4" t="s">
        <v>3037</v>
      </c>
      <c r="W414" s="4" t="s">
        <v>3916</v>
      </c>
      <c r="X414" s="4" t="s">
        <v>4481</v>
      </c>
      <c r="Y414" s="4" t="s">
        <v>2961</v>
      </c>
      <c r="Z414" s="4" t="s">
        <v>2962</v>
      </c>
      <c r="AA414" s="4" t="s">
        <v>3024</v>
      </c>
      <c r="AB414" s="4" t="s">
        <v>2945</v>
      </c>
      <c r="AD414" s="10">
        <f t="shared" si="27"/>
        <v>1.9187828979385084E-2</v>
      </c>
      <c r="AE414" s="10">
        <f t="shared" si="24"/>
        <v>0.14524832499324802</v>
      </c>
      <c r="AF414" s="10">
        <f t="shared" si="25"/>
        <v>27.73624886998908</v>
      </c>
      <c r="AG414" s="10">
        <f t="shared" ca="1" si="26"/>
        <v>2.0346214081541789</v>
      </c>
    </row>
    <row r="415" spans="1:33" x14ac:dyDescent="0.25">
      <c r="A415" s="50" t="s">
        <v>4482</v>
      </c>
      <c r="B415" s="4">
        <v>363</v>
      </c>
      <c r="C415" s="53" t="s">
        <v>4483</v>
      </c>
      <c r="D415" s="4">
        <v>9.75</v>
      </c>
      <c r="E415" s="49">
        <v>43115</v>
      </c>
      <c r="F415" s="4">
        <v>6.21</v>
      </c>
      <c r="G415" s="4">
        <v>6.21</v>
      </c>
      <c r="H415" s="4" t="s">
        <v>3064</v>
      </c>
      <c r="I415" s="4" t="s">
        <v>3821</v>
      </c>
      <c r="J415" s="4">
        <f>IF(Z415="US",K415,VLOOKUP(Z415,'3032'!$AL$4:$AM$20,2,FALSE)*K415)</f>
        <v>84</v>
      </c>
      <c r="K415" s="4">
        <v>84</v>
      </c>
      <c r="L415" s="4">
        <v>315341</v>
      </c>
      <c r="M415" s="4">
        <v>0.09</v>
      </c>
      <c r="N415" s="4">
        <v>7.5339000000000003E-2</v>
      </c>
      <c r="O415" s="4">
        <v>13.64</v>
      </c>
      <c r="P415" s="4">
        <v>10.36</v>
      </c>
      <c r="Q415" s="4">
        <v>1188</v>
      </c>
      <c r="R415" s="4">
        <v>1203</v>
      </c>
      <c r="S415" s="4">
        <v>4.22</v>
      </c>
      <c r="T415" s="4">
        <v>0.25</v>
      </c>
      <c r="U415" s="4"/>
      <c r="V415" s="4" t="s">
        <v>3037</v>
      </c>
      <c r="W415" s="4" t="s">
        <v>3916</v>
      </c>
      <c r="X415" s="4" t="s">
        <v>4484</v>
      </c>
      <c r="Y415" s="4" t="s">
        <v>2961</v>
      </c>
      <c r="Z415" s="4" t="s">
        <v>2962</v>
      </c>
      <c r="AA415" s="4" t="s">
        <v>3024</v>
      </c>
      <c r="AB415" s="4" t="s">
        <v>2945</v>
      </c>
      <c r="AD415" s="10">
        <f t="shared" si="27"/>
        <v>2.3920790369927131E-2</v>
      </c>
      <c r="AE415" s="10">
        <f t="shared" si="24"/>
        <v>7.6884976484056497E-2</v>
      </c>
      <c r="AF415" s="10">
        <f t="shared" si="25"/>
        <v>18.290156574313134</v>
      </c>
      <c r="AG415" s="10">
        <f t="shared" ca="1" si="26"/>
        <v>0.2612318585453226</v>
      </c>
    </row>
    <row r="416" spans="1:33" x14ac:dyDescent="0.25">
      <c r="A416" s="50" t="s">
        <v>4485</v>
      </c>
      <c r="B416" s="4">
        <v>16000</v>
      </c>
      <c r="C416" s="53" t="s">
        <v>4486</v>
      </c>
      <c r="D416" s="4">
        <v>0</v>
      </c>
      <c r="E416" s="49">
        <v>40907</v>
      </c>
      <c r="F416" s="4">
        <v>0</v>
      </c>
      <c r="G416" s="4">
        <v>0</v>
      </c>
      <c r="H416" s="4" t="s">
        <v>3306</v>
      </c>
      <c r="I416" s="4" t="s">
        <v>3051</v>
      </c>
      <c r="J416" s="4">
        <f>IF(Z416="US",K416,VLOOKUP(Z416,'3032'!$AL$4:$AM$20,2,FALSE)*K416)</f>
        <v>139.03</v>
      </c>
      <c r="K416" s="4">
        <v>139.03</v>
      </c>
      <c r="L416" s="4">
        <v>22245000</v>
      </c>
      <c r="M416" s="4">
        <v>0</v>
      </c>
      <c r="N416" s="4">
        <v>5.3146060000000004</v>
      </c>
      <c r="O416" s="4">
        <v>2.8</v>
      </c>
      <c r="P416" s="4">
        <v>2.8</v>
      </c>
      <c r="Q416" s="4">
        <v>0</v>
      </c>
      <c r="R416" s="4">
        <v>0</v>
      </c>
      <c r="S416" s="4">
        <v>10.8</v>
      </c>
      <c r="T416" s="4">
        <v>0</v>
      </c>
      <c r="U416" s="4" t="s">
        <v>3049</v>
      </c>
      <c r="V416" s="4" t="s">
        <v>2941</v>
      </c>
      <c r="W416" s="4" t="s">
        <v>3307</v>
      </c>
      <c r="X416" s="4" t="s">
        <v>3028</v>
      </c>
      <c r="Y416" s="4" t="s">
        <v>2961</v>
      </c>
      <c r="Z416" s="4" t="s">
        <v>2962</v>
      </c>
      <c r="AA416" s="4" t="s">
        <v>2945</v>
      </c>
      <c r="AB416" s="4" t="s">
        <v>2945</v>
      </c>
      <c r="AD416" s="10">
        <f t="shared" si="27"/>
        <v>5.882643459372221</v>
      </c>
      <c r="AE416" s="10">
        <f t="shared" si="24"/>
        <v>0.76208277616700448</v>
      </c>
      <c r="AF416" s="10">
        <f t="shared" si="25"/>
        <v>0</v>
      </c>
      <c r="AG416" s="10">
        <f t="shared" ca="1" si="26"/>
        <v>163.50078680913924</v>
      </c>
    </row>
    <row r="417" spans="1:33" x14ac:dyDescent="0.25">
      <c r="A417" s="50" t="s">
        <v>4487</v>
      </c>
      <c r="B417" s="4">
        <v>-16000</v>
      </c>
      <c r="C417" s="53" t="s">
        <v>4486</v>
      </c>
      <c r="D417" s="4">
        <v>0</v>
      </c>
      <c r="E417" s="49">
        <v>40907</v>
      </c>
      <c r="F417" s="4">
        <v>0</v>
      </c>
      <c r="G417" s="4">
        <v>0</v>
      </c>
      <c r="H417" s="4" t="s">
        <v>3306</v>
      </c>
      <c r="I417" s="4" t="s">
        <v>3051</v>
      </c>
      <c r="J417" s="4">
        <f>IF(Z417="US",K417,VLOOKUP(Z417,'3032'!$AL$4:$AM$20,2,FALSE)*K417)</f>
        <v>139.03</v>
      </c>
      <c r="K417" s="4">
        <v>139.03</v>
      </c>
      <c r="L417" s="4">
        <v>-22245000</v>
      </c>
      <c r="M417" s="4">
        <v>0</v>
      </c>
      <c r="N417" s="4">
        <v>-5.3146060000000004</v>
      </c>
      <c r="O417" s="4">
        <v>0</v>
      </c>
      <c r="P417" s="4">
        <v>0</v>
      </c>
      <c r="Q417" s="4">
        <v>0</v>
      </c>
      <c r="R417" s="4">
        <v>0</v>
      </c>
      <c r="S417" s="4">
        <v>0</v>
      </c>
      <c r="T417" s="4">
        <v>0</v>
      </c>
      <c r="U417" s="4"/>
      <c r="V417" s="4" t="s">
        <v>2941</v>
      </c>
      <c r="W417" s="4" t="s">
        <v>3308</v>
      </c>
      <c r="X417" s="4" t="s">
        <v>3028</v>
      </c>
      <c r="Y417" s="4" t="s">
        <v>2961</v>
      </c>
      <c r="Z417" s="4" t="s">
        <v>2962</v>
      </c>
      <c r="AA417" s="4" t="s">
        <v>2945</v>
      </c>
      <c r="AB417" s="4" t="s">
        <v>2945</v>
      </c>
      <c r="AD417" s="10">
        <f t="shared" si="27"/>
        <v>0</v>
      </c>
      <c r="AE417" s="10">
        <f t="shared" si="24"/>
        <v>0</v>
      </c>
      <c r="AF417" s="10">
        <f t="shared" si="25"/>
        <v>0</v>
      </c>
      <c r="AG417" s="10">
        <f t="shared" ca="1" si="26"/>
        <v>-163.50078680913924</v>
      </c>
    </row>
    <row r="418" spans="1:33" x14ac:dyDescent="0.25">
      <c r="A418" s="50" t="s">
        <v>4488</v>
      </c>
      <c r="B418" s="4">
        <v>2565</v>
      </c>
      <c r="C418" s="53" t="s">
        <v>4489</v>
      </c>
      <c r="D418" s="4">
        <v>8.25</v>
      </c>
      <c r="E418" s="49">
        <v>44354</v>
      </c>
      <c r="F418" s="4">
        <v>9.6</v>
      </c>
      <c r="G418" s="4">
        <v>9.6</v>
      </c>
      <c r="H418" s="4" t="s">
        <v>133</v>
      </c>
      <c r="I418" s="4" t="s">
        <v>3134</v>
      </c>
      <c r="J418" s="4">
        <f>IF(Z418="US",K418,VLOOKUP(Z418,'3032'!$AL$4:$AM$20,2,FALSE)*K418)</f>
        <v>92.5</v>
      </c>
      <c r="K418" s="4">
        <v>92.5</v>
      </c>
      <c r="L418" s="4">
        <v>2457270</v>
      </c>
      <c r="M418" s="4">
        <v>0.66</v>
      </c>
      <c r="N418" s="4">
        <v>0.58707200000000004</v>
      </c>
      <c r="O418" s="4">
        <v>9.4499999999999993</v>
      </c>
      <c r="P418" s="4">
        <v>9.4499999999999993</v>
      </c>
      <c r="Q418" s="4">
        <v>687</v>
      </c>
      <c r="R418" s="4">
        <v>771</v>
      </c>
      <c r="S418" s="4">
        <v>6.17</v>
      </c>
      <c r="T418" s="4">
        <v>0.55000000000000004</v>
      </c>
      <c r="U418" s="4"/>
      <c r="V418" s="4" t="s">
        <v>3037</v>
      </c>
      <c r="W418" s="4" t="s">
        <v>3038</v>
      </c>
      <c r="X418" s="4" t="s">
        <v>4490</v>
      </c>
      <c r="Y418" s="4" t="s">
        <v>2990</v>
      </c>
      <c r="Z418" s="4" t="s">
        <v>2962</v>
      </c>
      <c r="AA418" s="4" t="s">
        <v>3041</v>
      </c>
      <c r="AB418" s="4" t="s">
        <v>2945</v>
      </c>
      <c r="AD418" s="10">
        <f t="shared" si="27"/>
        <v>0.23191847265056126</v>
      </c>
      <c r="AE418" s="10">
        <f t="shared" si="24"/>
        <v>0.38938900279483663</v>
      </c>
      <c r="AF418" s="10">
        <f t="shared" si="25"/>
        <v>32.860098160462194</v>
      </c>
      <c r="AG418" s="10">
        <f t="shared" ca="1" si="26"/>
        <v>2.2416150044112868</v>
      </c>
    </row>
    <row r="419" spans="1:33" x14ac:dyDescent="0.25">
      <c r="A419" s="50" t="s">
        <v>4491</v>
      </c>
      <c r="B419" s="4">
        <v>2241</v>
      </c>
      <c r="C419" s="53" t="s">
        <v>4492</v>
      </c>
      <c r="D419" s="4">
        <v>6.125</v>
      </c>
      <c r="E419" s="49">
        <v>43862</v>
      </c>
      <c r="F419" s="4">
        <v>8.25</v>
      </c>
      <c r="G419" s="4">
        <v>8.25</v>
      </c>
      <c r="H419" s="4" t="s">
        <v>3161</v>
      </c>
      <c r="I419" s="4" t="s">
        <v>3076</v>
      </c>
      <c r="J419" s="4">
        <f>IF(Z419="US",K419,VLOOKUP(Z419,'3032'!$AL$4:$AM$20,2,FALSE)*K419)</f>
        <v>114.83</v>
      </c>
      <c r="K419" s="4">
        <v>114.83</v>
      </c>
      <c r="L419" s="4">
        <v>2607642</v>
      </c>
      <c r="M419" s="4">
        <v>0.57999999999999996</v>
      </c>
      <c r="N419" s="4">
        <v>0.62299800000000005</v>
      </c>
      <c r="O419" s="4">
        <v>4</v>
      </c>
      <c r="P419" s="4">
        <v>4</v>
      </c>
      <c r="Q419" s="4">
        <v>209</v>
      </c>
      <c r="R419" s="4">
        <v>220</v>
      </c>
      <c r="S419" s="4">
        <v>6.51</v>
      </c>
      <c r="T419" s="4">
        <v>0.54</v>
      </c>
      <c r="U419" s="4"/>
      <c r="V419" s="4" t="s">
        <v>3124</v>
      </c>
      <c r="W419" s="4" t="s">
        <v>3888</v>
      </c>
      <c r="X419" s="4" t="s">
        <v>4493</v>
      </c>
      <c r="Y419" s="4" t="s">
        <v>2961</v>
      </c>
      <c r="Z419" s="4" t="s">
        <v>2962</v>
      </c>
      <c r="AA419" s="4" t="s">
        <v>3024</v>
      </c>
      <c r="AB419" s="4" t="s">
        <v>2945</v>
      </c>
      <c r="AD419" s="10">
        <f t="shared" si="27"/>
        <v>0.25967267726925736</v>
      </c>
      <c r="AE419" s="10">
        <f t="shared" si="24"/>
        <v>9.1911743518764119E-2</v>
      </c>
      <c r="AF419" s="10">
        <f t="shared" si="25"/>
        <v>6.5651714652960003</v>
      </c>
      <c r="AG419" s="10">
        <f t="shared" ca="1" si="26"/>
        <v>1.3533381863627285</v>
      </c>
    </row>
    <row r="420" spans="1:33" x14ac:dyDescent="0.25">
      <c r="A420" s="50" t="s">
        <v>4494</v>
      </c>
      <c r="B420" s="4">
        <v>-3600</v>
      </c>
      <c r="C420" s="53" t="s">
        <v>4495</v>
      </c>
      <c r="D420" s="4">
        <v>7.5</v>
      </c>
      <c r="E420" s="49">
        <v>44362</v>
      </c>
      <c r="F420" s="4">
        <v>9.6300000000000008</v>
      </c>
      <c r="G420" s="4">
        <v>9.6300000000000008</v>
      </c>
      <c r="H420" s="4" t="s">
        <v>133</v>
      </c>
      <c r="I420" s="4" t="s">
        <v>3134</v>
      </c>
      <c r="J420" s="4">
        <f>IF(Z420="US",K420,VLOOKUP(Z420,'3032'!$AL$4:$AM$20,2,FALSE)*K420)</f>
        <v>98.48</v>
      </c>
      <c r="K420" s="4">
        <v>98.48</v>
      </c>
      <c r="L420" s="4">
        <v>-3648016</v>
      </c>
      <c r="M420" s="4">
        <v>-0.93</v>
      </c>
      <c r="N420" s="4">
        <v>-0.871556</v>
      </c>
      <c r="O420" s="4">
        <v>7.72</v>
      </c>
      <c r="P420" s="4">
        <v>7.72</v>
      </c>
      <c r="Q420" s="4">
        <v>552</v>
      </c>
      <c r="R420" s="4">
        <v>573</v>
      </c>
      <c r="S420" s="4">
        <v>6.55</v>
      </c>
      <c r="T420" s="4">
        <v>0.59</v>
      </c>
      <c r="U420" s="4"/>
      <c r="V420" s="4" t="s">
        <v>3037</v>
      </c>
      <c r="W420" s="4" t="s">
        <v>3916</v>
      </c>
      <c r="X420" s="4" t="s">
        <v>4496</v>
      </c>
      <c r="Y420" s="4" t="s">
        <v>2961</v>
      </c>
      <c r="Z420" s="4" t="s">
        <v>2962</v>
      </c>
      <c r="AA420" s="4" t="s">
        <v>3024</v>
      </c>
      <c r="AB420" s="4" t="s">
        <v>2945</v>
      </c>
      <c r="AD420" s="10">
        <f t="shared" si="27"/>
        <v>0.3655066931023962</v>
      </c>
      <c r="AE420" s="10">
        <f t="shared" si="24"/>
        <v>-0.23048439471431792</v>
      </c>
      <c r="AF420" s="10">
        <f t="shared" si="25"/>
        <v>-17.603543101068553</v>
      </c>
      <c r="AG420" s="10">
        <f t="shared" ca="1" si="26"/>
        <v>-3.5430002913244301</v>
      </c>
    </row>
    <row r="421" spans="1:33" x14ac:dyDescent="0.25">
      <c r="A421" s="50" t="s">
        <v>4497</v>
      </c>
      <c r="B421" s="4">
        <v>530</v>
      </c>
      <c r="C421" s="53" t="s">
        <v>4498</v>
      </c>
      <c r="D421" s="4">
        <v>8.875</v>
      </c>
      <c r="E421" s="49">
        <v>42628</v>
      </c>
      <c r="F421" s="4">
        <v>4.88</v>
      </c>
      <c r="G421" s="4">
        <v>0.88</v>
      </c>
      <c r="H421" s="4" t="s">
        <v>135</v>
      </c>
      <c r="I421" s="4" t="s">
        <v>3020</v>
      </c>
      <c r="J421" s="4">
        <f>IF(Z421="US",K421,VLOOKUP(Z421,'3032'!$AL$4:$AM$20,2,FALSE)*K421)</f>
        <v>103</v>
      </c>
      <c r="K421" s="4">
        <v>103</v>
      </c>
      <c r="L421" s="4">
        <v>551910</v>
      </c>
      <c r="M421" s="4">
        <v>0.14000000000000001</v>
      </c>
      <c r="N421" s="4">
        <v>0.131858</v>
      </c>
      <c r="O421" s="4">
        <v>8.11</v>
      </c>
      <c r="P421" s="4">
        <v>7.95</v>
      </c>
      <c r="Q421" s="4">
        <v>719</v>
      </c>
      <c r="R421" s="4">
        <v>718</v>
      </c>
      <c r="S421" s="4">
        <v>3.21</v>
      </c>
      <c r="T421" s="4">
        <v>0.08</v>
      </c>
      <c r="U421" s="4"/>
      <c r="V421" s="4" t="s">
        <v>3153</v>
      </c>
      <c r="W421" s="4" t="s">
        <v>3477</v>
      </c>
      <c r="X421" s="4" t="s">
        <v>4499</v>
      </c>
      <c r="Y421" s="4" t="s">
        <v>2961</v>
      </c>
      <c r="Z421" s="4" t="s">
        <v>2962</v>
      </c>
      <c r="AA421" s="4" t="s">
        <v>3024</v>
      </c>
      <c r="AB421" s="4" t="s">
        <v>2945</v>
      </c>
      <c r="AD421" s="10">
        <f t="shared" si="27"/>
        <v>1.7727358157783184E-2</v>
      </c>
      <c r="AE421" s="10">
        <f t="shared" si="24"/>
        <v>3.5908964621986943E-2</v>
      </c>
      <c r="AF421" s="10">
        <f t="shared" si="25"/>
        <v>6.8731260251353952</v>
      </c>
      <c r="AG421" s="10">
        <f t="shared" ca="1" si="26"/>
        <v>0.25692625807597091</v>
      </c>
    </row>
    <row r="422" spans="1:33" x14ac:dyDescent="0.25">
      <c r="A422" s="50" t="s">
        <v>4500</v>
      </c>
      <c r="B422" s="4">
        <v>1019</v>
      </c>
      <c r="C422" s="53" t="s">
        <v>4501</v>
      </c>
      <c r="D422" s="4">
        <v>9.375</v>
      </c>
      <c r="E422" s="49">
        <v>42278</v>
      </c>
      <c r="F422" s="4">
        <v>3.92</v>
      </c>
      <c r="G422" s="4">
        <v>1.42</v>
      </c>
      <c r="H422" s="4" t="s">
        <v>135</v>
      </c>
      <c r="I422" s="4" t="s">
        <v>3020</v>
      </c>
      <c r="J422" s="4">
        <f>IF(Z422="US",K422,VLOOKUP(Z422,'3032'!$AL$4:$AM$20,2,FALSE)*K422)</f>
        <v>91</v>
      </c>
      <c r="K422" s="4">
        <v>91</v>
      </c>
      <c r="L422" s="4">
        <v>935251</v>
      </c>
      <c r="M422" s="4">
        <v>0.26</v>
      </c>
      <c r="N422" s="4">
        <v>0.223443</v>
      </c>
      <c r="O422" s="4">
        <v>12.33</v>
      </c>
      <c r="P422" s="4">
        <v>12.33</v>
      </c>
      <c r="Q422" s="4">
        <v>1138</v>
      </c>
      <c r="R422" s="4">
        <v>1141</v>
      </c>
      <c r="S422" s="4">
        <v>3.12</v>
      </c>
      <c r="T422" s="4">
        <v>0.17</v>
      </c>
      <c r="U422" s="4"/>
      <c r="V422" s="4" t="s">
        <v>3037</v>
      </c>
      <c r="W422" s="4" t="s">
        <v>3084</v>
      </c>
      <c r="X422" s="4" t="s">
        <v>4502</v>
      </c>
      <c r="Y422" s="4" t="s">
        <v>2961</v>
      </c>
      <c r="Z422" s="4" t="s">
        <v>2962</v>
      </c>
      <c r="AA422" s="4" t="s">
        <v>3041</v>
      </c>
      <c r="AB422" s="4" t="s">
        <v>2945</v>
      </c>
      <c r="AD422" s="10">
        <f t="shared" si="27"/>
        <v>2.9198026534195311E-2</v>
      </c>
      <c r="AE422" s="10">
        <f t="shared" si="24"/>
        <v>0.2713891918537808</v>
      </c>
      <c r="AF422" s="10">
        <f t="shared" si="25"/>
        <v>51.449976543986658</v>
      </c>
      <c r="AG422" s="10">
        <f t="shared" ca="1" si="26"/>
        <v>0.83933626354032354</v>
      </c>
    </row>
    <row r="423" spans="1:33" x14ac:dyDescent="0.25">
      <c r="A423" s="50" t="s">
        <v>4503</v>
      </c>
      <c r="B423" s="4">
        <v>269</v>
      </c>
      <c r="C423" s="53" t="s">
        <v>4504</v>
      </c>
      <c r="D423" s="4">
        <v>4.298</v>
      </c>
      <c r="E423" s="49">
        <v>13479</v>
      </c>
      <c r="F423" s="4">
        <v>25.07</v>
      </c>
      <c r="G423" s="4">
        <v>3.4</v>
      </c>
      <c r="H423" s="4" t="s">
        <v>3559</v>
      </c>
      <c r="I423" s="4" t="s">
        <v>3028</v>
      </c>
      <c r="J423" s="4">
        <f>IF(Z423="US",K423,VLOOKUP(Z423,'3032'!$AL$4:$AM$20,2,FALSE)*K423)</f>
        <v>71.06</v>
      </c>
      <c r="K423" s="4">
        <v>71.06</v>
      </c>
      <c r="L423" s="4">
        <v>192131</v>
      </c>
      <c r="M423" s="4">
        <v>7.0000000000000007E-2</v>
      </c>
      <c r="N423" s="4">
        <v>4.5901999999999998E-2</v>
      </c>
      <c r="O423" s="4">
        <v>7.8</v>
      </c>
      <c r="P423" s="4">
        <v>7.8</v>
      </c>
      <c r="Q423" s="4">
        <v>900</v>
      </c>
      <c r="R423" s="4">
        <v>900</v>
      </c>
      <c r="S423" s="4">
        <v>2.1</v>
      </c>
      <c r="T423" s="4">
        <v>-0.01</v>
      </c>
      <c r="U423" s="4" t="s">
        <v>3049</v>
      </c>
      <c r="V423" s="4" t="s">
        <v>3539</v>
      </c>
      <c r="W423" s="4" t="s">
        <v>3540</v>
      </c>
      <c r="X423" s="4" t="s">
        <v>4505</v>
      </c>
      <c r="Y423" s="4" t="s">
        <v>2961</v>
      </c>
      <c r="Z423" s="4" t="s">
        <v>2962</v>
      </c>
      <c r="AA423" s="4" t="s">
        <v>3024</v>
      </c>
      <c r="AB423" s="4" t="s">
        <v>2945</v>
      </c>
      <c r="AD423" s="10">
        <f t="shared" si="27"/>
        <v>4.037266903616327E-3</v>
      </c>
      <c r="AE423" s="10">
        <f t="shared" si="24"/>
        <v>1.226477364038786E-2</v>
      </c>
      <c r="AF423" s="10">
        <f t="shared" si="25"/>
        <v>6.524825579921103</v>
      </c>
      <c r="AG423" s="10">
        <f t="shared" ca="1" si="26"/>
        <v>0.72946129625823286</v>
      </c>
    </row>
    <row r="424" spans="1:33" x14ac:dyDescent="0.25">
      <c r="A424" s="50" t="s">
        <v>4506</v>
      </c>
      <c r="B424" s="4">
        <v>379</v>
      </c>
      <c r="C424" s="53" t="s">
        <v>4507</v>
      </c>
      <c r="D424" s="4">
        <v>6</v>
      </c>
      <c r="E424" s="49">
        <v>47376</v>
      </c>
      <c r="F424" s="4">
        <v>17.88</v>
      </c>
      <c r="G424" s="4">
        <v>4.88</v>
      </c>
      <c r="H424" s="4" t="s">
        <v>135</v>
      </c>
      <c r="I424" s="4" t="s">
        <v>3028</v>
      </c>
      <c r="J424" s="4">
        <f>IF(Z424="US",K424,VLOOKUP(Z424,'3032'!$AL$4:$AM$20,2,FALSE)*K424)</f>
        <v>188.5</v>
      </c>
      <c r="K424" s="4">
        <v>188.5</v>
      </c>
      <c r="L424" s="4">
        <v>717321</v>
      </c>
      <c r="M424" s="4">
        <v>0.1</v>
      </c>
      <c r="N424" s="4">
        <v>0.171377</v>
      </c>
      <c r="O424" s="4">
        <v>3.18</v>
      </c>
      <c r="P424" s="4">
        <v>3.18</v>
      </c>
      <c r="Q424" s="4">
        <v>0</v>
      </c>
      <c r="R424" s="4">
        <v>0</v>
      </c>
      <c r="S424" s="4">
        <v>4.6500000000000004</v>
      </c>
      <c r="T424" s="4">
        <v>2.11</v>
      </c>
      <c r="U424" s="4"/>
      <c r="V424" s="4" t="s">
        <v>3226</v>
      </c>
      <c r="W424" s="4" t="s">
        <v>4508</v>
      </c>
      <c r="X424" s="4" t="s">
        <v>4509</v>
      </c>
      <c r="Y424" s="4" t="s">
        <v>2961</v>
      </c>
      <c r="Z424" s="4" t="s">
        <v>2962</v>
      </c>
      <c r="AA424" s="4" t="s">
        <v>3024</v>
      </c>
      <c r="AB424" s="4" t="s">
        <v>2945</v>
      </c>
      <c r="AD424" s="10">
        <f t="shared" si="27"/>
        <v>5.9958275290222747E-2</v>
      </c>
      <c r="AE424" s="10">
        <f t="shared" si="24"/>
        <v>2.7909520172809239E-2</v>
      </c>
      <c r="AF424" s="10">
        <f t="shared" si="25"/>
        <v>0</v>
      </c>
      <c r="AG424" s="10">
        <f t="shared" ca="1" si="26"/>
        <v>30.812849013061424</v>
      </c>
    </row>
    <row r="425" spans="1:33" x14ac:dyDescent="0.25">
      <c r="A425" s="50" t="s">
        <v>4510</v>
      </c>
      <c r="B425" s="4">
        <v>455</v>
      </c>
      <c r="C425" s="53" t="s">
        <v>4511</v>
      </c>
      <c r="D425" s="4">
        <v>4.25</v>
      </c>
      <c r="E425" s="49">
        <v>43174</v>
      </c>
      <c r="F425" s="4">
        <v>6.38</v>
      </c>
      <c r="G425" s="4">
        <v>6.38</v>
      </c>
      <c r="H425" s="4" t="s">
        <v>3054</v>
      </c>
      <c r="I425" s="4" t="s">
        <v>3036</v>
      </c>
      <c r="J425" s="4">
        <f>IF(Z425="US",K425,VLOOKUP(Z425,'3032'!$AL$4:$AM$20,2,FALSE)*K425)</f>
        <v>99.04</v>
      </c>
      <c r="K425" s="4">
        <v>99.04</v>
      </c>
      <c r="L425" s="4">
        <v>450552</v>
      </c>
      <c r="M425" s="4">
        <v>0.12</v>
      </c>
      <c r="N425" s="4">
        <v>0.107642</v>
      </c>
      <c r="O425" s="4">
        <v>4.3</v>
      </c>
      <c r="P425" s="4">
        <v>4.3</v>
      </c>
      <c r="Q425" s="4">
        <v>325</v>
      </c>
      <c r="R425" s="4">
        <v>0</v>
      </c>
      <c r="S425" s="4">
        <v>0.25</v>
      </c>
      <c r="T425" s="4">
        <v>0.52</v>
      </c>
      <c r="U425" s="4" t="s">
        <v>3049</v>
      </c>
      <c r="V425" s="4" t="s">
        <v>3416</v>
      </c>
      <c r="W425" s="4" t="s">
        <v>3447</v>
      </c>
      <c r="X425" s="4" t="s">
        <v>4512</v>
      </c>
      <c r="Y425" s="4" t="s">
        <v>2961</v>
      </c>
      <c r="Z425" s="4" t="s">
        <v>2962</v>
      </c>
      <c r="AA425" s="4" t="s">
        <v>3032</v>
      </c>
      <c r="AB425" s="4" t="s">
        <v>3042</v>
      </c>
      <c r="AD425" s="10">
        <f t="shared" si="27"/>
        <v>7.9071342262114019E-4</v>
      </c>
      <c r="AE425" s="10">
        <f t="shared" si="24"/>
        <v>1.7071686357178695E-2</v>
      </c>
      <c r="AF425" s="10">
        <f t="shared" si="25"/>
        <v>0</v>
      </c>
      <c r="AG425" s="10">
        <f t="shared" ca="1" si="26"/>
        <v>0.44007020662338026</v>
      </c>
    </row>
    <row r="426" spans="1:33" x14ac:dyDescent="0.25">
      <c r="A426" s="50" t="s">
        <v>4513</v>
      </c>
      <c r="B426" s="4">
        <v>227</v>
      </c>
      <c r="C426" s="53" t="s">
        <v>4514</v>
      </c>
      <c r="D426" s="4">
        <v>4.25</v>
      </c>
      <c r="E426" s="49">
        <v>43174</v>
      </c>
      <c r="F426" s="4">
        <v>6.38</v>
      </c>
      <c r="G426" s="4">
        <v>6.38</v>
      </c>
      <c r="H426" s="4" t="s">
        <v>3054</v>
      </c>
      <c r="I426" s="4" t="s">
        <v>3036</v>
      </c>
      <c r="J426" s="4">
        <f>IF(Z426="US",K426,VLOOKUP(Z426,'3032'!$AL$4:$AM$20,2,FALSE)*K426)</f>
        <v>99.04</v>
      </c>
      <c r="K426" s="4">
        <v>99.04</v>
      </c>
      <c r="L426" s="4">
        <v>225276</v>
      </c>
      <c r="M426" s="4">
        <v>0.06</v>
      </c>
      <c r="N426" s="4">
        <v>5.3821000000000001E-2</v>
      </c>
      <c r="O426" s="4">
        <v>4.3</v>
      </c>
      <c r="P426" s="4">
        <v>4.3</v>
      </c>
      <c r="Q426" s="4">
        <v>325</v>
      </c>
      <c r="R426" s="4">
        <v>0</v>
      </c>
      <c r="S426" s="4">
        <v>0.25</v>
      </c>
      <c r="T426" s="4">
        <v>0.52</v>
      </c>
      <c r="U426" s="4" t="s">
        <v>3049</v>
      </c>
      <c r="V426" s="4" t="s">
        <v>3416</v>
      </c>
      <c r="W426" s="4" t="s">
        <v>3447</v>
      </c>
      <c r="X426" s="4" t="s">
        <v>4515</v>
      </c>
      <c r="Y426" s="4" t="s">
        <v>4516</v>
      </c>
      <c r="Z426" s="4" t="s">
        <v>2962</v>
      </c>
      <c r="AA426" s="4" t="s">
        <v>3032</v>
      </c>
      <c r="AB426" s="4" t="s">
        <v>2945</v>
      </c>
      <c r="AD426" s="10">
        <f t="shared" si="27"/>
        <v>3.953567113105701E-4</v>
      </c>
      <c r="AE426" s="10">
        <f t="shared" si="24"/>
        <v>8.5358431785893477E-3</v>
      </c>
      <c r="AF426" s="10">
        <f t="shared" si="25"/>
        <v>0</v>
      </c>
      <c r="AG426" s="10">
        <f t="shared" ca="1" si="26"/>
        <v>0.22003510331169013</v>
      </c>
    </row>
    <row r="427" spans="1:33" x14ac:dyDescent="0.25">
      <c r="A427" s="50" t="s">
        <v>4517</v>
      </c>
      <c r="B427" s="4">
        <v>313</v>
      </c>
      <c r="C427" s="53" t="s">
        <v>4518</v>
      </c>
      <c r="D427" s="4">
        <v>4.25</v>
      </c>
      <c r="E427" s="49">
        <v>43174</v>
      </c>
      <c r="F427" s="4">
        <v>6.38</v>
      </c>
      <c r="G427" s="4">
        <v>6.38</v>
      </c>
      <c r="H427" s="4" t="s">
        <v>3054</v>
      </c>
      <c r="I427" s="4" t="s">
        <v>3036</v>
      </c>
      <c r="J427" s="4">
        <f>IF(Z427="US",K427,VLOOKUP(Z427,'3032'!$AL$4:$AM$20,2,FALSE)*K427)</f>
        <v>99.04</v>
      </c>
      <c r="K427" s="4">
        <v>99.04</v>
      </c>
      <c r="L427" s="4">
        <v>309754</v>
      </c>
      <c r="M427" s="4">
        <v>0.08</v>
      </c>
      <c r="N427" s="4">
        <v>7.4004E-2</v>
      </c>
      <c r="O427" s="4">
        <v>4.3</v>
      </c>
      <c r="P427" s="4">
        <v>4.3</v>
      </c>
      <c r="Q427" s="4">
        <v>325</v>
      </c>
      <c r="R427" s="4">
        <v>0</v>
      </c>
      <c r="S427" s="4">
        <v>0.25</v>
      </c>
      <c r="T427" s="4">
        <v>0.52</v>
      </c>
      <c r="U427" s="4" t="s">
        <v>3049</v>
      </c>
      <c r="V427" s="4" t="s">
        <v>3416</v>
      </c>
      <c r="W427" s="4" t="s">
        <v>3447</v>
      </c>
      <c r="X427" s="4" t="s">
        <v>4519</v>
      </c>
      <c r="Y427" s="4" t="s">
        <v>3040</v>
      </c>
      <c r="Z427" s="4" t="s">
        <v>2962</v>
      </c>
      <c r="AA427" s="4" t="s">
        <v>3032</v>
      </c>
      <c r="AB427" s="4" t="s">
        <v>2945</v>
      </c>
      <c r="AD427" s="10">
        <f t="shared" si="27"/>
        <v>5.4361460055795709E-4</v>
      </c>
      <c r="AE427" s="10">
        <f t="shared" si="24"/>
        <v>1.1736765425259529E-2</v>
      </c>
      <c r="AF427" s="10">
        <f t="shared" si="25"/>
        <v>0</v>
      </c>
      <c r="AG427" s="10">
        <f t="shared" ca="1" si="26"/>
        <v>0.30254777868574223</v>
      </c>
    </row>
    <row r="428" spans="1:33" x14ac:dyDescent="0.25">
      <c r="A428" s="50" t="s">
        <v>4520</v>
      </c>
      <c r="B428" s="4">
        <v>833</v>
      </c>
      <c r="C428" s="53" t="s">
        <v>4521</v>
      </c>
      <c r="D428" s="4">
        <v>6.25</v>
      </c>
      <c r="E428" s="49">
        <v>24607</v>
      </c>
      <c r="F428" s="4">
        <v>55.54</v>
      </c>
      <c r="G428" s="4">
        <v>5.54</v>
      </c>
      <c r="H428" s="4" t="s">
        <v>3161</v>
      </c>
      <c r="I428" s="4" t="s">
        <v>3079</v>
      </c>
      <c r="J428" s="4">
        <f>IF(Z428="US",K428,VLOOKUP(Z428,'3032'!$AL$4:$AM$20,2,FALSE)*K428)</f>
        <v>99</v>
      </c>
      <c r="K428" s="4">
        <v>99</v>
      </c>
      <c r="L428" s="4">
        <v>848962</v>
      </c>
      <c r="M428" s="4">
        <v>0.21</v>
      </c>
      <c r="N428" s="4">
        <v>0.20282800000000001</v>
      </c>
      <c r="O428" s="4">
        <v>6.31</v>
      </c>
      <c r="P428" s="4">
        <v>6.5</v>
      </c>
      <c r="Q428" s="4">
        <v>518</v>
      </c>
      <c r="R428" s="4">
        <v>523</v>
      </c>
      <c r="S428" s="4">
        <v>4.5</v>
      </c>
      <c r="T428" s="4">
        <v>0.25</v>
      </c>
      <c r="U428" s="4" t="s">
        <v>3049</v>
      </c>
      <c r="V428" s="4" t="s">
        <v>3021</v>
      </c>
      <c r="W428" s="4" t="s">
        <v>3022</v>
      </c>
      <c r="X428" s="4" t="s">
        <v>4522</v>
      </c>
      <c r="Y428" s="4" t="s">
        <v>2961</v>
      </c>
      <c r="Z428" s="4" t="s">
        <v>2962</v>
      </c>
      <c r="AA428" s="4" t="s">
        <v>3024</v>
      </c>
      <c r="AB428" s="4" t="s">
        <v>2945</v>
      </c>
      <c r="AD428" s="10">
        <f t="shared" si="27"/>
        <v>6.8672585518047974E-2</v>
      </c>
      <c r="AE428" s="10">
        <f t="shared" si="24"/>
        <v>4.5161577080615821E-2</v>
      </c>
      <c r="AF428" s="10">
        <f t="shared" si="25"/>
        <v>3.7391997999998132</v>
      </c>
      <c r="AG428" s="10">
        <f t="shared" ca="1" si="26"/>
        <v>0.82887656266364806</v>
      </c>
    </row>
    <row r="429" spans="1:33" x14ac:dyDescent="0.25">
      <c r="A429" s="50">
        <v>949746804</v>
      </c>
      <c r="B429" s="4">
        <v>1</v>
      </c>
      <c r="C429" s="53" t="s">
        <v>4523</v>
      </c>
      <c r="D429" s="4">
        <v>0</v>
      </c>
      <c r="E429" s="4"/>
      <c r="F429" s="4">
        <v>0</v>
      </c>
      <c r="G429" s="4">
        <v>0</v>
      </c>
      <c r="H429" s="4" t="s">
        <v>3232</v>
      </c>
      <c r="I429" s="4" t="s">
        <v>3083</v>
      </c>
      <c r="J429" s="4">
        <f>IF(Z429="US",K429,VLOOKUP(Z429,'3032'!$AL$4:$AM$20,2,FALSE)*K429)</f>
        <v>105.61499999999999</v>
      </c>
      <c r="K429" s="4">
        <v>105.61499999999999</v>
      </c>
      <c r="L429" s="4">
        <v>844920</v>
      </c>
      <c r="M429" s="4">
        <v>0</v>
      </c>
      <c r="N429" s="4">
        <v>0.20186200000000001</v>
      </c>
      <c r="O429" s="4">
        <v>7.27</v>
      </c>
      <c r="P429" s="4">
        <v>7.27</v>
      </c>
      <c r="Q429" s="4">
        <v>0</v>
      </c>
      <c r="R429" s="4">
        <v>0</v>
      </c>
      <c r="S429" s="4">
        <v>0</v>
      </c>
      <c r="T429" s="4">
        <v>0</v>
      </c>
      <c r="U429" s="4"/>
      <c r="V429" s="4" t="s">
        <v>3029</v>
      </c>
      <c r="W429" s="4" t="s">
        <v>3030</v>
      </c>
      <c r="X429" s="4" t="s">
        <v>4524</v>
      </c>
      <c r="Y429" s="4" t="s">
        <v>2961</v>
      </c>
      <c r="Z429" s="4" t="s">
        <v>2962</v>
      </c>
      <c r="AA429" s="4" t="s">
        <v>3024</v>
      </c>
      <c r="AB429" s="4" t="s">
        <v>3033</v>
      </c>
      <c r="AD429" s="10">
        <f t="shared" si="27"/>
        <v>0</v>
      </c>
      <c r="AE429" s="10">
        <f t="shared" si="24"/>
        <v>5.0270996322487389E-2</v>
      </c>
      <c r="AF429" s="10">
        <f t="shared" si="25"/>
        <v>0</v>
      </c>
      <c r="AG429" s="10">
        <f t="shared" ca="1" si="26"/>
        <v>0.4033148358685964</v>
      </c>
    </row>
    <row r="430" spans="1:33" x14ac:dyDescent="0.25">
      <c r="A430" s="50" t="s">
        <v>4525</v>
      </c>
      <c r="B430" s="4">
        <v>323</v>
      </c>
      <c r="C430" s="53" t="s">
        <v>4526</v>
      </c>
      <c r="D430" s="4">
        <v>2.734</v>
      </c>
      <c r="E430" s="49">
        <v>13356</v>
      </c>
      <c r="F430" s="4">
        <v>24.74</v>
      </c>
      <c r="G430" s="4">
        <v>4.9000000000000004</v>
      </c>
      <c r="H430" s="4" t="s">
        <v>4444</v>
      </c>
      <c r="I430" s="4" t="s">
        <v>3028</v>
      </c>
      <c r="J430" s="4">
        <f>IF(Z430="US",K430,VLOOKUP(Z430,'3032'!$AL$4:$AM$20,2,FALSE)*K430)</f>
        <v>72.650000000000006</v>
      </c>
      <c r="K430" s="4">
        <v>72.650000000000006</v>
      </c>
      <c r="L430" s="4">
        <v>235758</v>
      </c>
      <c r="M430" s="4">
        <v>0.08</v>
      </c>
      <c r="N430" s="4">
        <v>5.6325E-2</v>
      </c>
      <c r="O430" s="4">
        <v>6.4</v>
      </c>
      <c r="P430" s="4">
        <v>6.4</v>
      </c>
      <c r="Q430" s="4">
        <v>485</v>
      </c>
      <c r="R430" s="4">
        <v>485</v>
      </c>
      <c r="S430" s="4">
        <v>3.8</v>
      </c>
      <c r="T430" s="4">
        <v>-0.01</v>
      </c>
      <c r="U430" s="4" t="s">
        <v>3049</v>
      </c>
      <c r="V430" s="4" t="s">
        <v>3539</v>
      </c>
      <c r="W430" s="4" t="s">
        <v>3540</v>
      </c>
      <c r="X430" s="4" t="s">
        <v>4527</v>
      </c>
      <c r="Y430" s="4" t="s">
        <v>2961</v>
      </c>
      <c r="Z430" s="4" t="s">
        <v>2962</v>
      </c>
      <c r="AA430" s="4" t="s">
        <v>3024</v>
      </c>
      <c r="AB430" s="4" t="s">
        <v>2945</v>
      </c>
      <c r="AD430" s="10">
        <f t="shared" si="27"/>
        <v>8.9643903391276349E-3</v>
      </c>
      <c r="AE430" s="10">
        <f t="shared" si="24"/>
        <v>1.2348491410593115E-2</v>
      </c>
      <c r="AF430" s="10">
        <f t="shared" si="25"/>
        <v>0.96293485890461283</v>
      </c>
      <c r="AG430" s="10">
        <f t="shared" ca="1" si="26"/>
        <v>0.91512762366655798</v>
      </c>
    </row>
    <row r="431" spans="1:33" x14ac:dyDescent="0.25">
      <c r="A431" s="50" t="s">
        <v>4528</v>
      </c>
      <c r="B431" s="4">
        <v>974</v>
      </c>
      <c r="C431" s="53" t="s">
        <v>4529</v>
      </c>
      <c r="D431" s="4">
        <v>4</v>
      </c>
      <c r="E431" s="49">
        <v>43191</v>
      </c>
      <c r="F431" s="4">
        <v>6.42</v>
      </c>
      <c r="G431" s="4">
        <v>6.42</v>
      </c>
      <c r="H431" s="4" t="s">
        <v>3019</v>
      </c>
      <c r="I431" s="4" t="s">
        <v>3020</v>
      </c>
      <c r="J431" s="4">
        <f>IF(Z431="US",K431,VLOOKUP(Z431,'3032'!$AL$4:$AM$20,2,FALSE)*K431)</f>
        <v>99.63</v>
      </c>
      <c r="K431" s="4">
        <v>99.63</v>
      </c>
      <c r="L431" s="4">
        <v>970520</v>
      </c>
      <c r="M431" s="4">
        <v>0.25</v>
      </c>
      <c r="N431" s="4">
        <v>0.23186899999999999</v>
      </c>
      <c r="O431" s="4">
        <v>4.07</v>
      </c>
      <c r="P431" s="4">
        <v>3.12</v>
      </c>
      <c r="Q431" s="4">
        <v>300</v>
      </c>
      <c r="R431" s="4">
        <v>0</v>
      </c>
      <c r="S431" s="4">
        <v>0.25</v>
      </c>
      <c r="T431" s="4">
        <v>0.52</v>
      </c>
      <c r="U431" s="4" t="s">
        <v>3049</v>
      </c>
      <c r="V431" s="4" t="s">
        <v>3037</v>
      </c>
      <c r="W431" s="4" t="s">
        <v>3038</v>
      </c>
      <c r="X431" s="4" t="s">
        <v>4530</v>
      </c>
      <c r="Y431" s="4" t="s">
        <v>2961</v>
      </c>
      <c r="Z431" s="4" t="s">
        <v>2962</v>
      </c>
      <c r="AA431" s="4" t="s">
        <v>3032</v>
      </c>
      <c r="AB431" s="4" t="s">
        <v>3033</v>
      </c>
      <c r="AD431" s="10">
        <f t="shared" si="27"/>
        <v>1.7032511029187953E-3</v>
      </c>
      <c r="AE431" s="10">
        <f t="shared" si="24"/>
        <v>3.7048513580706349E-2</v>
      </c>
      <c r="AF431" s="10">
        <f t="shared" si="25"/>
        <v>0</v>
      </c>
      <c r="AG431" s="10">
        <f t="shared" ca="1" si="26"/>
        <v>0.95358856272518711</v>
      </c>
    </row>
    <row r="432" spans="1:33" x14ac:dyDescent="0.25">
      <c r="A432" s="50" t="s">
        <v>4531</v>
      </c>
      <c r="B432" s="4">
        <v>1450</v>
      </c>
      <c r="C432" s="53" t="s">
        <v>4532</v>
      </c>
      <c r="D432" s="4">
        <v>5.875</v>
      </c>
      <c r="E432" s="49">
        <v>42826</v>
      </c>
      <c r="F432" s="4">
        <v>5.42</v>
      </c>
      <c r="G432" s="4">
        <v>5.42</v>
      </c>
      <c r="H432" s="4" t="s">
        <v>3028</v>
      </c>
      <c r="I432" s="4" t="s">
        <v>3079</v>
      </c>
      <c r="J432" s="4">
        <f>IF(Z432="US",K432,VLOOKUP(Z432,'3032'!$AL$4:$AM$20,2,FALSE)*K432)</f>
        <v>105.26</v>
      </c>
      <c r="K432" s="4">
        <v>105.26</v>
      </c>
      <c r="L432" s="4">
        <v>1533359</v>
      </c>
      <c r="M432" s="4">
        <v>0.37</v>
      </c>
      <c r="N432" s="4">
        <v>0.366338</v>
      </c>
      <c r="O432" s="4">
        <v>4.76</v>
      </c>
      <c r="P432" s="4">
        <v>4.76</v>
      </c>
      <c r="Q432" s="4">
        <v>358</v>
      </c>
      <c r="R432" s="4">
        <v>364</v>
      </c>
      <c r="S432" s="4">
        <v>4.6100000000000003</v>
      </c>
      <c r="T432" s="4">
        <v>0.26</v>
      </c>
      <c r="U432" s="4"/>
      <c r="V432" s="4" t="s">
        <v>3029</v>
      </c>
      <c r="W432" s="4" t="s">
        <v>3030</v>
      </c>
      <c r="X432" s="4" t="s">
        <v>4533</v>
      </c>
      <c r="Y432" s="4" t="s">
        <v>2961</v>
      </c>
      <c r="Z432" s="4" t="s">
        <v>2962</v>
      </c>
      <c r="AA432" s="4" t="s">
        <v>3024</v>
      </c>
      <c r="AB432" s="4" t="s">
        <v>2945</v>
      </c>
      <c r="AD432" s="10">
        <f t="shared" si="27"/>
        <v>0.12706542858860295</v>
      </c>
      <c r="AE432" s="10">
        <f t="shared" si="24"/>
        <v>6.4315232675698761E-2</v>
      </c>
      <c r="AF432" s="10">
        <f t="shared" si="25"/>
        <v>6.3873491314430133</v>
      </c>
      <c r="AG432" s="10">
        <f t="shared" ca="1" si="26"/>
        <v>0.72947467015143497</v>
      </c>
    </row>
    <row r="433" spans="1:33" x14ac:dyDescent="0.25">
      <c r="A433" s="50" t="s">
        <v>4534</v>
      </c>
      <c r="B433" s="4">
        <v>100</v>
      </c>
      <c r="C433" s="53" t="s">
        <v>4535</v>
      </c>
      <c r="D433" s="4">
        <v>7.4669999999999996</v>
      </c>
      <c r="E433" s="49">
        <v>17319</v>
      </c>
      <c r="F433" s="4">
        <v>35.590000000000003</v>
      </c>
      <c r="G433" s="4">
        <v>0.59</v>
      </c>
      <c r="H433" s="4" t="s">
        <v>3181</v>
      </c>
      <c r="I433" s="4" t="s">
        <v>3311</v>
      </c>
      <c r="J433" s="4">
        <f>IF(Z433="US",K433,VLOOKUP(Z433,'3032'!$AL$4:$AM$20,2,FALSE)*K433)</f>
        <v>72.09</v>
      </c>
      <c r="K433" s="4">
        <v>72.09</v>
      </c>
      <c r="L433" s="4">
        <v>75203</v>
      </c>
      <c r="M433" s="4">
        <v>0.03</v>
      </c>
      <c r="N433" s="4">
        <v>1.7967E-2</v>
      </c>
      <c r="O433" s="4">
        <v>10.47</v>
      </c>
      <c r="P433" s="4">
        <v>13.79</v>
      </c>
      <c r="Q433" s="4">
        <v>722</v>
      </c>
      <c r="R433" s="4">
        <v>781</v>
      </c>
      <c r="S433" s="4">
        <v>4.5</v>
      </c>
      <c r="T433" s="4">
        <v>1.45</v>
      </c>
      <c r="U433" s="4" t="s">
        <v>3049</v>
      </c>
      <c r="V433" s="4" t="s">
        <v>4180</v>
      </c>
      <c r="W433" s="4" t="s">
        <v>4181</v>
      </c>
      <c r="X433" s="4" t="s">
        <v>4536</v>
      </c>
      <c r="Y433" s="4" t="s">
        <v>2961</v>
      </c>
      <c r="Z433" s="4" t="s">
        <v>2962</v>
      </c>
      <c r="AA433" s="4" t="s">
        <v>3024</v>
      </c>
      <c r="AB433" s="4" t="s">
        <v>3033</v>
      </c>
      <c r="AD433" s="10">
        <f t="shared" si="27"/>
        <v>6.083175040477385E-3</v>
      </c>
      <c r="AE433" s="10">
        <f t="shared" si="24"/>
        <v>2.4406231251988059E-2</v>
      </c>
      <c r="AF433" s="10">
        <f t="shared" si="25"/>
        <v>1.0187035029925928</v>
      </c>
      <c r="AG433" s="10">
        <f ca="1">IF(J433&lt;49.999,($L433/$L$465)*J433,IF(AND(J433&gt;49.999,J433&lt;79.999),($L433/$L$466)*J433,IF(AND(J433&gt;79.999,J433&lt;99.999),($L433/$L$467)*J433,IF(AND(J433&gt;99.999,J433&lt;119.999),($L433/$L$468)*J433,IF(AND(J433&gt;119.999,J433&lt;139.999),($L433/$L$469)*J433,IF(J433&gt;139.999,($L433/$L$470)*J433))))))</f>
        <v>0.28966084887320515</v>
      </c>
    </row>
    <row r="434" spans="1:33" x14ac:dyDescent="0.25">
      <c r="A434" s="50" t="s">
        <v>4537</v>
      </c>
      <c r="B434" s="4">
        <v>190</v>
      </c>
      <c r="C434" s="53" t="s">
        <v>4538</v>
      </c>
      <c r="D434" s="4">
        <v>4</v>
      </c>
      <c r="E434" s="49">
        <v>41774</v>
      </c>
      <c r="F434" s="4">
        <v>2.54</v>
      </c>
      <c r="G434" s="4">
        <v>2.54</v>
      </c>
      <c r="H434" s="4" t="s">
        <v>133</v>
      </c>
      <c r="I434" s="4" t="s">
        <v>3020</v>
      </c>
      <c r="J434" s="4">
        <f>IF(Z434="US",K434,VLOOKUP(Z434,'3032'!$AL$4:$AM$20,2,FALSE)*K434)</f>
        <v>109.75</v>
      </c>
      <c r="K434" s="4">
        <v>109.75</v>
      </c>
      <c r="L434" s="4">
        <v>212029</v>
      </c>
      <c r="M434" s="4">
        <v>0.05</v>
      </c>
      <c r="N434" s="4">
        <v>5.0656E-2</v>
      </c>
      <c r="O434" s="4">
        <v>3.64</v>
      </c>
      <c r="P434" s="4">
        <v>3.64</v>
      </c>
      <c r="Q434" s="4">
        <v>0</v>
      </c>
      <c r="R434" s="4">
        <v>0</v>
      </c>
      <c r="S434" s="4">
        <v>2.4</v>
      </c>
      <c r="T434" s="4">
        <v>7.0000000000000007E-2</v>
      </c>
      <c r="U434" s="4"/>
      <c r="V434" s="4" t="s">
        <v>3037</v>
      </c>
      <c r="W434" s="4" t="s">
        <v>3117</v>
      </c>
      <c r="X434" s="4" t="s">
        <v>4539</v>
      </c>
      <c r="Y434" s="4" t="s">
        <v>2961</v>
      </c>
      <c r="Z434" s="4" t="s">
        <v>2962</v>
      </c>
      <c r="AA434" s="4" t="s">
        <v>3024</v>
      </c>
      <c r="AB434" s="4" t="s">
        <v>2945</v>
      </c>
      <c r="AD434" s="10">
        <f t="shared" si="27"/>
        <v>5.0918691000670889E-3</v>
      </c>
      <c r="AE434" s="10">
        <f t="shared" si="24"/>
        <v>9.4429644249174171E-3</v>
      </c>
      <c r="AF434" s="10">
        <f t="shared" si="25"/>
        <v>0</v>
      </c>
      <c r="AG434" s="10">
        <f t="shared" ca="1" si="26"/>
        <v>0.10517264543979059</v>
      </c>
    </row>
    <row r="435" spans="1:33" x14ac:dyDescent="0.25">
      <c r="A435" s="50" t="s">
        <v>4540</v>
      </c>
      <c r="B435" s="4">
        <v>2526</v>
      </c>
      <c r="C435" s="53" t="s">
        <v>4541</v>
      </c>
      <c r="D435" s="4">
        <v>5.8</v>
      </c>
      <c r="E435" s="49">
        <v>42689</v>
      </c>
      <c r="F435" s="4">
        <v>5.04</v>
      </c>
      <c r="G435" s="4">
        <v>5.04</v>
      </c>
      <c r="H435" s="4" t="s">
        <v>3059</v>
      </c>
      <c r="I435" s="4" t="s">
        <v>3076</v>
      </c>
      <c r="J435" s="4">
        <f>IF(Z435="US",K435,VLOOKUP(Z435,'3032'!$AL$4:$AM$20,2,FALSE)*K435)</f>
        <v>109.03</v>
      </c>
      <c r="K435" s="4">
        <v>109.03</v>
      </c>
      <c r="L435" s="4">
        <v>2821778</v>
      </c>
      <c r="M435" s="4">
        <v>0.65</v>
      </c>
      <c r="N435" s="4">
        <v>0.67415800000000004</v>
      </c>
      <c r="O435" s="4">
        <v>3.81</v>
      </c>
      <c r="P435" s="4">
        <v>3.81</v>
      </c>
      <c r="Q435" s="4">
        <v>277</v>
      </c>
      <c r="R435" s="4">
        <v>280</v>
      </c>
      <c r="S435" s="4">
        <v>4.28</v>
      </c>
      <c r="T435" s="4">
        <v>0.23</v>
      </c>
      <c r="U435" s="4"/>
      <c r="V435" s="4" t="s">
        <v>3037</v>
      </c>
      <c r="W435" s="4" t="s">
        <v>3038</v>
      </c>
      <c r="X435" s="4" t="s">
        <v>4542</v>
      </c>
      <c r="Y435" s="4" t="s">
        <v>2957</v>
      </c>
      <c r="Z435" s="4" t="s">
        <v>2962</v>
      </c>
      <c r="AA435" s="4" t="s">
        <v>3041</v>
      </c>
      <c r="AB435" s="4" t="s">
        <v>2945</v>
      </c>
      <c r="AD435" s="10">
        <f t="shared" si="27"/>
        <v>0.21709471240744202</v>
      </c>
      <c r="AE435" s="10">
        <f t="shared" si="24"/>
        <v>0.13154051070215114</v>
      </c>
      <c r="AF435" s="10">
        <f t="shared" si="25"/>
        <v>9.0418292115670447</v>
      </c>
      <c r="AG435" s="10">
        <f t="shared" ca="1" si="26"/>
        <v>1.39050277291129</v>
      </c>
    </row>
    <row r="436" spans="1:33" s="53" customFormat="1" x14ac:dyDescent="0.25">
      <c r="B436" s="4"/>
      <c r="D436" s="4"/>
      <c r="E436" s="49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33" x14ac:dyDescent="0.25">
      <c r="A437" s="37" t="s">
        <v>4544</v>
      </c>
      <c r="B437" s="4"/>
      <c r="C437" s="52"/>
      <c r="D437" s="10">
        <f>SUMPRODUCT(D4:D435,$N$4:$N$435)/100</f>
        <v>6.2715765326899975</v>
      </c>
      <c r="E437" s="49">
        <v>41427</v>
      </c>
      <c r="F437" s="10">
        <f>SUMPRODUCT(F4:F435,$N$4:$N$435)/100</f>
        <v>10.447414071800006</v>
      </c>
      <c r="G437" s="10">
        <f>SUMPRODUCT(G4:G435,$N$4:$N$435)/100</f>
        <v>5.4067977854000011</v>
      </c>
      <c r="H437" s="4" t="s">
        <v>133</v>
      </c>
      <c r="I437" s="4" t="s">
        <v>3036</v>
      </c>
      <c r="J437" s="10" t="e">
        <f ca="1">SUMPRODUCT(J4:J435,$N$4:$N$435)/100</f>
        <v>#NAME?</v>
      </c>
      <c r="K437" s="10">
        <f>SUMPRODUCT(K4:K435,$N$4:$N$435)/100</f>
        <v>98.147040896699977</v>
      </c>
      <c r="L437" s="4">
        <f>SUM(L4:L435)</f>
        <v>418563463</v>
      </c>
      <c r="M437" s="59">
        <f>SUM(M4:M435)</f>
        <v>100.06999999999988</v>
      </c>
      <c r="N437" s="59">
        <f>SUM(N4:N435)</f>
        <v>100.00000300000015</v>
      </c>
      <c r="O437" s="10">
        <f t="shared" ref="O437:T437" si="28">SUMPRODUCT(O4:O435,$N$4:$N$435)/100</f>
        <v>6.460246107299997</v>
      </c>
      <c r="P437" s="10">
        <f t="shared" si="28"/>
        <v>6.5569746969999994</v>
      </c>
      <c r="Q437" s="10">
        <f t="shared" si="28"/>
        <v>501.5757244400001</v>
      </c>
      <c r="R437" s="10">
        <f t="shared" si="28"/>
        <v>526.08880202000023</v>
      </c>
      <c r="S437" s="10">
        <f t="shared" si="28"/>
        <v>4.1620842302000005</v>
      </c>
      <c r="T437" s="10">
        <f t="shared" si="28"/>
        <v>0.33233829540000004</v>
      </c>
      <c r="U437" s="4"/>
      <c r="V437" s="4"/>
      <c r="W437" s="4"/>
      <c r="X437" s="4"/>
      <c r="Y437" s="4"/>
      <c r="Z437" s="4"/>
      <c r="AA437" s="4"/>
      <c r="AB437" s="4"/>
    </row>
    <row r="440" spans="1:33" x14ac:dyDescent="0.25">
      <c r="A440" s="19"/>
      <c r="B440" s="40" t="s">
        <v>4563</v>
      </c>
      <c r="L440" s="12" t="s">
        <v>4565</v>
      </c>
      <c r="M440" s="53"/>
      <c r="N440" s="12" t="s">
        <v>4586</v>
      </c>
      <c r="P440" s="12" t="s">
        <v>4587</v>
      </c>
    </row>
    <row r="441" spans="1:33" x14ac:dyDescent="0.25">
      <c r="A441" s="44">
        <v>40837</v>
      </c>
      <c r="B441" s="19" t="s">
        <v>4591</v>
      </c>
      <c r="L441" s="32">
        <f>SUMIFS($L$4:$L$435,$P$4:$P$435,"&lt;1.99")</f>
        <v>-967676</v>
      </c>
      <c r="N441" s="59">
        <f>SUMIFS($N$4:$N$435,$P$4:$P$435,"&lt;1.99")</f>
        <v>-0.23119099999999992</v>
      </c>
      <c r="P441" s="59">
        <f>SUMIFS($AE$4:$AE$435,$P$4:$P$435,"&lt;1.99")</f>
        <v>57.183726402225531</v>
      </c>
    </row>
    <row r="442" spans="1:33" x14ac:dyDescent="0.25">
      <c r="A442" s="44">
        <v>40837</v>
      </c>
      <c r="B442" s="55" t="s">
        <v>4546</v>
      </c>
      <c r="L442" s="32">
        <f>SUMIFS($L$4:$L$435,$P$4:$P$435,"&gt;1.999",$P$4:$P$435,"&lt;3.999")</f>
        <v>81731279</v>
      </c>
      <c r="N442" s="59">
        <f>SUMIFS($N$4:$N$435,$P$4:$P$435,"&gt;1.99",$P$4:$P$435,"&lt;3.99")</f>
        <v>19.526616999999998</v>
      </c>
      <c r="P442" s="59">
        <f>SUMIFS($AE$4:$AE$435,$P$4:$P$435,"&gt;1.99",$P$4:$P$435,"&lt;3.99")</f>
        <v>3.0169151915510821</v>
      </c>
    </row>
    <row r="443" spans="1:33" x14ac:dyDescent="0.25">
      <c r="A443" s="44">
        <v>40837</v>
      </c>
      <c r="B443" s="55" t="s">
        <v>4547</v>
      </c>
      <c r="L443" s="32">
        <f>SUMIFS($L$4:$L$435,$P$4:$P$435,"&gt;3.999",$P$4:$P$435,"&lt;5.999")</f>
        <v>113484606</v>
      </c>
      <c r="N443" s="59">
        <f>SUMIFS($N$4:$N$435,$P$4:$P$435,"&gt;3.999",$P$4:$P$435,"&lt;5.999")</f>
        <v>27.112880999999991</v>
      </c>
      <c r="P443" s="59">
        <f>SUMIFS($AE$4:$AE$435,$P$4:$P$435,"&gt;3.999",$P$4:$P$435,"&lt;5.999")</f>
        <v>5.099728411975101</v>
      </c>
    </row>
    <row r="444" spans="1:33" x14ac:dyDescent="0.25">
      <c r="A444" s="44">
        <v>40837</v>
      </c>
      <c r="B444" s="55" t="s">
        <v>4548</v>
      </c>
      <c r="L444" s="32">
        <f>SUMIFS($L$4:$L$435,$P$4:$P$435,"&gt;5.999",$P$4:$P$435,"&lt;7.999")</f>
        <v>122189112</v>
      </c>
      <c r="N444" s="59">
        <f>SUMIFS($N$4:$N$435,$P$4:$P$435,"&gt;5.999",$P$4:$P$435,"&lt;7.999")</f>
        <v>29.192495999999991</v>
      </c>
      <c r="P444" s="59">
        <f>SUMIFS($AE$4:$AE$435,$P$4:$P$435,"&gt;5.999",$P$4:$P$435,"&lt;7.999")</f>
        <v>6.6676662445177595</v>
      </c>
    </row>
    <row r="445" spans="1:33" x14ac:dyDescent="0.25">
      <c r="A445" s="39">
        <v>40837</v>
      </c>
      <c r="B445" s="55" t="s">
        <v>4549</v>
      </c>
      <c r="L445" s="32">
        <f>SUMIFS($L$4:$L$435,$P$4:$P$435,"&gt;7.99",$P$4:$P$435,"&lt;9.99")</f>
        <v>59634970</v>
      </c>
      <c r="N445" s="59">
        <f>SUMIFS($N$4:$N$435,$P$4:$P$435,"&gt;7.99",$P$4:$P$435,"&lt;9.99")</f>
        <v>14.247532</v>
      </c>
      <c r="P445" s="59">
        <f>SUMIFS($AE$4:$AE$435,$P$4:$P$435,"&gt;7.99",$P$4:$P$435,"&lt;9.99")</f>
        <v>8.768049198146656</v>
      </c>
    </row>
    <row r="446" spans="1:33" x14ac:dyDescent="0.25">
      <c r="A446" s="39">
        <v>40837</v>
      </c>
      <c r="B446" s="54" t="s">
        <v>992</v>
      </c>
      <c r="L446" s="32">
        <f>SUMIFS($L$4:$L$435,$P$4:$P$435,"&gt;9.99")</f>
        <v>42491172</v>
      </c>
      <c r="N446" s="59">
        <f>SUMIFS($N$4:$N$435,$P$4:$P$435,"&gt;9.99")</f>
        <v>10.151667999999997</v>
      </c>
      <c r="P446" s="59">
        <f>SUMIFS($AE$4:$AE$435,$P$4:$P$435,"&gt;9.99")</f>
        <v>14.671169076249532</v>
      </c>
    </row>
    <row r="447" spans="1:33" x14ac:dyDescent="0.25">
      <c r="A447" s="39"/>
      <c r="B447" s="53"/>
      <c r="L447" s="53" t="str">
        <f>IF(SUM(L441:L446)&lt;&gt;$L$437,"check formula","")</f>
        <v/>
      </c>
      <c r="N447" s="53" t="str">
        <f>IF(SUM(N441:N446)&lt;&gt;$N$437,"check formula","")</f>
        <v/>
      </c>
      <c r="O447" s="73"/>
    </row>
    <row r="448" spans="1:33" x14ac:dyDescent="0.25">
      <c r="A448" s="19"/>
      <c r="B448" s="40" t="s">
        <v>4564</v>
      </c>
      <c r="L448" s="12" t="s">
        <v>4565</v>
      </c>
      <c r="M448" s="53"/>
      <c r="N448" s="12" t="s">
        <v>4586</v>
      </c>
      <c r="P448" s="12" t="s">
        <v>4588</v>
      </c>
    </row>
    <row r="449" spans="1:16" x14ac:dyDescent="0.25">
      <c r="A449" s="44">
        <v>40837</v>
      </c>
      <c r="B449" s="19" t="s">
        <v>4550</v>
      </c>
      <c r="L449" s="32">
        <f>SUMIFS($L$4:$L$435,$R$4:$R$435,"&lt;199.99")</f>
        <v>107539377</v>
      </c>
      <c r="N449" s="59">
        <f>SUMIFS($N$4:$N$435,$R$4:$R$435,"&lt;199.99")</f>
        <v>25.692487999999983</v>
      </c>
      <c r="P449" s="59">
        <f>SUMIFS($AF$4:$AF$435,$R$4:$R$435,"&lt;199.99")</f>
        <v>22.83008581126521</v>
      </c>
    </row>
    <row r="450" spans="1:16" x14ac:dyDescent="0.25">
      <c r="A450" s="44">
        <v>40837</v>
      </c>
      <c r="B450" s="55" t="s">
        <v>4551</v>
      </c>
      <c r="L450" s="32">
        <f>SUMIFS($L$4:$L$435,$R$4:$R$435,"&gt;199.99",$R$4:$R$435,"&lt;399.99")</f>
        <v>87382522</v>
      </c>
      <c r="N450" s="59">
        <f>SUMIFS($N$4:$N$435,$R$4:$R$435,"&gt;199.99",$R$4:$R$435,"&lt;399.99")</f>
        <v>20.876768999999989</v>
      </c>
      <c r="P450" s="59">
        <f>SUMIFS($AF$4:$AF$435,$R$4:$R$435,"&gt;199.99",$R$4:$R$435,"&lt;399.99")</f>
        <v>314.59119332811213</v>
      </c>
    </row>
    <row r="451" spans="1:16" x14ac:dyDescent="0.25">
      <c r="A451" s="44">
        <v>40837</v>
      </c>
      <c r="B451" s="55" t="s">
        <v>4552</v>
      </c>
      <c r="L451" s="32">
        <f>SUMIFS($L$4:$L$435,$R$4:$R$435,"&gt;399.99",$R$4:$R$435,"&lt;599.99")</f>
        <v>118743889</v>
      </c>
      <c r="N451" s="59">
        <f>SUMIFS($N$4:$N$435,$R$4:$R$435,"&gt;399.99",$R$4:$R$435,"&lt;599.99")</f>
        <v>28.369393000000006</v>
      </c>
      <c r="P451" s="59">
        <f>SUMIFS($AF$4:$AF$435,$R$4:$R$435,"&gt;399.99",$R$4:$R$435,"&lt;599.99")</f>
        <v>501.74040280927642</v>
      </c>
    </row>
    <row r="452" spans="1:16" x14ac:dyDescent="0.25">
      <c r="A452" s="44">
        <v>40837</v>
      </c>
      <c r="B452" s="55" t="s">
        <v>4553</v>
      </c>
      <c r="L452" s="32">
        <f>SUMIFS($L$4:$L$435,$R$4:$R$435,"&gt;599.99",$R$4:$R$435,"&lt;799.99")</f>
        <v>57655189</v>
      </c>
      <c r="N452" s="59">
        <f>SUMIFS($N$4:$N$435,$R$4:$R$435,"&gt;599.99",$R$4:$R$435,"&lt;799.99")</f>
        <v>13.774540000000002</v>
      </c>
      <c r="P452" s="59">
        <f>SUMIFS($AF$4:$AF$435,$R$4:$R$435,"&gt;599.99",$R$4:$R$435,"&lt;799.99")</f>
        <v>713.07970730960585</v>
      </c>
    </row>
    <row r="453" spans="1:16" x14ac:dyDescent="0.25">
      <c r="A453" s="39">
        <v>40837</v>
      </c>
      <c r="B453" s="55" t="s">
        <v>4554</v>
      </c>
      <c r="L453" s="32">
        <f>SUMIFS($L$4:$L$435,$R$4:$R$435,"&gt;799.99",$R$4:$R$435,"&lt;999.99")</f>
        <v>26501536</v>
      </c>
      <c r="N453" s="59">
        <f>SUMIFS($N$4:$N$435,$R$4:$R$435,"&gt;799.99",$R$4:$R$435,"&lt;999.99")</f>
        <v>6.3315429999999999</v>
      </c>
      <c r="P453" s="59">
        <f>SUMIFS($AF$4:$AF$435,$R$4:$R$435,"&gt;799.99",$R$4:$R$435,"&lt;999.99")</f>
        <v>882.8380397649405</v>
      </c>
    </row>
    <row r="454" spans="1:16" x14ac:dyDescent="0.25">
      <c r="A454" s="39">
        <v>40837</v>
      </c>
      <c r="B454" s="56" t="s">
        <v>4555</v>
      </c>
      <c r="L454" s="32">
        <f>SUMIFS($L$4:$L$435,$R$4:$R$435,"&gt;999.99")</f>
        <v>20740950</v>
      </c>
      <c r="N454" s="59">
        <f>SUMIFS($N$4:$N$435,$R$4:$R$435,"&gt;999.99")</f>
        <v>4.9552699999999996</v>
      </c>
      <c r="P454" s="59">
        <f>SUMIFS($AF$4:$AF$435,$R$4:$R$435,"&gt;999.99")</f>
        <v>3190.2472793676284</v>
      </c>
    </row>
    <row r="455" spans="1:16" x14ac:dyDescent="0.25">
      <c r="A455" s="53"/>
      <c r="B455" s="53"/>
      <c r="L455" s="53" t="str">
        <f>IF(SUM(L449:L454)&lt;&gt;$L$437,"check formula","")</f>
        <v/>
      </c>
      <c r="N455" s="53" t="str">
        <f>IF(SUM(N449:N454)&lt;&gt;$N$437,"check formula","")</f>
        <v/>
      </c>
    </row>
    <row r="456" spans="1:16" x14ac:dyDescent="0.25">
      <c r="A456" s="53"/>
      <c r="B456" s="37" t="s">
        <v>4570</v>
      </c>
      <c r="L456" s="12" t="s">
        <v>4565</v>
      </c>
      <c r="M456" s="53"/>
      <c r="N456" s="12" t="s">
        <v>4586</v>
      </c>
      <c r="P456" s="12" t="s">
        <v>4589</v>
      </c>
    </row>
    <row r="457" spans="1:16" x14ac:dyDescent="0.25">
      <c r="A457" s="39">
        <v>40837</v>
      </c>
      <c r="B457" s="19" t="s">
        <v>4545</v>
      </c>
      <c r="L457" s="32">
        <f>SUMIFS($L$4:$L$435,$S$4:$S$435,"&lt;1.999")</f>
        <v>142451104</v>
      </c>
      <c r="N457" s="59">
        <f>SUMIFS($N$4:$N$435,$S$4:$S$435,"&lt;1.999")</f>
        <v>34.033329000000002</v>
      </c>
      <c r="P457" s="59">
        <f>SUMIFS($AD$4:$AD$435,$S$4:$S$435,"&lt;1.999")</f>
        <v>0.32862916394105313</v>
      </c>
    </row>
    <row r="458" spans="1:16" x14ac:dyDescent="0.25">
      <c r="A458" s="39">
        <v>40837</v>
      </c>
      <c r="B458" s="55" t="s">
        <v>4546</v>
      </c>
      <c r="L458" s="32">
        <f>SUMIFS($L$4:$L$435,$S$4:$S$435,"&gt;1.999",$S$4:$S$435,"&lt;3.999")</f>
        <v>99937683</v>
      </c>
      <c r="N458" s="59">
        <f>SUMIFS($N$4:$N$435,$S$4:$S$435,"&gt;1.999",$S$4:$S$435,"&lt;3.999")</f>
        <v>23.876354999999993</v>
      </c>
      <c r="P458" s="59">
        <f>SUMIFS($AD$4:$AD$435,$S$4:$S$435,"&gt;1.999",$S$4:$S$435,"&lt;3.999")</f>
        <v>3.04862049923651</v>
      </c>
    </row>
    <row r="459" spans="1:16" x14ac:dyDescent="0.25">
      <c r="A459" s="39">
        <v>40837</v>
      </c>
      <c r="B459" s="55" t="s">
        <v>4547</v>
      </c>
      <c r="L459" s="32">
        <f>SUMIFS($L$4:$L$435,$S$4:$S$435,"&gt;3.999",$S$4:$S$435,"&lt;5.999")</f>
        <v>55631064</v>
      </c>
      <c r="N459" s="59">
        <f>SUMIFS($N$4:$N$435,$S$4:$S$435,"&gt;3.999",$S$4:$S$435,"&lt;5.999")</f>
        <v>13.290952999999995</v>
      </c>
      <c r="P459" s="59">
        <f>SUMIFS($AD$4:$AD$435,$S$4:$S$435,"&gt;3.999",$S$4:$S$435,"&lt;5.999")</f>
        <v>18.323941418952554</v>
      </c>
    </row>
    <row r="460" spans="1:16" x14ac:dyDescent="0.25">
      <c r="A460" s="39">
        <v>40837</v>
      </c>
      <c r="B460" s="55" t="s">
        <v>4548</v>
      </c>
      <c r="L460" s="32">
        <f>SUMIFS($L$4:$L$435,$S$4:$S$435,"&gt;5.999",$S$4:$S$435,"&lt;7.999")</f>
        <v>65373645</v>
      </c>
      <c r="N460" s="59">
        <f>SUMIFS($N$4:$N$435,$S$4:$S$435,"&gt;5.999",$S$4:$S$435,"&lt;7.999")</f>
        <v>15.618577</v>
      </c>
      <c r="P460" s="59">
        <f>SUMIFS($AD$4:$AD$435,$S$4:$S$435,"&gt;5.999",$S$4:$S$435,"&lt;7.999")</f>
        <v>7.4657893801087569</v>
      </c>
    </row>
    <row r="461" spans="1:16" x14ac:dyDescent="0.25">
      <c r="A461" s="39">
        <v>40837</v>
      </c>
      <c r="B461" s="55" t="s">
        <v>4549</v>
      </c>
      <c r="L461" s="32">
        <f>SUMIFS($L$4:$L$435,$S$4:$S$435,"&gt;7.999",$S$4:$S$435,"&lt;9.999")</f>
        <v>14330164</v>
      </c>
      <c r="N461" s="59">
        <f>SUMIFS($N$4:$N$435,$S$4:$S$435,"&gt;7.999",$S$4:$S$435,"&lt;9.999")</f>
        <v>3.423654</v>
      </c>
      <c r="P461" s="59">
        <f>SUMIFS($AD$4:$AD$435,$S$4:$S$435,"&gt;7.999",$S$4:$S$435,"&lt;9.999")</f>
        <v>8.4576256642980496</v>
      </c>
    </row>
    <row r="462" spans="1:16" x14ac:dyDescent="0.25">
      <c r="A462" s="39">
        <v>40837</v>
      </c>
      <c r="B462" s="54" t="s">
        <v>992</v>
      </c>
      <c r="L462" s="32">
        <f>SUMIFS($L$4:$L$435,$S$4:$S$435,"&gt;9.999")</f>
        <v>40839803</v>
      </c>
      <c r="N462" s="59">
        <f>SUMIFS($N$4:$N$435,$S$4:$S$435,"&gt;9.999")</f>
        <v>9.7571350000000017</v>
      </c>
      <c r="P462" s="59">
        <f>SUMIFS($AD$4:$AD$435,$S$4:$S$435,"&gt;9.999")</f>
        <v>12.549831584398191</v>
      </c>
    </row>
    <row r="463" spans="1:16" x14ac:dyDescent="0.25">
      <c r="A463" s="53"/>
      <c r="B463" s="53"/>
      <c r="L463" s="53" t="str">
        <f>IF(SUM(L457:L462)&lt;&gt;$L$437,"check formula","")</f>
        <v/>
      </c>
      <c r="N463" s="53" t="str">
        <f>IF(SUM(N457:N462)&lt;&gt;$N$437,"check formula","")</f>
        <v/>
      </c>
    </row>
    <row r="464" spans="1:16" x14ac:dyDescent="0.25">
      <c r="A464" s="53"/>
      <c r="B464" s="37" t="s">
        <v>4562</v>
      </c>
      <c r="L464" s="12" t="s">
        <v>4565</v>
      </c>
      <c r="M464" s="53"/>
      <c r="N464" s="12" t="s">
        <v>4586</v>
      </c>
      <c r="P464" s="12" t="s">
        <v>4590</v>
      </c>
    </row>
    <row r="465" spans="1:16" x14ac:dyDescent="0.25">
      <c r="A465" s="39">
        <v>40837</v>
      </c>
      <c r="B465" s="55" t="s">
        <v>4556</v>
      </c>
      <c r="L465" s="32">
        <f ca="1">SUMIFS($L$4:$L$435,$J$4:$J$435,"&lt;49.99")</f>
        <v>36913477</v>
      </c>
      <c r="N465" s="59">
        <f ca="1">SUMIFS($N$4:$N$435,$J$4:$J$435,"&lt;49.99")</f>
        <v>8.8190900000000045</v>
      </c>
      <c r="P465" s="59">
        <f ca="1">SUMIFS($AG4:$AG$435,$J$4:$J$435,"&lt;49.99")</f>
        <v>4.4111155901136057</v>
      </c>
    </row>
    <row r="466" spans="1:16" x14ac:dyDescent="0.25">
      <c r="A466" s="39">
        <v>40837</v>
      </c>
      <c r="B466" s="55" t="s">
        <v>4557</v>
      </c>
      <c r="L466" s="32">
        <f ca="1">SUMIFS($L$4:$L$435,$J$4:$J$435,"&gt;49.999",$J$4:$J$435,"&lt;79.999")</f>
        <v>18716317</v>
      </c>
      <c r="N466" s="59">
        <f ca="1">SUMIFS($N$4:$N$435,$J$4:$J$435,"&gt;49.999",$J$4:$J$435,"&lt;79.999")</f>
        <v>4.4715590000000018</v>
      </c>
      <c r="P466" s="59">
        <f ca="1">SUMIFS($AG$4:$AG$435,$J$4:$J$435,"&gt;49.999",$J$4:$J$435,"&lt;79.999")</f>
        <v>69.796673779889531</v>
      </c>
    </row>
    <row r="467" spans="1:16" x14ac:dyDescent="0.25">
      <c r="A467" s="39">
        <v>40837</v>
      </c>
      <c r="B467" s="55" t="s">
        <v>4558</v>
      </c>
      <c r="L467" s="32">
        <f ca="1">SUMIFS($L$4:$L$435,$J$4:$J$435,"&gt;79.999",$J$4:$J$435,"&lt;99.999")</f>
        <v>101398980</v>
      </c>
      <c r="N467" s="59">
        <f ca="1">SUMIFS($N$4:$N$435,$J$4:$J$435,"&gt;79.999",$J$4:$J$435,"&lt;99.999")</f>
        <v>24.225473999999991</v>
      </c>
      <c r="P467" s="59">
        <f ca="1">SUMIFS($AG$4:$AG$435,$J$4:$J$435,"&gt;79.999",$J$4:$J$435,"&lt;99.999")</f>
        <v>94.237230799954787</v>
      </c>
    </row>
    <row r="468" spans="1:16" x14ac:dyDescent="0.25">
      <c r="A468" s="39">
        <v>40837</v>
      </c>
      <c r="B468" s="55" t="s">
        <v>4559</v>
      </c>
      <c r="L468" s="32">
        <f ca="1">SUMIFS($L$4:$L$435,$J$4:$J$435,"&gt;99.99",$J$4:$J$435,"&lt;119.99")</f>
        <v>221256988</v>
      </c>
      <c r="N468" s="59">
        <f ca="1">SUMIFS($N$4:$N$435,$J$4:$J$435,"&gt;99.99",$J$4:$J$435,"&lt;119.99")</f>
        <v>52.861038000000001</v>
      </c>
      <c r="P468" s="59">
        <f ca="1">SUMIFS($AG$4:$AG$435,$J$4:$J$435,"&gt;99.99",$J$4:$J$435,"&lt;119.99")</f>
        <v>106.9165486659703</v>
      </c>
    </row>
    <row r="469" spans="1:16" x14ac:dyDescent="0.25">
      <c r="A469" s="39">
        <v>40837</v>
      </c>
      <c r="B469" s="55" t="s">
        <v>4560</v>
      </c>
      <c r="L469" s="32">
        <f ca="1">SUMIFS($L$4:$L$435,$J$4:$J$435,"&gt;119.99",$J$4:$J$435,"&lt;139.99")</f>
        <v>18915642</v>
      </c>
      <c r="N469" s="59">
        <f ca="1">SUMIFS($N$4:$N$435,$J$4:$J$435,"&gt;119.99",$J$4:$J$435,"&lt;139.99")</f>
        <v>4.5191829999999991</v>
      </c>
      <c r="P469" s="59">
        <f ca="1">SUMIFS($AG$4:$AG$435,$J$4:$J$435,"&gt;119.99",$J$4:$J$435,"&lt;139.99")</f>
        <v>126.69500997904271</v>
      </c>
    </row>
    <row r="470" spans="1:16" x14ac:dyDescent="0.25">
      <c r="A470" s="39">
        <v>40837</v>
      </c>
      <c r="B470" s="55" t="s">
        <v>4561</v>
      </c>
      <c r="L470" s="32">
        <f ca="1">SUMIFS($L$4:$L$435,$J$4:$J$435,"&gt;139.99")</f>
        <v>4388267</v>
      </c>
      <c r="N470" s="59">
        <f ca="1">SUMIFS($N$4:$N$435,$J$4:$J$435,"&gt;139.99")</f>
        <v>1.0484110000000002</v>
      </c>
      <c r="P470" s="59">
        <f ca="1">SUMIFS($AG$4:$AG$435,$J$4:$J$435,"&gt;139.99")</f>
        <v>181.37552004014341</v>
      </c>
    </row>
    <row r="471" spans="1:16" x14ac:dyDescent="0.25">
      <c r="J471" s="32"/>
      <c r="L471" s="53" t="str">
        <f ca="1">IF(SUM(L465:L470)&lt;&gt;$L$437,"check formula","")</f>
        <v>check formula</v>
      </c>
      <c r="N471" s="53" t="str">
        <f ca="1">IF(SUM(N465:N470)&lt;&gt;$N$437,"check formula","")</f>
        <v>check formula</v>
      </c>
    </row>
  </sheetData>
  <sortState ref="A4:AB436">
    <sortCondition ref="V4:V436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"/>
  <sheetViews>
    <sheetView topLeftCell="H16" workbookViewId="0">
      <selection activeCell="O1" sqref="O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EMBIG_Div_Country</vt:lpstr>
      <vt:lpstr>EMBIG_Div_Security</vt:lpstr>
      <vt:lpstr>CEMBI_Div_Country</vt:lpstr>
      <vt:lpstr>CEMBI_Div_Security</vt:lpstr>
      <vt:lpstr>3032</vt:lpstr>
      <vt:lpstr>3024</vt:lpstr>
      <vt:lpstr>68</vt:lpstr>
      <vt:lpstr>3032 Summary</vt:lpstr>
      <vt:lpstr>68 Summary</vt:lpstr>
      <vt:lpstr>Sort</vt:lpstr>
      <vt:lpstr>EMBI Graphs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Brian Fagan</cp:lastModifiedBy>
  <cp:lastPrinted>2011-11-04T18:06:46Z</cp:lastPrinted>
  <dcterms:created xsi:type="dcterms:W3CDTF">2011-10-24T22:47:15Z</dcterms:created>
  <dcterms:modified xsi:type="dcterms:W3CDTF">2011-11-04T20:45:09Z</dcterms:modified>
</cp:coreProperties>
</file>