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4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BFagan\Quant_Research_and_Development\Excel\"/>
    </mc:Choice>
  </mc:AlternateContent>
  <bookViews>
    <workbookView xWindow="0" yWindow="30" windowWidth="20850" windowHeight="13290"/>
  </bookViews>
  <sheets>
    <sheet name="Discount factors" sheetId="1" r:id="rId1"/>
    <sheet name="Triplets" sheetId="2" r:id="rId2"/>
    <sheet name="Spot - Forward" sheetId="3" r:id="rId3"/>
    <sheet name="Key" sheetId="4" r:id="rId4"/>
  </sheets>
  <calcPr calcId="162913" concurrentCalc="0"/>
</workbook>
</file>

<file path=xl/calcChain.xml><?xml version="1.0" encoding="utf-8"?>
<calcChain xmlns="http://schemas.openxmlformats.org/spreadsheetml/2006/main">
  <c r="D56" i="3" l="1"/>
  <c r="E7" i="1"/>
  <c r="F7" i="1"/>
  <c r="E8" i="1"/>
  <c r="F8" i="1"/>
  <c r="E9" i="1"/>
  <c r="F9" i="1"/>
  <c r="E10" i="1"/>
  <c r="F10" i="1"/>
  <c r="E11" i="1"/>
  <c r="F11" i="1"/>
  <c r="C14" i="1"/>
  <c r="D15" i="1"/>
  <c r="C15" i="1"/>
  <c r="D16" i="1"/>
  <c r="E16" i="1"/>
  <c r="C16" i="1"/>
  <c r="D17" i="1"/>
  <c r="E17" i="1"/>
  <c r="F17" i="1"/>
  <c r="C17" i="1"/>
  <c r="D18" i="1"/>
  <c r="E18" i="1"/>
  <c r="F18" i="1"/>
  <c r="G18" i="1"/>
  <c r="C18" i="1"/>
  <c r="E26" i="1"/>
  <c r="B29" i="1"/>
  <c r="C29" i="1"/>
  <c r="B30" i="1"/>
  <c r="C30" i="1"/>
  <c r="B31" i="1"/>
  <c r="C31" i="1"/>
  <c r="B32" i="1"/>
  <c r="C32" i="1"/>
  <c r="C33" i="1"/>
  <c r="E35" i="1"/>
  <c r="B40" i="1"/>
  <c r="C40" i="1"/>
  <c r="D40" i="1"/>
  <c r="B41" i="1"/>
  <c r="C41" i="1"/>
  <c r="D41" i="1"/>
  <c r="B42" i="1"/>
  <c r="C42" i="1"/>
  <c r="D42" i="1"/>
  <c r="B43" i="1"/>
  <c r="C43" i="1"/>
  <c r="D43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E54" i="1"/>
  <c r="G5" i="4"/>
  <c r="F6" i="4"/>
  <c r="G7" i="4"/>
  <c r="H19" i="4"/>
  <c r="H20" i="4"/>
  <c r="J24" i="4"/>
  <c r="J26" i="4"/>
  <c r="N28" i="4"/>
  <c r="N30" i="4"/>
  <c r="N32" i="4"/>
  <c r="N33" i="4"/>
  <c r="N34" i="4"/>
  <c r="N35" i="4"/>
  <c r="N36" i="4"/>
  <c r="N37" i="4"/>
  <c r="N39" i="4"/>
  <c r="D25" i="3"/>
  <c r="E25" i="3"/>
  <c r="D26" i="3"/>
  <c r="E26" i="3"/>
  <c r="D27" i="3"/>
  <c r="E27" i="3"/>
  <c r="D28" i="3"/>
  <c r="E28" i="3"/>
  <c r="D29" i="3"/>
  <c r="E29" i="3"/>
  <c r="D55" i="3"/>
  <c r="D57" i="3"/>
  <c r="D58" i="3"/>
  <c r="D59" i="3"/>
  <c r="D66" i="3"/>
  <c r="D67" i="3"/>
  <c r="D68" i="3"/>
  <c r="D69" i="3"/>
  <c r="D70" i="3"/>
  <c r="G10" i="2"/>
  <c r="F11" i="2"/>
  <c r="G12" i="2"/>
  <c r="H24" i="2"/>
  <c r="H25" i="2"/>
  <c r="J29" i="2"/>
  <c r="J31" i="2"/>
</calcChain>
</file>

<file path=xl/sharedStrings.xml><?xml version="1.0" encoding="utf-8"?>
<sst xmlns="http://schemas.openxmlformats.org/spreadsheetml/2006/main" count="154" uniqueCount="118">
  <si>
    <t>Example:</t>
  </si>
  <si>
    <t>Cpn</t>
  </si>
  <si>
    <t>Mat</t>
  </si>
  <si>
    <t>Price (32nds)</t>
  </si>
  <si>
    <t xml:space="preserve">  (Recall that a price written 108-31+ means 108 and 31.5/32)</t>
  </si>
  <si>
    <t xml:space="preserve">  I use the Excel function DOLLARDE to convert prices quoted in 32nds to US$.</t>
  </si>
  <si>
    <t>Price (% of Par)</t>
  </si>
  <si>
    <t>Bond</t>
  </si>
  <si>
    <t xml:space="preserve">  Today's date (settlement) is 2/15/01.</t>
  </si>
  <si>
    <t>Discount factors:</t>
  </si>
  <si>
    <t>d(.5)</t>
  </si>
  <si>
    <t>d(1)</t>
  </si>
  <si>
    <t>d(1.5)</t>
  </si>
  <si>
    <t>d(2)</t>
  </si>
  <si>
    <t>d(2.5)</t>
  </si>
  <si>
    <t xml:space="preserve">  Solve for d(.5) first.</t>
  </si>
  <si>
    <t>The general expression:</t>
  </si>
  <si>
    <r>
      <t xml:space="preserve">This is an example of the </t>
    </r>
    <r>
      <rPr>
        <b/>
        <sz val="10"/>
        <rFont val="Arial"/>
        <family val="2"/>
      </rPr>
      <t>Law of One Price.</t>
    </r>
    <r>
      <rPr>
        <sz val="10"/>
        <rFont val="Arial"/>
        <family val="2"/>
      </rPr>
      <t xml:space="preserve">  If the law of one price is violated you can make arbitrage profits.</t>
    </r>
  </si>
  <si>
    <t>Suppose that in addition to the 5 bonds listed above, there is a sixth bond:</t>
  </si>
  <si>
    <r>
      <t xml:space="preserve">   (</t>
    </r>
    <r>
      <rPr>
        <b/>
        <sz val="12"/>
        <color indexed="10"/>
        <rFont val="Arial"/>
        <family val="2"/>
      </rPr>
      <t>Be careful to enter 32nds in 2 digits!!!</t>
    </r>
    <r>
      <rPr>
        <sz val="10"/>
        <rFont val="Arial"/>
      </rPr>
      <t xml:space="preserve">) </t>
    </r>
  </si>
  <si>
    <t>The value of this bond according to the law of one price is as follows:</t>
  </si>
  <si>
    <t>Time</t>
  </si>
  <si>
    <t>CF</t>
  </si>
  <si>
    <t>PV(CF)</t>
  </si>
  <si>
    <t xml:space="preserve">  Bond's Value</t>
  </si>
  <si>
    <t>Value - Price:</t>
  </si>
  <si>
    <t xml:space="preserve">   Since the value exceeds the price we should be able to make arbitrage by buying this bond and shorting its replicating portfolio.</t>
  </si>
  <si>
    <t>Identify the replicating portfolio by starting at the last date.</t>
  </si>
  <si>
    <t>Replicating Portfolio</t>
  </si>
  <si>
    <t>Par Value</t>
  </si>
  <si>
    <t>Show the cash flows that occur each period to the position that is long the cheap bond and short the replicating portfolio.</t>
  </si>
  <si>
    <t>Period</t>
  </si>
  <si>
    <t>CF Long</t>
  </si>
  <si>
    <t>CF Short</t>
  </si>
  <si>
    <t>Amount</t>
  </si>
  <si>
    <t>Net</t>
  </si>
  <si>
    <t>PV of cash flows:</t>
  </si>
  <si>
    <t>Definition:</t>
  </si>
  <si>
    <r>
      <t>Triplet</t>
    </r>
    <r>
      <rPr>
        <sz val="10"/>
        <rFont val="Arial"/>
        <family val="2"/>
      </rPr>
      <t xml:space="preserve"> T-bonds that mature on the same date.  This results from the historical auction schedules.</t>
    </r>
  </si>
  <si>
    <t>Example: on 2-15-01 there were three T-bonds outstanding that expire on August 15, 2003.  An original issue 20-year bond issued on July 5, 1983 with a 11.125% coupon;</t>
  </si>
  <si>
    <t xml:space="preserve">     An original issue 10-year bond issued on August 16, 1993 with a 5.75% coupon;   </t>
  </si>
  <si>
    <t xml:space="preserve">     An original issue 5-year bond issued on August 17, 1998 with a 5.25% coupon;</t>
  </si>
  <si>
    <t>Settle</t>
  </si>
  <si>
    <t>Coupon</t>
  </si>
  <si>
    <t>Price</t>
  </si>
  <si>
    <t>(In % of Par)</t>
  </si>
  <si>
    <r>
      <t>F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+ 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= 1</t>
    </r>
  </si>
  <si>
    <t>(Note that for all of these bonds 2-25-01 is an interest pmt date, so accrued interest is 0.)</t>
  </si>
  <si>
    <t xml:space="preserve">  For replication, interest payments must also match.  Thus we have 2 equations in 2 unknowns.</t>
  </si>
  <si>
    <t>Solving:</t>
  </si>
  <si>
    <t>F1</t>
  </si>
  <si>
    <r>
      <t>In the absence of arbitrage, we should see then that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F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+ 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3</t>
    </r>
  </si>
  <si>
    <t>So in this case, P2 should equal:</t>
  </si>
  <si>
    <t>Difference:</t>
  </si>
  <si>
    <t xml:space="preserve">  -- Bond 2 is trading rich relative to the other 2 bonds.</t>
  </si>
  <si>
    <t>Define the t-period spot rate as the yield-to-maturity on a t-period zero-coupon bond.</t>
  </si>
  <si>
    <t>Recall the definition of the t-period discount factor:</t>
  </si>
  <si>
    <t>Example:  From the discount rates in the earlier worksheet, compute the corresponding spot rates:</t>
  </si>
  <si>
    <t xml:space="preserve">Time to </t>
  </si>
  <si>
    <t>Maturity</t>
  </si>
  <si>
    <t>Discount</t>
  </si>
  <si>
    <t>factor</t>
  </si>
  <si>
    <t xml:space="preserve">Spot </t>
  </si>
  <si>
    <t>Rate</t>
  </si>
  <si>
    <r>
      <t xml:space="preserve">The </t>
    </r>
    <r>
      <rPr>
        <b/>
        <sz val="10"/>
        <rFont val="Arial"/>
        <family val="2"/>
      </rPr>
      <t>term structure of interest rates</t>
    </r>
    <r>
      <rPr>
        <sz val="10"/>
        <rFont val="Arial"/>
        <family val="2"/>
      </rPr>
      <t xml:space="preserve">, which is graphically represented as the </t>
    </r>
    <r>
      <rPr>
        <b/>
        <sz val="10"/>
        <rFont val="Arial"/>
        <family val="2"/>
      </rPr>
      <t>yield curve</t>
    </r>
    <r>
      <rPr>
        <sz val="10"/>
        <rFont val="Arial"/>
        <family val="2"/>
      </rPr>
      <t xml:space="preserve"> is the relationship between time-to-maturity (on the horizontal axis) and the spot rate (on the vertical axis).</t>
    </r>
  </si>
  <si>
    <t>A natural way to look at a one-year zero-coupon bond is as two sequential 6-month bonds.   If investors and borrowers are risk-neutral, then they will see</t>
  </si>
  <si>
    <t xml:space="preserve">a) investing in a 1-year zero-coupon bond; and </t>
  </si>
  <si>
    <t>b) investing in a 6-month zero coupon bond, and rolling over into a new 6-month zero-coupon bond when the first matures</t>
  </si>
  <si>
    <t>as equivalent.</t>
  </si>
  <si>
    <t>the strategies of:</t>
  </si>
  <si>
    <r>
      <t xml:space="preserve">We define a </t>
    </r>
    <r>
      <rPr>
        <b/>
        <sz val="10"/>
        <rFont val="Arial"/>
        <family val="2"/>
      </rPr>
      <t xml:space="preserve">forward loan </t>
    </r>
    <r>
      <rPr>
        <sz val="10"/>
        <rFont val="Arial"/>
        <family val="2"/>
      </rPr>
      <t>as a loan whose terms are agreed upon today, but which will originate in the future.</t>
    </r>
  </si>
  <si>
    <t>From this, we can define the spot rate (semi-annually-compunded rate of return from investing in a 0-coupon bond that matures t years from now.</t>
  </si>
  <si>
    <t>r(t) is the semi-annually compounded rate earned on a 6-month loan t-0.5 years forward.</t>
  </si>
  <si>
    <t>From this perspective, the 1-year spot rate, r-hat(1), can be decomposed into the 6-month spot rate,r-hat(.5), and the 6-month spot rate that will exist in 6 months, r(1), notationally:</t>
  </si>
  <si>
    <t>Note: We define the 6-month forward rate to be the 6-month spot rate:</t>
  </si>
  <si>
    <t>Thus we can solve for forward rates sequentially:</t>
  </si>
  <si>
    <t>Forward</t>
  </si>
  <si>
    <t>Alternatively, we can note that the difference between any two successive spot rates is the intervening forward rate:</t>
  </si>
  <si>
    <t>6-month</t>
  </si>
  <si>
    <t>This equivalence follows from the definitional relationship between spot and forward rates:</t>
  </si>
  <si>
    <t>Note:  We derived the forward rate based on the assumption of risk-neutrality.</t>
  </si>
  <si>
    <t>This was for motivational purposes only.  The forward rate should be</t>
  </si>
  <si>
    <t>thought of as a definition.  Even if there are large risk premia, the forward</t>
  </si>
  <si>
    <t>rates can be solved for in the manner above.</t>
  </si>
  <si>
    <t>The issue is what they mean.  At one extreme, with general risk premia, forward</t>
  </si>
  <si>
    <t>rates are meaningless transformations of spot rates (in the sense that they</t>
  </si>
  <si>
    <t>are devoid of economic interpretation.</t>
  </si>
  <si>
    <t>Yield</t>
  </si>
  <si>
    <t>F3</t>
  </si>
  <si>
    <r>
      <t>Consider a portfolio with F</t>
    </r>
    <r>
      <rPr>
        <vertAlign val="subscript"/>
        <sz val="10"/>
        <rFont val="Arial"/>
        <family val="2"/>
      </rPr>
      <t>1</t>
    </r>
    <r>
      <rPr>
        <b/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face value in bond 1 and 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face value in bond 3 that replicates 1 unit of face value of bond 2.</t>
    </r>
  </si>
  <si>
    <t>the cash flows from holding 1 unit of Bond 2.</t>
  </si>
  <si>
    <t>F1 units of Bond 1 and F3 units of Bond 3; and short 1 unit of Bond 2.</t>
  </si>
  <si>
    <t>Exercise:  Demonstrate the cash flows on all dates to a portfolio that is long</t>
  </si>
  <si>
    <t>For the purpose of this exercise, ignore transactions costs.</t>
  </si>
  <si>
    <t>Date</t>
  </si>
  <si>
    <t>Cash</t>
  </si>
  <si>
    <t>f1</t>
  </si>
  <si>
    <t>f2</t>
  </si>
  <si>
    <t>f3</t>
  </si>
  <si>
    <t>By solving for F1 and F3 from these 2 equations, we identify a portfolio whose cash flows on all future dates are identical to</t>
  </si>
  <si>
    <t>Total:</t>
  </si>
  <si>
    <t xml:space="preserve">   Par Amt:</t>
  </si>
  <si>
    <t xml:space="preserve">We have looked at the yield (-to maturity) on bonds.  </t>
  </si>
  <si>
    <t>Here we successively derive discount factors, which is a means of introduction to the term structure of interest rates.</t>
  </si>
  <si>
    <t>(And helping to get a more complete sense of risk than available from duration and convexity.)</t>
  </si>
  <si>
    <t>This identification scheme  assumes that investors (and borrowers) see one bond's cash flow at time t as a perfect substitute for another bond's cash flows at that time.</t>
  </si>
  <si>
    <t>Treasury triplets and the Law of One Price in the Treasury Market.</t>
  </si>
  <si>
    <t>Discussion and warnings:</t>
  </si>
  <si>
    <r>
      <t>In our example, we ignore transactions costs (there is no such thing as "</t>
    </r>
    <r>
      <rPr>
        <i/>
        <sz val="14"/>
        <color indexed="25"/>
        <rFont val="Arial"/>
        <family val="2"/>
      </rPr>
      <t>the price"</t>
    </r>
    <r>
      <rPr>
        <sz val="14"/>
        <color indexed="25"/>
        <rFont val="Arial"/>
        <family val="2"/>
      </rPr>
      <t>) and the possibility that some of the bonds</t>
    </r>
  </si>
  <si>
    <t>opportunity.</t>
  </si>
  <si>
    <t>may be on special.  In general, on-the-run bonds trade rich relative to off-the-run bonds, but this does not create an arbitrage</t>
  </si>
  <si>
    <t>(Note that for all of these bonds 2-15-01 is an interest pmt date, so accrued interest is 0.)</t>
  </si>
  <si>
    <t>Bloomberg:</t>
  </si>
  <si>
    <r>
      <t xml:space="preserve">You can pull forward rates directly from Bloomberg </t>
    </r>
    <r>
      <rPr>
        <sz val="14"/>
        <color indexed="13"/>
        <rFont val="Arial"/>
        <family val="2"/>
      </rPr>
      <t>&lt;GOVT&gt;</t>
    </r>
    <r>
      <rPr>
        <sz val="14"/>
        <color indexed="53"/>
        <rFont val="Arial"/>
        <family val="2"/>
      </rPr>
      <t xml:space="preserve"> FWCV </t>
    </r>
    <r>
      <rPr>
        <sz val="14"/>
        <color indexed="57"/>
        <rFont val="Arial"/>
        <family val="2"/>
      </rPr>
      <t>&lt;GO&gt;</t>
    </r>
  </si>
  <si>
    <t>This is a graphical "forward curve."</t>
  </si>
  <si>
    <t>The data underlying the graph are available by paging through the graph:</t>
  </si>
  <si>
    <t xml:space="preserve">   The answer to this exercise is provided in</t>
  </si>
  <si>
    <t xml:space="preserve">    the worksheet called "Key."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</si>
</sst>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6" formatCode="&quot;$&quot;#,##0.00"/>
  </numFmts>
  <fonts count="12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14"/>
      <color indexed="53"/>
      <name val="Arial"/>
      <family val="2"/>
    </font>
    <font>
      <b/>
      <sz val="13"/>
      <color indexed="10"/>
      <name val="Arial"/>
      <family val="2"/>
    </font>
    <font>
      <sz val="14"/>
      <color indexed="25"/>
      <name val="Arial"/>
      <family val="2"/>
    </font>
    <font>
      <i/>
      <sz val="14"/>
      <color indexed="25"/>
      <name val="Arial"/>
      <family val="2"/>
    </font>
    <font>
      <sz val="14"/>
      <color indexed="13"/>
      <name val="Arial"/>
      <family val="2"/>
    </font>
    <font>
      <sz val="14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6" fillId="2" borderId="0" xfId="0" applyFont="1" applyFill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114300</xdr:rowOff>
        </xdr:from>
        <xdr:to>
          <xdr:col>13</xdr:col>
          <xdr:colOff>0</xdr:colOff>
          <xdr:row>18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38100</xdr:rowOff>
        </xdr:from>
        <xdr:to>
          <xdr:col>3</xdr:col>
          <xdr:colOff>409575</xdr:colOff>
          <xdr:row>18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21</xdr:row>
          <xdr:rowOff>9525</xdr:rowOff>
        </xdr:from>
        <xdr:to>
          <xdr:col>4</xdr:col>
          <xdr:colOff>390525</xdr:colOff>
          <xdr:row>25</xdr:row>
          <xdr:rowOff>95250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47625</xdr:rowOff>
        </xdr:from>
        <xdr:to>
          <xdr:col>4</xdr:col>
          <xdr:colOff>409575</xdr:colOff>
          <xdr:row>31</xdr:row>
          <xdr:rowOff>95250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542925</xdr:colOff>
      <xdr:row>35</xdr:row>
      <xdr:rowOff>9525</xdr:rowOff>
    </xdr:from>
    <xdr:to>
      <xdr:col>10</xdr:col>
      <xdr:colOff>85725</xdr:colOff>
      <xdr:row>39</xdr:row>
      <xdr:rowOff>133350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6124575" y="5791200"/>
          <a:ext cx="152400" cy="914400"/>
        </a:xfrm>
        <a:prstGeom prst="rightBrace">
          <a:avLst>
            <a:gd name="adj1" fmla="val 50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2</xdr:row>
          <xdr:rowOff>114300</xdr:rowOff>
        </xdr:from>
        <xdr:to>
          <xdr:col>8</xdr:col>
          <xdr:colOff>447675</xdr:colOff>
          <xdr:row>8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12</xdr:row>
          <xdr:rowOff>95250</xdr:rowOff>
        </xdr:from>
        <xdr:to>
          <xdr:col>8</xdr:col>
          <xdr:colOff>457200</xdr:colOff>
          <xdr:row>18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42</xdr:row>
          <xdr:rowOff>95250</xdr:rowOff>
        </xdr:from>
        <xdr:to>
          <xdr:col>7</xdr:col>
          <xdr:colOff>552450</xdr:colOff>
          <xdr:row>46</xdr:row>
          <xdr:rowOff>85725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590550</xdr:colOff>
          <xdr:row>44</xdr:row>
          <xdr:rowOff>142875</xdr:rowOff>
        </xdr:from>
        <xdr:to>
          <xdr:col>11</xdr:col>
          <xdr:colOff>581025</xdr:colOff>
          <xdr:row>46</xdr:row>
          <xdr:rowOff>152400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65</xdr:row>
          <xdr:rowOff>9525</xdr:rowOff>
        </xdr:from>
        <xdr:to>
          <xdr:col>10</xdr:col>
          <xdr:colOff>209550</xdr:colOff>
          <xdr:row>67</xdr:row>
          <xdr:rowOff>152400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84</xdr:row>
          <xdr:rowOff>161925</xdr:rowOff>
        </xdr:from>
        <xdr:to>
          <xdr:col>12</xdr:col>
          <xdr:colOff>180975</xdr:colOff>
          <xdr:row>86</xdr:row>
          <xdr:rowOff>190500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94</xdr:row>
          <xdr:rowOff>85725</xdr:rowOff>
        </xdr:from>
        <xdr:to>
          <xdr:col>12</xdr:col>
          <xdr:colOff>314325</xdr:colOff>
          <xdr:row>96</xdr:row>
          <xdr:rowOff>114300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38100</xdr:rowOff>
        </xdr:from>
        <xdr:to>
          <xdr:col>3</xdr:col>
          <xdr:colOff>409575</xdr:colOff>
          <xdr:row>13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16</xdr:row>
          <xdr:rowOff>9525</xdr:rowOff>
        </xdr:from>
        <xdr:to>
          <xdr:col>4</xdr:col>
          <xdr:colOff>390525</xdr:colOff>
          <xdr:row>20</xdr:row>
          <xdr:rowOff>95250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22</xdr:row>
          <xdr:rowOff>47625</xdr:rowOff>
        </xdr:from>
        <xdr:to>
          <xdr:col>4</xdr:col>
          <xdr:colOff>409575</xdr:colOff>
          <xdr:row>26</xdr:row>
          <xdr:rowOff>95250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1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Relationship Id="rId14" Type="http://schemas.openxmlformats.org/officeDocument/2006/relationships/oleObject" Target="../embeddings/oleObject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3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2.bin"/><Relationship Id="rId9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abSelected="1" workbookViewId="0">
      <selection activeCell="C18" sqref="C18"/>
    </sheetView>
  </sheetViews>
  <sheetFormatPr defaultRowHeight="12.75" x14ac:dyDescent="0.2"/>
  <cols>
    <col min="1" max="2" width="9.28515625" bestFit="1" customWidth="1"/>
    <col min="3" max="3" width="9.5703125" bestFit="1" customWidth="1"/>
    <col min="4" max="4" width="13.5703125" customWidth="1"/>
    <col min="5" max="5" width="13.7109375" customWidth="1"/>
    <col min="6" max="7" width="9.28515625" bestFit="1" customWidth="1"/>
    <col min="9" max="9" width="11.42578125" customWidth="1"/>
  </cols>
  <sheetData>
    <row r="1" spans="1:24" ht="18" x14ac:dyDescent="0.25">
      <c r="A1" s="16" t="s">
        <v>102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8" x14ac:dyDescent="0.25">
      <c r="A2" s="16" t="s">
        <v>103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4" ht="18" x14ac:dyDescent="0.25">
      <c r="A3" s="16"/>
      <c r="B3" s="16" t="s">
        <v>104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4" ht="1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4" x14ac:dyDescent="0.2">
      <c r="A5" t="s">
        <v>0</v>
      </c>
      <c r="B5" t="s">
        <v>8</v>
      </c>
      <c r="E5" s="1">
        <v>36937</v>
      </c>
    </row>
    <row r="6" spans="1:24" x14ac:dyDescent="0.2">
      <c r="A6" s="2" t="s">
        <v>7</v>
      </c>
      <c r="B6" t="s">
        <v>1</v>
      </c>
      <c r="C6" t="s">
        <v>2</v>
      </c>
      <c r="D6" t="s">
        <v>3</v>
      </c>
      <c r="E6" t="s">
        <v>6</v>
      </c>
      <c r="F6" t="s">
        <v>87</v>
      </c>
    </row>
    <row r="7" spans="1:24" x14ac:dyDescent="0.2">
      <c r="A7" s="2">
        <v>1</v>
      </c>
      <c r="B7">
        <v>7.8750000000000001E-2</v>
      </c>
      <c r="C7" s="1">
        <v>37118</v>
      </c>
      <c r="D7">
        <v>101.1275</v>
      </c>
      <c r="E7">
        <f>DOLLARDE(D7,32)</f>
        <v>101.3984375</v>
      </c>
      <c r="F7">
        <f>YIELD($E$5,C7,B7,E7,100,2,1)</f>
        <v>5.0080899915247709E-2</v>
      </c>
      <c r="G7" t="s">
        <v>5</v>
      </c>
    </row>
    <row r="8" spans="1:24" x14ac:dyDescent="0.2">
      <c r="A8" s="2">
        <v>2</v>
      </c>
      <c r="B8">
        <v>0.14249999999999999</v>
      </c>
      <c r="C8" s="1">
        <v>37302</v>
      </c>
      <c r="D8">
        <v>108.315</v>
      </c>
      <c r="E8">
        <f>DOLLARDE(D8,32)</f>
        <v>108.984375</v>
      </c>
      <c r="F8">
        <f>YIELD($E$5,C8,B8,E8,100,2,1)</f>
        <v>4.9319473000630311E-2</v>
      </c>
      <c r="G8" t="s">
        <v>4</v>
      </c>
    </row>
    <row r="9" spans="1:24" ht="15.75" x14ac:dyDescent="0.25">
      <c r="A9" s="2">
        <v>3</v>
      </c>
      <c r="B9">
        <v>6.3750000000000001E-2</v>
      </c>
      <c r="C9" s="1">
        <v>37483</v>
      </c>
      <c r="D9">
        <v>102.05</v>
      </c>
      <c r="E9">
        <f>DOLLARDE(D9,32)</f>
        <v>102.15624999999999</v>
      </c>
      <c r="F9">
        <f>YIELD($E$5,C9,B9,E9,100,2,1)</f>
        <v>4.8669765491939451E-2</v>
      </c>
      <c r="G9" t="s">
        <v>19</v>
      </c>
    </row>
    <row r="10" spans="1:24" x14ac:dyDescent="0.2">
      <c r="A10" s="2">
        <v>4</v>
      </c>
      <c r="B10">
        <v>6.25E-2</v>
      </c>
      <c r="C10" s="1">
        <v>37667</v>
      </c>
      <c r="D10">
        <v>102.18125000000001</v>
      </c>
      <c r="E10">
        <f>DOLLARDE(D10,32)</f>
        <v>102.56640625000001</v>
      </c>
      <c r="F10">
        <f>YIELD($E$5,C10,B10,E10,100,2,1)</f>
        <v>4.8874556878766122E-2</v>
      </c>
    </row>
    <row r="11" spans="1:24" x14ac:dyDescent="0.2">
      <c r="A11" s="2">
        <v>5</v>
      </c>
      <c r="B11">
        <v>5.2499999999999998E-2</v>
      </c>
      <c r="C11" s="1">
        <v>37848</v>
      </c>
      <c r="D11">
        <v>100.27</v>
      </c>
      <c r="E11">
        <f>DOLLARDE(D11,32)</f>
        <v>100.84374999999999</v>
      </c>
      <c r="F11">
        <f>YIELD($E$5,C11,B11,E11,100,2,1)</f>
        <v>4.887359607325286E-2</v>
      </c>
    </row>
    <row r="13" spans="1:24" x14ac:dyDescent="0.2">
      <c r="B13" t="s">
        <v>9</v>
      </c>
    </row>
    <row r="14" spans="1:24" x14ac:dyDescent="0.2">
      <c r="B14" t="s">
        <v>10</v>
      </c>
      <c r="C14" s="3">
        <f>E7/(100+0.5*100*B7)</f>
        <v>0.97557125676488277</v>
      </c>
      <c r="D14" t="s">
        <v>15</v>
      </c>
    </row>
    <row r="15" spans="1:24" x14ac:dyDescent="0.2">
      <c r="B15" t="s">
        <v>11</v>
      </c>
      <c r="C15" s="3">
        <f>(E8-D15)/(100+100*0.5*B8)</f>
        <v>0.95247075655122715</v>
      </c>
      <c r="D15">
        <f>(0.5*B8*100)*$C$14</f>
        <v>6.9509452044497886</v>
      </c>
      <c r="H15" t="s">
        <v>16</v>
      </c>
    </row>
    <row r="16" spans="1:24" x14ac:dyDescent="0.2">
      <c r="B16" t="s">
        <v>12</v>
      </c>
      <c r="C16" s="3">
        <f>(E9-D16-E16)/(100+100*0.5*B9)</f>
        <v>0.93044812678429933</v>
      </c>
      <c r="D16">
        <f>(0.5*B9*100)*$C$14</f>
        <v>3.1096333809380639</v>
      </c>
      <c r="E16">
        <f>(0.5*B9*100)*$C$15</f>
        <v>3.0360005365070366</v>
      </c>
    </row>
    <row r="17" spans="1:22" x14ac:dyDescent="0.2">
      <c r="B17" t="s">
        <v>13</v>
      </c>
      <c r="C17" s="3">
        <f>(E10-D17-E17-F17)/(100+100*0.5*B10)</f>
        <v>0.90796241999695737</v>
      </c>
      <c r="D17">
        <f>(0.5*B10*100)*$C$14</f>
        <v>3.0486601773902589</v>
      </c>
      <c r="E17">
        <f>(0.5*B10*100)*$C$15</f>
        <v>2.9764711142225848</v>
      </c>
      <c r="F17">
        <f>(0.5*B10*100)*$C$16</f>
        <v>2.9076503962009355</v>
      </c>
    </row>
    <row r="18" spans="1:22" x14ac:dyDescent="0.2">
      <c r="B18" t="s">
        <v>14</v>
      </c>
      <c r="C18" s="3">
        <f>(E11-D18-E18-F18-G18)/(100+100*0.5*B11)</f>
        <v>0.88630267507668115</v>
      </c>
      <c r="D18">
        <f>(0.5*B11*100)*$C$14</f>
        <v>2.5608745490078171</v>
      </c>
      <c r="E18">
        <f>(0.5*B11*100)*$C$15</f>
        <v>2.5002357359469713</v>
      </c>
      <c r="F18">
        <f>(0.5*B11*100)*$C$16</f>
        <v>2.4424263328087856</v>
      </c>
      <c r="G18">
        <f>(0.5*B11*100)*$C$17</f>
        <v>2.383401352492013</v>
      </c>
    </row>
    <row r="21" spans="1:22" ht="18" x14ac:dyDescent="0.25">
      <c r="A21" s="16"/>
      <c r="B21" s="16" t="s">
        <v>105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8" x14ac:dyDescent="0.25">
      <c r="A22" s="16"/>
      <c r="B22" s="16"/>
      <c r="C22" s="16" t="s">
        <v>17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4" spans="1:22" x14ac:dyDescent="0.2">
      <c r="A24" t="s">
        <v>0</v>
      </c>
    </row>
    <row r="25" spans="1:22" x14ac:dyDescent="0.2">
      <c r="B25" t="s">
        <v>18</v>
      </c>
    </row>
    <row r="26" spans="1:22" x14ac:dyDescent="0.2">
      <c r="A26" s="2">
        <v>6</v>
      </c>
      <c r="B26">
        <v>0.1075</v>
      </c>
      <c r="C26" s="1">
        <v>37667</v>
      </c>
      <c r="D26">
        <v>110.3</v>
      </c>
      <c r="E26">
        <f>DOLLARDE(D26,32)</f>
        <v>110.93749999999999</v>
      </c>
    </row>
    <row r="27" spans="1:22" x14ac:dyDescent="0.2">
      <c r="A27" t="s">
        <v>20</v>
      </c>
    </row>
    <row r="28" spans="1:22" x14ac:dyDescent="0.2">
      <c r="A28" t="s">
        <v>21</v>
      </c>
      <c r="B28" t="s">
        <v>22</v>
      </c>
      <c r="C28" t="s">
        <v>23</v>
      </c>
    </row>
    <row r="29" spans="1:22" x14ac:dyDescent="0.2">
      <c r="A29">
        <v>0.5</v>
      </c>
      <c r="B29">
        <f>0.5*100*$B$26</f>
        <v>5.375</v>
      </c>
      <c r="C29">
        <f>B29*C14</f>
        <v>5.243695505111245</v>
      </c>
    </row>
    <row r="30" spans="1:22" x14ac:dyDescent="0.2">
      <c r="A30">
        <v>1</v>
      </c>
      <c r="B30">
        <f>0.5*100*$B$26</f>
        <v>5.375</v>
      </c>
      <c r="C30">
        <f>B30*C15</f>
        <v>5.1195303164628463</v>
      </c>
    </row>
    <row r="31" spans="1:22" x14ac:dyDescent="0.2">
      <c r="A31">
        <v>1.5</v>
      </c>
      <c r="B31">
        <f>0.5*100*$B$26</f>
        <v>5.375</v>
      </c>
      <c r="C31">
        <f>B31*C16</f>
        <v>5.0011586814656086</v>
      </c>
    </row>
    <row r="32" spans="1:22" x14ac:dyDescent="0.2">
      <c r="A32">
        <v>2</v>
      </c>
      <c r="B32">
        <f>0.5*100*$B$26+100</f>
        <v>105.375</v>
      </c>
      <c r="C32">
        <f>B32*C17</f>
        <v>95.676540007179383</v>
      </c>
    </row>
    <row r="33" spans="1:6" x14ac:dyDescent="0.2">
      <c r="C33">
        <f>SUM(C29:C32)</f>
        <v>111.04092451021909</v>
      </c>
      <c r="D33" t="s">
        <v>24</v>
      </c>
    </row>
    <row r="35" spans="1:6" x14ac:dyDescent="0.2">
      <c r="C35" t="s">
        <v>25</v>
      </c>
      <c r="E35">
        <f>C33-E26</f>
        <v>0.10342451021909937</v>
      </c>
      <c r="F35" t="s">
        <v>26</v>
      </c>
    </row>
    <row r="37" spans="1:6" x14ac:dyDescent="0.2">
      <c r="A37" t="s">
        <v>27</v>
      </c>
    </row>
    <row r="38" spans="1:6" x14ac:dyDescent="0.2">
      <c r="A38" s="2" t="s">
        <v>7</v>
      </c>
      <c r="B38" t="s">
        <v>28</v>
      </c>
    </row>
    <row r="39" spans="1:6" x14ac:dyDescent="0.2">
      <c r="A39" s="2"/>
      <c r="C39" t="s">
        <v>29</v>
      </c>
      <c r="D39" t="s">
        <v>34</v>
      </c>
    </row>
    <row r="40" spans="1:6" x14ac:dyDescent="0.2">
      <c r="A40" s="2">
        <v>4</v>
      </c>
      <c r="B40">
        <f>(B32)/(100+0.5*100*B10)</f>
        <v>1.0218181818181817</v>
      </c>
      <c r="C40">
        <f>B40*100</f>
        <v>102.18181818181817</v>
      </c>
      <c r="D40">
        <f>B40*E10</f>
        <v>104.80421875</v>
      </c>
    </row>
    <row r="41" spans="1:6" x14ac:dyDescent="0.2">
      <c r="A41" s="2">
        <v>3</v>
      </c>
      <c r="B41">
        <f>(B31-B40*0.5*100*B10)/(100+B9*0.5*100)</f>
        <v>2.1144210120588078E-2</v>
      </c>
      <c r="C41">
        <f>B41*100</f>
        <v>2.1144210120588078</v>
      </c>
      <c r="D41">
        <f>B41*E9</f>
        <v>2.1600132151313254</v>
      </c>
    </row>
    <row r="42" spans="1:6" x14ac:dyDescent="0.2">
      <c r="A42" s="2">
        <v>2</v>
      </c>
      <c r="B42">
        <f>(B30-0.5*100*(B40*B10+B41*B9))/(100+B8*0.5*100)</f>
        <v>1.9737885760175568E-2</v>
      </c>
      <c r="C42">
        <f>B42*100</f>
        <v>1.9737885760175569</v>
      </c>
      <c r="D42">
        <f>B42*E8</f>
        <v>2.1511211433941342</v>
      </c>
    </row>
    <row r="43" spans="1:6" x14ac:dyDescent="0.2">
      <c r="A43" s="2">
        <v>1</v>
      </c>
      <c r="B43">
        <f>(B29-0.5*100*(B40*B10+B41*B9+B42*B8))/(100+B7*0.5*100)</f>
        <v>1.8990148656813539E-2</v>
      </c>
      <c r="C43">
        <f>B43*100</f>
        <v>1.8990148656813539</v>
      </c>
      <c r="D43">
        <f>B43*E7</f>
        <v>1.9255714016936167</v>
      </c>
    </row>
    <row r="45" spans="1:6" x14ac:dyDescent="0.2">
      <c r="A45" t="s">
        <v>30</v>
      </c>
    </row>
    <row r="47" spans="1:6" x14ac:dyDescent="0.2">
      <c r="B47" s="2" t="s">
        <v>31</v>
      </c>
      <c r="C47" t="s">
        <v>32</v>
      </c>
      <c r="D47" t="s">
        <v>33</v>
      </c>
      <c r="E47" t="s">
        <v>35</v>
      </c>
    </row>
    <row r="48" spans="1:6" x14ac:dyDescent="0.2">
      <c r="B48" s="2">
        <v>0</v>
      </c>
      <c r="C48">
        <f>-E26</f>
        <v>-110.93749999999999</v>
      </c>
      <c r="D48">
        <f>SUM(D40:D43)</f>
        <v>111.04092451021909</v>
      </c>
      <c r="E48">
        <f>C48+D48</f>
        <v>0.10342451021909937</v>
      </c>
    </row>
    <row r="49" spans="2:5" x14ac:dyDescent="0.2">
      <c r="B49" s="2">
        <v>0.5</v>
      </c>
      <c r="C49">
        <f>B29</f>
        <v>5.375</v>
      </c>
      <c r="D49">
        <f>-(C43*0.5*B7+C42*0.5*B8+C41*0.5*B9+C40*0.5*B10+C43)</f>
        <v>-5.375</v>
      </c>
      <c r="E49">
        <f>C49+D49</f>
        <v>0</v>
      </c>
    </row>
    <row r="50" spans="2:5" x14ac:dyDescent="0.2">
      <c r="B50" s="2">
        <v>1</v>
      </c>
      <c r="C50">
        <f>B30</f>
        <v>5.375</v>
      </c>
      <c r="D50">
        <f>-(C42*0.5*B8+C41*0.5*B9+C40*0.5*B10+C42)</f>
        <v>-5.375</v>
      </c>
      <c r="E50">
        <f>C50+D50</f>
        <v>0</v>
      </c>
    </row>
    <row r="51" spans="2:5" x14ac:dyDescent="0.2">
      <c r="B51" s="2">
        <v>1.5</v>
      </c>
      <c r="C51">
        <f>B31</f>
        <v>5.375</v>
      </c>
      <c r="D51">
        <f>-(C41*0.5*B9+C40*0.5*B10+C41)</f>
        <v>-5.375</v>
      </c>
      <c r="E51">
        <f>C51+D51</f>
        <v>0</v>
      </c>
    </row>
    <row r="52" spans="2:5" x14ac:dyDescent="0.2">
      <c r="B52" s="2">
        <v>2</v>
      </c>
      <c r="C52">
        <f>B32</f>
        <v>105.375</v>
      </c>
      <c r="D52">
        <f>-(C40*0.5*B10+C40)</f>
        <v>-105.37499999999999</v>
      </c>
      <c r="E52">
        <f>C52+D52</f>
        <v>0</v>
      </c>
    </row>
    <row r="54" spans="2:5" x14ac:dyDescent="0.2">
      <c r="B54" t="s">
        <v>36</v>
      </c>
      <c r="E54">
        <f>E48*1+E49*C14+E50*C15+E51*C16+E52*C17</f>
        <v>0.10342451021909937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9</xdr:col>
                <xdr:colOff>47625</xdr:colOff>
                <xdr:row>13</xdr:row>
                <xdr:rowOff>114300</xdr:rowOff>
              </from>
              <to>
                <xdr:col>13</xdr:col>
                <xdr:colOff>0</xdr:colOff>
                <xdr:row>18</xdr:row>
                <xdr:rowOff>19050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workbookViewId="0">
      <selection activeCell="K42" sqref="K42"/>
    </sheetView>
  </sheetViews>
  <sheetFormatPr defaultRowHeight="12.75" x14ac:dyDescent="0.2"/>
  <cols>
    <col min="9" max="9" width="10.5703125" customWidth="1"/>
  </cols>
  <sheetData>
    <row r="1" spans="1:10" x14ac:dyDescent="0.2">
      <c r="A1" t="s">
        <v>106</v>
      </c>
    </row>
    <row r="3" spans="1:10" x14ac:dyDescent="0.2">
      <c r="A3" t="s">
        <v>37</v>
      </c>
    </row>
    <row r="4" spans="1:10" x14ac:dyDescent="0.2">
      <c r="B4" s="3" t="s">
        <v>38</v>
      </c>
    </row>
    <row r="6" spans="1:10" x14ac:dyDescent="0.2">
      <c r="B6" t="s">
        <v>39</v>
      </c>
    </row>
    <row r="7" spans="1:10" x14ac:dyDescent="0.2">
      <c r="J7" t="s">
        <v>40</v>
      </c>
    </row>
    <row r="8" spans="1:10" x14ac:dyDescent="0.2">
      <c r="J8" t="s">
        <v>41</v>
      </c>
    </row>
    <row r="9" spans="1:10" x14ac:dyDescent="0.2">
      <c r="B9" s="2" t="s">
        <v>7</v>
      </c>
      <c r="C9" t="s">
        <v>42</v>
      </c>
      <c r="D9" t="s">
        <v>43</v>
      </c>
      <c r="E9" t="s">
        <v>2</v>
      </c>
      <c r="F9" t="s">
        <v>44</v>
      </c>
      <c r="G9" t="s">
        <v>45</v>
      </c>
    </row>
    <row r="10" spans="1:10" x14ac:dyDescent="0.2">
      <c r="B10" s="2">
        <v>1</v>
      </c>
      <c r="C10" s="1">
        <v>36937</v>
      </c>
      <c r="D10">
        <v>0.11125</v>
      </c>
      <c r="E10" s="1">
        <v>37848</v>
      </c>
      <c r="F10">
        <v>114.12</v>
      </c>
      <c r="G10">
        <f>DOLLARDE(F10,32)</f>
        <v>114.37500000000001</v>
      </c>
      <c r="I10" t="s">
        <v>111</v>
      </c>
    </row>
    <row r="11" spans="1:10" x14ac:dyDescent="0.2">
      <c r="B11" s="2">
        <v>2</v>
      </c>
      <c r="C11" s="1">
        <v>36937</v>
      </c>
      <c r="D11">
        <v>5.7500000000000002E-2</v>
      </c>
      <c r="E11" s="1">
        <v>37848</v>
      </c>
      <c r="F11">
        <f>DOLLARFR(G11,32)</f>
        <v>102.0064</v>
      </c>
      <c r="G11">
        <v>102.02</v>
      </c>
    </row>
    <row r="12" spans="1:10" x14ac:dyDescent="0.2">
      <c r="B12" s="2">
        <v>3</v>
      </c>
      <c r="C12" s="1">
        <v>36937</v>
      </c>
      <c r="D12">
        <v>5.2499999999999998E-2</v>
      </c>
      <c r="E12" s="1">
        <v>37848</v>
      </c>
      <c r="F12">
        <v>100.27</v>
      </c>
      <c r="G12">
        <f>DOLLARDE(F12,32)</f>
        <v>100.84374999999999</v>
      </c>
    </row>
    <row r="14" spans="1:10" ht="15.75" x14ac:dyDescent="0.3">
      <c r="A14" t="s">
        <v>89</v>
      </c>
    </row>
    <row r="15" spans="1:10" x14ac:dyDescent="0.2">
      <c r="A15" t="s">
        <v>48</v>
      </c>
    </row>
    <row r="16" spans="1:10" ht="15.75" x14ac:dyDescent="0.3">
      <c r="C16" t="s">
        <v>46</v>
      </c>
    </row>
    <row r="20" spans="3:10" x14ac:dyDescent="0.2">
      <c r="C20" t="s">
        <v>49</v>
      </c>
      <c r="F20" t="s">
        <v>99</v>
      </c>
    </row>
    <row r="21" spans="3:10" x14ac:dyDescent="0.2">
      <c r="G21" t="s">
        <v>90</v>
      </c>
    </row>
    <row r="24" spans="3:10" x14ac:dyDescent="0.2">
      <c r="G24" t="s">
        <v>50</v>
      </c>
      <c r="H24">
        <f>(D11-D12)/(D10-D12)</f>
        <v>8.5106382978723472E-2</v>
      </c>
    </row>
    <row r="25" spans="3:10" x14ac:dyDescent="0.2">
      <c r="G25" t="s">
        <v>88</v>
      </c>
      <c r="H25">
        <f>(D10-D11)/(D10-D12)</f>
        <v>0.91489361702127647</v>
      </c>
    </row>
    <row r="28" spans="3:10" ht="15.75" x14ac:dyDescent="0.3">
      <c r="G28" t="s">
        <v>51</v>
      </c>
    </row>
    <row r="29" spans="3:10" x14ac:dyDescent="0.2">
      <c r="G29" t="s">
        <v>52</v>
      </c>
      <c r="J29">
        <f>H24*G10+H25*G12</f>
        <v>101.99534574468083</v>
      </c>
    </row>
    <row r="31" spans="3:10" x14ac:dyDescent="0.2">
      <c r="I31" t="s">
        <v>53</v>
      </c>
      <c r="J31">
        <f>G11-J29</f>
        <v>2.4654255319163099E-2</v>
      </c>
    </row>
    <row r="32" spans="3:10" x14ac:dyDescent="0.2">
      <c r="J32" t="s">
        <v>54</v>
      </c>
    </row>
    <row r="36" spans="1:11" ht="16.5" x14ac:dyDescent="0.25">
      <c r="A36" s="13" t="s">
        <v>92</v>
      </c>
    </row>
    <row r="37" spans="1:11" ht="16.5" x14ac:dyDescent="0.25">
      <c r="B37" s="13" t="s">
        <v>91</v>
      </c>
      <c r="K37" t="s">
        <v>116</v>
      </c>
    </row>
    <row r="38" spans="1:11" ht="16.5" x14ac:dyDescent="0.25">
      <c r="B38" s="13" t="s">
        <v>93</v>
      </c>
      <c r="K38" t="s">
        <v>117</v>
      </c>
    </row>
    <row r="40" spans="1:11" ht="16.5" x14ac:dyDescent="0.25">
      <c r="A40" s="13"/>
      <c r="B40" s="13"/>
    </row>
    <row r="41" spans="1:11" ht="16.5" x14ac:dyDescent="0.25">
      <c r="B41" s="13"/>
    </row>
    <row r="43" spans="1:11" ht="16.5" x14ac:dyDescent="0.25">
      <c r="A43" s="13"/>
      <c r="B43" s="13"/>
    </row>
    <row r="44" spans="1:11" ht="16.5" x14ac:dyDescent="0.25">
      <c r="B44" s="13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r:id="rId5">
            <anchor moveWithCells="1">
              <from>
                <xdr:col>2</xdr:col>
                <xdr:colOff>19050</xdr:colOff>
                <xdr:row>16</xdr:row>
                <xdr:rowOff>38100</xdr:rowOff>
              </from>
              <to>
                <xdr:col>3</xdr:col>
                <xdr:colOff>409575</xdr:colOff>
                <xdr:row>18</xdr:row>
                <xdr:rowOff>47625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r:id="rId7">
            <anchor moveWithCells="1">
              <from>
                <xdr:col>1</xdr:col>
                <xdr:colOff>600075</xdr:colOff>
                <xdr:row>21</xdr:row>
                <xdr:rowOff>9525</xdr:rowOff>
              </from>
              <to>
                <xdr:col>4</xdr:col>
                <xdr:colOff>390525</xdr:colOff>
                <xdr:row>25</xdr:row>
                <xdr:rowOff>95250</xdr:rowOff>
              </to>
            </anchor>
          </objectPr>
        </oleObject>
      </mc:Choice>
      <mc:Fallback>
        <oleObject progId="Equation.3" shapeId="2051" r:id="rId6"/>
      </mc:Fallback>
    </mc:AlternateContent>
    <mc:AlternateContent xmlns:mc="http://schemas.openxmlformats.org/markup-compatibility/2006">
      <mc:Choice Requires="x14">
        <oleObject progId="Equation.3" shapeId="2052" r:id="rId8">
          <objectPr defaultSize="0" r:id="rId9">
            <anchor moveWithCells="1">
              <from>
                <xdr:col>2</xdr:col>
                <xdr:colOff>9525</xdr:colOff>
                <xdr:row>27</xdr:row>
                <xdr:rowOff>47625</xdr:rowOff>
              </from>
              <to>
                <xdr:col>4</xdr:col>
                <xdr:colOff>409575</xdr:colOff>
                <xdr:row>31</xdr:row>
                <xdr:rowOff>95250</xdr:rowOff>
              </to>
            </anchor>
          </objectPr>
        </oleObject>
      </mc:Choice>
      <mc:Fallback>
        <oleObject progId="Equation.3" shapeId="2052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7"/>
  <sheetViews>
    <sheetView topLeftCell="A73" workbookViewId="0">
      <selection activeCell="D57" sqref="D57"/>
    </sheetView>
  </sheetViews>
  <sheetFormatPr defaultRowHeight="12.75" x14ac:dyDescent="0.2"/>
  <sheetData>
    <row r="1" spans="1:1" x14ac:dyDescent="0.2">
      <c r="A1" t="s">
        <v>55</v>
      </c>
    </row>
    <row r="5" spans="1:1" x14ac:dyDescent="0.2">
      <c r="A5" t="s">
        <v>56</v>
      </c>
    </row>
    <row r="11" spans="1:1" x14ac:dyDescent="0.2">
      <c r="A11" t="s">
        <v>71</v>
      </c>
    </row>
    <row r="22" spans="1:5" x14ac:dyDescent="0.2">
      <c r="A22" t="s">
        <v>57</v>
      </c>
    </row>
    <row r="23" spans="1:5" x14ac:dyDescent="0.2">
      <c r="C23" s="4" t="s">
        <v>58</v>
      </c>
      <c r="D23" s="5" t="s">
        <v>60</v>
      </c>
      <c r="E23" s="6" t="s">
        <v>62</v>
      </c>
    </row>
    <row r="24" spans="1:5" x14ac:dyDescent="0.2">
      <c r="C24" s="7" t="s">
        <v>59</v>
      </c>
      <c r="D24" s="8" t="s">
        <v>61</v>
      </c>
      <c r="E24" s="9" t="s">
        <v>63</v>
      </c>
    </row>
    <row r="25" spans="1:5" x14ac:dyDescent="0.2">
      <c r="C25" s="2">
        <v>0.5</v>
      </c>
      <c r="D25">
        <f>'Discount factors'!C14</f>
        <v>0.97557125676488277</v>
      </c>
      <c r="E25">
        <f>2*((1/D25)^(1/(2*C25))-1)</f>
        <v>5.0080899915247556E-2</v>
      </c>
    </row>
    <row r="26" spans="1:5" x14ac:dyDescent="0.2">
      <c r="C26" s="2">
        <v>1</v>
      </c>
      <c r="D26">
        <f>'Discount factors'!C15</f>
        <v>0.95247075655122715</v>
      </c>
      <c r="E26">
        <f>2*((1/D26)^(1/(2*C26))-1)</f>
        <v>4.9293537038940904E-2</v>
      </c>
    </row>
    <row r="27" spans="1:5" x14ac:dyDescent="0.2">
      <c r="C27" s="2">
        <v>1.5</v>
      </c>
      <c r="D27">
        <f>'Discount factors'!C16</f>
        <v>0.93044812678429933</v>
      </c>
      <c r="E27">
        <f>2*((1/D27)^(1/(2*C27))-1)</f>
        <v>4.8641378554307835E-2</v>
      </c>
    </row>
    <row r="28" spans="1:5" x14ac:dyDescent="0.2">
      <c r="C28" s="2">
        <v>2</v>
      </c>
      <c r="D28">
        <f>'Discount factors'!C17</f>
        <v>0.90796241999695737</v>
      </c>
      <c r="E28">
        <f>2*((1/D28)^(1/(2*C28))-1)</f>
        <v>4.8863507398639427E-2</v>
      </c>
    </row>
    <row r="29" spans="1:5" x14ac:dyDescent="0.2">
      <c r="C29" s="2">
        <v>2.5</v>
      </c>
      <c r="D29">
        <f>'Discount factors'!C18</f>
        <v>0.88630267507668115</v>
      </c>
      <c r="E29">
        <f>2*((1/D29)^(1/(2*C29))-1)</f>
        <v>4.8866132346082392E-2</v>
      </c>
    </row>
    <row r="32" spans="1:5" x14ac:dyDescent="0.2">
      <c r="A32" t="s">
        <v>64</v>
      </c>
    </row>
    <row r="34" spans="1:9" x14ac:dyDescent="0.2">
      <c r="A34" t="s">
        <v>65</v>
      </c>
    </row>
    <row r="35" spans="1:9" x14ac:dyDescent="0.2">
      <c r="B35" t="s">
        <v>69</v>
      </c>
    </row>
    <row r="36" spans="1:9" x14ac:dyDescent="0.2">
      <c r="C36" t="s">
        <v>66</v>
      </c>
    </row>
    <row r="37" spans="1:9" x14ac:dyDescent="0.2">
      <c r="C37" t="s">
        <v>67</v>
      </c>
    </row>
    <row r="38" spans="1:9" x14ac:dyDescent="0.2">
      <c r="B38" t="s">
        <v>68</v>
      </c>
    </row>
    <row r="39" spans="1:9" x14ac:dyDescent="0.2">
      <c r="B39" t="s">
        <v>70</v>
      </c>
    </row>
    <row r="40" spans="1:9" x14ac:dyDescent="0.2">
      <c r="C40" t="s">
        <v>72</v>
      </c>
    </row>
    <row r="42" spans="1:9" x14ac:dyDescent="0.2">
      <c r="B42" t="s">
        <v>73</v>
      </c>
    </row>
    <row r="44" spans="1:9" x14ac:dyDescent="0.2">
      <c r="I44" t="s">
        <v>74</v>
      </c>
    </row>
    <row r="51" spans="2:6" x14ac:dyDescent="0.2">
      <c r="B51" t="s">
        <v>75</v>
      </c>
    </row>
    <row r="52" spans="2:6" x14ac:dyDescent="0.2">
      <c r="C52" s="4" t="s">
        <v>58</v>
      </c>
      <c r="D52" s="5" t="s">
        <v>78</v>
      </c>
    </row>
    <row r="53" spans="2:6" x14ac:dyDescent="0.2">
      <c r="C53" s="10"/>
      <c r="D53" s="11" t="s">
        <v>76</v>
      </c>
    </row>
    <row r="54" spans="2:6" x14ac:dyDescent="0.2">
      <c r="C54" s="7" t="s">
        <v>59</v>
      </c>
      <c r="D54" s="8" t="s">
        <v>63</v>
      </c>
    </row>
    <row r="55" spans="2:6" x14ac:dyDescent="0.2">
      <c r="C55" s="2">
        <v>0.5</v>
      </c>
      <c r="D55">
        <f>E25</f>
        <v>5.0080899915247556E-2</v>
      </c>
    </row>
    <row r="56" spans="2:6" x14ac:dyDescent="0.2">
      <c r="C56" s="2">
        <v>1</v>
      </c>
      <c r="D56">
        <f>(((1+(E26/2))^(2*C56))/(1+D55/2)-1)*2</f>
        <v>4.8506476560602252E-2</v>
      </c>
    </row>
    <row r="57" spans="2:6" x14ac:dyDescent="0.2">
      <c r="C57" s="2">
        <v>1.5</v>
      </c>
      <c r="D57">
        <f>((((1+(E27/2))^(2*C57))/((1+D55/2)*(1+D56/2)))-1)*2</f>
        <v>4.7337684139446168E-2</v>
      </c>
    </row>
    <row r="58" spans="2:6" x14ac:dyDescent="0.2">
      <c r="C58" s="2">
        <v>2</v>
      </c>
      <c r="D58">
        <f>((((1+(E28/2))^(2*C58))/((1+D55/2)*(1+D56/2)*(1+D57/2)))-1)*2</f>
        <v>4.9530038451190084E-2</v>
      </c>
    </row>
    <row r="59" spans="2:6" x14ac:dyDescent="0.2">
      <c r="C59" s="2">
        <v>2.5</v>
      </c>
      <c r="D59">
        <f>((((1+(E29/2))^(2*C59))/((1+D55/2)*(1+D56/2)*(1+D57/2)*(1+D58/2)))-1)*2</f>
        <v>4.8876632169484679E-2</v>
      </c>
    </row>
    <row r="62" spans="2:6" x14ac:dyDescent="0.2">
      <c r="B62" t="s">
        <v>77</v>
      </c>
    </row>
    <row r="63" spans="2:6" x14ac:dyDescent="0.2">
      <c r="C63" s="4" t="s">
        <v>58</v>
      </c>
      <c r="D63" s="5" t="s">
        <v>78</v>
      </c>
    </row>
    <row r="64" spans="2:6" x14ac:dyDescent="0.2">
      <c r="C64" s="10"/>
      <c r="D64" s="11" t="s">
        <v>76</v>
      </c>
      <c r="F64" t="s">
        <v>79</v>
      </c>
    </row>
    <row r="65" spans="1:11" x14ac:dyDescent="0.2">
      <c r="C65" s="7" t="s">
        <v>59</v>
      </c>
      <c r="D65" s="8" t="s">
        <v>63</v>
      </c>
    </row>
    <row r="66" spans="1:11" x14ac:dyDescent="0.2">
      <c r="C66" s="2">
        <v>0.5</v>
      </c>
      <c r="D66">
        <f>E25</f>
        <v>5.0080899915247556E-2</v>
      </c>
    </row>
    <row r="67" spans="1:11" x14ac:dyDescent="0.2">
      <c r="C67" s="2">
        <v>1</v>
      </c>
      <c r="D67">
        <f>(((1+(E26/2))^(2*C67))/(1+D55/2)-1)*2</f>
        <v>4.8506476560602252E-2</v>
      </c>
    </row>
    <row r="68" spans="1:11" x14ac:dyDescent="0.2">
      <c r="C68" s="2">
        <v>1.5</v>
      </c>
      <c r="D68">
        <f>(((1+(E27/2))^(2*C68))/(1+E26/2)^((2*C68)-1)-1)*2</f>
        <v>4.7337684139446168E-2</v>
      </c>
    </row>
    <row r="69" spans="1:11" x14ac:dyDescent="0.2">
      <c r="C69" s="2">
        <v>2</v>
      </c>
      <c r="D69">
        <f>(((1+(E28/2))^(2*C69))/(1+E27/2)^((2*C69)-1)-1)*2</f>
        <v>4.953003845118964E-2</v>
      </c>
    </row>
    <row r="70" spans="1:11" x14ac:dyDescent="0.2">
      <c r="C70" s="2">
        <v>2.5</v>
      </c>
      <c r="D70">
        <f>(((1+(E29/2))^(2*C70))/(1+E28/2)^((2*C70)-1)-1)*2</f>
        <v>4.8876632169484679E-2</v>
      </c>
    </row>
    <row r="73" spans="1:11" ht="18" x14ac:dyDescent="0.25">
      <c r="A73" s="12" t="s">
        <v>80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5">
      <c r="A74" s="12"/>
      <c r="B74" s="12" t="s">
        <v>81</v>
      </c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5">
      <c r="A75" s="12"/>
      <c r="B75" s="12" t="s">
        <v>82</v>
      </c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5">
      <c r="A76" s="12"/>
      <c r="B76" s="12" t="s">
        <v>83</v>
      </c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8" x14ac:dyDescent="0.25">
      <c r="A77" s="12" t="s">
        <v>84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18" x14ac:dyDescent="0.25">
      <c r="A78" s="12"/>
      <c r="B78" s="12" t="s">
        <v>85</v>
      </c>
      <c r="C78" s="12"/>
      <c r="D78" s="12"/>
      <c r="E78" s="12"/>
      <c r="F78" s="12"/>
      <c r="G78" s="12"/>
      <c r="H78" s="12"/>
      <c r="I78" s="12"/>
      <c r="J78" s="12"/>
      <c r="K78" s="12"/>
    </row>
    <row r="79" spans="1:11" ht="18" x14ac:dyDescent="0.25">
      <c r="A79" s="12"/>
      <c r="B79" s="12" t="s">
        <v>86</v>
      </c>
      <c r="C79" s="12"/>
      <c r="D79" s="12"/>
      <c r="E79" s="12"/>
      <c r="F79" s="12"/>
      <c r="G79" s="12"/>
      <c r="H79" s="12"/>
      <c r="I79" s="12"/>
      <c r="J79" s="12"/>
      <c r="K79" s="12"/>
    </row>
    <row r="85" spans="1:20" ht="18" x14ac:dyDescent="0.25">
      <c r="A85" s="12" t="s">
        <v>112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" x14ac:dyDescent="0.25">
      <c r="A86" s="12"/>
      <c r="B86" s="12" t="s">
        <v>113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" x14ac:dyDescent="0.25">
      <c r="A87" s="12"/>
      <c r="B87" s="12"/>
      <c r="C87" s="12" t="s">
        <v>114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5" spans="1:20" ht="18" x14ac:dyDescent="0.25">
      <c r="A95" s="12"/>
      <c r="B95" s="12" t="s">
        <v>115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4</xdr:col>
                <xdr:colOff>571500</xdr:colOff>
                <xdr:row>2</xdr:row>
                <xdr:rowOff>114300</xdr:rowOff>
              </from>
              <to>
                <xdr:col>8</xdr:col>
                <xdr:colOff>447675</xdr:colOff>
                <xdr:row>8</xdr:row>
                <xdr:rowOff>47625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>
              <from>
                <xdr:col>4</xdr:col>
                <xdr:colOff>542925</xdr:colOff>
                <xdr:row>12</xdr:row>
                <xdr:rowOff>95250</xdr:rowOff>
              </from>
              <to>
                <xdr:col>8</xdr:col>
                <xdr:colOff>457200</xdr:colOff>
                <xdr:row>18</xdr:row>
                <xdr:rowOff>85725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>
              <from>
                <xdr:col>2</xdr:col>
                <xdr:colOff>542925</xdr:colOff>
                <xdr:row>42</xdr:row>
                <xdr:rowOff>95250</xdr:rowOff>
              </from>
              <to>
                <xdr:col>7</xdr:col>
                <xdr:colOff>552450</xdr:colOff>
                <xdr:row>46</xdr:row>
                <xdr:rowOff>85725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10">
          <objectPr defaultSize="0" autoPict="0" r:id="rId11">
            <anchor moveWithCells="1">
              <from>
                <xdr:col>9</xdr:col>
                <xdr:colOff>590550</xdr:colOff>
                <xdr:row>44</xdr:row>
                <xdr:rowOff>142875</xdr:rowOff>
              </from>
              <to>
                <xdr:col>11</xdr:col>
                <xdr:colOff>581025</xdr:colOff>
                <xdr:row>46</xdr:row>
                <xdr:rowOff>152400</xdr:rowOff>
              </to>
            </anchor>
          </objectPr>
        </oleObject>
      </mc:Choice>
      <mc:Fallback>
        <oleObject progId="Equation.3" shapeId="3076" r:id="rId10"/>
      </mc:Fallback>
    </mc:AlternateContent>
    <mc:AlternateContent xmlns:mc="http://schemas.openxmlformats.org/markup-compatibility/2006">
      <mc:Choice Requires="x14">
        <oleObject progId="Equation.3" shapeId="3077" r:id="rId12">
          <objectPr defaultSize="0" r:id="rId13">
            <anchor moveWithCells="1">
              <from>
                <xdr:col>5</xdr:col>
                <xdr:colOff>19050</xdr:colOff>
                <xdr:row>65</xdr:row>
                <xdr:rowOff>9525</xdr:rowOff>
              </from>
              <to>
                <xdr:col>10</xdr:col>
                <xdr:colOff>209550</xdr:colOff>
                <xdr:row>67</xdr:row>
                <xdr:rowOff>152400</xdr:rowOff>
              </to>
            </anchor>
          </objectPr>
        </oleObject>
      </mc:Choice>
      <mc:Fallback>
        <oleObject progId="Equation.3" shapeId="3077" r:id="rId12"/>
      </mc:Fallback>
    </mc:AlternateContent>
    <mc:AlternateContent xmlns:mc="http://schemas.openxmlformats.org/markup-compatibility/2006">
      <mc:Choice Requires="x14">
        <oleObject progId="Package" shapeId="3078" r:id="rId14">
          <objectPr defaultSize="0" r:id="rId15">
            <anchor moveWithCells="1">
              <from>
                <xdr:col>11</xdr:col>
                <xdr:colOff>266700</xdr:colOff>
                <xdr:row>84</xdr:row>
                <xdr:rowOff>161925</xdr:rowOff>
              </from>
              <to>
                <xdr:col>12</xdr:col>
                <xdr:colOff>180975</xdr:colOff>
                <xdr:row>86</xdr:row>
                <xdr:rowOff>190500</xdr:rowOff>
              </to>
            </anchor>
          </objectPr>
        </oleObject>
      </mc:Choice>
      <mc:Fallback>
        <oleObject progId="Package" shapeId="3078" r:id="rId14"/>
      </mc:Fallback>
    </mc:AlternateContent>
    <mc:AlternateContent xmlns:mc="http://schemas.openxmlformats.org/markup-compatibility/2006">
      <mc:Choice Requires="x14">
        <oleObject progId="Package" shapeId="3079" r:id="rId16">
          <objectPr defaultSize="0" r:id="rId17">
            <anchor moveWithCells="1">
              <from>
                <xdr:col>11</xdr:col>
                <xdr:colOff>295275</xdr:colOff>
                <xdr:row>94</xdr:row>
                <xdr:rowOff>85725</xdr:rowOff>
              </from>
              <to>
                <xdr:col>12</xdr:col>
                <xdr:colOff>314325</xdr:colOff>
                <xdr:row>96</xdr:row>
                <xdr:rowOff>114300</xdr:rowOff>
              </to>
            </anchor>
          </objectPr>
        </oleObject>
      </mc:Choice>
      <mc:Fallback>
        <oleObject progId="Package" shapeId="3079" r:id="rId1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"/>
  <sheetViews>
    <sheetView workbookViewId="0">
      <selection activeCell="N39" sqref="N39"/>
    </sheetView>
  </sheetViews>
  <sheetFormatPr defaultRowHeight="12.75" x14ac:dyDescent="0.2"/>
  <cols>
    <col min="9" max="9" width="10.5703125" customWidth="1"/>
    <col min="14" max="14" width="10.140625" bestFit="1" customWidth="1"/>
    <col min="15" max="15" width="9.7109375" customWidth="1"/>
    <col min="16" max="16" width="10.140625" bestFit="1" customWidth="1"/>
  </cols>
  <sheetData>
    <row r="1" spans="1:10" x14ac:dyDescent="0.2">
      <c r="B1" t="s">
        <v>39</v>
      </c>
    </row>
    <row r="2" spans="1:10" x14ac:dyDescent="0.2">
      <c r="J2" t="s">
        <v>40</v>
      </c>
    </row>
    <row r="3" spans="1:10" x14ac:dyDescent="0.2">
      <c r="J3" t="s">
        <v>41</v>
      </c>
    </row>
    <row r="4" spans="1:10" x14ac:dyDescent="0.2">
      <c r="B4" s="2" t="s">
        <v>7</v>
      </c>
      <c r="C4" t="s">
        <v>42</v>
      </c>
      <c r="D4" t="s">
        <v>43</v>
      </c>
      <c r="E4" t="s">
        <v>2</v>
      </c>
      <c r="F4" t="s">
        <v>44</v>
      </c>
      <c r="G4" t="s">
        <v>45</v>
      </c>
    </row>
    <row r="5" spans="1:10" x14ac:dyDescent="0.2">
      <c r="B5" s="2">
        <v>1</v>
      </c>
      <c r="C5" s="1">
        <v>36937</v>
      </c>
      <c r="D5">
        <v>0.11125</v>
      </c>
      <c r="E5" s="1">
        <v>37848</v>
      </c>
      <c r="F5">
        <v>114.12</v>
      </c>
      <c r="G5">
        <f>DOLLARDE(F5,32)</f>
        <v>114.37500000000001</v>
      </c>
      <c r="I5" t="s">
        <v>47</v>
      </c>
    </row>
    <row r="6" spans="1:10" x14ac:dyDescent="0.2">
      <c r="B6" s="2">
        <v>2</v>
      </c>
      <c r="C6" s="1">
        <v>36937</v>
      </c>
      <c r="D6">
        <v>5.7500000000000002E-2</v>
      </c>
      <c r="E6" s="1">
        <v>37848</v>
      </c>
      <c r="F6">
        <f>DOLLARFR(G6,32)</f>
        <v>102.0064</v>
      </c>
      <c r="G6">
        <v>102.02</v>
      </c>
    </row>
    <row r="7" spans="1:10" x14ac:dyDescent="0.2">
      <c r="B7" s="2">
        <v>3</v>
      </c>
      <c r="C7" s="1">
        <v>36937</v>
      </c>
      <c r="D7">
        <v>5.2499999999999998E-2</v>
      </c>
      <c r="E7" s="1">
        <v>37848</v>
      </c>
      <c r="F7">
        <v>100.27</v>
      </c>
      <c r="G7">
        <f>DOLLARDE(F7,32)</f>
        <v>100.84374999999999</v>
      </c>
    </row>
    <row r="9" spans="1:10" ht="15.75" x14ac:dyDescent="0.3">
      <c r="A9" t="s">
        <v>89</v>
      </c>
    </row>
    <row r="10" spans="1:10" x14ac:dyDescent="0.2">
      <c r="A10" t="s">
        <v>48</v>
      </c>
    </row>
    <row r="11" spans="1:10" ht="15.75" x14ac:dyDescent="0.3">
      <c r="C11" t="s">
        <v>46</v>
      </c>
    </row>
    <row r="15" spans="1:10" x14ac:dyDescent="0.2">
      <c r="C15" t="s">
        <v>49</v>
      </c>
      <c r="F15" t="s">
        <v>99</v>
      </c>
    </row>
    <row r="16" spans="1:10" x14ac:dyDescent="0.2">
      <c r="G16" t="s">
        <v>90</v>
      </c>
    </row>
    <row r="19" spans="1:16" x14ac:dyDescent="0.2">
      <c r="G19" t="s">
        <v>50</v>
      </c>
      <c r="H19">
        <f>(D6-D7)/(D5-D7)</f>
        <v>8.5106382978723472E-2</v>
      </c>
    </row>
    <row r="20" spans="1:16" x14ac:dyDescent="0.2">
      <c r="G20" t="s">
        <v>88</v>
      </c>
      <c r="H20">
        <f>(D5-D6)/(D5-D7)</f>
        <v>0.91489361702127647</v>
      </c>
    </row>
    <row r="23" spans="1:16" ht="15.75" x14ac:dyDescent="0.3">
      <c r="G23" t="s">
        <v>51</v>
      </c>
    </row>
    <row r="24" spans="1:16" x14ac:dyDescent="0.2">
      <c r="G24" t="s">
        <v>52</v>
      </c>
      <c r="J24">
        <f>H19*G5+H20*G7</f>
        <v>101.99534574468083</v>
      </c>
    </row>
    <row r="26" spans="1:16" x14ac:dyDescent="0.2">
      <c r="I26" t="s">
        <v>53</v>
      </c>
      <c r="J26">
        <f>G6-J24</f>
        <v>2.4654255319163099E-2</v>
      </c>
    </row>
    <row r="27" spans="1:16" x14ac:dyDescent="0.2">
      <c r="J27" t="s">
        <v>54</v>
      </c>
    </row>
    <row r="28" spans="1:16" x14ac:dyDescent="0.2">
      <c r="M28" t="s">
        <v>96</v>
      </c>
      <c r="N28">
        <f>H19</f>
        <v>8.5106382978723472E-2</v>
      </c>
      <c r="O28" t="s">
        <v>101</v>
      </c>
      <c r="P28" s="14">
        <v>1000000</v>
      </c>
    </row>
    <row r="29" spans="1:16" x14ac:dyDescent="0.2">
      <c r="M29" t="s">
        <v>97</v>
      </c>
      <c r="N29">
        <v>-1</v>
      </c>
    </row>
    <row r="30" spans="1:16" x14ac:dyDescent="0.2">
      <c r="M30" t="s">
        <v>98</v>
      </c>
      <c r="N30">
        <f>H20</f>
        <v>0.91489361702127647</v>
      </c>
    </row>
    <row r="31" spans="1:16" ht="16.5" x14ac:dyDescent="0.25">
      <c r="A31" s="13" t="s">
        <v>92</v>
      </c>
      <c r="M31" t="s">
        <v>94</v>
      </c>
      <c r="N31" s="2" t="s">
        <v>95</v>
      </c>
    </row>
    <row r="32" spans="1:16" ht="16.5" x14ac:dyDescent="0.25">
      <c r="B32" s="13" t="s">
        <v>91</v>
      </c>
      <c r="M32" s="1">
        <v>36937</v>
      </c>
      <c r="N32" s="15">
        <f>-(N28*G5+N29*G6+N30*G7)*P28</f>
        <v>24654.255319163098</v>
      </c>
    </row>
    <row r="33" spans="1:21" ht="16.5" x14ac:dyDescent="0.25">
      <c r="B33" s="13" t="s">
        <v>93</v>
      </c>
      <c r="M33" s="1">
        <v>37118</v>
      </c>
      <c r="N33" s="14">
        <f>($N$28*0.5*$D$5+$N$29*0.5*$D$6+$N$30*0.5*$D$7)*$P$28</f>
        <v>0</v>
      </c>
    </row>
    <row r="34" spans="1:21" x14ac:dyDescent="0.2">
      <c r="M34" s="1">
        <v>37302</v>
      </c>
      <c r="N34" s="14">
        <f>($N$28*0.5*$D$5+$N$29*0.5*$D$6+$N$30*0.5*$D$7)*$P$28</f>
        <v>0</v>
      </c>
    </row>
    <row r="35" spans="1:21" ht="16.5" x14ac:dyDescent="0.25">
      <c r="A35" s="13"/>
      <c r="B35" s="13"/>
      <c r="M35" s="1">
        <v>37483</v>
      </c>
      <c r="N35" s="14">
        <f>($N$28*0.5*$D$5+$N$29*0.5*$D$6+$N$30*0.5*$D$7)*$P$28</f>
        <v>0</v>
      </c>
    </row>
    <row r="36" spans="1:21" ht="16.5" x14ac:dyDescent="0.25">
      <c r="B36" s="13"/>
      <c r="M36" s="1">
        <v>37667</v>
      </c>
      <c r="N36" s="14">
        <f>($N$28*0.5*$D$5+$N$29*0.5*$D$6+$N$30*0.5*$D$7)*$P$28</f>
        <v>0</v>
      </c>
    </row>
    <row r="37" spans="1:21" x14ac:dyDescent="0.2">
      <c r="M37" s="1">
        <v>37848</v>
      </c>
      <c r="N37" s="14">
        <f>($N$28*0.5*$D$5+$N$29*0.5*$D$6+$N$30*0.5*$D$7+N28+N29+N30)*P28</f>
        <v>0</v>
      </c>
    </row>
    <row r="38" spans="1:21" ht="16.5" x14ac:dyDescent="0.25">
      <c r="A38" s="13"/>
      <c r="B38" s="13"/>
    </row>
    <row r="39" spans="1:21" ht="16.5" x14ac:dyDescent="0.25">
      <c r="B39" s="13"/>
      <c r="M39" t="s">
        <v>100</v>
      </c>
      <c r="N39" s="14">
        <f>SUM(N32:N38)</f>
        <v>24654.255319163098</v>
      </c>
    </row>
    <row r="43" spans="1:21" ht="18" x14ac:dyDescent="0.25">
      <c r="A43" s="16" t="s">
        <v>107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8.75" x14ac:dyDescent="0.3">
      <c r="A44" s="16"/>
      <c r="B44" s="16" t="s">
        <v>108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8" x14ac:dyDescent="0.25">
      <c r="A45" s="16"/>
      <c r="B45" s="16" t="s">
        <v>110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18" x14ac:dyDescent="0.25">
      <c r="A46" s="16"/>
      <c r="B46" s="16" t="s">
        <v>109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2</xdr:col>
                <xdr:colOff>19050</xdr:colOff>
                <xdr:row>11</xdr:row>
                <xdr:rowOff>38100</xdr:rowOff>
              </from>
              <to>
                <xdr:col>3</xdr:col>
                <xdr:colOff>409575</xdr:colOff>
                <xdr:row>13</xdr:row>
                <xdr:rowOff>47625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r:id="rId7">
            <anchor moveWithCells="1">
              <from>
                <xdr:col>1</xdr:col>
                <xdr:colOff>600075</xdr:colOff>
                <xdr:row>16</xdr:row>
                <xdr:rowOff>9525</xdr:rowOff>
              </from>
              <to>
                <xdr:col>4</xdr:col>
                <xdr:colOff>390525</xdr:colOff>
                <xdr:row>20</xdr:row>
                <xdr:rowOff>95250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r:id="rId9">
            <anchor moveWithCells="1">
              <from>
                <xdr:col>2</xdr:col>
                <xdr:colOff>9525</xdr:colOff>
                <xdr:row>22</xdr:row>
                <xdr:rowOff>47625</xdr:rowOff>
              </from>
              <to>
                <xdr:col>4</xdr:col>
                <xdr:colOff>409575</xdr:colOff>
                <xdr:row>26</xdr:row>
                <xdr:rowOff>95250</xdr:rowOff>
              </to>
            </anchor>
          </objectPr>
        </oleObject>
      </mc:Choice>
      <mc:Fallback>
        <oleObject progId="Equation.3" shapeId="4099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Discount factors</vt:lpstr>
      <vt:lpstr>Triplets</vt:lpstr>
      <vt:lpstr>Spot - Forward</vt:lpstr>
      <vt:lpstr>Key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Lamoureux</dc:creator>
  <cp:lastModifiedBy>Brian Fagan</cp:lastModifiedBy>
  <dcterms:created xsi:type="dcterms:W3CDTF">2002-09-25T17:06:02Z</dcterms:created>
  <dcterms:modified xsi:type="dcterms:W3CDTF">2019-08-28T02:34:48Z</dcterms:modified>
</cp:coreProperties>
</file>